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data" sheetId="1" r:id="rId3"/>
    <sheet state="visible" name="2 Sprite options" sheetId="2" r:id="rId4"/>
    <sheet state="visible" name="5 Sprite options" sheetId="3" r:id="rId5"/>
    <sheet state="visible" name="15 Sprite options" sheetId="4" r:id="rId6"/>
    <sheet state="visible" name="30 Sprite options" sheetId="5" r:id="rId7"/>
    <sheet state="visible" name="45 Sprite options" sheetId="6" r:id="rId8"/>
    <sheet state="visible" name="60 Sprite options" sheetId="7" r:id="rId9"/>
    <sheet state="visible" name="Time spent on character" sheetId="8" r:id="rId10"/>
    <sheet state="visible" name="Visited sprites" sheetId="9" r:id="rId11"/>
    <sheet state="visible" name="Entertainment value" sheetId="10" r:id="rId12"/>
    <sheet state="visible" name="Character satisfaction" sheetId="11" r:id="rId13"/>
  </sheets>
  <definedNames/>
  <calcPr/>
</workbook>
</file>

<file path=xl/sharedStrings.xml><?xml version="1.0" encoding="utf-8"?>
<sst xmlns="http://schemas.openxmlformats.org/spreadsheetml/2006/main" count="615" uniqueCount="99">
  <si>
    <t>5 Sprite options</t>
  </si>
  <si>
    <t>2 Sprite options</t>
  </si>
  <si>
    <t>All examination entries</t>
  </si>
  <si>
    <t>Subject Questions</t>
  </si>
  <si>
    <t>Character data</t>
  </si>
  <si>
    <t>Character questions</t>
  </si>
  <si>
    <t>Reflection questions</t>
  </si>
  <si>
    <t>Game stats</t>
  </si>
  <si>
    <t>No.</t>
  </si>
  <si>
    <t>Gender</t>
  </si>
  <si>
    <t>Knows experiment purpose</t>
  </si>
  <si>
    <t>Has changed name</t>
  </si>
  <si>
    <t>Character Name</t>
  </si>
  <si>
    <t>Time spent on name (s)</t>
  </si>
  <si>
    <t>Sprite option amount</t>
  </si>
  <si>
    <t>Visited heads (%)</t>
  </si>
  <si>
    <t>Visited bodies (%)</t>
  </si>
  <si>
    <t>Selected head</t>
  </si>
  <si>
    <t>Selected body</t>
  </si>
  <si>
    <t>Is matching set</t>
  </si>
  <si>
    <t>Time spent on character (s)</t>
  </si>
  <si>
    <t>Initial character satisfaction</t>
  </si>
  <si>
    <t>Option amount</t>
  </si>
  <si>
    <t>Enjoyed customization</t>
  </si>
  <si>
    <t>Entertainment value</t>
  </si>
  <si>
    <t>Pleased with performance</t>
  </si>
  <si>
    <t>Final character satisfaction</t>
  </si>
  <si>
    <t>Shots fired</t>
  </si>
  <si>
    <t>Shots hit</t>
  </si>
  <si>
    <t>Shots missed</t>
  </si>
  <si>
    <t>Accuracy (%)</t>
  </si>
  <si>
    <t>Kill count</t>
  </si>
  <si>
    <t>1st attempt - Time alive (s)</t>
  </si>
  <si>
    <t>2nd attempt - Time alive (s)</t>
  </si>
  <si>
    <t>Male</t>
  </si>
  <si>
    <t>Yilian</t>
  </si>
  <si>
    <t>Satisfied</t>
  </si>
  <si>
    <t>I wanted more options</t>
  </si>
  <si>
    <t>Pleased</t>
  </si>
  <si>
    <t>Female</t>
  </si>
  <si>
    <t>Betta the Beta</t>
  </si>
  <si>
    <t>Very satisfied</t>
  </si>
  <si>
    <t>Feldir The Undying</t>
  </si>
  <si>
    <t>I am happy with the amount of options I was given</t>
  </si>
  <si>
    <t>Unpleased</t>
  </si>
  <si>
    <t>TheDutchMagikarp</t>
  </si>
  <si>
    <t>I wanted less options</t>
  </si>
  <si>
    <t>Don</t>
  </si>
  <si>
    <t>Very pleased</t>
  </si>
  <si>
    <t>Bob The Holy</t>
  </si>
  <si>
    <t>Applesauce</t>
  </si>
  <si>
    <t>Tantawelle</t>
  </si>
  <si>
    <t>The Witch</t>
  </si>
  <si>
    <t>Billy Herrington</t>
  </si>
  <si>
    <t>Yaff</t>
  </si>
  <si>
    <t>Lord of Ass</t>
  </si>
  <si>
    <t>Unsatisfied</t>
  </si>
  <si>
    <t>Very unpleased</t>
  </si>
  <si>
    <t>KingGizzardAndTheWiz</t>
  </si>
  <si>
    <t>John doe the average</t>
  </si>
  <si>
    <t>CodeMyst's Clone</t>
  </si>
  <si>
    <t>John Doe the Great</t>
  </si>
  <si>
    <t xml:space="preserve">Median  </t>
  </si>
  <si>
    <t>Gringledoof</t>
  </si>
  <si>
    <t>Buck The Puck</t>
  </si>
  <si>
    <t xml:space="preserve">Average  </t>
  </si>
  <si>
    <t>Gilded Gary the Grea</t>
  </si>
  <si>
    <t>Very unsatisfied</t>
  </si>
  <si>
    <t xml:space="preserve">Standard deviation  </t>
  </si>
  <si>
    <t>Ninamien</t>
  </si>
  <si>
    <t>Dave</t>
  </si>
  <si>
    <t>Ostron the burger</t>
  </si>
  <si>
    <t>Dio the Great</t>
  </si>
  <si>
    <t>John Dee</t>
  </si>
  <si>
    <t>PinkKnight</t>
  </si>
  <si>
    <t>shakari</t>
  </si>
  <si>
    <t>ObsidianRose</t>
  </si>
  <si>
    <t>Dom the Awful</t>
  </si>
  <si>
    <t>ThaNexT</t>
  </si>
  <si>
    <t>Gembito</t>
  </si>
  <si>
    <t>Groot</t>
  </si>
  <si>
    <t>Visited heads ('All data'!K15:K48)</t>
  </si>
  <si>
    <t>Visited bodies ('All data'!L15:L48)</t>
  </si>
  <si>
    <t>Min</t>
  </si>
  <si>
    <t>Max</t>
  </si>
  <si>
    <t xml:space="preserve">Average heads visited </t>
  </si>
  <si>
    <t xml:space="preserve">Average bodies visited </t>
  </si>
  <si>
    <t>Temp cell</t>
  </si>
  <si>
    <t>//=FILTER('All data'!K15:K48; 'All data'!J15:J48 = 2)</t>
  </si>
  <si>
    <t>Time spent on character ('All data'!P15:P48)</t>
  </si>
  <si>
    <t>Entertainment value ('All data'!X15:X48)</t>
  </si>
  <si>
    <t>Character satisfaction ('All data'!S15:S48)</t>
  </si>
  <si>
    <t>//=FILTER('All data'!S15:S48; 'All data'!J15:J48 = 2)</t>
  </si>
  <si>
    <t>15 Sprite options</t>
  </si>
  <si>
    <t>30 Sprite options</t>
  </si>
  <si>
    <t>45 Sprite options</t>
  </si>
  <si>
    <t>60 Sprite options</t>
  </si>
  <si>
    <t>Highest</t>
  </si>
  <si>
    <t>Lowest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</si>
</sst>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color rgb="FFFFFFFF"/>
    </font>
    <font>
      <b/>
    </font>
    <font>
      <b/>
      <sz val="27.0"/>
      <color rgb="FFFFFFFF"/>
      <name val="Lato"/>
    </font>
    <font>
      <b/>
      <sz val="24.0"/>
      <color rgb="FFFFFFFF"/>
      <name val="Lato"/>
    </font>
    <font>
      <b/>
      <sz val="19.0"/>
      <color rgb="FFFFFFFF"/>
      <name val="Lato"/>
    </font>
    <font>
      <b/>
      <sz val="20.0"/>
      <color rgb="FFFFFFFF"/>
      <name val="Lato"/>
    </font>
    <font/>
    <font>
      <b/>
      <color rgb="FF000000"/>
    </font>
    <font>
      <b/>
      <name val="Arial"/>
    </font>
    <font>
      <b/>
      <color rgb="FF000000"/>
      <name val="Arial"/>
    </font>
    <font>
      <sz val="18.0"/>
      <name val="Arial"/>
    </font>
    <font>
      <b/>
      <sz val="18.0"/>
      <name val="Arial"/>
    </font>
    <font>
      <b/>
      <sz val="18.0"/>
      <color rgb="FFFFFFFF"/>
    </font>
    <font>
      <name val="Arial"/>
    </font>
    <font>
      <sz val="18.0"/>
    </font>
    <font>
      <b/>
      <sz val="18.0"/>
      <color rgb="FFFFFFFF"/>
      <name val="Lato"/>
    </font>
    <font>
      <color rgb="FFFFFFFF"/>
    </font>
    <font>
      <b/>
      <sz val="12.0"/>
      <color rgb="FFFFFFFF"/>
      <name val="Lato"/>
    </font>
    <font>
      <color rgb="FF000000"/>
      <name val="Arial"/>
    </font>
    <font>
      <b/>
      <sz val="18.0"/>
      <name val="Lato"/>
    </font>
    <font>
      <b/>
      <sz val="24.0"/>
      <name val="Lato"/>
    </font>
    <font>
      <b/>
      <name val="Lato"/>
    </font>
  </fonts>
  <fills count="5">
    <fill>
      <patternFill patternType="none"/>
    </fill>
    <fill>
      <patternFill patternType="lightGray"/>
    </fill>
    <fill>
      <patternFill patternType="solid">
        <fgColor rgb="FF1C1117"/>
        <bgColor rgb="FF1C111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/>
    </xf>
    <xf borderId="0" fillId="2" fontId="4" numFmtId="0" xfId="0" applyAlignment="1" applyFont="1">
      <alignment horizontal="center" readingOrder="0" vertical="center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5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2" fontId="7" numFmtId="0" xfId="0" applyFont="1"/>
    <xf borderId="0" fillId="0" fontId="8" numFmtId="0" xfId="0" applyAlignment="1" applyFont="1">
      <alignment readingOrder="0"/>
    </xf>
    <xf borderId="0" fillId="2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left" vertical="bottom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center" vertical="bottom"/>
    </xf>
    <xf borderId="0" fillId="2" fontId="12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vertical="bottom"/>
    </xf>
    <xf borderId="0" fillId="0" fontId="11" numFmtId="3" xfId="0" applyAlignment="1" applyFont="1" applyNumberFormat="1">
      <alignment horizontal="right" vertical="bottom"/>
    </xf>
    <xf borderId="0" fillId="0" fontId="11" numFmtId="10" xfId="0" applyAlignment="1" applyFont="1" applyNumberFormat="1">
      <alignment horizontal="right" readingOrder="0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2" fontId="15" numFmtId="0" xfId="0" applyFont="1"/>
    <xf borderId="0" fillId="2" fontId="7" numFmtId="0" xfId="0" applyAlignment="1" applyFont="1">
      <alignment readingOrder="0"/>
    </xf>
    <xf borderId="0" fillId="2" fontId="16" numFmtId="0" xfId="0" applyAlignment="1" applyFont="1">
      <alignment horizontal="center" readingOrder="0" vertical="center"/>
    </xf>
    <xf borderId="0" fillId="0" fontId="11" numFmtId="4" xfId="0" applyAlignment="1" applyFont="1" applyNumberFormat="1">
      <alignment readingOrder="0" vertical="bottom"/>
    </xf>
    <xf borderId="0" fillId="2" fontId="16" numFmtId="0" xfId="0" applyAlignment="1" applyFont="1">
      <alignment horizontal="right" readingOrder="0"/>
    </xf>
    <xf borderId="0" fillId="0" fontId="15" numFmtId="4" xfId="0" applyFont="1" applyNumberFormat="1"/>
    <xf borderId="0" fillId="0" fontId="15" numFmtId="0" xfId="0" applyFont="1"/>
    <xf borderId="0" fillId="0" fontId="15" numFmtId="10" xfId="0" applyFont="1" applyNumberFormat="1"/>
    <xf borderId="0" fillId="0" fontId="15" numFmtId="0" xfId="0" applyAlignment="1" applyFont="1">
      <alignment horizontal="left"/>
    </xf>
    <xf borderId="0" fillId="0" fontId="15" numFmtId="0" xfId="0" applyAlignment="1" applyFont="1">
      <alignment readingOrder="0"/>
    </xf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horizontal="right" vertical="bottom"/>
    </xf>
    <xf borderId="0" fillId="2" fontId="15" numFmtId="4" xfId="0" applyFont="1" applyNumberFormat="1"/>
    <xf borderId="0" fillId="0" fontId="15" numFmtId="4" xfId="0" applyAlignment="1" applyFont="1" applyNumberFormat="1">
      <alignment readingOrder="0"/>
    </xf>
    <xf borderId="0" fillId="0" fontId="15" numFmtId="3" xfId="0" applyFont="1" applyNumberFormat="1"/>
    <xf borderId="0" fillId="0" fontId="15" numFmtId="1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7" numFmtId="10" xfId="0" applyFont="1" applyNumberFormat="1"/>
    <xf borderId="0" fillId="2" fontId="17" numFmtId="0" xfId="0" applyFont="1"/>
    <xf borderId="0" fillId="2" fontId="18" numFmtId="0" xfId="0" applyAlignment="1" applyFont="1">
      <alignment horizontal="center" readingOrder="0" vertical="center"/>
    </xf>
    <xf borderId="0" fillId="2" fontId="18" numFmtId="0" xfId="0" applyAlignment="1" applyFont="1">
      <alignment horizontal="right" readingOrder="0" shrinkToFit="0" vertical="center" wrapText="0"/>
    </xf>
    <xf borderId="0" fillId="2" fontId="7" numFmtId="4" xfId="0" applyFont="1" applyNumberFormat="1"/>
    <xf borderId="0" fillId="0" fontId="7" numFmtId="10" xfId="0" applyFont="1" applyNumberFormat="1"/>
    <xf borderId="0" fillId="3" fontId="19" numFmtId="0" xfId="0" applyAlignment="1" applyFill="1" applyFont="1">
      <alignment horizontal="left" readingOrder="0"/>
    </xf>
    <xf borderId="0" fillId="4" fontId="7" numFmtId="0" xfId="0" applyFill="1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4" fontId="7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3" fontId="0" numFmtId="10" xfId="0" applyAlignment="1" applyFont="1" applyNumberFormat="1">
      <alignment horizontal="center" readingOrder="0"/>
    </xf>
    <xf borderId="0" fillId="0" fontId="7" numFmtId="10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22" numFmtId="0" xfId="0" applyAlignment="1" applyFont="1">
      <alignment horizontal="right" readingOrder="0"/>
    </xf>
    <xf borderId="0" fillId="0" fontId="7" numFmtId="9" xfId="0" applyAlignment="1" applyFont="1" applyNumberFormat="1">
      <alignment horizontal="center"/>
    </xf>
    <xf borderId="0" fillId="4" fontId="20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3" fontId="0" numFmtId="0" xfId="0" applyAlignment="1" applyFont="1">
      <alignment horizontal="center" readingOrder="0"/>
    </xf>
    <xf borderId="0" fillId="4" fontId="7" numFmtId="4" xfId="0" applyAlignment="1" applyFont="1" applyNumberFormat="1">
      <alignment horizontal="center"/>
    </xf>
    <xf borderId="0" fillId="0" fontId="7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/>
            </a:pPr>
            <a:r>
              <a:t>Average time spent on character </a:t>
            </a:r>
          </a:p>
        </c:rich>
      </c:tx>
      <c:overlay val="0"/>
    </c:title>
    <c:plotArea>
      <c:layout>
        <c:manualLayout>
          <c:xMode val="edge"/>
          <c:yMode val="edge"/>
          <c:x val="0.1579055989583334"/>
          <c:y val="0.27088948787061995"/>
          <c:w val="0.8111777343750003"/>
          <c:h val="0.584905660377358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38100">
                <a:solidFill>
                  <a:srgbClr val="FF0000">
                    <a:alpha val="30196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'Time spent on character'!$C$5:$H$5</c:f>
            </c:strRef>
          </c:cat>
          <c:val>
            <c:numRef>
              <c:f>'Time spent on character'!$C$16:$H$16</c:f>
            </c:numRef>
          </c:val>
        </c:ser>
        <c:axId val="1035818780"/>
        <c:axId val="100524247"/>
      </c:barChart>
      <c:catAx>
        <c:axId val="1035818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Sprite options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00524247"/>
      </c:catAx>
      <c:valAx>
        <c:axId val="100524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03581878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/>
            </a:pPr>
            <a:r>
              <a:t>Average sprites visited</a:t>
            </a:r>
          </a:p>
        </c:rich>
      </c:tx>
      <c:overlay val="0"/>
    </c:title>
    <c:plotArea>
      <c:layout>
        <c:manualLayout>
          <c:xMode val="edge"/>
          <c:yMode val="edge"/>
          <c:x val="0.16564322916666663"/>
          <c:y val="0.23045822102425878"/>
          <c:w val="0.8034401041666668"/>
          <c:h val="0.6386792452830187"/>
        </c:manualLayout>
      </c:layout>
      <c:barChart>
        <c:barDir val="col"/>
        <c:grouping val="clustered"/>
        <c:ser>
          <c:idx val="0"/>
          <c:order val="0"/>
          <c:tx>
            <c:strRef>
              <c:f>'Visited sprites'!$A$16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'Visited sprites'!$B$5:$G$5</c:f>
            </c:strRef>
          </c:cat>
          <c:val>
            <c:numRef>
              <c:f>'Visited sprites'!$B$16:$G$16</c:f>
            </c:numRef>
          </c:val>
        </c:ser>
        <c:axId val="1487534635"/>
        <c:axId val="1533037211"/>
      </c:barChart>
      <c:catAx>
        <c:axId val="1487534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Sprite options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533037211"/>
      </c:catAx>
      <c:valAx>
        <c:axId val="153303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Sprites visited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487534635"/>
      </c:valAx>
      <c:barChart>
        <c:barDir val="col"/>
        <c:grouping val="clustered"/>
        <c:ser>
          <c:idx val="1"/>
          <c:order val="1"/>
          <c:tx>
            <c:strRef>
              <c:f>'Visited sprites'!$I$16</c:f>
            </c:strRef>
          </c:tx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'Visited sprites'!$B$5:$G$5</c:f>
            </c:strRef>
          </c:cat>
          <c:val>
            <c:numRef>
              <c:f>'Visited sprites'!$J$16:$O$16</c:f>
            </c:numRef>
          </c:val>
        </c:ser>
        <c:axId val="1306129251"/>
        <c:axId val="1958366571"/>
      </c:barChart>
      <c:catAx>
        <c:axId val="1306129251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400"/>
            </a:pPr>
          </a:p>
        </c:txPr>
        <c:crossAx val="1958366571"/>
      </c:catAx>
      <c:valAx>
        <c:axId val="19583665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6129251"/>
        <c:crosses val="max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entertainment value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'Entertainment value'!$C$5:$H$5</c:f>
            </c:strRef>
          </c:cat>
          <c:val>
            <c:numRef>
              <c:f>'Entertainment value'!$C$16:$H$16</c:f>
            </c:numRef>
          </c:val>
        </c:ser>
        <c:axId val="1164354735"/>
        <c:axId val="1787423437"/>
      </c:barChart>
      <c:catAx>
        <c:axId val="116435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Sprite options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87423437"/>
      </c:catAx>
      <c:valAx>
        <c:axId val="1787423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Entertainment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4354735"/>
      </c:valAx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0</xdr:colOff>
      <xdr:row>18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28575</xdr:colOff>
      <xdr:row>18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771525</xdr:colOff>
      <xdr:row>18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7.0"/>
    <col customWidth="1" min="3" max="3" width="12.57"/>
    <col customWidth="1" min="4" max="4" width="26.29"/>
    <col customWidth="1" min="5" max="6" width="4.57"/>
    <col customWidth="1" min="7" max="7" width="19.86"/>
    <col customWidth="1" min="8" max="8" width="38.43"/>
    <col customWidth="1" min="9" max="9" width="22.29"/>
    <col customWidth="1" min="10" max="10" width="20.71"/>
    <col customWidth="1" min="11" max="11" width="16.86"/>
    <col customWidth="1" min="12" max="12" width="17.86"/>
    <col customWidth="1" min="13" max="13" width="14.14"/>
    <col customWidth="1" min="14" max="14" width="14.0"/>
    <col customWidth="1" min="15" max="15" width="15.29"/>
    <col customWidth="1" min="16" max="16" width="25.57"/>
    <col customWidth="1" min="17" max="18" width="5.29"/>
    <col customWidth="1" min="19" max="19" width="26.0"/>
    <col customWidth="1" min="20" max="20" width="77.43"/>
    <col customWidth="1" min="21" max="21" width="22.29"/>
    <col customWidth="1" min="22" max="22" width="4.57"/>
    <col customWidth="1" min="23" max="23" width="22.0"/>
    <col customWidth="1" min="24" max="24" width="18.71"/>
    <col customWidth="1" min="25" max="25" width="24.57"/>
    <col customWidth="1" min="26" max="26" width="25.14"/>
    <col customWidth="1" min="27" max="27" width="4.86"/>
    <col customWidth="1" min="28" max="28" width="22.0"/>
    <col customWidth="1" min="29" max="29" width="11.0"/>
    <col customWidth="1" min="30" max="30" width="10.57"/>
    <col customWidth="1" min="31" max="31" width="14.29"/>
    <col customWidth="1" min="32" max="32" width="13.86"/>
    <col customWidth="1" min="33" max="33" width="10.43"/>
    <col customWidth="1" min="34" max="34" width="25.14"/>
    <col customWidth="1" min="35" max="35" width="25.43"/>
    <col customWidth="1" min="36" max="36" width="4.57"/>
  </cols>
  <sheetData>
    <row r="1">
      <c r="A1" s="1"/>
      <c r="B1" s="1"/>
      <c r="C1" s="2"/>
      <c r="D1" s="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2"/>
      <c r="T1" s="2"/>
      <c r="U1" s="2"/>
      <c r="V1" s="1"/>
      <c r="W1" s="1"/>
      <c r="X1" s="2"/>
      <c r="Y1" s="2"/>
      <c r="Z1" s="2"/>
      <c r="AA1" s="1"/>
      <c r="AB1" s="1"/>
      <c r="AC1" s="2"/>
      <c r="AD1" s="2"/>
      <c r="AE1" s="2"/>
      <c r="AF1" s="2"/>
      <c r="AG1" s="2"/>
      <c r="AH1" s="2"/>
      <c r="AI1" s="2"/>
      <c r="AJ1" s="3"/>
    </row>
    <row r="2">
      <c r="A2" s="1"/>
      <c r="B2" s="1"/>
      <c r="C2" s="2"/>
      <c r="D2" s="2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2"/>
      <c r="T2" s="2"/>
      <c r="U2" s="2"/>
      <c r="V2" s="1"/>
      <c r="W2" s="1"/>
      <c r="X2" s="2"/>
      <c r="Y2" s="2"/>
      <c r="Z2" s="2"/>
      <c r="AA2" s="1"/>
      <c r="AB2" s="1"/>
      <c r="AC2" s="2"/>
      <c r="AD2" s="2"/>
      <c r="AE2" s="2"/>
      <c r="AF2" s="2"/>
      <c r="AG2" s="2"/>
      <c r="AH2" s="2"/>
      <c r="AI2" s="2"/>
      <c r="AJ2" s="3"/>
    </row>
    <row r="3">
      <c r="A3" s="1"/>
      <c r="B3" s="1"/>
      <c r="C3" s="2"/>
      <c r="D3" s="2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2"/>
      <c r="T3" s="2"/>
      <c r="U3" s="2"/>
      <c r="V3" s="1"/>
      <c r="W3" s="1"/>
      <c r="X3" s="2"/>
      <c r="Y3" s="2"/>
      <c r="Z3" s="2"/>
      <c r="AA3" s="1"/>
      <c r="AB3" s="1"/>
      <c r="AC3" s="2"/>
      <c r="AD3" s="2"/>
      <c r="AE3" s="2"/>
      <c r="AF3" s="2"/>
      <c r="AG3" s="2"/>
      <c r="AH3" s="2"/>
      <c r="AI3" s="2"/>
      <c r="AJ3" s="3"/>
    </row>
    <row r="4">
      <c r="A4" s="1"/>
      <c r="B4" s="1"/>
      <c r="C4" s="2"/>
      <c r="D4" s="2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2"/>
      <c r="T4" s="2"/>
      <c r="U4" s="2"/>
      <c r="V4" s="1"/>
      <c r="W4" s="1"/>
      <c r="X4" s="2"/>
      <c r="Y4" s="2"/>
      <c r="Z4" s="2"/>
      <c r="AA4" s="1"/>
      <c r="AB4" s="1"/>
      <c r="AC4" s="2"/>
      <c r="AD4" s="2"/>
      <c r="AE4" s="2"/>
      <c r="AF4" s="2"/>
      <c r="AG4" s="2"/>
      <c r="AH4" s="2"/>
      <c r="AI4" s="2"/>
      <c r="AJ4" s="3"/>
    </row>
    <row r="5">
      <c r="A5" s="4"/>
      <c r="B5" s="4" t="s">
        <v>2</v>
      </c>
      <c r="H5" s="5"/>
      <c r="I5" s="5"/>
      <c r="J5" s="2"/>
      <c r="L5" s="2"/>
      <c r="M5" s="2"/>
      <c r="N5" s="2"/>
      <c r="O5" s="2"/>
      <c r="P5" s="2"/>
      <c r="Q5" s="1"/>
      <c r="R5" s="1"/>
      <c r="S5" s="2"/>
      <c r="T5" s="2"/>
      <c r="U5" s="2"/>
      <c r="V5" s="1"/>
      <c r="W5" s="1"/>
      <c r="X5" s="2"/>
      <c r="Y5" s="2"/>
      <c r="Z5" s="2"/>
      <c r="AA5" s="1"/>
      <c r="AB5" s="1"/>
      <c r="AC5" s="2"/>
      <c r="AD5" s="2"/>
      <c r="AE5" s="2"/>
      <c r="AF5" s="2"/>
      <c r="AG5" s="2"/>
      <c r="AH5" s="2"/>
      <c r="AI5" s="2"/>
      <c r="AJ5" s="3"/>
    </row>
    <row r="6">
      <c r="A6" s="4"/>
      <c r="H6" s="6">
        <f>COUNTA(C15:C48)</f>
        <v>34</v>
      </c>
      <c r="I6" s="5"/>
      <c r="J6" s="2"/>
      <c r="L6" s="2"/>
      <c r="M6" s="2"/>
      <c r="N6" s="2"/>
      <c r="O6" s="2"/>
      <c r="P6" s="2"/>
      <c r="Q6" s="1"/>
      <c r="R6" s="1"/>
      <c r="S6" s="2"/>
      <c r="T6" s="2"/>
      <c r="U6" s="2"/>
      <c r="V6" s="1"/>
      <c r="W6" s="1"/>
      <c r="X6" s="2"/>
      <c r="Y6" s="2"/>
      <c r="Z6" s="2"/>
      <c r="AA6" s="1"/>
      <c r="AB6" s="1"/>
      <c r="AC6" s="2"/>
      <c r="AD6" s="2"/>
      <c r="AE6" s="2"/>
      <c r="AF6" s="2"/>
      <c r="AG6" s="2"/>
      <c r="AH6" s="2"/>
      <c r="AI6" s="2"/>
      <c r="AJ6" s="3"/>
    </row>
    <row r="7">
      <c r="A7" s="4"/>
      <c r="I7" s="5"/>
      <c r="J7" s="2"/>
      <c r="K7" s="2"/>
      <c r="L7" s="2"/>
      <c r="M7" s="2"/>
      <c r="N7" s="2"/>
      <c r="O7" s="2"/>
      <c r="P7" s="2"/>
      <c r="Q7" s="1"/>
      <c r="R7" s="1"/>
      <c r="S7" s="2"/>
      <c r="T7" s="2"/>
      <c r="U7" s="2"/>
      <c r="V7" s="1"/>
      <c r="W7" s="1"/>
      <c r="X7" s="2"/>
      <c r="Y7" s="2"/>
      <c r="Z7" s="2"/>
      <c r="AA7" s="1"/>
      <c r="AB7" s="1"/>
      <c r="AC7" s="2"/>
      <c r="AD7" s="2"/>
      <c r="AE7" s="2"/>
      <c r="AF7" s="2"/>
      <c r="AG7" s="2"/>
      <c r="AH7" s="2"/>
      <c r="AI7" s="2"/>
      <c r="AJ7" s="3"/>
    </row>
    <row r="8">
      <c r="A8" s="4"/>
      <c r="H8" s="5"/>
      <c r="I8" s="5"/>
      <c r="J8" s="2"/>
      <c r="K8" s="2"/>
      <c r="L8" s="2"/>
      <c r="M8" s="2"/>
      <c r="N8" s="2"/>
      <c r="O8" s="2"/>
      <c r="P8" s="2"/>
      <c r="Q8" s="1"/>
      <c r="R8" s="1"/>
      <c r="S8" s="2"/>
      <c r="T8" s="2"/>
      <c r="U8" s="2"/>
      <c r="V8" s="1"/>
      <c r="W8" s="1"/>
      <c r="X8" s="2"/>
      <c r="Y8" s="2"/>
      <c r="Z8" s="2"/>
      <c r="AA8" s="1"/>
      <c r="AB8" s="1"/>
      <c r="AC8" s="2"/>
      <c r="AD8" s="2"/>
      <c r="AE8" s="2"/>
      <c r="AF8" s="2"/>
      <c r="AG8" s="2"/>
      <c r="AH8" s="2"/>
      <c r="AI8" s="2"/>
      <c r="AJ8" s="3"/>
    </row>
    <row r="9">
      <c r="A9" s="1"/>
      <c r="B9" s="1"/>
      <c r="C9" s="2"/>
      <c r="D9" s="2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1"/>
      <c r="S9" s="2"/>
      <c r="T9" s="2"/>
      <c r="U9" s="2"/>
      <c r="V9" s="1"/>
      <c r="W9" s="1"/>
      <c r="X9" s="2"/>
      <c r="Y9" s="2"/>
      <c r="Z9" s="2"/>
      <c r="AA9" s="1"/>
      <c r="AB9" s="1"/>
      <c r="AC9" s="2"/>
      <c r="AD9" s="2"/>
      <c r="AE9" s="2"/>
      <c r="AF9" s="2"/>
      <c r="AG9" s="2"/>
      <c r="AH9" s="2"/>
      <c r="AI9" s="2"/>
      <c r="AJ9" s="3"/>
    </row>
    <row r="10">
      <c r="A10" s="7"/>
      <c r="B10" s="7"/>
      <c r="C10" s="5"/>
      <c r="D10" s="5"/>
      <c r="E10" s="7"/>
      <c r="F10" s="7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7"/>
      <c r="S10" s="5"/>
      <c r="T10" s="5"/>
      <c r="U10" s="5"/>
      <c r="V10" s="7"/>
      <c r="W10" s="7"/>
      <c r="X10" s="5"/>
      <c r="Y10" s="5"/>
      <c r="Z10" s="5"/>
      <c r="AA10" s="7"/>
      <c r="AB10" s="7"/>
      <c r="AC10" s="5"/>
      <c r="AD10" s="5"/>
      <c r="AE10" s="5"/>
      <c r="AF10" s="5"/>
      <c r="AG10" s="5"/>
      <c r="AH10" s="5"/>
      <c r="AI10" s="5"/>
      <c r="AJ10" s="8"/>
    </row>
    <row r="11">
      <c r="A11" s="7"/>
      <c r="B11" s="10" t="s">
        <v>3</v>
      </c>
      <c r="E11" s="7"/>
      <c r="F11" s="10" t="s">
        <v>4</v>
      </c>
      <c r="Q11" s="7"/>
      <c r="R11" s="10" t="s">
        <v>5</v>
      </c>
      <c r="V11" s="7"/>
      <c r="W11" s="10" t="s">
        <v>6</v>
      </c>
      <c r="AA11" s="7"/>
      <c r="AB11" s="10" t="s">
        <v>7</v>
      </c>
      <c r="AJ11" s="9"/>
    </row>
    <row r="12">
      <c r="A12" s="7"/>
      <c r="E12" s="7"/>
      <c r="Q12" s="7"/>
      <c r="V12" s="7"/>
      <c r="AA12" s="7"/>
      <c r="AJ12" s="9"/>
    </row>
    <row r="13">
      <c r="A13" s="7"/>
      <c r="B13" s="7"/>
      <c r="C13" s="5"/>
      <c r="D13" s="5"/>
      <c r="E13" s="7"/>
      <c r="F13" s="7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  <c r="R13" s="7"/>
      <c r="S13" s="5"/>
      <c r="T13" s="5"/>
      <c r="U13" s="5"/>
      <c r="V13" s="7"/>
      <c r="W13" s="7"/>
      <c r="X13" s="5"/>
      <c r="Y13" s="5"/>
      <c r="Z13" s="5"/>
      <c r="AA13" s="7"/>
      <c r="AB13" s="7"/>
      <c r="AC13" s="5"/>
      <c r="AD13" s="5"/>
      <c r="AE13" s="5"/>
      <c r="AF13" s="5"/>
      <c r="AG13" s="5"/>
      <c r="AH13" s="5"/>
      <c r="AI13" s="5"/>
      <c r="AJ13" s="8"/>
    </row>
    <row r="14">
      <c r="A14" s="7"/>
      <c r="B14" s="12" t="s">
        <v>8</v>
      </c>
      <c r="C14" s="2" t="s">
        <v>9</v>
      </c>
      <c r="D14" s="2" t="s">
        <v>10</v>
      </c>
      <c r="E14" s="7"/>
      <c r="F14" s="12" t="s">
        <v>8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7"/>
      <c r="R14" s="14" t="s">
        <v>8</v>
      </c>
      <c r="S14" s="2" t="s">
        <v>21</v>
      </c>
      <c r="T14" s="2" t="s">
        <v>22</v>
      </c>
      <c r="U14" s="2" t="s">
        <v>23</v>
      </c>
      <c r="V14" s="7"/>
      <c r="W14" s="15" t="s">
        <v>8</v>
      </c>
      <c r="X14" s="2" t="s">
        <v>24</v>
      </c>
      <c r="Y14" s="2" t="s">
        <v>25</v>
      </c>
      <c r="Z14" s="2" t="s">
        <v>26</v>
      </c>
      <c r="AA14" s="11"/>
      <c r="AB14" s="16" t="s">
        <v>8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8"/>
    </row>
    <row r="15">
      <c r="A15" s="13"/>
      <c r="B15" s="19">
        <f t="shared" ref="B15:B48" si="1">ROW() - 14</f>
        <v>1</v>
      </c>
      <c r="C15" s="18" t="s">
        <v>34</v>
      </c>
      <c r="D15" s="20" t="b">
        <f>TRUE</f>
        <v>1</v>
      </c>
      <c r="E15" s="21"/>
      <c r="F15" s="19">
        <f t="shared" ref="F15:F48" si="2">ROW() - 14</f>
        <v>1</v>
      </c>
      <c r="G15" s="20" t="b">
        <f t="shared" ref="G15:G29" si="3">TRUE</f>
        <v>1</v>
      </c>
      <c r="H15" s="18" t="s">
        <v>35</v>
      </c>
      <c r="I15" s="22">
        <v>3.35</v>
      </c>
      <c r="J15" s="23">
        <v>2.0</v>
      </c>
      <c r="K15" s="24">
        <v>1.0</v>
      </c>
      <c r="L15" s="24">
        <v>1.0</v>
      </c>
      <c r="M15" s="25">
        <v>2.0</v>
      </c>
      <c r="N15" s="25">
        <v>2.0</v>
      </c>
      <c r="O15" s="20" t="b">
        <f>TRUE</f>
        <v>1</v>
      </c>
      <c r="P15" s="22">
        <v>10.5</v>
      </c>
      <c r="Q15" s="21"/>
      <c r="R15" s="26">
        <f t="shared" ref="R15:R48" si="4">ROW() - 14</f>
        <v>1</v>
      </c>
      <c r="S15" s="18" t="s">
        <v>36</v>
      </c>
      <c r="T15" s="27" t="s">
        <v>37</v>
      </c>
      <c r="U15" s="18" t="b">
        <f>FALSE</f>
        <v>0</v>
      </c>
      <c r="V15" s="21"/>
      <c r="W15" s="26">
        <f t="shared" ref="W15:W48" si="5">ROW() - 14</f>
        <v>1</v>
      </c>
      <c r="X15" s="25">
        <v>8.0</v>
      </c>
      <c r="Y15" s="18" t="s">
        <v>38</v>
      </c>
      <c r="Z15" s="18" t="s">
        <v>36</v>
      </c>
      <c r="AA15" s="30"/>
      <c r="AB15" s="26">
        <f t="shared" ref="AB15:AB48" si="6">ROW() - 14</f>
        <v>1</v>
      </c>
      <c r="AC15" s="25">
        <v>235.0</v>
      </c>
      <c r="AD15" s="25">
        <v>68.0</v>
      </c>
      <c r="AE15" s="25">
        <v>167.0</v>
      </c>
      <c r="AF15" s="24">
        <v>0.2894</v>
      </c>
      <c r="AG15" s="25">
        <v>15.0</v>
      </c>
      <c r="AH15" s="22">
        <v>51.47</v>
      </c>
      <c r="AI15" s="22">
        <v>11.06</v>
      </c>
      <c r="AJ15" s="11"/>
    </row>
    <row r="16">
      <c r="A16" s="31"/>
      <c r="B16" s="17">
        <f t="shared" si="1"/>
        <v>2</v>
      </c>
      <c r="C16" s="18" t="s">
        <v>39</v>
      </c>
      <c r="D16" s="18" t="b">
        <f t="shared" ref="D16:D17" si="7">FALSE</f>
        <v>0</v>
      </c>
      <c r="E16" s="32"/>
      <c r="F16" s="17">
        <f t="shared" si="2"/>
        <v>2</v>
      </c>
      <c r="G16" s="20" t="b">
        <f t="shared" si="3"/>
        <v>1</v>
      </c>
      <c r="H16" s="18" t="s">
        <v>40</v>
      </c>
      <c r="I16" s="22">
        <v>51.77</v>
      </c>
      <c r="J16" s="23">
        <v>5.0</v>
      </c>
      <c r="K16" s="24">
        <v>1.0</v>
      </c>
      <c r="L16" s="24">
        <v>1.0</v>
      </c>
      <c r="M16" s="25">
        <v>5.0</v>
      </c>
      <c r="N16" s="25">
        <v>2.0</v>
      </c>
      <c r="O16" s="18" t="b">
        <f>FALSE</f>
        <v>0</v>
      </c>
      <c r="P16" s="22">
        <v>99.81</v>
      </c>
      <c r="Q16" s="32"/>
      <c r="R16" s="17">
        <f t="shared" si="4"/>
        <v>2</v>
      </c>
      <c r="S16" s="18" t="s">
        <v>41</v>
      </c>
      <c r="T16" s="18" t="s">
        <v>37</v>
      </c>
      <c r="U16" s="20" t="b">
        <f t="shared" ref="U16:U32" si="8">TRUE</f>
        <v>1</v>
      </c>
      <c r="V16" s="32"/>
      <c r="W16" s="17">
        <f t="shared" si="5"/>
        <v>2</v>
      </c>
      <c r="X16" s="25">
        <v>6.0</v>
      </c>
      <c r="Y16" s="18" t="s">
        <v>38</v>
      </c>
      <c r="Z16" s="18" t="s">
        <v>41</v>
      </c>
      <c r="AA16" s="32"/>
      <c r="AB16" s="17">
        <f t="shared" si="6"/>
        <v>2</v>
      </c>
      <c r="AC16" s="25">
        <v>612.0</v>
      </c>
      <c r="AD16" s="25">
        <v>112.0</v>
      </c>
      <c r="AE16" s="25">
        <v>500.0</v>
      </c>
      <c r="AF16" s="24">
        <v>0.183</v>
      </c>
      <c r="AG16" s="25">
        <v>26.0</v>
      </c>
      <c r="AH16" s="22">
        <v>72.08</v>
      </c>
      <c r="AI16" s="22">
        <v>22.01</v>
      </c>
      <c r="AJ16" s="11"/>
    </row>
    <row r="17">
      <c r="A17" s="31"/>
      <c r="B17" s="17">
        <f t="shared" si="1"/>
        <v>3</v>
      </c>
      <c r="C17" s="18" t="s">
        <v>34</v>
      </c>
      <c r="D17" s="18" t="b">
        <f t="shared" si="7"/>
        <v>0</v>
      </c>
      <c r="E17" s="32"/>
      <c r="F17" s="17">
        <f t="shared" si="2"/>
        <v>3</v>
      </c>
      <c r="G17" s="20" t="b">
        <f t="shared" si="3"/>
        <v>1</v>
      </c>
      <c r="H17" s="18" t="s">
        <v>42</v>
      </c>
      <c r="I17" s="22">
        <v>16.27</v>
      </c>
      <c r="J17" s="23">
        <v>15.0</v>
      </c>
      <c r="K17" s="24">
        <v>0.3333</v>
      </c>
      <c r="L17" s="24">
        <v>0.3333</v>
      </c>
      <c r="M17" s="25">
        <v>13.0</v>
      </c>
      <c r="N17" s="25">
        <v>13.0</v>
      </c>
      <c r="O17" s="20" t="b">
        <f t="shared" ref="O17:O20" si="9">TRUE</f>
        <v>1</v>
      </c>
      <c r="P17" s="22">
        <v>28.08</v>
      </c>
      <c r="Q17" s="32"/>
      <c r="R17" s="17">
        <f t="shared" si="4"/>
        <v>3</v>
      </c>
      <c r="S17" s="18" t="s">
        <v>41</v>
      </c>
      <c r="T17" s="18" t="s">
        <v>43</v>
      </c>
      <c r="U17" s="20" t="b">
        <f t="shared" si="8"/>
        <v>1</v>
      </c>
      <c r="V17" s="32"/>
      <c r="W17" s="17">
        <f t="shared" si="5"/>
        <v>3</v>
      </c>
      <c r="X17" s="25">
        <v>6.0</v>
      </c>
      <c r="Y17" s="18" t="s">
        <v>44</v>
      </c>
      <c r="Z17" s="18" t="s">
        <v>36</v>
      </c>
      <c r="AA17" s="32"/>
      <c r="AB17" s="17">
        <f t="shared" si="6"/>
        <v>3</v>
      </c>
      <c r="AC17" s="25">
        <v>242.0</v>
      </c>
      <c r="AD17" s="25">
        <v>62.0</v>
      </c>
      <c r="AE17" s="25">
        <v>180.0</v>
      </c>
      <c r="AF17" s="24">
        <v>0.2562</v>
      </c>
      <c r="AG17" s="25">
        <v>13.0</v>
      </c>
      <c r="AH17" s="22">
        <v>47.71</v>
      </c>
      <c r="AI17" s="22">
        <v>25.7</v>
      </c>
      <c r="AJ17" s="11"/>
    </row>
    <row r="18">
      <c r="A18" s="31"/>
      <c r="B18" s="17">
        <f t="shared" si="1"/>
        <v>4</v>
      </c>
      <c r="C18" s="18" t="s">
        <v>34</v>
      </c>
      <c r="D18" s="20" t="b">
        <f t="shared" ref="D18:D20" si="10">TRUE</f>
        <v>1</v>
      </c>
      <c r="E18" s="32"/>
      <c r="F18" s="17">
        <f t="shared" si="2"/>
        <v>4</v>
      </c>
      <c r="G18" s="20" t="b">
        <f t="shared" si="3"/>
        <v>1</v>
      </c>
      <c r="H18" s="18" t="s">
        <v>45</v>
      </c>
      <c r="I18" s="22">
        <v>4.87</v>
      </c>
      <c r="J18" s="23">
        <v>30.0</v>
      </c>
      <c r="K18" s="24">
        <v>1.0</v>
      </c>
      <c r="L18" s="24">
        <v>0.5333</v>
      </c>
      <c r="M18" s="25">
        <v>16.0</v>
      </c>
      <c r="N18" s="25">
        <v>16.0</v>
      </c>
      <c r="O18" s="20" t="b">
        <f t="shared" si="9"/>
        <v>1</v>
      </c>
      <c r="P18" s="22">
        <v>39.0</v>
      </c>
      <c r="Q18" s="32"/>
      <c r="R18" s="17">
        <f t="shared" si="4"/>
        <v>4</v>
      </c>
      <c r="S18" s="18" t="s">
        <v>36</v>
      </c>
      <c r="T18" s="18" t="s">
        <v>46</v>
      </c>
      <c r="U18" s="20" t="b">
        <f t="shared" si="8"/>
        <v>1</v>
      </c>
      <c r="V18" s="32"/>
      <c r="W18" s="17">
        <f t="shared" si="5"/>
        <v>4</v>
      </c>
      <c r="X18" s="25">
        <v>7.0</v>
      </c>
      <c r="Y18" s="18" t="s">
        <v>44</v>
      </c>
      <c r="Z18" s="18" t="s">
        <v>36</v>
      </c>
      <c r="AA18" s="32"/>
      <c r="AB18" s="17">
        <f t="shared" si="6"/>
        <v>4</v>
      </c>
      <c r="AC18" s="25">
        <v>462.0</v>
      </c>
      <c r="AD18" s="25">
        <v>126.0</v>
      </c>
      <c r="AE18" s="25">
        <v>336.0</v>
      </c>
      <c r="AF18" s="24">
        <v>0.2727</v>
      </c>
      <c r="AG18" s="25">
        <v>28.0</v>
      </c>
      <c r="AH18" s="22">
        <v>45.72</v>
      </c>
      <c r="AI18" s="22">
        <v>49.4</v>
      </c>
      <c r="AJ18" s="11"/>
    </row>
    <row r="19">
      <c r="A19" s="31"/>
      <c r="B19" s="17">
        <f t="shared" si="1"/>
        <v>5</v>
      </c>
      <c r="C19" s="18" t="s">
        <v>34</v>
      </c>
      <c r="D19" s="20" t="b">
        <f t="shared" si="10"/>
        <v>1</v>
      </c>
      <c r="E19" s="32"/>
      <c r="F19" s="17">
        <f t="shared" si="2"/>
        <v>5</v>
      </c>
      <c r="G19" s="20" t="b">
        <f t="shared" si="3"/>
        <v>1</v>
      </c>
      <c r="H19" s="18" t="s">
        <v>47</v>
      </c>
      <c r="I19" s="22">
        <v>15.98</v>
      </c>
      <c r="J19" s="23">
        <v>45.0</v>
      </c>
      <c r="K19" s="24">
        <v>0.6889</v>
      </c>
      <c r="L19" s="24">
        <v>0.6667</v>
      </c>
      <c r="M19" s="25">
        <v>30.0</v>
      </c>
      <c r="N19" s="25">
        <v>30.0</v>
      </c>
      <c r="O19" s="20" t="b">
        <f t="shared" si="9"/>
        <v>1</v>
      </c>
      <c r="P19" s="22">
        <v>49.23</v>
      </c>
      <c r="Q19" s="32"/>
      <c r="R19" s="17">
        <f t="shared" si="4"/>
        <v>5</v>
      </c>
      <c r="S19" s="18" t="s">
        <v>36</v>
      </c>
      <c r="T19" s="18" t="s">
        <v>43</v>
      </c>
      <c r="U19" s="20" t="b">
        <f t="shared" si="8"/>
        <v>1</v>
      </c>
      <c r="V19" s="32"/>
      <c r="W19" s="17">
        <f t="shared" si="5"/>
        <v>5</v>
      </c>
      <c r="X19" s="25">
        <v>7.0</v>
      </c>
      <c r="Y19" s="18" t="s">
        <v>48</v>
      </c>
      <c r="Z19" s="18" t="s">
        <v>36</v>
      </c>
      <c r="AA19" s="32"/>
      <c r="AB19" s="17">
        <f t="shared" si="6"/>
        <v>5</v>
      </c>
      <c r="AC19" s="25">
        <v>436.0</v>
      </c>
      <c r="AD19" s="25">
        <v>121.0</v>
      </c>
      <c r="AE19" s="25">
        <v>315.0</v>
      </c>
      <c r="AF19" s="24">
        <v>0.2775</v>
      </c>
      <c r="AG19" s="25">
        <v>30.0</v>
      </c>
      <c r="AH19" s="22">
        <v>23.26</v>
      </c>
      <c r="AI19" s="22">
        <v>80.41</v>
      </c>
      <c r="AJ19" s="11"/>
    </row>
    <row r="20">
      <c r="A20" s="31"/>
      <c r="B20" s="17">
        <f t="shared" si="1"/>
        <v>6</v>
      </c>
      <c r="C20" s="18" t="s">
        <v>34</v>
      </c>
      <c r="D20" s="20" t="b">
        <f t="shared" si="10"/>
        <v>1</v>
      </c>
      <c r="E20" s="32"/>
      <c r="F20" s="17">
        <f t="shared" si="2"/>
        <v>6</v>
      </c>
      <c r="G20" s="20" t="b">
        <f t="shared" si="3"/>
        <v>1</v>
      </c>
      <c r="H20" s="18" t="s">
        <v>49</v>
      </c>
      <c r="I20" s="22">
        <v>23.47</v>
      </c>
      <c r="J20" s="23">
        <v>2.0</v>
      </c>
      <c r="K20" s="24">
        <v>1.0</v>
      </c>
      <c r="L20" s="24">
        <v>1.0</v>
      </c>
      <c r="M20" s="25">
        <v>2.0</v>
      </c>
      <c r="N20" s="25">
        <v>2.0</v>
      </c>
      <c r="O20" s="20" t="b">
        <f t="shared" si="9"/>
        <v>1</v>
      </c>
      <c r="P20" s="22">
        <v>32.49</v>
      </c>
      <c r="Q20" s="32"/>
      <c r="R20" s="17">
        <f t="shared" si="4"/>
        <v>6</v>
      </c>
      <c r="S20" s="18" t="s">
        <v>36</v>
      </c>
      <c r="T20" s="18" t="s">
        <v>37</v>
      </c>
      <c r="U20" s="20" t="b">
        <f t="shared" si="8"/>
        <v>1</v>
      </c>
      <c r="V20" s="32"/>
      <c r="W20" s="17">
        <f t="shared" si="5"/>
        <v>6</v>
      </c>
      <c r="X20" s="25">
        <v>9.0</v>
      </c>
      <c r="Y20" s="18" t="s">
        <v>48</v>
      </c>
      <c r="Z20" s="18" t="s">
        <v>36</v>
      </c>
      <c r="AA20" s="32"/>
      <c r="AB20" s="17">
        <f t="shared" si="6"/>
        <v>6</v>
      </c>
      <c r="AC20" s="25">
        <v>136.0</v>
      </c>
      <c r="AD20" s="25">
        <v>42.0</v>
      </c>
      <c r="AE20" s="25">
        <v>94.0</v>
      </c>
      <c r="AF20" s="24">
        <v>0.3088</v>
      </c>
      <c r="AG20" s="25">
        <v>9.0</v>
      </c>
      <c r="AH20" s="22">
        <v>35.01</v>
      </c>
      <c r="AI20" s="22">
        <v>13.67</v>
      </c>
      <c r="AJ20" s="11"/>
    </row>
    <row r="21">
      <c r="A21" s="31"/>
      <c r="B21" s="17">
        <f t="shared" si="1"/>
        <v>7</v>
      </c>
      <c r="C21" s="18" t="s">
        <v>39</v>
      </c>
      <c r="D21" s="18" t="b">
        <f t="shared" ref="D21:D27" si="11">FALSE</f>
        <v>0</v>
      </c>
      <c r="E21" s="32"/>
      <c r="F21" s="17">
        <f t="shared" si="2"/>
        <v>7</v>
      </c>
      <c r="G21" s="20" t="b">
        <f t="shared" si="3"/>
        <v>1</v>
      </c>
      <c r="H21" s="18" t="s">
        <v>50</v>
      </c>
      <c r="I21" s="22">
        <v>32.47</v>
      </c>
      <c r="J21" s="23">
        <v>60.0</v>
      </c>
      <c r="K21" s="24">
        <v>0.3667</v>
      </c>
      <c r="L21" s="24">
        <v>0.95</v>
      </c>
      <c r="M21" s="25">
        <v>51.0</v>
      </c>
      <c r="N21" s="25">
        <v>53.0</v>
      </c>
      <c r="O21" s="18" t="b">
        <f>FALSE</f>
        <v>0</v>
      </c>
      <c r="P21" s="22">
        <v>106.85</v>
      </c>
      <c r="Q21" s="32"/>
      <c r="R21" s="17">
        <f t="shared" si="4"/>
        <v>7</v>
      </c>
      <c r="S21" s="18" t="s">
        <v>36</v>
      </c>
      <c r="T21" s="18" t="s">
        <v>46</v>
      </c>
      <c r="U21" s="20" t="b">
        <f t="shared" si="8"/>
        <v>1</v>
      </c>
      <c r="V21" s="32"/>
      <c r="W21" s="17">
        <f t="shared" si="5"/>
        <v>7</v>
      </c>
      <c r="X21" s="25">
        <v>4.0</v>
      </c>
      <c r="Y21" s="18" t="s">
        <v>44</v>
      </c>
      <c r="Z21" s="18" t="s">
        <v>36</v>
      </c>
      <c r="AA21" s="32"/>
      <c r="AB21" s="17">
        <f t="shared" si="6"/>
        <v>7</v>
      </c>
      <c r="AC21" s="25">
        <v>334.0</v>
      </c>
      <c r="AD21" s="25">
        <v>96.0</v>
      </c>
      <c r="AE21" s="25">
        <v>238.0</v>
      </c>
      <c r="AF21" s="24">
        <v>0.2874</v>
      </c>
      <c r="AG21" s="25">
        <v>24.0</v>
      </c>
      <c r="AH21" s="22">
        <v>41.83</v>
      </c>
      <c r="AI21" s="22">
        <v>55.12</v>
      </c>
      <c r="AJ21" s="11"/>
    </row>
    <row r="22">
      <c r="A22" s="31"/>
      <c r="B22" s="17">
        <f t="shared" si="1"/>
        <v>8</v>
      </c>
      <c r="C22" s="18" t="s">
        <v>34</v>
      </c>
      <c r="D22" s="18" t="b">
        <f t="shared" si="11"/>
        <v>0</v>
      </c>
      <c r="E22" s="32"/>
      <c r="F22" s="17">
        <f t="shared" si="2"/>
        <v>8</v>
      </c>
      <c r="G22" s="20" t="b">
        <f t="shared" si="3"/>
        <v>1</v>
      </c>
      <c r="H22" s="18" t="s">
        <v>51</v>
      </c>
      <c r="I22" s="22">
        <v>4.29</v>
      </c>
      <c r="J22" s="23">
        <v>5.0</v>
      </c>
      <c r="K22" s="24">
        <v>1.0</v>
      </c>
      <c r="L22" s="24">
        <v>1.0</v>
      </c>
      <c r="M22" s="25">
        <v>4.0</v>
      </c>
      <c r="N22" s="25">
        <v>4.0</v>
      </c>
      <c r="O22" s="20" t="b">
        <f>TRUE</f>
        <v>1</v>
      </c>
      <c r="P22" s="22">
        <v>19.88</v>
      </c>
      <c r="Q22" s="32"/>
      <c r="R22" s="17">
        <f t="shared" si="4"/>
        <v>8</v>
      </c>
      <c r="S22" s="18" t="s">
        <v>36</v>
      </c>
      <c r="T22" s="18" t="s">
        <v>37</v>
      </c>
      <c r="U22" s="20" t="b">
        <f t="shared" si="8"/>
        <v>1</v>
      </c>
      <c r="V22" s="32"/>
      <c r="W22" s="17">
        <f t="shared" si="5"/>
        <v>8</v>
      </c>
      <c r="X22" s="25">
        <v>6.0</v>
      </c>
      <c r="Y22" s="18" t="s">
        <v>38</v>
      </c>
      <c r="Z22" s="18" t="s">
        <v>36</v>
      </c>
      <c r="AA22" s="32"/>
      <c r="AB22" s="17">
        <f t="shared" si="6"/>
        <v>8</v>
      </c>
      <c r="AC22" s="25">
        <v>515.0</v>
      </c>
      <c r="AD22" s="25">
        <v>234.0</v>
      </c>
      <c r="AE22" s="25">
        <v>281.0</v>
      </c>
      <c r="AF22" s="24">
        <v>0.4544</v>
      </c>
      <c r="AG22" s="25">
        <v>57.0</v>
      </c>
      <c r="AH22" s="22">
        <v>50.68</v>
      </c>
      <c r="AI22" s="22">
        <v>114.3</v>
      </c>
      <c r="AJ22" s="11"/>
    </row>
    <row r="23">
      <c r="A23" s="31"/>
      <c r="B23" s="17">
        <f t="shared" si="1"/>
        <v>9</v>
      </c>
      <c r="C23" s="18" t="s">
        <v>39</v>
      </c>
      <c r="D23" s="18" t="b">
        <f t="shared" si="11"/>
        <v>0</v>
      </c>
      <c r="E23" s="32"/>
      <c r="F23" s="17">
        <f t="shared" si="2"/>
        <v>9</v>
      </c>
      <c r="G23" s="20" t="b">
        <f t="shared" si="3"/>
        <v>1</v>
      </c>
      <c r="H23" s="18" t="s">
        <v>52</v>
      </c>
      <c r="I23" s="22">
        <v>11.84</v>
      </c>
      <c r="J23" s="23">
        <v>15.0</v>
      </c>
      <c r="K23" s="24">
        <v>1.0</v>
      </c>
      <c r="L23" s="24">
        <v>0.4667</v>
      </c>
      <c r="M23" s="25">
        <v>6.0</v>
      </c>
      <c r="N23" s="25">
        <v>7.0</v>
      </c>
      <c r="O23" s="18" t="b">
        <f t="shared" ref="O23:O27" si="12">FALSE</f>
        <v>0</v>
      </c>
      <c r="P23" s="22">
        <v>35.96</v>
      </c>
      <c r="Q23" s="32"/>
      <c r="R23" s="17">
        <f t="shared" si="4"/>
        <v>9</v>
      </c>
      <c r="S23" s="18" t="s">
        <v>36</v>
      </c>
      <c r="T23" s="18" t="s">
        <v>37</v>
      </c>
      <c r="U23" s="20" t="b">
        <f t="shared" si="8"/>
        <v>1</v>
      </c>
      <c r="V23" s="32"/>
      <c r="W23" s="17">
        <f t="shared" si="5"/>
        <v>9</v>
      </c>
      <c r="X23" s="25">
        <v>7.0</v>
      </c>
      <c r="Y23" s="18" t="s">
        <v>38</v>
      </c>
      <c r="Z23" s="18" t="s">
        <v>36</v>
      </c>
      <c r="AA23" s="32"/>
      <c r="AB23" s="17">
        <f t="shared" si="6"/>
        <v>9</v>
      </c>
      <c r="AC23" s="25">
        <v>513.0</v>
      </c>
      <c r="AD23" s="25">
        <v>185.0</v>
      </c>
      <c r="AE23" s="25">
        <v>328.0</v>
      </c>
      <c r="AF23" s="24">
        <v>0.3606</v>
      </c>
      <c r="AG23" s="25">
        <v>44.0</v>
      </c>
      <c r="AH23" s="22">
        <v>96.76</v>
      </c>
      <c r="AI23" s="22">
        <v>52.31</v>
      </c>
      <c r="AJ23" s="11"/>
    </row>
    <row r="24">
      <c r="A24" s="31"/>
      <c r="B24" s="17">
        <f t="shared" si="1"/>
        <v>10</v>
      </c>
      <c r="C24" s="18" t="s">
        <v>34</v>
      </c>
      <c r="D24" s="18" t="b">
        <f t="shared" si="11"/>
        <v>0</v>
      </c>
      <c r="E24" s="32"/>
      <c r="F24" s="17">
        <f t="shared" si="2"/>
        <v>10</v>
      </c>
      <c r="G24" s="20" t="b">
        <f t="shared" si="3"/>
        <v>1</v>
      </c>
      <c r="H24" s="18" t="s">
        <v>53</v>
      </c>
      <c r="I24" s="22">
        <v>10.11</v>
      </c>
      <c r="J24" s="23">
        <v>30.0</v>
      </c>
      <c r="K24" s="24">
        <v>1.0</v>
      </c>
      <c r="L24" s="24">
        <v>1.0</v>
      </c>
      <c r="M24" s="25">
        <v>26.0</v>
      </c>
      <c r="N24" s="25">
        <v>2.0</v>
      </c>
      <c r="O24" s="18" t="b">
        <f t="shared" si="12"/>
        <v>0</v>
      </c>
      <c r="P24" s="22">
        <v>54.58</v>
      </c>
      <c r="Q24" s="32"/>
      <c r="R24" s="17">
        <f t="shared" si="4"/>
        <v>10</v>
      </c>
      <c r="S24" s="18" t="s">
        <v>36</v>
      </c>
      <c r="T24" s="18" t="s">
        <v>43</v>
      </c>
      <c r="U24" s="20" t="b">
        <f t="shared" si="8"/>
        <v>1</v>
      </c>
      <c r="V24" s="32"/>
      <c r="W24" s="17">
        <f t="shared" si="5"/>
        <v>10</v>
      </c>
      <c r="X24" s="25">
        <v>8.0</v>
      </c>
      <c r="Y24" s="18" t="s">
        <v>44</v>
      </c>
      <c r="Z24" s="18" t="s">
        <v>36</v>
      </c>
      <c r="AA24" s="32"/>
      <c r="AB24" s="17">
        <f t="shared" si="6"/>
        <v>10</v>
      </c>
      <c r="AC24" s="25">
        <v>381.0</v>
      </c>
      <c r="AD24" s="25">
        <v>133.0</v>
      </c>
      <c r="AE24" s="25">
        <v>248.0</v>
      </c>
      <c r="AF24" s="24">
        <v>0.3491</v>
      </c>
      <c r="AG24" s="25">
        <v>34.0</v>
      </c>
      <c r="AH24" s="22">
        <v>45.57</v>
      </c>
      <c r="AI24" s="22">
        <v>59.71</v>
      </c>
      <c r="AJ24" s="11"/>
    </row>
    <row r="25">
      <c r="A25" s="31"/>
      <c r="B25" s="17">
        <f t="shared" si="1"/>
        <v>11</v>
      </c>
      <c r="C25" s="18" t="s">
        <v>34</v>
      </c>
      <c r="D25" s="18" t="b">
        <f t="shared" si="11"/>
        <v>0</v>
      </c>
      <c r="E25" s="32"/>
      <c r="F25" s="17">
        <f t="shared" si="2"/>
        <v>11</v>
      </c>
      <c r="G25" s="20" t="b">
        <f t="shared" si="3"/>
        <v>1</v>
      </c>
      <c r="H25" s="18" t="s">
        <v>54</v>
      </c>
      <c r="I25" s="22">
        <v>9.78</v>
      </c>
      <c r="J25" s="23">
        <v>45.0</v>
      </c>
      <c r="K25" s="24">
        <v>1.0</v>
      </c>
      <c r="L25" s="24">
        <v>1.0</v>
      </c>
      <c r="M25" s="25">
        <v>45.0</v>
      </c>
      <c r="N25" s="25">
        <v>41.0</v>
      </c>
      <c r="O25" s="18" t="b">
        <f t="shared" si="12"/>
        <v>0</v>
      </c>
      <c r="P25" s="22">
        <v>52.56</v>
      </c>
      <c r="Q25" s="32"/>
      <c r="R25" s="17">
        <f t="shared" si="4"/>
        <v>11</v>
      </c>
      <c r="S25" s="18" t="s">
        <v>41</v>
      </c>
      <c r="T25" s="18" t="s">
        <v>43</v>
      </c>
      <c r="U25" s="20" t="b">
        <f t="shared" si="8"/>
        <v>1</v>
      </c>
      <c r="V25" s="32"/>
      <c r="W25" s="17">
        <f t="shared" si="5"/>
        <v>11</v>
      </c>
      <c r="X25" s="25">
        <v>8.0</v>
      </c>
      <c r="Y25" s="18" t="s">
        <v>44</v>
      </c>
      <c r="Z25" s="18" t="s">
        <v>41</v>
      </c>
      <c r="AA25" s="32"/>
      <c r="AB25" s="17">
        <f t="shared" si="6"/>
        <v>11</v>
      </c>
      <c r="AC25" s="25">
        <v>506.0</v>
      </c>
      <c r="AD25" s="25">
        <v>230.0</v>
      </c>
      <c r="AE25" s="25">
        <v>276.0</v>
      </c>
      <c r="AF25" s="24">
        <v>0.4545</v>
      </c>
      <c r="AG25" s="25">
        <v>58.0</v>
      </c>
      <c r="AH25" s="22">
        <v>34.91</v>
      </c>
      <c r="AI25" s="22">
        <v>116.68</v>
      </c>
      <c r="AJ25" s="11"/>
    </row>
    <row r="26">
      <c r="A26" s="31"/>
      <c r="B26" s="17">
        <f t="shared" si="1"/>
        <v>12</v>
      </c>
      <c r="C26" s="18" t="s">
        <v>34</v>
      </c>
      <c r="D26" s="18" t="b">
        <f t="shared" si="11"/>
        <v>0</v>
      </c>
      <c r="E26" s="32"/>
      <c r="F26" s="17">
        <f t="shared" si="2"/>
        <v>12</v>
      </c>
      <c r="G26" s="20" t="b">
        <f t="shared" si="3"/>
        <v>1</v>
      </c>
      <c r="H26" s="18" t="s">
        <v>55</v>
      </c>
      <c r="I26" s="22">
        <v>7.59</v>
      </c>
      <c r="J26" s="23">
        <v>2.0</v>
      </c>
      <c r="K26" s="24">
        <v>1.0</v>
      </c>
      <c r="L26" s="24">
        <v>1.0</v>
      </c>
      <c r="M26" s="25">
        <v>1.0</v>
      </c>
      <c r="N26" s="25">
        <v>2.0</v>
      </c>
      <c r="O26" s="18" t="b">
        <f t="shared" si="12"/>
        <v>0</v>
      </c>
      <c r="P26" s="22">
        <v>27.26</v>
      </c>
      <c r="Q26" s="32"/>
      <c r="R26" s="17">
        <f t="shared" si="4"/>
        <v>12</v>
      </c>
      <c r="S26" s="18" t="s">
        <v>56</v>
      </c>
      <c r="T26" s="18" t="s">
        <v>37</v>
      </c>
      <c r="U26" s="20" t="b">
        <f t="shared" si="8"/>
        <v>1</v>
      </c>
      <c r="V26" s="32"/>
      <c r="W26" s="17">
        <f t="shared" si="5"/>
        <v>12</v>
      </c>
      <c r="X26" s="25">
        <v>8.0</v>
      </c>
      <c r="Y26" s="18" t="s">
        <v>57</v>
      </c>
      <c r="Z26" s="18" t="s">
        <v>56</v>
      </c>
      <c r="AA26" s="32"/>
      <c r="AB26" s="17">
        <f t="shared" si="6"/>
        <v>12</v>
      </c>
      <c r="AC26" s="25">
        <v>267.0</v>
      </c>
      <c r="AD26" s="25">
        <v>73.0</v>
      </c>
      <c r="AE26" s="25">
        <v>194.0</v>
      </c>
      <c r="AF26" s="24">
        <v>0.2734</v>
      </c>
      <c r="AG26" s="25">
        <v>16.0</v>
      </c>
      <c r="AH26" s="22">
        <v>30.3</v>
      </c>
      <c r="AI26" s="22">
        <v>44.05</v>
      </c>
      <c r="AJ26" s="11"/>
    </row>
    <row r="27">
      <c r="A27" s="31"/>
      <c r="B27" s="17">
        <f t="shared" si="1"/>
        <v>13</v>
      </c>
      <c r="C27" s="18" t="s">
        <v>39</v>
      </c>
      <c r="D27" s="18" t="b">
        <f t="shared" si="11"/>
        <v>0</v>
      </c>
      <c r="E27" s="32"/>
      <c r="F27" s="17">
        <f t="shared" si="2"/>
        <v>13</v>
      </c>
      <c r="G27" s="20" t="b">
        <f t="shared" si="3"/>
        <v>1</v>
      </c>
      <c r="H27" s="18" t="s">
        <v>58</v>
      </c>
      <c r="I27" s="22">
        <v>17.06</v>
      </c>
      <c r="J27" s="23">
        <v>60.0</v>
      </c>
      <c r="K27" s="24">
        <v>0.35</v>
      </c>
      <c r="L27" s="24">
        <v>0.2</v>
      </c>
      <c r="M27" s="25">
        <v>21.0</v>
      </c>
      <c r="N27" s="25">
        <v>12.0</v>
      </c>
      <c r="O27" s="18" t="b">
        <f t="shared" si="12"/>
        <v>0</v>
      </c>
      <c r="P27" s="22">
        <v>50.58</v>
      </c>
      <c r="Q27" s="32"/>
      <c r="R27" s="17">
        <f t="shared" si="4"/>
        <v>13</v>
      </c>
      <c r="S27" s="18" t="s">
        <v>41</v>
      </c>
      <c r="T27" s="18" t="s">
        <v>43</v>
      </c>
      <c r="U27" s="20" t="b">
        <f t="shared" si="8"/>
        <v>1</v>
      </c>
      <c r="V27" s="32"/>
      <c r="W27" s="17">
        <f t="shared" si="5"/>
        <v>13</v>
      </c>
      <c r="X27" s="25">
        <v>9.0</v>
      </c>
      <c r="Y27" s="18" t="s">
        <v>38</v>
      </c>
      <c r="Z27" s="18" t="s">
        <v>41</v>
      </c>
      <c r="AA27" s="32"/>
      <c r="AB27" s="17">
        <f t="shared" si="6"/>
        <v>13</v>
      </c>
      <c r="AC27" s="25">
        <v>157.0</v>
      </c>
      <c r="AD27" s="25">
        <v>70.0</v>
      </c>
      <c r="AE27" s="25">
        <v>87.0</v>
      </c>
      <c r="AF27" s="24">
        <v>0.4459</v>
      </c>
      <c r="AG27" s="25">
        <v>16.0</v>
      </c>
      <c r="AH27" s="22">
        <v>12.17</v>
      </c>
      <c r="AI27" s="22">
        <v>47.05</v>
      </c>
      <c r="AJ27" s="11"/>
    </row>
    <row r="28">
      <c r="A28" s="31"/>
      <c r="B28" s="17">
        <f t="shared" si="1"/>
        <v>14</v>
      </c>
      <c r="C28" s="18" t="s">
        <v>34</v>
      </c>
      <c r="D28" s="20" t="b">
        <f t="shared" ref="D28:D31" si="13">TRUE</f>
        <v>1</v>
      </c>
      <c r="E28" s="32"/>
      <c r="F28" s="17">
        <f t="shared" si="2"/>
        <v>14</v>
      </c>
      <c r="G28" s="20" t="b">
        <f t="shared" si="3"/>
        <v>1</v>
      </c>
      <c r="H28" s="18" t="s">
        <v>59</v>
      </c>
      <c r="I28" s="22">
        <v>13.63</v>
      </c>
      <c r="J28" s="23">
        <v>5.0</v>
      </c>
      <c r="K28" s="24">
        <v>1.0</v>
      </c>
      <c r="L28" s="24">
        <v>1.0</v>
      </c>
      <c r="M28" s="25">
        <v>5.0</v>
      </c>
      <c r="N28" s="25">
        <v>5.0</v>
      </c>
      <c r="O28" s="20" t="b">
        <f>TRUE</f>
        <v>1</v>
      </c>
      <c r="P28" s="22">
        <v>55.94</v>
      </c>
      <c r="Q28" s="32"/>
      <c r="R28" s="17">
        <f t="shared" si="4"/>
        <v>14</v>
      </c>
      <c r="S28" s="18" t="s">
        <v>36</v>
      </c>
      <c r="T28" s="18" t="s">
        <v>37</v>
      </c>
      <c r="U28" s="20" t="b">
        <f t="shared" si="8"/>
        <v>1</v>
      </c>
      <c r="V28" s="32"/>
      <c r="W28" s="17">
        <f t="shared" si="5"/>
        <v>14</v>
      </c>
      <c r="X28" s="25">
        <v>8.0</v>
      </c>
      <c r="Y28" s="18" t="s">
        <v>38</v>
      </c>
      <c r="Z28" s="18" t="s">
        <v>41</v>
      </c>
      <c r="AA28" s="32"/>
      <c r="AB28" s="17">
        <f t="shared" si="6"/>
        <v>14</v>
      </c>
      <c r="AC28" s="25">
        <v>356.0</v>
      </c>
      <c r="AD28" s="25">
        <v>95.0</v>
      </c>
      <c r="AE28" s="25">
        <v>261.0</v>
      </c>
      <c r="AF28" s="24">
        <v>0.2669</v>
      </c>
      <c r="AG28" s="25">
        <v>21.0</v>
      </c>
      <c r="AH28" s="22">
        <v>27.54</v>
      </c>
      <c r="AI28" s="22">
        <v>55.04</v>
      </c>
      <c r="AJ28" s="11"/>
    </row>
    <row r="29">
      <c r="A29" s="31"/>
      <c r="B29" s="17">
        <f t="shared" si="1"/>
        <v>15</v>
      </c>
      <c r="C29" s="18" t="s">
        <v>34</v>
      </c>
      <c r="D29" s="20" t="b">
        <f t="shared" si="13"/>
        <v>1</v>
      </c>
      <c r="E29" s="32"/>
      <c r="F29" s="17">
        <f t="shared" si="2"/>
        <v>15</v>
      </c>
      <c r="G29" s="20" t="b">
        <f t="shared" si="3"/>
        <v>1</v>
      </c>
      <c r="H29" s="18" t="s">
        <v>60</v>
      </c>
      <c r="I29" s="22">
        <v>11.23</v>
      </c>
      <c r="J29" s="23">
        <v>15.0</v>
      </c>
      <c r="K29" s="24">
        <v>1.0</v>
      </c>
      <c r="L29" s="24">
        <v>1.0</v>
      </c>
      <c r="M29" s="25">
        <v>15.0</v>
      </c>
      <c r="N29" s="25">
        <v>5.0</v>
      </c>
      <c r="O29" s="18" t="b">
        <f t="shared" ref="O29:O32" si="14">FALSE</f>
        <v>0</v>
      </c>
      <c r="P29" s="22">
        <v>58.54</v>
      </c>
      <c r="Q29" s="32"/>
      <c r="R29" s="17">
        <f t="shared" si="4"/>
        <v>15</v>
      </c>
      <c r="S29" s="18" t="s">
        <v>36</v>
      </c>
      <c r="T29" s="18" t="s">
        <v>46</v>
      </c>
      <c r="U29" s="20" t="b">
        <f t="shared" si="8"/>
        <v>1</v>
      </c>
      <c r="V29" s="32"/>
      <c r="W29" s="17">
        <f t="shared" si="5"/>
        <v>15</v>
      </c>
      <c r="X29" s="25">
        <v>3.0</v>
      </c>
      <c r="Y29" s="18" t="s">
        <v>57</v>
      </c>
      <c r="Z29" s="18" t="s">
        <v>36</v>
      </c>
      <c r="AA29" s="32"/>
      <c r="AB29" s="17">
        <f t="shared" si="6"/>
        <v>15</v>
      </c>
      <c r="AC29" s="25">
        <v>156.0</v>
      </c>
      <c r="AD29" s="25">
        <v>36.0</v>
      </c>
      <c r="AE29" s="25">
        <v>120.0</v>
      </c>
      <c r="AF29" s="24">
        <v>0.2308</v>
      </c>
      <c r="AG29" s="25">
        <v>6.0</v>
      </c>
      <c r="AH29" s="22">
        <v>18.95</v>
      </c>
      <c r="AI29" s="22">
        <v>16.35</v>
      </c>
      <c r="AJ29" s="11"/>
    </row>
    <row r="30">
      <c r="A30" s="31"/>
      <c r="B30" s="17">
        <f t="shared" si="1"/>
        <v>16</v>
      </c>
      <c r="C30" s="18" t="s">
        <v>34</v>
      </c>
      <c r="D30" s="20" t="b">
        <f t="shared" si="13"/>
        <v>1</v>
      </c>
      <c r="E30" s="32"/>
      <c r="F30" s="17">
        <f t="shared" si="2"/>
        <v>16</v>
      </c>
      <c r="G30" s="18" t="b">
        <f>FALSE</f>
        <v>0</v>
      </c>
      <c r="H30" s="28" t="s">
        <v>61</v>
      </c>
      <c r="I30" s="36">
        <v>0.0</v>
      </c>
      <c r="J30" s="23">
        <v>30.0</v>
      </c>
      <c r="K30" s="24">
        <v>0.3</v>
      </c>
      <c r="L30" s="24">
        <v>0.4</v>
      </c>
      <c r="M30" s="25">
        <v>24.0</v>
      </c>
      <c r="N30" s="25">
        <v>11.0</v>
      </c>
      <c r="O30" s="18" t="b">
        <f t="shared" si="14"/>
        <v>0</v>
      </c>
      <c r="P30" s="22">
        <v>16.41</v>
      </c>
      <c r="Q30" s="32"/>
      <c r="R30" s="17">
        <f t="shared" si="4"/>
        <v>16</v>
      </c>
      <c r="S30" s="18" t="s">
        <v>36</v>
      </c>
      <c r="T30" s="18" t="s">
        <v>43</v>
      </c>
      <c r="U30" s="20" t="b">
        <f t="shared" si="8"/>
        <v>1</v>
      </c>
      <c r="V30" s="32"/>
      <c r="W30" s="17">
        <f t="shared" si="5"/>
        <v>16</v>
      </c>
      <c r="X30" s="25">
        <v>7.0</v>
      </c>
      <c r="Y30" s="18" t="s">
        <v>38</v>
      </c>
      <c r="Z30" s="18" t="s">
        <v>36</v>
      </c>
      <c r="AA30" s="32"/>
      <c r="AB30" s="17">
        <f t="shared" si="6"/>
        <v>16</v>
      </c>
      <c r="AC30" s="25">
        <v>372.0</v>
      </c>
      <c r="AD30" s="25">
        <v>115.0</v>
      </c>
      <c r="AE30" s="25">
        <v>257.0</v>
      </c>
      <c r="AF30" s="24">
        <v>0.3091</v>
      </c>
      <c r="AG30" s="25">
        <v>28.0</v>
      </c>
      <c r="AH30" s="22">
        <v>74.18</v>
      </c>
      <c r="AI30" s="22">
        <v>58.71</v>
      </c>
      <c r="AJ30" s="11"/>
    </row>
    <row r="31">
      <c r="A31" s="31"/>
      <c r="B31" s="17">
        <f t="shared" si="1"/>
        <v>17</v>
      </c>
      <c r="C31" s="18" t="s">
        <v>34</v>
      </c>
      <c r="D31" s="20" t="b">
        <f t="shared" si="13"/>
        <v>1</v>
      </c>
      <c r="E31" s="32"/>
      <c r="F31" s="17">
        <f t="shared" si="2"/>
        <v>17</v>
      </c>
      <c r="G31" s="20" t="b">
        <f t="shared" ref="G31:G33" si="15">TRUE</f>
        <v>1</v>
      </c>
      <c r="H31" s="18" t="s">
        <v>63</v>
      </c>
      <c r="I31" s="22">
        <v>21.62</v>
      </c>
      <c r="J31" s="23">
        <v>45.0</v>
      </c>
      <c r="K31" s="24">
        <v>0.6889</v>
      </c>
      <c r="L31" s="24">
        <v>1.0</v>
      </c>
      <c r="M31" s="25">
        <v>16.0</v>
      </c>
      <c r="N31" s="25">
        <v>35.0</v>
      </c>
      <c r="O31" s="18" t="b">
        <f t="shared" si="14"/>
        <v>0</v>
      </c>
      <c r="P31" s="22">
        <v>75.71</v>
      </c>
      <c r="Q31" s="32"/>
      <c r="R31" s="17">
        <f t="shared" si="4"/>
        <v>17</v>
      </c>
      <c r="S31" s="18" t="s">
        <v>36</v>
      </c>
      <c r="T31" s="18" t="s">
        <v>46</v>
      </c>
      <c r="U31" s="20" t="b">
        <f t="shared" si="8"/>
        <v>1</v>
      </c>
      <c r="V31" s="32"/>
      <c r="W31" s="17">
        <f t="shared" si="5"/>
        <v>17</v>
      </c>
      <c r="X31" s="25">
        <v>7.0</v>
      </c>
      <c r="Y31" s="18" t="s">
        <v>38</v>
      </c>
      <c r="Z31" s="18" t="s">
        <v>36</v>
      </c>
      <c r="AA31" s="32"/>
      <c r="AB31" s="17">
        <f t="shared" si="6"/>
        <v>17</v>
      </c>
      <c r="AC31" s="25">
        <v>283.0</v>
      </c>
      <c r="AD31" s="25">
        <v>91.0</v>
      </c>
      <c r="AE31" s="25">
        <v>192.0</v>
      </c>
      <c r="AF31" s="24">
        <v>0.3216</v>
      </c>
      <c r="AG31" s="25">
        <v>19.0</v>
      </c>
      <c r="AH31" s="22">
        <v>42.23</v>
      </c>
      <c r="AI31" s="22">
        <v>38.17</v>
      </c>
      <c r="AJ31" s="11"/>
    </row>
    <row r="32">
      <c r="A32" s="11"/>
      <c r="B32" s="41">
        <f t="shared" si="1"/>
        <v>18</v>
      </c>
      <c r="C32" s="42" t="s">
        <v>34</v>
      </c>
      <c r="D32" s="18" t="b">
        <f>FALSE</f>
        <v>0</v>
      </c>
      <c r="E32" s="43"/>
      <c r="F32" s="41">
        <f t="shared" si="2"/>
        <v>18</v>
      </c>
      <c r="G32" s="20" t="b">
        <f t="shared" si="15"/>
        <v>1</v>
      </c>
      <c r="H32" s="18" t="s">
        <v>64</v>
      </c>
      <c r="I32" s="22">
        <v>7.46</v>
      </c>
      <c r="J32" s="23">
        <v>60.0</v>
      </c>
      <c r="K32" s="24">
        <v>0.3333</v>
      </c>
      <c r="L32" s="24">
        <v>0.15</v>
      </c>
      <c r="M32" s="25">
        <v>42.0</v>
      </c>
      <c r="N32" s="25">
        <v>53.0</v>
      </c>
      <c r="O32" s="18" t="b">
        <f t="shared" si="14"/>
        <v>0</v>
      </c>
      <c r="P32" s="22">
        <v>22.16</v>
      </c>
      <c r="Q32" s="32"/>
      <c r="R32" s="17">
        <f t="shared" si="4"/>
        <v>18</v>
      </c>
      <c r="S32" s="18" t="s">
        <v>36</v>
      </c>
      <c r="T32" s="18" t="s">
        <v>37</v>
      </c>
      <c r="U32" s="20" t="b">
        <f t="shared" si="8"/>
        <v>1</v>
      </c>
      <c r="V32" s="44"/>
      <c r="W32" s="17">
        <f t="shared" si="5"/>
        <v>18</v>
      </c>
      <c r="X32" s="25">
        <v>5.0</v>
      </c>
      <c r="Y32" s="18" t="s">
        <v>38</v>
      </c>
      <c r="Z32" s="18" t="s">
        <v>56</v>
      </c>
      <c r="AA32" s="44"/>
      <c r="AB32" s="17">
        <f t="shared" si="6"/>
        <v>18</v>
      </c>
      <c r="AC32" s="25">
        <v>442.0</v>
      </c>
      <c r="AD32" s="25">
        <v>136.0</v>
      </c>
      <c r="AE32" s="25">
        <v>306.0</v>
      </c>
      <c r="AF32" s="24">
        <v>0.3077</v>
      </c>
      <c r="AG32" s="25">
        <v>34.0</v>
      </c>
      <c r="AH32" s="22">
        <v>34.0</v>
      </c>
      <c r="AI32" s="22">
        <v>65.34</v>
      </c>
      <c r="AJ32" s="11"/>
    </row>
    <row r="33">
      <c r="A33" s="11"/>
      <c r="B33" s="41">
        <f t="shared" si="1"/>
        <v>19</v>
      </c>
      <c r="C33" s="42" t="s">
        <v>34</v>
      </c>
      <c r="D33" s="20" t="b">
        <f>TRUE</f>
        <v>1</v>
      </c>
      <c r="E33" s="43"/>
      <c r="F33" s="41">
        <f t="shared" si="2"/>
        <v>19</v>
      </c>
      <c r="G33" s="20" t="b">
        <f t="shared" si="15"/>
        <v>1</v>
      </c>
      <c r="H33" s="18" t="s">
        <v>66</v>
      </c>
      <c r="I33" s="22">
        <v>15.7</v>
      </c>
      <c r="J33" s="23">
        <v>2.0</v>
      </c>
      <c r="K33" s="24">
        <v>1.0</v>
      </c>
      <c r="L33" s="24">
        <v>1.0</v>
      </c>
      <c r="M33" s="25">
        <v>2.0</v>
      </c>
      <c r="N33" s="25">
        <v>2.0</v>
      </c>
      <c r="O33" s="20" t="b">
        <f>TRUE</f>
        <v>1</v>
      </c>
      <c r="P33" s="22">
        <v>25.42</v>
      </c>
      <c r="Q33" s="32"/>
      <c r="R33" s="17">
        <f t="shared" si="4"/>
        <v>19</v>
      </c>
      <c r="S33" s="18" t="s">
        <v>67</v>
      </c>
      <c r="T33" s="18" t="s">
        <v>37</v>
      </c>
      <c r="U33" s="18" t="b">
        <f>FALSE</f>
        <v>0</v>
      </c>
      <c r="V33" s="44"/>
      <c r="W33" s="17">
        <f t="shared" si="5"/>
        <v>19</v>
      </c>
      <c r="X33" s="25">
        <v>9.0</v>
      </c>
      <c r="Y33" s="18" t="s">
        <v>44</v>
      </c>
      <c r="Z33" s="18" t="s">
        <v>67</v>
      </c>
      <c r="AA33" s="44"/>
      <c r="AB33" s="17">
        <f t="shared" si="6"/>
        <v>19</v>
      </c>
      <c r="AC33" s="25">
        <v>314.0</v>
      </c>
      <c r="AD33" s="25">
        <v>93.0</v>
      </c>
      <c r="AE33" s="25">
        <v>221.0</v>
      </c>
      <c r="AF33" s="24">
        <v>0.2962</v>
      </c>
      <c r="AG33" s="25">
        <v>22.0</v>
      </c>
      <c r="AH33" s="22">
        <v>59.8</v>
      </c>
      <c r="AI33" s="22">
        <v>33.14</v>
      </c>
      <c r="AJ33" s="11"/>
    </row>
    <row r="34">
      <c r="A34" s="11"/>
      <c r="B34" s="41">
        <f t="shared" si="1"/>
        <v>20</v>
      </c>
      <c r="C34" s="42" t="s">
        <v>34</v>
      </c>
      <c r="D34" s="39" t="b">
        <f t="shared" ref="D34:D40" si="16">FALSE</f>
        <v>0</v>
      </c>
      <c r="E34" s="33"/>
      <c r="F34" s="41">
        <f t="shared" si="2"/>
        <v>20</v>
      </c>
      <c r="G34" s="39" t="b">
        <f>FALSE</f>
        <v>0</v>
      </c>
      <c r="H34" s="39" t="s">
        <v>61</v>
      </c>
      <c r="I34" s="46">
        <v>0.0</v>
      </c>
      <c r="J34" s="47">
        <v>30.0</v>
      </c>
      <c r="K34" s="48">
        <v>0.5333</v>
      </c>
      <c r="L34" s="48">
        <v>0.1333</v>
      </c>
      <c r="M34" s="39">
        <v>16.0</v>
      </c>
      <c r="N34" s="39">
        <v>4.0</v>
      </c>
      <c r="O34" s="39" t="b">
        <f t="shared" ref="O34:O36" si="17">FALSE</f>
        <v>0</v>
      </c>
      <c r="P34" s="38">
        <v>22.75</v>
      </c>
      <c r="Q34" s="33"/>
      <c r="R34" s="17">
        <f t="shared" si="4"/>
        <v>20</v>
      </c>
      <c r="S34" s="39" t="s">
        <v>67</v>
      </c>
      <c r="T34" s="39" t="s">
        <v>43</v>
      </c>
      <c r="U34" s="39" t="b">
        <f t="shared" ref="U34:U43" si="18">TRUE</f>
        <v>1</v>
      </c>
      <c r="V34" s="33"/>
      <c r="W34" s="17">
        <f t="shared" si="5"/>
        <v>20</v>
      </c>
      <c r="X34" s="39">
        <v>9.0</v>
      </c>
      <c r="Y34" s="39" t="s">
        <v>57</v>
      </c>
      <c r="Z34" s="39" t="s">
        <v>41</v>
      </c>
      <c r="AA34" s="33"/>
      <c r="AB34" s="17">
        <f t="shared" si="6"/>
        <v>20</v>
      </c>
      <c r="AC34" s="39">
        <v>344.0</v>
      </c>
      <c r="AD34" s="39">
        <v>40.0</v>
      </c>
      <c r="AE34" s="39">
        <v>304.0</v>
      </c>
      <c r="AF34" s="48">
        <v>0.1163</v>
      </c>
      <c r="AG34" s="39">
        <v>7.0</v>
      </c>
      <c r="AH34" s="38">
        <v>38.81</v>
      </c>
      <c r="AI34" s="38">
        <v>8.75</v>
      </c>
      <c r="AJ34" s="11"/>
    </row>
    <row r="35">
      <c r="A35" s="11"/>
      <c r="B35" s="41">
        <f t="shared" si="1"/>
        <v>21</v>
      </c>
      <c r="C35" s="42" t="s">
        <v>39</v>
      </c>
      <c r="D35" s="39" t="b">
        <f t="shared" si="16"/>
        <v>0</v>
      </c>
      <c r="E35" s="33"/>
      <c r="F35" s="41">
        <f t="shared" si="2"/>
        <v>21</v>
      </c>
      <c r="G35" s="39" t="b">
        <f t="shared" ref="G35:G36" si="19">TRUE</f>
        <v>1</v>
      </c>
      <c r="H35" s="39" t="s">
        <v>69</v>
      </c>
      <c r="I35" s="38">
        <v>2.8</v>
      </c>
      <c r="J35" s="47">
        <v>45.0</v>
      </c>
      <c r="K35" s="48">
        <v>1.0</v>
      </c>
      <c r="L35" s="48">
        <v>1.0</v>
      </c>
      <c r="M35" s="39">
        <v>16.0</v>
      </c>
      <c r="N35" s="39">
        <v>20.0</v>
      </c>
      <c r="O35" s="39" t="b">
        <f t="shared" si="17"/>
        <v>0</v>
      </c>
      <c r="P35" s="38">
        <v>151.07</v>
      </c>
      <c r="Q35" s="33"/>
      <c r="R35" s="17">
        <f t="shared" si="4"/>
        <v>21</v>
      </c>
      <c r="S35" s="39" t="s">
        <v>41</v>
      </c>
      <c r="T35" s="39" t="s">
        <v>37</v>
      </c>
      <c r="U35" s="39" t="b">
        <f t="shared" si="18"/>
        <v>1</v>
      </c>
      <c r="V35" s="33"/>
      <c r="W35" s="17">
        <f t="shared" si="5"/>
        <v>21</v>
      </c>
      <c r="X35" s="39">
        <v>7.0</v>
      </c>
      <c r="Y35" s="39" t="s">
        <v>44</v>
      </c>
      <c r="Z35" s="39" t="s">
        <v>41</v>
      </c>
      <c r="AA35" s="33"/>
      <c r="AB35" s="17">
        <f t="shared" si="6"/>
        <v>21</v>
      </c>
      <c r="AC35" s="39">
        <v>180.0</v>
      </c>
      <c r="AD35" s="39">
        <v>63.0</v>
      </c>
      <c r="AE35" s="39">
        <v>117.0</v>
      </c>
      <c r="AF35" s="48">
        <v>0.35</v>
      </c>
      <c r="AG35" s="39">
        <v>11.0</v>
      </c>
      <c r="AH35" s="38">
        <v>34.05</v>
      </c>
      <c r="AI35" s="38">
        <v>49.61</v>
      </c>
      <c r="AJ35" s="11"/>
    </row>
    <row r="36">
      <c r="A36" s="11"/>
      <c r="B36" s="41">
        <f t="shared" si="1"/>
        <v>22</v>
      </c>
      <c r="C36" s="42" t="s">
        <v>34</v>
      </c>
      <c r="D36" s="39" t="b">
        <f t="shared" si="16"/>
        <v>0</v>
      </c>
      <c r="E36" s="33"/>
      <c r="F36" s="41">
        <f t="shared" si="2"/>
        <v>22</v>
      </c>
      <c r="G36" s="39" t="b">
        <f t="shared" si="19"/>
        <v>1</v>
      </c>
      <c r="H36" s="39" t="s">
        <v>70</v>
      </c>
      <c r="I36" s="38">
        <v>2.4</v>
      </c>
      <c r="J36" s="47">
        <v>2.0</v>
      </c>
      <c r="K36" s="48">
        <v>1.0</v>
      </c>
      <c r="L36" s="48">
        <v>1.0</v>
      </c>
      <c r="M36" s="39">
        <v>1.0</v>
      </c>
      <c r="N36" s="39">
        <v>2.0</v>
      </c>
      <c r="O36" s="39" t="b">
        <f t="shared" si="17"/>
        <v>0</v>
      </c>
      <c r="P36" s="38">
        <v>5.92</v>
      </c>
      <c r="Q36" s="33"/>
      <c r="R36" s="17">
        <f t="shared" si="4"/>
        <v>22</v>
      </c>
      <c r="S36" s="39" t="s">
        <v>56</v>
      </c>
      <c r="T36" s="39" t="s">
        <v>37</v>
      </c>
      <c r="U36" s="39" t="b">
        <f t="shared" si="18"/>
        <v>1</v>
      </c>
      <c r="V36" s="33"/>
      <c r="W36" s="17">
        <f t="shared" si="5"/>
        <v>22</v>
      </c>
      <c r="X36" s="39">
        <v>7.0</v>
      </c>
      <c r="Y36" s="39" t="s">
        <v>44</v>
      </c>
      <c r="Z36" s="39" t="s">
        <v>56</v>
      </c>
      <c r="AA36" s="33"/>
      <c r="AB36" s="17">
        <f t="shared" si="6"/>
        <v>22</v>
      </c>
      <c r="AC36" s="39">
        <v>252.0</v>
      </c>
      <c r="AD36" s="39">
        <v>84.0</v>
      </c>
      <c r="AE36" s="39">
        <v>168.0</v>
      </c>
      <c r="AF36" s="48">
        <v>0.3333</v>
      </c>
      <c r="AG36" s="39">
        <v>19.0</v>
      </c>
      <c r="AH36" s="38">
        <v>22.36</v>
      </c>
      <c r="AI36" s="38">
        <v>46.21</v>
      </c>
      <c r="AJ36" s="50"/>
    </row>
    <row r="37">
      <c r="A37" s="11"/>
      <c r="B37" s="41">
        <f t="shared" si="1"/>
        <v>23</v>
      </c>
      <c r="C37" s="42" t="s">
        <v>34</v>
      </c>
      <c r="D37" s="39" t="b">
        <f t="shared" si="16"/>
        <v>0</v>
      </c>
      <c r="E37" s="33"/>
      <c r="F37" s="41">
        <f t="shared" si="2"/>
        <v>23</v>
      </c>
      <c r="G37" s="39" t="b">
        <f>FALSE</f>
        <v>0</v>
      </c>
      <c r="H37" s="39" t="s">
        <v>61</v>
      </c>
      <c r="I37" s="46">
        <v>0.0</v>
      </c>
      <c r="J37" s="47">
        <v>30.0</v>
      </c>
      <c r="K37" s="48">
        <v>0.0667</v>
      </c>
      <c r="L37" s="48">
        <v>0.0667</v>
      </c>
      <c r="M37" s="39">
        <v>2.0</v>
      </c>
      <c r="N37" s="39">
        <v>2.0</v>
      </c>
      <c r="O37" s="39" t="b">
        <f>TRUE</f>
        <v>1</v>
      </c>
      <c r="P37" s="38">
        <v>19.92</v>
      </c>
      <c r="Q37" s="33"/>
      <c r="R37" s="17">
        <f t="shared" si="4"/>
        <v>23</v>
      </c>
      <c r="S37" s="39" t="s">
        <v>36</v>
      </c>
      <c r="T37" s="39" t="s">
        <v>43</v>
      </c>
      <c r="U37" s="39" t="b">
        <f t="shared" si="18"/>
        <v>1</v>
      </c>
      <c r="V37" s="33"/>
      <c r="W37" s="17">
        <f t="shared" si="5"/>
        <v>23</v>
      </c>
      <c r="X37" s="39">
        <v>10.0</v>
      </c>
      <c r="Y37" s="39" t="s">
        <v>38</v>
      </c>
      <c r="Z37" s="39" t="s">
        <v>36</v>
      </c>
      <c r="AA37" s="33"/>
      <c r="AB37" s="17">
        <f t="shared" si="6"/>
        <v>23</v>
      </c>
      <c r="AC37" s="39">
        <v>141.0</v>
      </c>
      <c r="AD37" s="39">
        <v>35.0</v>
      </c>
      <c r="AE37" s="39">
        <v>106.0</v>
      </c>
      <c r="AF37" s="48">
        <v>0.2482</v>
      </c>
      <c r="AG37" s="39">
        <v>7.0</v>
      </c>
      <c r="AH37" s="38">
        <v>19.42</v>
      </c>
      <c r="AI37" s="38">
        <v>18.3</v>
      </c>
      <c r="AJ37" s="50"/>
    </row>
    <row r="38">
      <c r="A38" s="11"/>
      <c r="B38" s="41">
        <f t="shared" si="1"/>
        <v>24</v>
      </c>
      <c r="C38" s="39" t="s">
        <v>39</v>
      </c>
      <c r="D38" s="39" t="b">
        <f t="shared" si="16"/>
        <v>0</v>
      </c>
      <c r="E38" s="33"/>
      <c r="F38" s="41">
        <f t="shared" si="2"/>
        <v>24</v>
      </c>
      <c r="G38" s="39" t="b">
        <f t="shared" ref="G38:G41" si="20">TRUE</f>
        <v>1</v>
      </c>
      <c r="H38" s="39" t="s">
        <v>71</v>
      </c>
      <c r="I38" s="38">
        <v>21.19</v>
      </c>
      <c r="J38" s="47">
        <v>15.0</v>
      </c>
      <c r="K38" s="48">
        <v>1.0</v>
      </c>
      <c r="L38" s="48">
        <v>0.4</v>
      </c>
      <c r="M38" s="39">
        <v>11.0</v>
      </c>
      <c r="N38" s="39">
        <v>5.0</v>
      </c>
      <c r="O38" s="39" t="b">
        <f t="shared" ref="O38:O39" si="21">FALSE</f>
        <v>0</v>
      </c>
      <c r="P38" s="38">
        <v>47.08</v>
      </c>
      <c r="Q38" s="33"/>
      <c r="R38" s="17">
        <f t="shared" si="4"/>
        <v>24</v>
      </c>
      <c r="S38" s="39" t="s">
        <v>41</v>
      </c>
      <c r="T38" s="39" t="s">
        <v>37</v>
      </c>
      <c r="U38" s="39" t="b">
        <f t="shared" si="18"/>
        <v>1</v>
      </c>
      <c r="V38" s="33"/>
      <c r="W38" s="17">
        <f t="shared" si="5"/>
        <v>24</v>
      </c>
      <c r="X38" s="39">
        <v>8.0</v>
      </c>
      <c r="Y38" s="39" t="s">
        <v>38</v>
      </c>
      <c r="Z38" s="39" t="s">
        <v>36</v>
      </c>
      <c r="AA38" s="33"/>
      <c r="AB38" s="17">
        <f t="shared" si="6"/>
        <v>24</v>
      </c>
      <c r="AC38" s="39">
        <v>533.0</v>
      </c>
      <c r="AD38" s="39">
        <v>109.0</v>
      </c>
      <c r="AE38" s="39">
        <v>424.0</v>
      </c>
      <c r="AF38" s="48">
        <v>0.2045</v>
      </c>
      <c r="AG38" s="39">
        <v>25.0</v>
      </c>
      <c r="AH38" s="38">
        <v>45.03</v>
      </c>
      <c r="AI38" s="38">
        <v>49.6</v>
      </c>
      <c r="AJ38" s="50"/>
    </row>
    <row r="39">
      <c r="A39" s="11"/>
      <c r="B39" s="41">
        <f t="shared" si="1"/>
        <v>25</v>
      </c>
      <c r="C39" s="39" t="s">
        <v>34</v>
      </c>
      <c r="D39" s="39" t="b">
        <f t="shared" si="16"/>
        <v>0</v>
      </c>
      <c r="E39" s="33"/>
      <c r="F39" s="41">
        <f t="shared" si="2"/>
        <v>25</v>
      </c>
      <c r="G39" s="39" t="b">
        <f t="shared" si="20"/>
        <v>1</v>
      </c>
      <c r="H39" s="39" t="s">
        <v>72</v>
      </c>
      <c r="I39" s="38">
        <v>14.98</v>
      </c>
      <c r="J39" s="47">
        <v>5.0</v>
      </c>
      <c r="K39" s="48">
        <v>1.0</v>
      </c>
      <c r="L39" s="48">
        <v>1.0</v>
      </c>
      <c r="M39" s="39">
        <v>5.0</v>
      </c>
      <c r="N39" s="39">
        <v>2.0</v>
      </c>
      <c r="O39" s="39" t="b">
        <f t="shared" si="21"/>
        <v>0</v>
      </c>
      <c r="P39" s="38">
        <v>48.81</v>
      </c>
      <c r="Q39" s="33"/>
      <c r="R39" s="17">
        <f t="shared" si="4"/>
        <v>25</v>
      </c>
      <c r="S39" s="39" t="s">
        <v>41</v>
      </c>
      <c r="T39" s="39" t="s">
        <v>43</v>
      </c>
      <c r="U39" s="39" t="b">
        <f t="shared" si="18"/>
        <v>1</v>
      </c>
      <c r="V39" s="33"/>
      <c r="W39" s="17">
        <f t="shared" si="5"/>
        <v>25</v>
      </c>
      <c r="X39" s="39">
        <v>7.0</v>
      </c>
      <c r="Y39" s="39" t="s">
        <v>44</v>
      </c>
      <c r="Z39" s="39" t="s">
        <v>41</v>
      </c>
      <c r="AA39" s="33"/>
      <c r="AB39" s="17">
        <f t="shared" si="6"/>
        <v>25</v>
      </c>
      <c r="AC39" s="39">
        <v>171.0</v>
      </c>
      <c r="AD39" s="39">
        <v>55.0</v>
      </c>
      <c r="AE39" s="39">
        <v>116.0</v>
      </c>
      <c r="AF39" s="48">
        <v>0.3216</v>
      </c>
      <c r="AG39" s="39">
        <v>11.0</v>
      </c>
      <c r="AH39" s="38">
        <v>24.42</v>
      </c>
      <c r="AI39" s="38">
        <v>35.12</v>
      </c>
      <c r="AJ39" s="50"/>
    </row>
    <row r="40">
      <c r="A40" s="11"/>
      <c r="B40" s="41">
        <f t="shared" si="1"/>
        <v>26</v>
      </c>
      <c r="C40" s="39" t="s">
        <v>34</v>
      </c>
      <c r="D40" s="39" t="b">
        <f t="shared" si="16"/>
        <v>0</v>
      </c>
      <c r="E40" s="33"/>
      <c r="F40" s="41">
        <f t="shared" si="2"/>
        <v>26</v>
      </c>
      <c r="G40" s="39" t="b">
        <f t="shared" si="20"/>
        <v>1</v>
      </c>
      <c r="H40" s="39" t="s">
        <v>73</v>
      </c>
      <c r="I40" s="38">
        <v>5.9</v>
      </c>
      <c r="J40" s="47">
        <v>45.0</v>
      </c>
      <c r="K40" s="48">
        <v>0.0889</v>
      </c>
      <c r="L40" s="48">
        <v>0.2</v>
      </c>
      <c r="M40" s="39">
        <v>3.0</v>
      </c>
      <c r="N40" s="39">
        <v>3.0</v>
      </c>
      <c r="O40" s="39" t="b">
        <f>TRUE</f>
        <v>1</v>
      </c>
      <c r="P40" s="38">
        <v>24.74</v>
      </c>
      <c r="Q40" s="33"/>
      <c r="R40" s="17">
        <f t="shared" si="4"/>
        <v>26</v>
      </c>
      <c r="S40" s="39" t="s">
        <v>36</v>
      </c>
      <c r="T40" s="39" t="s">
        <v>43</v>
      </c>
      <c r="U40" s="39" t="b">
        <f t="shared" si="18"/>
        <v>1</v>
      </c>
      <c r="V40" s="33"/>
      <c r="W40" s="17">
        <f t="shared" si="5"/>
        <v>26</v>
      </c>
      <c r="X40" s="39">
        <v>6.0</v>
      </c>
      <c r="Y40" s="39" t="s">
        <v>44</v>
      </c>
      <c r="Z40" s="39" t="s">
        <v>36</v>
      </c>
      <c r="AA40" s="33"/>
      <c r="AB40" s="17">
        <f t="shared" si="6"/>
        <v>26</v>
      </c>
      <c r="AC40" s="39">
        <v>603.0</v>
      </c>
      <c r="AD40" s="39">
        <v>117.0</v>
      </c>
      <c r="AE40" s="39">
        <v>486.0</v>
      </c>
      <c r="AF40" s="48">
        <v>0.194</v>
      </c>
      <c r="AG40" s="39">
        <v>26.0</v>
      </c>
      <c r="AH40" s="38">
        <v>37.44</v>
      </c>
      <c r="AI40" s="38">
        <v>51.13</v>
      </c>
      <c r="AJ40" s="50"/>
    </row>
    <row r="41">
      <c r="A41" s="11"/>
      <c r="B41" s="41">
        <f t="shared" si="1"/>
        <v>27</v>
      </c>
      <c r="C41" s="39" t="s">
        <v>34</v>
      </c>
      <c r="D41" s="39" t="b">
        <f>TRUE</f>
        <v>1</v>
      </c>
      <c r="E41" s="33"/>
      <c r="F41" s="41">
        <f t="shared" si="2"/>
        <v>27</v>
      </c>
      <c r="G41" s="39" t="b">
        <f t="shared" si="20"/>
        <v>1</v>
      </c>
      <c r="H41" s="39" t="s">
        <v>74</v>
      </c>
      <c r="I41" s="38">
        <v>14.05</v>
      </c>
      <c r="J41" s="47">
        <v>60.0</v>
      </c>
      <c r="K41" s="48">
        <v>1.0</v>
      </c>
      <c r="L41" s="48">
        <v>0.95</v>
      </c>
      <c r="M41" s="39">
        <v>4.0</v>
      </c>
      <c r="N41" s="39">
        <v>6.0</v>
      </c>
      <c r="O41" s="39" t="b">
        <f>FALSE</f>
        <v>0</v>
      </c>
      <c r="P41" s="38">
        <v>86.89</v>
      </c>
      <c r="Q41" s="33"/>
      <c r="R41" s="17">
        <f t="shared" si="4"/>
        <v>27</v>
      </c>
      <c r="S41" s="39" t="s">
        <v>41</v>
      </c>
      <c r="T41" s="39" t="s">
        <v>43</v>
      </c>
      <c r="U41" s="39" t="b">
        <f t="shared" si="18"/>
        <v>1</v>
      </c>
      <c r="V41" s="33"/>
      <c r="W41" s="17">
        <f t="shared" si="5"/>
        <v>27</v>
      </c>
      <c r="X41" s="39">
        <v>9.0</v>
      </c>
      <c r="Y41" s="39" t="s">
        <v>44</v>
      </c>
      <c r="Z41" s="39" t="s">
        <v>41</v>
      </c>
      <c r="AA41" s="33"/>
      <c r="AB41" s="17">
        <f t="shared" si="6"/>
        <v>27</v>
      </c>
      <c r="AC41" s="39">
        <v>236.0</v>
      </c>
      <c r="AD41" s="39">
        <v>60.0</v>
      </c>
      <c r="AE41" s="39">
        <v>176.0</v>
      </c>
      <c r="AF41" s="48">
        <v>0.2542</v>
      </c>
      <c r="AG41" s="39">
        <v>13.0</v>
      </c>
      <c r="AH41" s="38">
        <v>50.93</v>
      </c>
      <c r="AI41" s="38">
        <v>12.95</v>
      </c>
      <c r="AJ41" s="50"/>
    </row>
    <row r="42">
      <c r="A42" s="11"/>
      <c r="B42" s="41">
        <f t="shared" si="1"/>
        <v>28</v>
      </c>
      <c r="C42" s="39" t="s">
        <v>34</v>
      </c>
      <c r="D42" s="39" t="b">
        <f t="shared" ref="D42:D43" si="22">FALSE</f>
        <v>0</v>
      </c>
      <c r="E42" s="33"/>
      <c r="F42" s="41">
        <f t="shared" si="2"/>
        <v>28</v>
      </c>
      <c r="G42" s="39" t="b">
        <f>FALSE</f>
        <v>0</v>
      </c>
      <c r="H42" s="39" t="s">
        <v>61</v>
      </c>
      <c r="I42" s="38">
        <v>8.15</v>
      </c>
      <c r="J42" s="47">
        <v>2.0</v>
      </c>
      <c r="K42" s="48">
        <v>1.0</v>
      </c>
      <c r="L42" s="48">
        <v>1.0</v>
      </c>
      <c r="M42" s="39">
        <v>2.0</v>
      </c>
      <c r="N42" s="39">
        <v>2.0</v>
      </c>
      <c r="O42" s="39" t="b">
        <f>TRUE</f>
        <v>1</v>
      </c>
      <c r="P42" s="38">
        <v>27.59</v>
      </c>
      <c r="Q42" s="33"/>
      <c r="R42" s="17">
        <f t="shared" si="4"/>
        <v>28</v>
      </c>
      <c r="S42" s="39" t="s">
        <v>56</v>
      </c>
      <c r="T42" s="39" t="s">
        <v>37</v>
      </c>
      <c r="U42" s="39" t="b">
        <f t="shared" si="18"/>
        <v>1</v>
      </c>
      <c r="V42" s="33"/>
      <c r="W42" s="17">
        <f t="shared" si="5"/>
        <v>28</v>
      </c>
      <c r="X42" s="39">
        <v>8.0</v>
      </c>
      <c r="Y42" s="39" t="s">
        <v>38</v>
      </c>
      <c r="Z42" s="39" t="s">
        <v>67</v>
      </c>
      <c r="AA42" s="33"/>
      <c r="AB42" s="17">
        <f t="shared" si="6"/>
        <v>28</v>
      </c>
      <c r="AC42" s="39">
        <v>293.0</v>
      </c>
      <c r="AD42" s="39">
        <v>82.0</v>
      </c>
      <c r="AE42" s="39">
        <v>211.0</v>
      </c>
      <c r="AF42" s="48">
        <v>0.2799</v>
      </c>
      <c r="AG42" s="39">
        <v>21.0</v>
      </c>
      <c r="AH42" s="38">
        <v>31.23</v>
      </c>
      <c r="AI42" s="38">
        <v>57.56</v>
      </c>
      <c r="AJ42" s="50"/>
    </row>
    <row r="43">
      <c r="A43" s="11"/>
      <c r="B43" s="41">
        <f t="shared" si="1"/>
        <v>29</v>
      </c>
      <c r="C43" s="39" t="s">
        <v>34</v>
      </c>
      <c r="D43" s="39" t="b">
        <f t="shared" si="22"/>
        <v>0</v>
      </c>
      <c r="E43" s="33"/>
      <c r="F43" s="41">
        <f t="shared" si="2"/>
        <v>29</v>
      </c>
      <c r="G43" s="39" t="b">
        <f t="shared" ref="G43:G45" si="23">TRUE</f>
        <v>1</v>
      </c>
      <c r="H43" s="39" t="s">
        <v>75</v>
      </c>
      <c r="I43" s="38">
        <v>3.02</v>
      </c>
      <c r="J43" s="47">
        <v>15.0</v>
      </c>
      <c r="K43" s="48">
        <v>1.0</v>
      </c>
      <c r="L43" s="48">
        <v>1.0</v>
      </c>
      <c r="M43" s="39">
        <v>10.0</v>
      </c>
      <c r="N43" s="39">
        <v>4.0</v>
      </c>
      <c r="O43" s="39" t="b">
        <f>FALSE</f>
        <v>0</v>
      </c>
      <c r="P43" s="38">
        <v>126.59</v>
      </c>
      <c r="Q43" s="33"/>
      <c r="R43" s="17">
        <f t="shared" si="4"/>
        <v>29</v>
      </c>
      <c r="S43" s="39" t="s">
        <v>36</v>
      </c>
      <c r="T43" s="39" t="s">
        <v>43</v>
      </c>
      <c r="U43" s="39" t="b">
        <f t="shared" si="18"/>
        <v>1</v>
      </c>
      <c r="V43" s="33"/>
      <c r="W43" s="17">
        <f t="shared" si="5"/>
        <v>29</v>
      </c>
      <c r="X43" s="39">
        <v>5.0</v>
      </c>
      <c r="Y43" s="39" t="s">
        <v>57</v>
      </c>
      <c r="Z43" s="39" t="s">
        <v>36</v>
      </c>
      <c r="AA43" s="33"/>
      <c r="AB43" s="17">
        <f t="shared" si="6"/>
        <v>29</v>
      </c>
      <c r="AC43" s="39">
        <v>312.0</v>
      </c>
      <c r="AD43" s="39">
        <v>88.0</v>
      </c>
      <c r="AE43" s="39">
        <v>224.0</v>
      </c>
      <c r="AF43" s="48">
        <v>0.2821</v>
      </c>
      <c r="AG43" s="39">
        <v>21.0</v>
      </c>
      <c r="AH43" s="38">
        <v>29.06</v>
      </c>
      <c r="AI43" s="38">
        <v>63.02</v>
      </c>
      <c r="AJ43" s="50"/>
    </row>
    <row r="44">
      <c r="A44" s="11"/>
      <c r="B44" s="41">
        <f t="shared" si="1"/>
        <v>30</v>
      </c>
      <c r="C44" s="42" t="s">
        <v>34</v>
      </c>
      <c r="D44" s="39" t="b">
        <f t="shared" ref="D44:D45" si="24">TRUE</f>
        <v>1</v>
      </c>
      <c r="E44" s="33"/>
      <c r="F44" s="41">
        <f t="shared" si="2"/>
        <v>30</v>
      </c>
      <c r="G44" s="39" t="b">
        <f t="shared" si="23"/>
        <v>1</v>
      </c>
      <c r="H44" s="39" t="s">
        <v>76</v>
      </c>
      <c r="I44" s="38">
        <v>12.92</v>
      </c>
      <c r="J44" s="47">
        <v>5.0</v>
      </c>
      <c r="K44" s="48">
        <v>1.0</v>
      </c>
      <c r="L44" s="48">
        <v>1.0</v>
      </c>
      <c r="M44" s="39">
        <v>5.0</v>
      </c>
      <c r="N44" s="39">
        <v>5.0</v>
      </c>
      <c r="O44" s="39" t="b">
        <f>TRUE</f>
        <v>1</v>
      </c>
      <c r="P44" s="38">
        <v>31.66</v>
      </c>
      <c r="Q44" s="33"/>
      <c r="R44" s="17">
        <f t="shared" si="4"/>
        <v>30</v>
      </c>
      <c r="S44" s="39" t="s">
        <v>36</v>
      </c>
      <c r="T44" s="39" t="s">
        <v>37</v>
      </c>
      <c r="U44" s="39" t="b">
        <f>FALSE</f>
        <v>0</v>
      </c>
      <c r="V44" s="33"/>
      <c r="W44" s="17">
        <f t="shared" si="5"/>
        <v>30</v>
      </c>
      <c r="X44" s="39">
        <v>5.0</v>
      </c>
      <c r="Y44" s="39" t="s">
        <v>44</v>
      </c>
      <c r="Z44" s="39" t="s">
        <v>36</v>
      </c>
      <c r="AA44" s="33"/>
      <c r="AB44" s="17">
        <f t="shared" si="6"/>
        <v>30</v>
      </c>
      <c r="AC44" s="39">
        <v>331.0</v>
      </c>
      <c r="AD44" s="39">
        <v>115.0</v>
      </c>
      <c r="AE44" s="39">
        <v>216.0</v>
      </c>
      <c r="AF44" s="48">
        <v>0.3474</v>
      </c>
      <c r="AG44" s="39">
        <v>29.0</v>
      </c>
      <c r="AH44" s="38">
        <v>49.27</v>
      </c>
      <c r="AI44" s="38">
        <v>43.71</v>
      </c>
      <c r="AJ44" s="50"/>
    </row>
    <row r="45">
      <c r="A45" s="11"/>
      <c r="B45" s="41">
        <f t="shared" si="1"/>
        <v>31</v>
      </c>
      <c r="C45" s="42" t="s">
        <v>34</v>
      </c>
      <c r="D45" s="39" t="b">
        <f t="shared" si="24"/>
        <v>1</v>
      </c>
      <c r="E45" s="33"/>
      <c r="F45" s="41">
        <f t="shared" si="2"/>
        <v>31</v>
      </c>
      <c r="G45" s="39" t="b">
        <f t="shared" si="23"/>
        <v>1</v>
      </c>
      <c r="H45" s="39" t="s">
        <v>77</v>
      </c>
      <c r="I45" s="38">
        <v>12.27</v>
      </c>
      <c r="J45" s="47">
        <v>60.0</v>
      </c>
      <c r="K45" s="48">
        <v>0.9</v>
      </c>
      <c r="L45" s="48">
        <v>1.0</v>
      </c>
      <c r="M45" s="39">
        <v>8.0</v>
      </c>
      <c r="N45" s="39">
        <v>18.0</v>
      </c>
      <c r="O45" s="39" t="b">
        <f t="shared" ref="O45:O46" si="25">FALSE</f>
        <v>0</v>
      </c>
      <c r="P45" s="38">
        <v>79.14</v>
      </c>
      <c r="Q45" s="33"/>
      <c r="R45" s="17">
        <f t="shared" si="4"/>
        <v>31</v>
      </c>
      <c r="S45" s="39" t="s">
        <v>56</v>
      </c>
      <c r="T45" s="39" t="s">
        <v>46</v>
      </c>
      <c r="U45" s="39" t="b">
        <f>TRUE</f>
        <v>1</v>
      </c>
      <c r="V45" s="33"/>
      <c r="W45" s="17">
        <f t="shared" si="5"/>
        <v>31</v>
      </c>
      <c r="X45" s="39">
        <v>6.0</v>
      </c>
      <c r="Y45" s="39" t="s">
        <v>57</v>
      </c>
      <c r="Z45" s="39" t="s">
        <v>56</v>
      </c>
      <c r="AA45" s="33"/>
      <c r="AB45" s="17">
        <f t="shared" si="6"/>
        <v>31</v>
      </c>
      <c r="AC45" s="39">
        <v>303.0</v>
      </c>
      <c r="AD45" s="39">
        <v>122.0</v>
      </c>
      <c r="AE45" s="39">
        <v>181.0</v>
      </c>
      <c r="AF45" s="48">
        <v>0.4026</v>
      </c>
      <c r="AG45" s="39">
        <v>31.0</v>
      </c>
      <c r="AH45" s="38">
        <v>41.92</v>
      </c>
      <c r="AI45" s="38">
        <v>68.41</v>
      </c>
      <c r="AJ45" s="11"/>
    </row>
    <row r="46">
      <c r="A46" s="11"/>
      <c r="B46" s="41">
        <f t="shared" si="1"/>
        <v>32</v>
      </c>
      <c r="C46" s="42" t="s">
        <v>34</v>
      </c>
      <c r="D46" s="39" t="b">
        <f>FALSE</f>
        <v>0</v>
      </c>
      <c r="E46" s="33"/>
      <c r="F46" s="41">
        <f t="shared" si="2"/>
        <v>32</v>
      </c>
      <c r="G46" s="39" t="b">
        <v>1</v>
      </c>
      <c r="H46" s="39" t="s">
        <v>78</v>
      </c>
      <c r="I46" s="38">
        <v>7.2</v>
      </c>
      <c r="J46" s="47">
        <v>2.0</v>
      </c>
      <c r="K46" s="48">
        <v>1.0</v>
      </c>
      <c r="L46" s="48">
        <v>1.0</v>
      </c>
      <c r="M46" s="39">
        <v>1.0</v>
      </c>
      <c r="N46" s="39">
        <v>2.0</v>
      </c>
      <c r="O46" s="39" t="b">
        <f t="shared" si="25"/>
        <v>0</v>
      </c>
      <c r="P46" s="38">
        <v>19.29</v>
      </c>
      <c r="Q46" s="33"/>
      <c r="R46" s="17">
        <f t="shared" si="4"/>
        <v>32</v>
      </c>
      <c r="S46" s="39" t="s">
        <v>36</v>
      </c>
      <c r="T46" s="39" t="s">
        <v>37</v>
      </c>
      <c r="U46" s="39" t="b">
        <v>1</v>
      </c>
      <c r="V46" s="33"/>
      <c r="W46" s="17">
        <f t="shared" si="5"/>
        <v>32</v>
      </c>
      <c r="X46" s="39">
        <v>7.0</v>
      </c>
      <c r="Y46" s="39" t="s">
        <v>44</v>
      </c>
      <c r="Z46" s="39" t="s">
        <v>36</v>
      </c>
      <c r="AA46" s="33"/>
      <c r="AB46" s="17">
        <f t="shared" si="6"/>
        <v>32</v>
      </c>
      <c r="AC46" s="39">
        <v>542.0</v>
      </c>
      <c r="AD46" s="39">
        <v>163.0</v>
      </c>
      <c r="AE46" s="39">
        <v>379.0</v>
      </c>
      <c r="AF46" s="48">
        <v>0.3007</v>
      </c>
      <c r="AG46" s="39">
        <v>38.0</v>
      </c>
      <c r="AH46" s="38">
        <v>28.61</v>
      </c>
      <c r="AI46" s="38">
        <v>103.68</v>
      </c>
      <c r="AJ46" s="11"/>
    </row>
    <row r="47">
      <c r="A47" s="11"/>
      <c r="B47" s="41">
        <f t="shared" si="1"/>
        <v>33</v>
      </c>
      <c r="C47" s="42" t="s">
        <v>34</v>
      </c>
      <c r="D47" s="39" t="b">
        <f>TRUE</f>
        <v>1</v>
      </c>
      <c r="E47" s="33"/>
      <c r="F47" s="41">
        <f t="shared" si="2"/>
        <v>33</v>
      </c>
      <c r="G47" s="39" t="b">
        <f t="shared" ref="G47:G48" si="26">TRUE</f>
        <v>1</v>
      </c>
      <c r="H47" s="39" t="s">
        <v>79</v>
      </c>
      <c r="I47" s="38">
        <v>4.46</v>
      </c>
      <c r="J47" s="47">
        <v>5.0</v>
      </c>
      <c r="K47" s="48">
        <v>1.0</v>
      </c>
      <c r="L47" s="48">
        <v>1.0</v>
      </c>
      <c r="M47" s="39">
        <v>4.0</v>
      </c>
      <c r="N47" s="39">
        <v>4.0</v>
      </c>
      <c r="O47" s="39" t="b">
        <f t="shared" ref="O47:O48" si="27">TRUE</f>
        <v>1</v>
      </c>
      <c r="P47" s="38">
        <v>19.59</v>
      </c>
      <c r="Q47" s="33"/>
      <c r="R47" s="17">
        <f t="shared" si="4"/>
        <v>33</v>
      </c>
      <c r="S47" s="39" t="s">
        <v>36</v>
      </c>
      <c r="T47" s="39" t="s">
        <v>37</v>
      </c>
      <c r="U47" s="39" t="b">
        <f>TRUE</f>
        <v>1</v>
      </c>
      <c r="V47" s="33"/>
      <c r="W47" s="17">
        <f t="shared" si="5"/>
        <v>33</v>
      </c>
      <c r="X47" s="39">
        <v>7.0</v>
      </c>
      <c r="Y47" s="39" t="s">
        <v>44</v>
      </c>
      <c r="Z47" s="39" t="s">
        <v>36</v>
      </c>
      <c r="AA47" s="33"/>
      <c r="AB47" s="17">
        <f t="shared" si="6"/>
        <v>33</v>
      </c>
      <c r="AC47" s="39">
        <v>541.0</v>
      </c>
      <c r="AD47" s="39">
        <v>126.0</v>
      </c>
      <c r="AE47" s="39">
        <v>415.0</v>
      </c>
      <c r="AF47" s="48">
        <v>0.2329</v>
      </c>
      <c r="AG47" s="39">
        <v>31.0</v>
      </c>
      <c r="AH47" s="38">
        <v>75.22</v>
      </c>
      <c r="AI47" s="38">
        <v>38.06</v>
      </c>
      <c r="AJ47" s="11"/>
    </row>
    <row r="48">
      <c r="A48" s="11"/>
      <c r="B48" s="41">
        <f t="shared" si="1"/>
        <v>34</v>
      </c>
      <c r="C48" s="42" t="s">
        <v>34</v>
      </c>
      <c r="D48" s="39" t="b">
        <f>FALSE</f>
        <v>0</v>
      </c>
      <c r="E48" s="33"/>
      <c r="F48" s="41">
        <f t="shared" si="2"/>
        <v>34</v>
      </c>
      <c r="G48" s="39" t="b">
        <f t="shared" si="26"/>
        <v>1</v>
      </c>
      <c r="H48" s="39" t="s">
        <v>80</v>
      </c>
      <c r="I48" s="38">
        <v>6.09</v>
      </c>
      <c r="J48" s="47">
        <v>15.0</v>
      </c>
      <c r="K48" s="48">
        <v>0.8</v>
      </c>
      <c r="L48" s="48">
        <v>1.0</v>
      </c>
      <c r="M48" s="39">
        <v>8.0</v>
      </c>
      <c r="N48" s="39">
        <v>8.0</v>
      </c>
      <c r="O48" s="39" t="b">
        <f t="shared" si="27"/>
        <v>1</v>
      </c>
      <c r="P48" s="38">
        <v>51.24</v>
      </c>
      <c r="Q48" s="33"/>
      <c r="R48" s="17">
        <f t="shared" si="4"/>
        <v>34</v>
      </c>
      <c r="S48" s="39" t="s">
        <v>36</v>
      </c>
      <c r="T48" s="39" t="s">
        <v>37</v>
      </c>
      <c r="U48" s="39" t="b">
        <f>FALSE</f>
        <v>0</v>
      </c>
      <c r="V48" s="33"/>
      <c r="W48" s="17">
        <f t="shared" si="5"/>
        <v>34</v>
      </c>
      <c r="X48" s="39">
        <v>5.0</v>
      </c>
      <c r="Y48" s="39" t="s">
        <v>44</v>
      </c>
      <c r="Z48" s="39" t="s">
        <v>36</v>
      </c>
      <c r="AA48" s="33"/>
      <c r="AB48" s="17">
        <f t="shared" si="6"/>
        <v>34</v>
      </c>
      <c r="AC48" s="39">
        <v>201.0</v>
      </c>
      <c r="AD48" s="39">
        <v>78.0</v>
      </c>
      <c r="AE48" s="39">
        <v>123.0</v>
      </c>
      <c r="AF48" s="48">
        <v>0.3881</v>
      </c>
      <c r="AG48" s="39">
        <v>16.0</v>
      </c>
      <c r="AH48" s="38">
        <v>52.76</v>
      </c>
      <c r="AI48" s="38">
        <v>16.96</v>
      </c>
      <c r="AJ48" s="11"/>
    </row>
    <row r="49">
      <c r="A49" s="11"/>
      <c r="B49" s="11"/>
      <c r="C49" s="11"/>
      <c r="D49" s="11"/>
      <c r="E49" s="1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ht="21.75" customHeight="1">
      <c r="A50" s="34"/>
      <c r="B50" s="34"/>
      <c r="C50" s="52"/>
      <c r="E50" s="11"/>
      <c r="F50" s="51"/>
      <c r="G50" s="51"/>
      <c r="H50" s="53" t="s">
        <v>62</v>
      </c>
      <c r="I50" s="38">
        <f>MEDIAN(I15:I48)</f>
        <v>9.945</v>
      </c>
      <c r="J50" s="39"/>
      <c r="K50" s="40">
        <f t="shared" ref="K50:L50" si="28">MEDIAN(K15:K48)</f>
        <v>1</v>
      </c>
      <c r="L50" s="40">
        <f t="shared" si="28"/>
        <v>1</v>
      </c>
      <c r="M50" s="11"/>
      <c r="N50" s="53"/>
      <c r="O50" s="53" t="s">
        <v>62</v>
      </c>
      <c r="P50" s="38">
        <f>MEDIAN(P15:P48)</f>
        <v>37.48</v>
      </c>
      <c r="Q50" s="11"/>
      <c r="R50" s="11"/>
      <c r="S50" s="11"/>
      <c r="T50" s="11"/>
      <c r="U50" s="11"/>
      <c r="V50" s="11"/>
      <c r="W50" s="53" t="s">
        <v>62</v>
      </c>
      <c r="X50" s="39">
        <f>MEDIAN(X15:X48)</f>
        <v>7</v>
      </c>
      <c r="Y50" s="11"/>
      <c r="Z50" s="11"/>
      <c r="AA50" s="11"/>
      <c r="AB50" s="53" t="s">
        <v>62</v>
      </c>
      <c r="AC50" s="39">
        <f t="shared" ref="AC50:AI50" si="29">MEDIAN(AC15:AC48)</f>
        <v>322.5</v>
      </c>
      <c r="AD50" s="39">
        <f t="shared" si="29"/>
        <v>94</v>
      </c>
      <c r="AE50" s="39">
        <f t="shared" si="29"/>
        <v>222.5</v>
      </c>
      <c r="AF50" s="40">
        <f t="shared" si="29"/>
        <v>0.2928</v>
      </c>
      <c r="AG50" s="39">
        <f t="shared" si="29"/>
        <v>21.5</v>
      </c>
      <c r="AH50" s="38">
        <f t="shared" si="29"/>
        <v>40.32</v>
      </c>
      <c r="AI50" s="38">
        <f t="shared" si="29"/>
        <v>48.225</v>
      </c>
      <c r="AJ50" s="11"/>
    </row>
    <row r="51" ht="21.75" customHeight="1">
      <c r="A51" s="11"/>
      <c r="B51" s="11"/>
      <c r="C51" s="52"/>
      <c r="E51" s="11"/>
      <c r="F51" s="51"/>
      <c r="G51" s="51"/>
      <c r="H51" s="53" t="s">
        <v>65</v>
      </c>
      <c r="I51" s="38">
        <f>AVERAGE(I15:I48)</f>
        <v>11.58588235</v>
      </c>
      <c r="J51" s="38"/>
      <c r="K51" s="40">
        <f t="shared" ref="K51:L51" si="30">AVERAGE(K15:K48)</f>
        <v>0.8073529412</v>
      </c>
      <c r="L51" s="40">
        <f t="shared" si="30"/>
        <v>0.7779411765</v>
      </c>
      <c r="M51" s="54"/>
      <c r="N51" s="53"/>
      <c r="O51" s="53" t="s">
        <v>65</v>
      </c>
      <c r="P51" s="38">
        <f>AVERAGE(P15:P48)</f>
        <v>47.74235294</v>
      </c>
      <c r="Q51" s="11"/>
      <c r="R51" s="11"/>
      <c r="S51" s="11"/>
      <c r="T51" s="11"/>
      <c r="U51" s="11"/>
      <c r="V51" s="11"/>
      <c r="W51" s="53" t="s">
        <v>65</v>
      </c>
      <c r="X51" s="38">
        <f>AVERAGE(X15:X48)</f>
        <v>7</v>
      </c>
      <c r="Y51" s="11"/>
      <c r="Z51" s="11"/>
      <c r="AA51" s="11"/>
      <c r="AB51" s="53" t="s">
        <v>65</v>
      </c>
      <c r="AC51" s="38">
        <f t="shared" ref="AC51:AI51" si="31">AVERAGE(AC15:AC48)</f>
        <v>344.1764706</v>
      </c>
      <c r="AD51" s="38">
        <f t="shared" si="31"/>
        <v>101.6176471</v>
      </c>
      <c r="AE51" s="38">
        <f t="shared" si="31"/>
        <v>242.5588235</v>
      </c>
      <c r="AF51" s="40">
        <f t="shared" si="31"/>
        <v>0.3000294118</v>
      </c>
      <c r="AG51" s="38">
        <f t="shared" si="31"/>
        <v>23.70588235</v>
      </c>
      <c r="AH51" s="38">
        <f t="shared" si="31"/>
        <v>41.90294118</v>
      </c>
      <c r="AI51" s="38">
        <f t="shared" si="31"/>
        <v>47.685</v>
      </c>
      <c r="AJ51" s="11"/>
    </row>
    <row r="52" ht="23.25" customHeight="1">
      <c r="A52" s="11"/>
      <c r="B52" s="11"/>
      <c r="C52" s="11"/>
      <c r="D52" s="11"/>
      <c r="E52" s="11"/>
      <c r="F52" s="51"/>
      <c r="G52" s="51"/>
      <c r="H52" s="53" t="s">
        <v>68</v>
      </c>
      <c r="I52" s="38">
        <f>STDEV(I15:I48)</f>
        <v>10.27501415</v>
      </c>
      <c r="J52" s="39"/>
      <c r="K52" s="40">
        <f t="shared" ref="K52:L52" si="32">STDEV(K15:K48)</f>
        <v>0.3066552622</v>
      </c>
      <c r="L52" s="40">
        <f t="shared" si="32"/>
        <v>0.3362434734</v>
      </c>
      <c r="M52" s="11"/>
      <c r="N52" s="53"/>
      <c r="O52" s="53" t="s">
        <v>68</v>
      </c>
      <c r="P52" s="38">
        <f>STDEV(P15:P48)</f>
        <v>34.01079776</v>
      </c>
      <c r="Q52" s="11"/>
      <c r="R52" s="11"/>
      <c r="S52" s="11"/>
      <c r="T52" s="11"/>
      <c r="U52" s="11"/>
      <c r="V52" s="11"/>
      <c r="W52" s="53" t="s">
        <v>68</v>
      </c>
      <c r="X52" s="38">
        <f>STDEV(X15:X48)</f>
        <v>1.576340219</v>
      </c>
      <c r="Y52" s="11"/>
      <c r="Z52" s="11"/>
      <c r="AA52" s="11"/>
      <c r="AB52" s="53" t="s">
        <v>68</v>
      </c>
      <c r="AC52" s="38">
        <f t="shared" ref="AC52:AI52" si="33">STDEV(AC15:AC48)</f>
        <v>141.5895627</v>
      </c>
      <c r="AD52" s="38">
        <f t="shared" si="33"/>
        <v>48.41175333</v>
      </c>
      <c r="AE52" s="38">
        <f t="shared" si="33"/>
        <v>109.5343287</v>
      </c>
      <c r="AF52" s="40">
        <f t="shared" si="33"/>
        <v>0.07552297074</v>
      </c>
      <c r="AG52" s="38">
        <f t="shared" si="33"/>
        <v>12.67191935</v>
      </c>
      <c r="AH52" s="38">
        <f t="shared" si="33"/>
        <v>18.16084008</v>
      </c>
      <c r="AI52" s="38">
        <f t="shared" si="33"/>
        <v>27.3220067</v>
      </c>
      <c r="AJ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>
      <c r="AF54" s="55"/>
    </row>
    <row r="67">
      <c r="A67" s="49"/>
      <c r="B67" s="49"/>
    </row>
    <row r="74">
      <c r="A74" s="56"/>
      <c r="B74" s="56"/>
    </row>
  </sheetData>
  <mergeCells count="9">
    <mergeCell ref="W11:Z12"/>
    <mergeCell ref="R11:U12"/>
    <mergeCell ref="B11:D12"/>
    <mergeCell ref="F11:P12"/>
    <mergeCell ref="C51:D51"/>
    <mergeCell ref="C50:D50"/>
    <mergeCell ref="AB11:AI12"/>
    <mergeCell ref="H6:H7"/>
    <mergeCell ref="B5:G8"/>
  </mergeCells>
  <printOptions horizontalCentered="1"/>
  <pageMargins bottom="0.75" footer="0.0" header="0.0" left="0.7" right="0.7" top="0.75"/>
  <pageSetup cellComments="atEnd" orientation="landscape" pageOrder="overThenDown" paperHeight="17.75in" paperWidth="47.95000076293945i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0.57"/>
    <col customWidth="1" min="3" max="3" width="18.86"/>
    <col customWidth="1" min="4" max="4" width="18.29"/>
    <col customWidth="1" min="5" max="5" width="19.14"/>
    <col customWidth="1" min="6" max="6" width="17.43"/>
    <col customWidth="1" min="7" max="7" width="17.86"/>
    <col customWidth="1" min="8" max="8" width="19.0"/>
  </cols>
  <sheetData>
    <row r="1">
      <c r="B1" s="57"/>
      <c r="I1" s="49" t="s">
        <v>87</v>
      </c>
    </row>
    <row r="2">
      <c r="A2" s="58"/>
      <c r="B2" s="70"/>
      <c r="C2" s="59" t="s">
        <v>90</v>
      </c>
      <c r="I2" s="49" t="s">
        <v>88</v>
      </c>
    </row>
    <row r="3">
      <c r="A3" s="58"/>
      <c r="B3" s="70"/>
    </row>
    <row r="4" ht="3.0" customHeight="1">
      <c r="A4" s="57"/>
      <c r="B4" s="60"/>
      <c r="C4" s="60"/>
      <c r="D4" s="60"/>
      <c r="E4" s="60"/>
      <c r="F4" s="60"/>
      <c r="G4" s="60"/>
      <c r="H4" s="60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</row>
    <row r="5">
      <c r="A5" s="61"/>
      <c r="B5" s="71"/>
      <c r="C5" s="61">
        <v>2.0</v>
      </c>
      <c r="D5" s="61">
        <v>5.0</v>
      </c>
      <c r="E5" s="61">
        <v>15.0</v>
      </c>
      <c r="F5" s="61">
        <v>30.0</v>
      </c>
      <c r="G5" s="61">
        <v>45.0</v>
      </c>
      <c r="H5" s="61">
        <v>60.0</v>
      </c>
    </row>
    <row r="6">
      <c r="A6" s="62" t="s">
        <v>83</v>
      </c>
      <c r="B6" s="60"/>
      <c r="C6" s="62">
        <v>7.0</v>
      </c>
      <c r="D6" s="62">
        <v>5.0</v>
      </c>
      <c r="E6" s="66">
        <v>3.0</v>
      </c>
      <c r="F6" s="62">
        <v>7.0</v>
      </c>
      <c r="G6" s="62">
        <v>6.0</v>
      </c>
      <c r="H6" s="62">
        <v>4.0</v>
      </c>
      <c r="J6" s="66"/>
    </row>
    <row r="7">
      <c r="A7" s="62"/>
      <c r="B7" s="60"/>
      <c r="C7" s="67">
        <v>7.0</v>
      </c>
      <c r="D7" s="62">
        <v>6.0</v>
      </c>
      <c r="E7" s="62">
        <v>5.0</v>
      </c>
      <c r="F7" s="66">
        <v>7.0</v>
      </c>
      <c r="G7" s="62">
        <v>7.0</v>
      </c>
      <c r="H7" s="66">
        <v>5.0</v>
      </c>
      <c r="J7" s="66"/>
    </row>
    <row r="8">
      <c r="A8" s="62"/>
      <c r="B8" s="60"/>
      <c r="C8" s="62">
        <v>8.0</v>
      </c>
      <c r="D8" s="66">
        <v>6.0</v>
      </c>
      <c r="E8" s="66">
        <v>5.0</v>
      </c>
      <c r="F8" s="66">
        <v>8.0</v>
      </c>
      <c r="G8" s="66">
        <v>7.0</v>
      </c>
      <c r="H8" s="62">
        <v>6.0</v>
      </c>
      <c r="J8" s="66"/>
    </row>
    <row r="9">
      <c r="A9" s="62"/>
      <c r="B9" s="60"/>
      <c r="C9" s="66">
        <v>8.0</v>
      </c>
      <c r="D9" s="66">
        <v>7.0</v>
      </c>
      <c r="E9" s="72">
        <v>6.0</v>
      </c>
      <c r="F9" s="66">
        <v>9.0</v>
      </c>
      <c r="G9" s="66">
        <v>7.0</v>
      </c>
      <c r="H9" s="66">
        <v>9.0</v>
      </c>
      <c r="J9" s="66"/>
    </row>
    <row r="10">
      <c r="A10" s="62"/>
      <c r="B10" s="60"/>
      <c r="C10" s="66">
        <v>8.0</v>
      </c>
      <c r="D10" s="66">
        <v>7.0</v>
      </c>
      <c r="E10" s="66">
        <v>7.0</v>
      </c>
      <c r="J10" s="62"/>
    </row>
    <row r="11">
      <c r="A11" s="62"/>
      <c r="B11" s="60"/>
      <c r="C11" s="66">
        <v>9.0</v>
      </c>
      <c r="F11" s="66"/>
      <c r="G11" s="66"/>
      <c r="H11" s="66"/>
      <c r="J11" s="66"/>
    </row>
    <row r="12">
      <c r="A12" s="62" t="s">
        <v>84</v>
      </c>
      <c r="B12" s="60"/>
      <c r="C12" s="66">
        <v>9.0</v>
      </c>
      <c r="D12" s="66">
        <v>8.0</v>
      </c>
      <c r="E12" s="66">
        <v>8.0</v>
      </c>
      <c r="F12" s="62">
        <v>10.0</v>
      </c>
      <c r="G12" s="66">
        <v>8.0</v>
      </c>
      <c r="H12" s="66">
        <v>9.0</v>
      </c>
      <c r="J12" s="67"/>
    </row>
    <row r="13">
      <c r="A13" s="62"/>
      <c r="B13" s="60"/>
      <c r="C13" s="67"/>
      <c r="D13" s="66"/>
      <c r="E13" s="66"/>
      <c r="F13" s="66"/>
      <c r="G13" s="66"/>
      <c r="H13" s="66"/>
    </row>
    <row r="14" ht="3.0" customHeight="1">
      <c r="A14" s="57"/>
      <c r="B14" s="60"/>
      <c r="C14" s="60"/>
      <c r="D14" s="60"/>
      <c r="E14" s="60"/>
      <c r="F14" s="60"/>
      <c r="G14" s="60"/>
      <c r="H14" s="60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</row>
    <row r="15" ht="21.0" customHeight="1">
      <c r="A15" s="68" t="s">
        <v>62</v>
      </c>
      <c r="B15" s="73"/>
      <c r="C15" s="74">
        <f t="shared" ref="C15:H15" si="1">MEDIAN(C6:C13)</f>
        <v>8</v>
      </c>
      <c r="D15" s="74">
        <f t="shared" si="1"/>
        <v>6.5</v>
      </c>
      <c r="E15" s="74">
        <f t="shared" si="1"/>
        <v>5.5</v>
      </c>
      <c r="F15" s="74">
        <f t="shared" si="1"/>
        <v>8</v>
      </c>
      <c r="G15" s="74">
        <f t="shared" si="1"/>
        <v>7</v>
      </c>
      <c r="H15" s="74">
        <f t="shared" si="1"/>
        <v>6</v>
      </c>
    </row>
    <row r="16" ht="19.5" customHeight="1">
      <c r="A16" s="68" t="s">
        <v>65</v>
      </c>
      <c r="B16" s="73"/>
      <c r="C16" s="74">
        <f t="shared" ref="C16:H16" si="2">AVERAGE(C6:C13)</f>
        <v>8</v>
      </c>
      <c r="D16" s="74">
        <f t="shared" si="2"/>
        <v>6.5</v>
      </c>
      <c r="E16" s="74">
        <f t="shared" si="2"/>
        <v>5.666666667</v>
      </c>
      <c r="F16" s="74">
        <f t="shared" si="2"/>
        <v>8.2</v>
      </c>
      <c r="G16" s="74">
        <f t="shared" si="2"/>
        <v>7</v>
      </c>
      <c r="H16" s="74">
        <f t="shared" si="2"/>
        <v>6.6</v>
      </c>
    </row>
    <row r="17" ht="19.5" customHeight="1">
      <c r="A17" s="68" t="s">
        <v>68</v>
      </c>
      <c r="B17" s="60"/>
      <c r="C17" s="74">
        <f t="shared" ref="C17:H17" si="3">STDEV(C6:C13)</f>
        <v>0.8164965809</v>
      </c>
      <c r="D17" s="74">
        <f t="shared" si="3"/>
        <v>1.048808848</v>
      </c>
      <c r="E17" s="74">
        <f t="shared" si="3"/>
        <v>1.751190072</v>
      </c>
      <c r="F17" s="74">
        <f t="shared" si="3"/>
        <v>1.303840481</v>
      </c>
      <c r="G17" s="74">
        <f t="shared" si="3"/>
        <v>0.7071067812</v>
      </c>
      <c r="H17" s="74">
        <f t="shared" si="3"/>
        <v>2.302172887</v>
      </c>
    </row>
    <row r="18" ht="3.0" customHeight="1">
      <c r="A18" s="57"/>
      <c r="B18" s="60"/>
      <c r="C18" s="60"/>
      <c r="D18" s="60"/>
      <c r="E18" s="60"/>
      <c r="F18" s="60"/>
      <c r="G18" s="60"/>
      <c r="H18" s="60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</row>
    <row r="19">
      <c r="B19" s="57"/>
    </row>
    <row r="20">
      <c r="B20" s="57"/>
    </row>
    <row r="21">
      <c r="B21" s="57"/>
    </row>
    <row r="22">
      <c r="B22" s="57"/>
    </row>
    <row r="23">
      <c r="B23" s="57"/>
    </row>
    <row r="24">
      <c r="B24" s="57"/>
    </row>
    <row r="25">
      <c r="B25" s="57"/>
    </row>
    <row r="26">
      <c r="B26" s="57"/>
    </row>
    <row r="27">
      <c r="B27" s="57"/>
    </row>
    <row r="28">
      <c r="B28" s="57"/>
    </row>
    <row r="29">
      <c r="B29" s="57"/>
    </row>
    <row r="30">
      <c r="B30" s="57"/>
    </row>
    <row r="31">
      <c r="B31" s="57"/>
    </row>
    <row r="32">
      <c r="B32" s="57"/>
    </row>
    <row r="33">
      <c r="B33" s="57"/>
    </row>
    <row r="34">
      <c r="B34" s="57"/>
    </row>
    <row r="35">
      <c r="B35" s="57"/>
    </row>
    <row r="36">
      <c r="B36" s="57"/>
    </row>
    <row r="37">
      <c r="B37" s="57"/>
    </row>
    <row r="38">
      <c r="B38" s="57"/>
    </row>
    <row r="39">
      <c r="B39" s="57"/>
    </row>
    <row r="40">
      <c r="B40" s="57"/>
    </row>
    <row r="41">
      <c r="B41" s="57"/>
    </row>
    <row r="42">
      <c r="B42" s="57"/>
    </row>
    <row r="43">
      <c r="B43" s="57"/>
    </row>
    <row r="44">
      <c r="B44" s="57"/>
    </row>
    <row r="45">
      <c r="B45" s="57"/>
    </row>
    <row r="46">
      <c r="B46" s="57"/>
    </row>
    <row r="47">
      <c r="B47" s="57"/>
    </row>
    <row r="48">
      <c r="B48" s="57"/>
    </row>
    <row r="49">
      <c r="B49" s="57"/>
    </row>
    <row r="50">
      <c r="B50" s="57"/>
    </row>
    <row r="51">
      <c r="B51" s="57"/>
    </row>
    <row r="52">
      <c r="B52" s="57"/>
    </row>
    <row r="53">
      <c r="B53" s="57"/>
    </row>
    <row r="54">
      <c r="B54" s="57"/>
    </row>
    <row r="55">
      <c r="B55" s="57"/>
    </row>
    <row r="56">
      <c r="B56" s="57"/>
    </row>
    <row r="57">
      <c r="B57" s="57"/>
    </row>
    <row r="58">
      <c r="B58" s="57"/>
    </row>
    <row r="59">
      <c r="B59" s="57"/>
    </row>
    <row r="60">
      <c r="B60" s="57"/>
    </row>
    <row r="61">
      <c r="B61" s="57"/>
    </row>
    <row r="62">
      <c r="B62" s="57"/>
    </row>
    <row r="63">
      <c r="B63" s="57"/>
    </row>
    <row r="64">
      <c r="B64" s="57"/>
    </row>
    <row r="65">
      <c r="B65" s="57"/>
    </row>
    <row r="66">
      <c r="B66" s="57"/>
    </row>
    <row r="67">
      <c r="B67" s="57"/>
    </row>
    <row r="68">
      <c r="B68" s="57"/>
    </row>
    <row r="69">
      <c r="B69" s="57"/>
    </row>
    <row r="70">
      <c r="B70" s="57"/>
    </row>
    <row r="71">
      <c r="B71" s="57"/>
    </row>
    <row r="72">
      <c r="B72" s="57"/>
    </row>
    <row r="73">
      <c r="B73" s="57"/>
    </row>
    <row r="74">
      <c r="B74" s="57"/>
    </row>
    <row r="75">
      <c r="B75" s="57"/>
    </row>
    <row r="76">
      <c r="B76" s="57"/>
    </row>
    <row r="77">
      <c r="B77" s="57"/>
    </row>
    <row r="78">
      <c r="B78" s="57"/>
    </row>
    <row r="79">
      <c r="B79" s="57"/>
    </row>
    <row r="80">
      <c r="B80" s="57"/>
    </row>
    <row r="81">
      <c r="B81" s="57"/>
    </row>
    <row r="82">
      <c r="B82" s="57"/>
    </row>
    <row r="83">
      <c r="B83" s="57"/>
    </row>
    <row r="84">
      <c r="B84" s="57"/>
    </row>
    <row r="85">
      <c r="B85" s="57"/>
    </row>
    <row r="86">
      <c r="B86" s="57"/>
    </row>
    <row r="87">
      <c r="B87" s="57"/>
    </row>
    <row r="88">
      <c r="B88" s="57"/>
    </row>
    <row r="89">
      <c r="B89" s="57"/>
    </row>
    <row r="90">
      <c r="B90" s="57"/>
    </row>
    <row r="91">
      <c r="B91" s="57"/>
    </row>
    <row r="92">
      <c r="B92" s="57"/>
    </row>
    <row r="93">
      <c r="B93" s="57"/>
    </row>
    <row r="94">
      <c r="B94" s="57"/>
    </row>
    <row r="95">
      <c r="B95" s="57"/>
    </row>
    <row r="96">
      <c r="B96" s="57"/>
    </row>
    <row r="97">
      <c r="B97" s="57"/>
    </row>
    <row r="98">
      <c r="B98" s="57"/>
    </row>
    <row r="99">
      <c r="B99" s="57"/>
    </row>
    <row r="100">
      <c r="B100" s="57"/>
    </row>
    <row r="101">
      <c r="B101" s="57"/>
    </row>
    <row r="102">
      <c r="B102" s="57"/>
    </row>
    <row r="103">
      <c r="B103" s="57"/>
    </row>
    <row r="104">
      <c r="B104" s="57"/>
    </row>
    <row r="105">
      <c r="B105" s="57"/>
    </row>
    <row r="106">
      <c r="B106" s="57"/>
    </row>
    <row r="107">
      <c r="B107" s="57"/>
    </row>
    <row r="108">
      <c r="B108" s="57"/>
    </row>
    <row r="109">
      <c r="B109" s="57"/>
    </row>
    <row r="110">
      <c r="B110" s="57"/>
    </row>
    <row r="111">
      <c r="B111" s="57"/>
    </row>
    <row r="112">
      <c r="B112" s="57"/>
    </row>
    <row r="113">
      <c r="B113" s="57"/>
    </row>
    <row r="114">
      <c r="B114" s="57"/>
    </row>
    <row r="115">
      <c r="B115" s="57"/>
    </row>
    <row r="116">
      <c r="B116" s="57"/>
    </row>
    <row r="117">
      <c r="B117" s="57"/>
    </row>
    <row r="118">
      <c r="B118" s="57"/>
    </row>
    <row r="119">
      <c r="B119" s="57"/>
    </row>
    <row r="120">
      <c r="B120" s="57"/>
    </row>
    <row r="121">
      <c r="B121" s="57"/>
    </row>
    <row r="122">
      <c r="B122" s="57"/>
    </row>
    <row r="123">
      <c r="B123" s="57"/>
    </row>
    <row r="124">
      <c r="B124" s="57"/>
    </row>
    <row r="125">
      <c r="B125" s="57"/>
    </row>
    <row r="126">
      <c r="B126" s="57"/>
    </row>
    <row r="127">
      <c r="B127" s="57"/>
    </row>
    <row r="128">
      <c r="B128" s="57"/>
    </row>
    <row r="129">
      <c r="B129" s="57"/>
    </row>
    <row r="130">
      <c r="B130" s="57"/>
    </row>
    <row r="131">
      <c r="B131" s="57"/>
    </row>
    <row r="132">
      <c r="B132" s="57"/>
    </row>
    <row r="133">
      <c r="B133" s="57"/>
    </row>
    <row r="134">
      <c r="B134" s="57"/>
    </row>
    <row r="135">
      <c r="B135" s="57"/>
    </row>
    <row r="136">
      <c r="B136" s="57"/>
    </row>
    <row r="137">
      <c r="B137" s="57"/>
    </row>
    <row r="138">
      <c r="B138" s="57"/>
    </row>
    <row r="139">
      <c r="B139" s="57"/>
    </row>
    <row r="140">
      <c r="B140" s="57"/>
    </row>
    <row r="141">
      <c r="B141" s="57"/>
    </row>
    <row r="142">
      <c r="B142" s="57"/>
    </row>
    <row r="143">
      <c r="B143" s="57"/>
    </row>
    <row r="144">
      <c r="B144" s="57"/>
    </row>
    <row r="145">
      <c r="B145" s="57"/>
    </row>
    <row r="146">
      <c r="B146" s="57"/>
    </row>
    <row r="147">
      <c r="B147" s="57"/>
    </row>
    <row r="148">
      <c r="B148" s="57"/>
    </row>
    <row r="149">
      <c r="B149" s="57"/>
    </row>
    <row r="150">
      <c r="B150" s="57"/>
    </row>
    <row r="151">
      <c r="B151" s="57"/>
    </row>
    <row r="152">
      <c r="B152" s="57"/>
    </row>
    <row r="153">
      <c r="B153" s="57"/>
    </row>
    <row r="154">
      <c r="B154" s="57"/>
    </row>
    <row r="155">
      <c r="B155" s="57"/>
    </row>
    <row r="156">
      <c r="B156" s="57"/>
    </row>
    <row r="157">
      <c r="B157" s="57"/>
    </row>
    <row r="158">
      <c r="B158" s="57"/>
    </row>
    <row r="159">
      <c r="B159" s="57"/>
    </row>
    <row r="160">
      <c r="B160" s="57"/>
    </row>
    <row r="161">
      <c r="B161" s="57"/>
    </row>
    <row r="162">
      <c r="B162" s="57"/>
    </row>
    <row r="163">
      <c r="B163" s="57"/>
    </row>
    <row r="164">
      <c r="B164" s="57"/>
    </row>
    <row r="165">
      <c r="B165" s="57"/>
    </row>
    <row r="166">
      <c r="B166" s="57"/>
    </row>
    <row r="167">
      <c r="B167" s="57"/>
    </row>
    <row r="168">
      <c r="B168" s="57"/>
    </row>
    <row r="169">
      <c r="B169" s="57"/>
    </row>
    <row r="170">
      <c r="B170" s="57"/>
    </row>
    <row r="171">
      <c r="B171" s="57"/>
    </row>
    <row r="172">
      <c r="B172" s="57"/>
    </row>
    <row r="173">
      <c r="B173" s="57"/>
    </row>
    <row r="174">
      <c r="B174" s="57"/>
    </row>
    <row r="175">
      <c r="B175" s="57"/>
    </row>
    <row r="176">
      <c r="B176" s="57"/>
    </row>
    <row r="177">
      <c r="B177" s="57"/>
    </row>
    <row r="178">
      <c r="B178" s="57"/>
    </row>
    <row r="179">
      <c r="B179" s="57"/>
    </row>
    <row r="180">
      <c r="B180" s="57"/>
    </row>
    <row r="181">
      <c r="B181" s="57"/>
    </row>
    <row r="182">
      <c r="B182" s="57"/>
    </row>
    <row r="183">
      <c r="B183" s="57"/>
    </row>
    <row r="184">
      <c r="B184" s="57"/>
    </row>
    <row r="185">
      <c r="B185" s="57"/>
    </row>
    <row r="186">
      <c r="B186" s="57"/>
    </row>
    <row r="187">
      <c r="B187" s="57"/>
    </row>
    <row r="188">
      <c r="B188" s="57"/>
    </row>
    <row r="189">
      <c r="B189" s="57"/>
    </row>
    <row r="190">
      <c r="B190" s="57"/>
    </row>
    <row r="191">
      <c r="B191" s="57"/>
    </row>
    <row r="192">
      <c r="B192" s="57"/>
    </row>
    <row r="193">
      <c r="B193" s="57"/>
    </row>
    <row r="194">
      <c r="B194" s="57"/>
    </row>
    <row r="195">
      <c r="B195" s="57"/>
    </row>
    <row r="196">
      <c r="B196" s="57"/>
    </row>
    <row r="197">
      <c r="B197" s="57"/>
    </row>
    <row r="198">
      <c r="B198" s="57"/>
    </row>
    <row r="199">
      <c r="B199" s="57"/>
    </row>
    <row r="200">
      <c r="B200" s="57"/>
    </row>
    <row r="201">
      <c r="B201" s="57"/>
    </row>
    <row r="202">
      <c r="B202" s="57"/>
    </row>
    <row r="203">
      <c r="B203" s="57"/>
    </row>
    <row r="204">
      <c r="B204" s="57"/>
    </row>
    <row r="205">
      <c r="B205" s="57"/>
    </row>
    <row r="206">
      <c r="B206" s="57"/>
    </row>
    <row r="207">
      <c r="B207" s="57"/>
    </row>
    <row r="208">
      <c r="B208" s="57"/>
    </row>
    <row r="209">
      <c r="B209" s="57"/>
    </row>
    <row r="210">
      <c r="B210" s="57"/>
    </row>
    <row r="211">
      <c r="B211" s="57"/>
    </row>
    <row r="212">
      <c r="B212" s="57"/>
    </row>
    <row r="213">
      <c r="B213" s="57"/>
    </row>
    <row r="214">
      <c r="B214" s="57"/>
    </row>
    <row r="215">
      <c r="B215" s="57"/>
    </row>
    <row r="216">
      <c r="B216" s="57"/>
    </row>
    <row r="217">
      <c r="B217" s="57"/>
    </row>
    <row r="218">
      <c r="B218" s="57"/>
    </row>
    <row r="219">
      <c r="B219" s="57"/>
    </row>
    <row r="220">
      <c r="B220" s="57"/>
    </row>
    <row r="221">
      <c r="B221" s="57"/>
    </row>
    <row r="222">
      <c r="B222" s="57"/>
    </row>
    <row r="223">
      <c r="B223" s="57"/>
    </row>
    <row r="224">
      <c r="B224" s="57"/>
    </row>
    <row r="225">
      <c r="B225" s="57"/>
    </row>
    <row r="226">
      <c r="B226" s="57"/>
    </row>
    <row r="227">
      <c r="B227" s="57"/>
    </row>
    <row r="228">
      <c r="B228" s="57"/>
    </row>
    <row r="229">
      <c r="B229" s="57"/>
    </row>
    <row r="230">
      <c r="B230" s="57"/>
    </row>
    <row r="231">
      <c r="B231" s="57"/>
    </row>
    <row r="232">
      <c r="B232" s="57"/>
    </row>
    <row r="233">
      <c r="B233" s="57"/>
    </row>
    <row r="234">
      <c r="B234" s="57"/>
    </row>
    <row r="235">
      <c r="B235" s="57"/>
    </row>
    <row r="236">
      <c r="B236" s="57"/>
    </row>
    <row r="237">
      <c r="B237" s="57"/>
    </row>
    <row r="238">
      <c r="B238" s="57"/>
    </row>
    <row r="239">
      <c r="B239" s="57"/>
    </row>
    <row r="240">
      <c r="B240" s="57"/>
    </row>
    <row r="241">
      <c r="B241" s="57"/>
    </row>
    <row r="242">
      <c r="B242" s="57"/>
    </row>
    <row r="243">
      <c r="B243" s="57"/>
    </row>
    <row r="244">
      <c r="B244" s="57"/>
    </row>
    <row r="245">
      <c r="B245" s="57"/>
    </row>
    <row r="246">
      <c r="B246" s="57"/>
    </row>
    <row r="247">
      <c r="B247" s="57"/>
    </row>
    <row r="248">
      <c r="B248" s="57"/>
    </row>
    <row r="249">
      <c r="B249" s="57"/>
    </row>
    <row r="250">
      <c r="B250" s="57"/>
    </row>
    <row r="251">
      <c r="B251" s="57"/>
    </row>
    <row r="252">
      <c r="B252" s="57"/>
    </row>
    <row r="253">
      <c r="B253" s="57"/>
    </row>
    <row r="254">
      <c r="B254" s="57"/>
    </row>
    <row r="255">
      <c r="B255" s="57"/>
    </row>
    <row r="256">
      <c r="B256" s="57"/>
    </row>
    <row r="257">
      <c r="B257" s="57"/>
    </row>
    <row r="258">
      <c r="B258" s="57"/>
    </row>
    <row r="259">
      <c r="B259" s="57"/>
    </row>
    <row r="260">
      <c r="B260" s="57"/>
    </row>
    <row r="261">
      <c r="B261" s="57"/>
    </row>
    <row r="262">
      <c r="B262" s="57"/>
    </row>
    <row r="263">
      <c r="B263" s="57"/>
    </row>
    <row r="264">
      <c r="B264" s="57"/>
    </row>
    <row r="265">
      <c r="B265" s="57"/>
    </row>
    <row r="266">
      <c r="B266" s="57"/>
    </row>
    <row r="267">
      <c r="B267" s="57"/>
    </row>
    <row r="268">
      <c r="B268" s="57"/>
    </row>
    <row r="269">
      <c r="B269" s="57"/>
    </row>
    <row r="270">
      <c r="B270" s="57"/>
    </row>
    <row r="271">
      <c r="B271" s="57"/>
    </row>
    <row r="272">
      <c r="B272" s="57"/>
    </row>
    <row r="273">
      <c r="B273" s="57"/>
    </row>
    <row r="274">
      <c r="B274" s="57"/>
    </row>
    <row r="275">
      <c r="B275" s="57"/>
    </row>
    <row r="276">
      <c r="B276" s="57"/>
    </row>
    <row r="277">
      <c r="B277" s="57"/>
    </row>
    <row r="278">
      <c r="B278" s="57"/>
    </row>
    <row r="279">
      <c r="B279" s="57"/>
    </row>
    <row r="280">
      <c r="B280" s="57"/>
    </row>
    <row r="281">
      <c r="B281" s="57"/>
    </row>
    <row r="282">
      <c r="B282" s="57"/>
    </row>
    <row r="283">
      <c r="B283" s="57"/>
    </row>
    <row r="284">
      <c r="B284" s="57"/>
    </row>
    <row r="285">
      <c r="B285" s="57"/>
    </row>
    <row r="286">
      <c r="B286" s="57"/>
    </row>
    <row r="287">
      <c r="B287" s="57"/>
    </row>
    <row r="288">
      <c r="B288" s="57"/>
    </row>
    <row r="289">
      <c r="B289" s="57"/>
    </row>
    <row r="290">
      <c r="B290" s="57"/>
    </row>
    <row r="291">
      <c r="B291" s="57"/>
    </row>
    <row r="292">
      <c r="B292" s="57"/>
    </row>
    <row r="293">
      <c r="B293" s="57"/>
    </row>
    <row r="294">
      <c r="B294" s="57"/>
    </row>
    <row r="295">
      <c r="B295" s="57"/>
    </row>
    <row r="296">
      <c r="B296" s="57"/>
    </row>
    <row r="297">
      <c r="B297" s="57"/>
    </row>
    <row r="298">
      <c r="B298" s="57"/>
    </row>
    <row r="299">
      <c r="B299" s="57"/>
    </row>
    <row r="300">
      <c r="B300" s="57"/>
    </row>
    <row r="301">
      <c r="B301" s="57"/>
    </row>
    <row r="302">
      <c r="B302" s="57"/>
    </row>
    <row r="303">
      <c r="B303" s="57"/>
    </row>
    <row r="304">
      <c r="B304" s="57"/>
    </row>
    <row r="305">
      <c r="B305" s="57"/>
    </row>
    <row r="306">
      <c r="B306" s="57"/>
    </row>
    <row r="307">
      <c r="B307" s="57"/>
    </row>
    <row r="308">
      <c r="B308" s="57"/>
    </row>
    <row r="309">
      <c r="B309" s="57"/>
    </row>
    <row r="310">
      <c r="B310" s="57"/>
    </row>
    <row r="311">
      <c r="B311" s="57"/>
    </row>
    <row r="312">
      <c r="B312" s="57"/>
    </row>
    <row r="313">
      <c r="B313" s="57"/>
    </row>
    <row r="314">
      <c r="B314" s="57"/>
    </row>
    <row r="315">
      <c r="B315" s="57"/>
    </row>
    <row r="316">
      <c r="B316" s="57"/>
    </row>
    <row r="317">
      <c r="B317" s="57"/>
    </row>
    <row r="318">
      <c r="B318" s="57"/>
    </row>
    <row r="319">
      <c r="B319" s="57"/>
    </row>
    <row r="320">
      <c r="B320" s="57"/>
    </row>
    <row r="321">
      <c r="B321" s="57"/>
    </row>
    <row r="322">
      <c r="B322" s="57"/>
    </row>
    <row r="323">
      <c r="B323" s="57"/>
    </row>
    <row r="324">
      <c r="B324" s="57"/>
    </row>
    <row r="325">
      <c r="B325" s="57"/>
    </row>
    <row r="326">
      <c r="B326" s="57"/>
    </row>
    <row r="327">
      <c r="B327" s="57"/>
    </row>
    <row r="328">
      <c r="B328" s="57"/>
    </row>
    <row r="329">
      <c r="B329" s="57"/>
    </row>
    <row r="330">
      <c r="B330" s="57"/>
    </row>
    <row r="331">
      <c r="B331" s="57"/>
    </row>
    <row r="332">
      <c r="B332" s="57"/>
    </row>
    <row r="333">
      <c r="B333" s="57"/>
    </row>
    <row r="334">
      <c r="B334" s="57"/>
    </row>
    <row r="335">
      <c r="B335" s="57"/>
    </row>
    <row r="336">
      <c r="B336" s="57"/>
    </row>
    <row r="337">
      <c r="B337" s="57"/>
    </row>
    <row r="338">
      <c r="B338" s="57"/>
    </row>
    <row r="339">
      <c r="B339" s="57"/>
    </row>
    <row r="340">
      <c r="B340" s="57"/>
    </row>
    <row r="341">
      <c r="B341" s="57"/>
    </row>
    <row r="342">
      <c r="B342" s="57"/>
    </row>
    <row r="343">
      <c r="B343" s="57"/>
    </row>
    <row r="344">
      <c r="B344" s="57"/>
    </row>
    <row r="345">
      <c r="B345" s="57"/>
    </row>
    <row r="346">
      <c r="B346" s="57"/>
    </row>
    <row r="347">
      <c r="B347" s="57"/>
    </row>
    <row r="348">
      <c r="B348" s="57"/>
    </row>
    <row r="349">
      <c r="B349" s="57"/>
    </row>
    <row r="350">
      <c r="B350" s="57"/>
    </row>
    <row r="351">
      <c r="B351" s="57"/>
    </row>
    <row r="352">
      <c r="B352" s="57"/>
    </row>
    <row r="353">
      <c r="B353" s="57"/>
    </row>
    <row r="354">
      <c r="B354" s="57"/>
    </row>
    <row r="355">
      <c r="B355" s="57"/>
    </row>
    <row r="356">
      <c r="B356" s="57"/>
    </row>
    <row r="357">
      <c r="B357" s="57"/>
    </row>
    <row r="358">
      <c r="B358" s="57"/>
    </row>
    <row r="359">
      <c r="B359" s="57"/>
    </row>
    <row r="360">
      <c r="B360" s="57"/>
    </row>
    <row r="361">
      <c r="B361" s="57"/>
    </row>
    <row r="362">
      <c r="B362" s="57"/>
    </row>
    <row r="363">
      <c r="B363" s="57"/>
    </row>
    <row r="364">
      <c r="B364" s="57"/>
    </row>
    <row r="365">
      <c r="B365" s="57"/>
    </row>
    <row r="366">
      <c r="B366" s="57"/>
    </row>
    <row r="367">
      <c r="B367" s="57"/>
    </row>
    <row r="368">
      <c r="B368" s="57"/>
    </row>
    <row r="369">
      <c r="B369" s="57"/>
    </row>
    <row r="370">
      <c r="B370" s="57"/>
    </row>
    <row r="371">
      <c r="B371" s="57"/>
    </row>
    <row r="372">
      <c r="B372" s="57"/>
    </row>
    <row r="373">
      <c r="B373" s="57"/>
    </row>
    <row r="374">
      <c r="B374" s="57"/>
    </row>
    <row r="375">
      <c r="B375" s="57"/>
    </row>
    <row r="376">
      <c r="B376" s="57"/>
    </row>
    <row r="377">
      <c r="B377" s="57"/>
    </row>
    <row r="378">
      <c r="B378" s="57"/>
    </row>
    <row r="379">
      <c r="B379" s="57"/>
    </row>
    <row r="380">
      <c r="B380" s="57"/>
    </row>
    <row r="381">
      <c r="B381" s="57"/>
    </row>
    <row r="382">
      <c r="B382" s="57"/>
    </row>
    <row r="383">
      <c r="B383" s="57"/>
    </row>
    <row r="384">
      <c r="B384" s="57"/>
    </row>
    <row r="385">
      <c r="B385" s="57"/>
    </row>
    <row r="386">
      <c r="B386" s="57"/>
    </row>
    <row r="387">
      <c r="B387" s="57"/>
    </row>
    <row r="388">
      <c r="B388" s="57"/>
    </row>
    <row r="389">
      <c r="B389" s="57"/>
    </row>
    <row r="390">
      <c r="B390" s="57"/>
    </row>
    <row r="391">
      <c r="B391" s="57"/>
    </row>
    <row r="392">
      <c r="B392" s="57"/>
    </row>
    <row r="393">
      <c r="B393" s="57"/>
    </row>
    <row r="394">
      <c r="B394" s="57"/>
    </row>
    <row r="395">
      <c r="B395" s="57"/>
    </row>
    <row r="396">
      <c r="B396" s="57"/>
    </row>
    <row r="397">
      <c r="B397" s="57"/>
    </row>
    <row r="398">
      <c r="B398" s="57"/>
    </row>
    <row r="399">
      <c r="B399" s="57"/>
    </row>
    <row r="400">
      <c r="B400" s="57"/>
    </row>
    <row r="401">
      <c r="B401" s="57"/>
    </row>
    <row r="402">
      <c r="B402" s="57"/>
    </row>
    <row r="403">
      <c r="B403" s="57"/>
    </row>
    <row r="404">
      <c r="B404" s="57"/>
    </row>
    <row r="405">
      <c r="B405" s="57"/>
    </row>
    <row r="406">
      <c r="B406" s="57"/>
    </row>
    <row r="407">
      <c r="B407" s="57"/>
    </row>
    <row r="408">
      <c r="B408" s="57"/>
    </row>
    <row r="409">
      <c r="B409" s="57"/>
    </row>
    <row r="410">
      <c r="B410" s="57"/>
    </row>
    <row r="411">
      <c r="B411" s="57"/>
    </row>
    <row r="412">
      <c r="B412" s="57"/>
    </row>
    <row r="413">
      <c r="B413" s="57"/>
    </row>
    <row r="414">
      <c r="B414" s="57"/>
    </row>
    <row r="415">
      <c r="B415" s="57"/>
    </row>
    <row r="416">
      <c r="B416" s="57"/>
    </row>
    <row r="417">
      <c r="B417" s="57"/>
    </row>
    <row r="418">
      <c r="B418" s="57"/>
    </row>
    <row r="419">
      <c r="B419" s="57"/>
    </row>
    <row r="420">
      <c r="B420" s="57"/>
    </row>
    <row r="421">
      <c r="B421" s="57"/>
    </row>
    <row r="422">
      <c r="B422" s="57"/>
    </row>
    <row r="423">
      <c r="B423" s="57"/>
    </row>
    <row r="424">
      <c r="B424" s="57"/>
    </row>
    <row r="425">
      <c r="B425" s="57"/>
    </row>
    <row r="426">
      <c r="B426" s="57"/>
    </row>
    <row r="427">
      <c r="B427" s="57"/>
    </row>
    <row r="428">
      <c r="B428" s="57"/>
    </row>
    <row r="429">
      <c r="B429" s="57"/>
    </row>
    <row r="430">
      <c r="B430" s="57"/>
    </row>
    <row r="431">
      <c r="B431" s="57"/>
    </row>
    <row r="432">
      <c r="B432" s="57"/>
    </row>
    <row r="433">
      <c r="B433" s="57"/>
    </row>
    <row r="434">
      <c r="B434" s="57"/>
    </row>
    <row r="435">
      <c r="B435" s="57"/>
    </row>
    <row r="436">
      <c r="B436" s="57"/>
    </row>
    <row r="437">
      <c r="B437" s="57"/>
    </row>
    <row r="438">
      <c r="B438" s="57"/>
    </row>
    <row r="439">
      <c r="B439" s="57"/>
    </row>
    <row r="440">
      <c r="B440" s="57"/>
    </row>
    <row r="441">
      <c r="B441" s="57"/>
    </row>
    <row r="442">
      <c r="B442" s="57"/>
    </row>
    <row r="443">
      <c r="B443" s="57"/>
    </row>
    <row r="444">
      <c r="B444" s="57"/>
    </row>
    <row r="445">
      <c r="B445" s="57"/>
    </row>
    <row r="446">
      <c r="B446" s="57"/>
    </row>
    <row r="447">
      <c r="B447" s="57"/>
    </row>
    <row r="448">
      <c r="B448" s="57"/>
    </row>
    <row r="449">
      <c r="B449" s="57"/>
    </row>
    <row r="450">
      <c r="B450" s="57"/>
    </row>
    <row r="451">
      <c r="B451" s="57"/>
    </row>
    <row r="452">
      <c r="B452" s="57"/>
    </row>
    <row r="453">
      <c r="B453" s="57"/>
    </row>
    <row r="454">
      <c r="B454" s="57"/>
    </row>
    <row r="455">
      <c r="B455" s="57"/>
    </row>
    <row r="456">
      <c r="B456" s="57"/>
    </row>
    <row r="457">
      <c r="B457" s="57"/>
    </row>
    <row r="458">
      <c r="B458" s="57"/>
    </row>
    <row r="459">
      <c r="B459" s="57"/>
    </row>
    <row r="460">
      <c r="B460" s="57"/>
    </row>
    <row r="461">
      <c r="B461" s="57"/>
    </row>
    <row r="462">
      <c r="B462" s="57"/>
    </row>
    <row r="463">
      <c r="B463" s="57"/>
    </row>
    <row r="464">
      <c r="B464" s="57"/>
    </row>
    <row r="465">
      <c r="B465" s="57"/>
    </row>
    <row r="466">
      <c r="B466" s="57"/>
    </row>
    <row r="467">
      <c r="B467" s="57"/>
    </row>
    <row r="468">
      <c r="B468" s="57"/>
    </row>
    <row r="469">
      <c r="B469" s="57"/>
    </row>
    <row r="470">
      <c r="B470" s="57"/>
    </row>
    <row r="471">
      <c r="B471" s="57"/>
    </row>
    <row r="472">
      <c r="B472" s="57"/>
    </row>
    <row r="473">
      <c r="B473" s="57"/>
    </row>
    <row r="474">
      <c r="B474" s="57"/>
    </row>
    <row r="475">
      <c r="B475" s="57"/>
    </row>
    <row r="476">
      <c r="B476" s="57"/>
    </row>
    <row r="477">
      <c r="B477" s="57"/>
    </row>
    <row r="478">
      <c r="B478" s="57"/>
    </row>
    <row r="479">
      <c r="B479" s="57"/>
    </row>
    <row r="480">
      <c r="B480" s="57"/>
    </row>
    <row r="481">
      <c r="B481" s="57"/>
    </row>
    <row r="482">
      <c r="B482" s="57"/>
    </row>
    <row r="483">
      <c r="B483" s="57"/>
    </row>
    <row r="484">
      <c r="B484" s="57"/>
    </row>
    <row r="485">
      <c r="B485" s="57"/>
    </row>
    <row r="486">
      <c r="B486" s="57"/>
    </row>
    <row r="487">
      <c r="B487" s="57"/>
    </row>
    <row r="488">
      <c r="B488" s="57"/>
    </row>
    <row r="489">
      <c r="B489" s="57"/>
    </row>
    <row r="490">
      <c r="B490" s="57"/>
    </row>
    <row r="491">
      <c r="B491" s="57"/>
    </row>
    <row r="492">
      <c r="B492" s="57"/>
    </row>
    <row r="493">
      <c r="B493" s="57"/>
    </row>
    <row r="494">
      <c r="B494" s="57"/>
    </row>
    <row r="495">
      <c r="B495" s="57"/>
    </row>
    <row r="496">
      <c r="B496" s="57"/>
    </row>
    <row r="497">
      <c r="B497" s="57"/>
    </row>
    <row r="498">
      <c r="B498" s="57"/>
    </row>
    <row r="499">
      <c r="B499" s="57"/>
    </row>
    <row r="500">
      <c r="B500" s="57"/>
    </row>
    <row r="501">
      <c r="B501" s="57"/>
    </row>
    <row r="502">
      <c r="B502" s="57"/>
    </row>
    <row r="503">
      <c r="B503" s="57"/>
    </row>
    <row r="504">
      <c r="B504" s="57"/>
    </row>
    <row r="505">
      <c r="B505" s="57"/>
    </row>
    <row r="506">
      <c r="B506" s="57"/>
    </row>
    <row r="507">
      <c r="B507" s="57"/>
    </row>
    <row r="508">
      <c r="B508" s="57"/>
    </row>
    <row r="509">
      <c r="B509" s="57"/>
    </row>
    <row r="510">
      <c r="B510" s="57"/>
    </row>
    <row r="511">
      <c r="B511" s="57"/>
    </row>
    <row r="512">
      <c r="B512" s="57"/>
    </row>
    <row r="513">
      <c r="B513" s="57"/>
    </row>
    <row r="514">
      <c r="B514" s="57"/>
    </row>
    <row r="515">
      <c r="B515" s="57"/>
    </row>
    <row r="516">
      <c r="B516" s="57"/>
    </row>
    <row r="517">
      <c r="B517" s="57"/>
    </row>
    <row r="518">
      <c r="B518" s="57"/>
    </row>
    <row r="519">
      <c r="B519" s="57"/>
    </row>
    <row r="520">
      <c r="B520" s="57"/>
    </row>
    <row r="521">
      <c r="B521" s="57"/>
    </row>
    <row r="522">
      <c r="B522" s="57"/>
    </row>
    <row r="523">
      <c r="B523" s="57"/>
    </row>
    <row r="524">
      <c r="B524" s="57"/>
    </row>
    <row r="525">
      <c r="B525" s="57"/>
    </row>
    <row r="526">
      <c r="B526" s="57"/>
    </row>
    <row r="527">
      <c r="B527" s="57"/>
    </row>
    <row r="528">
      <c r="B528" s="57"/>
    </row>
    <row r="529">
      <c r="B529" s="57"/>
    </row>
    <row r="530">
      <c r="B530" s="57"/>
    </row>
    <row r="531">
      <c r="B531" s="57"/>
    </row>
    <row r="532">
      <c r="B532" s="57"/>
    </row>
    <row r="533">
      <c r="B533" s="57"/>
    </row>
    <row r="534">
      <c r="B534" s="57"/>
    </row>
    <row r="535">
      <c r="B535" s="57"/>
    </row>
    <row r="536">
      <c r="B536" s="57"/>
    </row>
    <row r="537">
      <c r="B537" s="57"/>
    </row>
    <row r="538">
      <c r="B538" s="57"/>
    </row>
    <row r="539">
      <c r="B539" s="57"/>
    </row>
    <row r="540">
      <c r="B540" s="57"/>
    </row>
    <row r="541">
      <c r="B541" s="57"/>
    </row>
    <row r="542">
      <c r="B542" s="57"/>
    </row>
    <row r="543">
      <c r="B543" s="57"/>
    </row>
    <row r="544">
      <c r="B544" s="57"/>
    </row>
    <row r="545">
      <c r="B545" s="57"/>
    </row>
    <row r="546">
      <c r="B546" s="57"/>
    </row>
    <row r="547">
      <c r="B547" s="57"/>
    </row>
    <row r="548">
      <c r="B548" s="57"/>
    </row>
    <row r="549">
      <c r="B549" s="57"/>
    </row>
    <row r="550">
      <c r="B550" s="57"/>
    </row>
    <row r="551">
      <c r="B551" s="57"/>
    </row>
    <row r="552">
      <c r="B552" s="57"/>
    </row>
    <row r="553">
      <c r="B553" s="57"/>
    </row>
    <row r="554">
      <c r="B554" s="57"/>
    </row>
    <row r="555">
      <c r="B555" s="57"/>
    </row>
    <row r="556">
      <c r="B556" s="57"/>
    </row>
    <row r="557">
      <c r="B557" s="57"/>
    </row>
    <row r="558">
      <c r="B558" s="57"/>
    </row>
    <row r="559">
      <c r="B559" s="57"/>
    </row>
    <row r="560">
      <c r="B560" s="57"/>
    </row>
    <row r="561">
      <c r="B561" s="57"/>
    </row>
    <row r="562">
      <c r="B562" s="57"/>
    </row>
    <row r="563">
      <c r="B563" s="57"/>
    </row>
    <row r="564">
      <c r="B564" s="57"/>
    </row>
    <row r="565">
      <c r="B565" s="57"/>
    </row>
    <row r="566">
      <c r="B566" s="57"/>
    </row>
    <row r="567">
      <c r="B567" s="57"/>
    </row>
    <row r="568">
      <c r="B568" s="57"/>
    </row>
    <row r="569">
      <c r="B569" s="57"/>
    </row>
    <row r="570">
      <c r="B570" s="57"/>
    </row>
    <row r="571">
      <c r="B571" s="57"/>
    </row>
    <row r="572">
      <c r="B572" s="57"/>
    </row>
    <row r="573">
      <c r="B573" s="57"/>
    </row>
    <row r="574">
      <c r="B574" s="57"/>
    </row>
    <row r="575">
      <c r="B575" s="57"/>
    </row>
    <row r="576">
      <c r="B576" s="57"/>
    </row>
    <row r="577">
      <c r="B577" s="57"/>
    </row>
    <row r="578">
      <c r="B578" s="57"/>
    </row>
    <row r="579">
      <c r="B579" s="57"/>
    </row>
    <row r="580">
      <c r="B580" s="57"/>
    </row>
    <row r="581">
      <c r="B581" s="57"/>
    </row>
    <row r="582">
      <c r="B582" s="57"/>
    </row>
    <row r="583">
      <c r="B583" s="57"/>
    </row>
    <row r="584">
      <c r="B584" s="57"/>
    </row>
    <row r="585">
      <c r="B585" s="57"/>
    </row>
    <row r="586">
      <c r="B586" s="57"/>
    </row>
    <row r="587">
      <c r="B587" s="57"/>
    </row>
    <row r="588">
      <c r="B588" s="57"/>
    </row>
    <row r="589">
      <c r="B589" s="57"/>
    </row>
    <row r="590">
      <c r="B590" s="57"/>
    </row>
    <row r="591">
      <c r="B591" s="57"/>
    </row>
    <row r="592">
      <c r="B592" s="57"/>
    </row>
    <row r="593">
      <c r="B593" s="57"/>
    </row>
    <row r="594">
      <c r="B594" s="57"/>
    </row>
    <row r="595">
      <c r="B595" s="57"/>
    </row>
    <row r="596">
      <c r="B596" s="57"/>
    </row>
    <row r="597">
      <c r="B597" s="57"/>
    </row>
    <row r="598">
      <c r="B598" s="57"/>
    </row>
    <row r="599">
      <c r="B599" s="57"/>
    </row>
    <row r="600">
      <c r="B600" s="57"/>
    </row>
    <row r="601">
      <c r="B601" s="57"/>
    </row>
    <row r="602">
      <c r="B602" s="57"/>
    </row>
    <row r="603">
      <c r="B603" s="57"/>
    </row>
    <row r="604">
      <c r="B604" s="57"/>
    </row>
    <row r="605">
      <c r="B605" s="57"/>
    </row>
    <row r="606">
      <c r="B606" s="57"/>
    </row>
    <row r="607">
      <c r="B607" s="57"/>
    </row>
    <row r="608">
      <c r="B608" s="57"/>
    </row>
    <row r="609">
      <c r="B609" s="57"/>
    </row>
    <row r="610">
      <c r="B610" s="57"/>
    </row>
    <row r="611">
      <c r="B611" s="57"/>
    </row>
    <row r="612">
      <c r="B612" s="57"/>
    </row>
    <row r="613">
      <c r="B613" s="57"/>
    </row>
    <row r="614">
      <c r="B614" s="57"/>
    </row>
    <row r="615">
      <c r="B615" s="57"/>
    </row>
    <row r="616">
      <c r="B616" s="57"/>
    </row>
    <row r="617">
      <c r="B617" s="57"/>
    </row>
    <row r="618">
      <c r="B618" s="57"/>
    </row>
    <row r="619">
      <c r="B619" s="57"/>
    </row>
    <row r="620">
      <c r="B620" s="57"/>
    </row>
    <row r="621">
      <c r="B621" s="57"/>
    </row>
    <row r="622">
      <c r="B622" s="57"/>
    </row>
    <row r="623">
      <c r="B623" s="57"/>
    </row>
    <row r="624">
      <c r="B624" s="57"/>
    </row>
    <row r="625">
      <c r="B625" s="57"/>
    </row>
    <row r="626">
      <c r="B626" s="57"/>
    </row>
    <row r="627">
      <c r="B627" s="57"/>
    </row>
    <row r="628">
      <c r="B628" s="57"/>
    </row>
    <row r="629">
      <c r="B629" s="57"/>
    </row>
    <row r="630">
      <c r="B630" s="57"/>
    </row>
    <row r="631">
      <c r="B631" s="57"/>
    </row>
    <row r="632">
      <c r="B632" s="57"/>
    </row>
    <row r="633">
      <c r="B633" s="57"/>
    </row>
    <row r="634">
      <c r="B634" s="57"/>
    </row>
    <row r="635">
      <c r="B635" s="57"/>
    </row>
    <row r="636">
      <c r="B636" s="57"/>
    </row>
    <row r="637">
      <c r="B637" s="57"/>
    </row>
    <row r="638">
      <c r="B638" s="57"/>
    </row>
    <row r="639">
      <c r="B639" s="57"/>
    </row>
    <row r="640">
      <c r="B640" s="57"/>
    </row>
    <row r="641">
      <c r="B641" s="57"/>
    </row>
    <row r="642">
      <c r="B642" s="57"/>
    </row>
    <row r="643">
      <c r="B643" s="57"/>
    </row>
    <row r="644">
      <c r="B644" s="57"/>
    </row>
    <row r="645">
      <c r="B645" s="57"/>
    </row>
    <row r="646">
      <c r="B646" s="57"/>
    </row>
    <row r="647">
      <c r="B647" s="57"/>
    </row>
    <row r="648">
      <c r="B648" s="57"/>
    </row>
    <row r="649">
      <c r="B649" s="57"/>
    </row>
    <row r="650">
      <c r="B650" s="57"/>
    </row>
    <row r="651">
      <c r="B651" s="57"/>
    </row>
    <row r="652">
      <c r="B652" s="57"/>
    </row>
    <row r="653">
      <c r="B653" s="57"/>
    </row>
    <row r="654">
      <c r="B654" s="57"/>
    </row>
    <row r="655">
      <c r="B655" s="57"/>
    </row>
    <row r="656">
      <c r="B656" s="57"/>
    </row>
    <row r="657">
      <c r="B657" s="57"/>
    </row>
    <row r="658">
      <c r="B658" s="57"/>
    </row>
    <row r="659">
      <c r="B659" s="57"/>
    </row>
    <row r="660">
      <c r="B660" s="57"/>
    </row>
    <row r="661">
      <c r="B661" s="57"/>
    </row>
    <row r="662">
      <c r="B662" s="57"/>
    </row>
    <row r="663">
      <c r="B663" s="57"/>
    </row>
    <row r="664">
      <c r="B664" s="57"/>
    </row>
    <row r="665">
      <c r="B665" s="57"/>
    </row>
    <row r="666">
      <c r="B666" s="57"/>
    </row>
    <row r="667">
      <c r="B667" s="57"/>
    </row>
    <row r="668">
      <c r="B668" s="57"/>
    </row>
    <row r="669">
      <c r="B669" s="57"/>
    </row>
    <row r="670">
      <c r="B670" s="57"/>
    </row>
    <row r="671">
      <c r="B671" s="57"/>
    </row>
    <row r="672">
      <c r="B672" s="57"/>
    </row>
    <row r="673">
      <c r="B673" s="57"/>
    </row>
    <row r="674">
      <c r="B674" s="57"/>
    </row>
    <row r="675">
      <c r="B675" s="57"/>
    </row>
    <row r="676">
      <c r="B676" s="57"/>
    </row>
    <row r="677">
      <c r="B677" s="57"/>
    </row>
    <row r="678">
      <c r="B678" s="57"/>
    </row>
    <row r="679">
      <c r="B679" s="57"/>
    </row>
    <row r="680">
      <c r="B680" s="57"/>
    </row>
    <row r="681">
      <c r="B681" s="57"/>
    </row>
    <row r="682">
      <c r="B682" s="57"/>
    </row>
    <row r="683">
      <c r="B683" s="57"/>
    </row>
    <row r="684">
      <c r="B684" s="57"/>
    </row>
    <row r="685">
      <c r="B685" s="57"/>
    </row>
    <row r="686">
      <c r="B686" s="57"/>
    </row>
    <row r="687">
      <c r="B687" s="57"/>
    </row>
    <row r="688">
      <c r="B688" s="57"/>
    </row>
    <row r="689">
      <c r="B689" s="57"/>
    </row>
    <row r="690">
      <c r="B690" s="57"/>
    </row>
    <row r="691">
      <c r="B691" s="57"/>
    </row>
    <row r="692">
      <c r="B692" s="57"/>
    </row>
    <row r="693">
      <c r="B693" s="57"/>
    </row>
    <row r="694">
      <c r="B694" s="57"/>
    </row>
    <row r="695">
      <c r="B695" s="57"/>
    </row>
    <row r="696">
      <c r="B696" s="57"/>
    </row>
    <row r="697">
      <c r="B697" s="57"/>
    </row>
    <row r="698">
      <c r="B698" s="57"/>
    </row>
    <row r="699">
      <c r="B699" s="57"/>
    </row>
    <row r="700">
      <c r="B700" s="57"/>
    </row>
    <row r="701">
      <c r="B701" s="57"/>
    </row>
    <row r="702">
      <c r="B702" s="57"/>
    </row>
    <row r="703">
      <c r="B703" s="57"/>
    </row>
    <row r="704">
      <c r="B704" s="57"/>
    </row>
    <row r="705">
      <c r="B705" s="57"/>
    </row>
    <row r="706">
      <c r="B706" s="57"/>
    </row>
    <row r="707">
      <c r="B707" s="57"/>
    </row>
    <row r="708">
      <c r="B708" s="57"/>
    </row>
    <row r="709">
      <c r="B709" s="57"/>
    </row>
    <row r="710">
      <c r="B710" s="57"/>
    </row>
    <row r="711">
      <c r="B711" s="57"/>
    </row>
    <row r="712">
      <c r="B712" s="57"/>
    </row>
    <row r="713">
      <c r="B713" s="57"/>
    </row>
    <row r="714">
      <c r="B714" s="57"/>
    </row>
    <row r="715">
      <c r="B715" s="57"/>
    </row>
    <row r="716">
      <c r="B716" s="57"/>
    </row>
    <row r="717">
      <c r="B717" s="57"/>
    </row>
    <row r="718">
      <c r="B718" s="57"/>
    </row>
    <row r="719">
      <c r="B719" s="57"/>
    </row>
    <row r="720">
      <c r="B720" s="57"/>
    </row>
    <row r="721">
      <c r="B721" s="57"/>
    </row>
    <row r="722">
      <c r="B722" s="57"/>
    </row>
    <row r="723">
      <c r="B723" s="57"/>
    </row>
    <row r="724">
      <c r="B724" s="57"/>
    </row>
    <row r="725">
      <c r="B725" s="57"/>
    </row>
    <row r="726">
      <c r="B726" s="57"/>
    </row>
    <row r="727">
      <c r="B727" s="57"/>
    </row>
    <row r="728">
      <c r="B728" s="57"/>
    </row>
    <row r="729">
      <c r="B729" s="57"/>
    </row>
    <row r="730">
      <c r="B730" s="57"/>
    </row>
    <row r="731">
      <c r="B731" s="57"/>
    </row>
    <row r="732">
      <c r="B732" s="57"/>
    </row>
    <row r="733">
      <c r="B733" s="57"/>
    </row>
    <row r="734">
      <c r="B734" s="57"/>
    </row>
    <row r="735">
      <c r="B735" s="57"/>
    </row>
    <row r="736">
      <c r="B736" s="57"/>
    </row>
    <row r="737">
      <c r="B737" s="57"/>
    </row>
    <row r="738">
      <c r="B738" s="57"/>
    </row>
    <row r="739">
      <c r="B739" s="57"/>
    </row>
    <row r="740">
      <c r="B740" s="57"/>
    </row>
    <row r="741">
      <c r="B741" s="57"/>
    </row>
    <row r="742">
      <c r="B742" s="57"/>
    </row>
    <row r="743">
      <c r="B743" s="57"/>
    </row>
    <row r="744">
      <c r="B744" s="57"/>
    </row>
    <row r="745">
      <c r="B745" s="57"/>
    </row>
    <row r="746">
      <c r="B746" s="57"/>
    </row>
    <row r="747">
      <c r="B747" s="57"/>
    </row>
    <row r="748">
      <c r="B748" s="57"/>
    </row>
    <row r="749">
      <c r="B749" s="57"/>
    </row>
    <row r="750">
      <c r="B750" s="57"/>
    </row>
    <row r="751">
      <c r="B751" s="57"/>
    </row>
    <row r="752">
      <c r="B752" s="57"/>
    </row>
    <row r="753">
      <c r="B753" s="57"/>
    </row>
    <row r="754">
      <c r="B754" s="57"/>
    </row>
    <row r="755">
      <c r="B755" s="57"/>
    </row>
    <row r="756">
      <c r="B756" s="57"/>
    </row>
    <row r="757">
      <c r="B757" s="57"/>
    </row>
    <row r="758">
      <c r="B758" s="57"/>
    </row>
    <row r="759">
      <c r="B759" s="57"/>
    </row>
    <row r="760">
      <c r="B760" s="57"/>
    </row>
    <row r="761">
      <c r="B761" s="57"/>
    </row>
    <row r="762">
      <c r="B762" s="57"/>
    </row>
    <row r="763">
      <c r="B763" s="57"/>
    </row>
    <row r="764">
      <c r="B764" s="57"/>
    </row>
    <row r="765">
      <c r="B765" s="57"/>
    </row>
    <row r="766">
      <c r="B766" s="57"/>
    </row>
    <row r="767">
      <c r="B767" s="57"/>
    </row>
    <row r="768">
      <c r="B768" s="57"/>
    </row>
    <row r="769">
      <c r="B769" s="57"/>
    </row>
    <row r="770">
      <c r="B770" s="57"/>
    </row>
    <row r="771">
      <c r="B771" s="57"/>
    </row>
    <row r="772">
      <c r="B772" s="57"/>
    </row>
    <row r="773">
      <c r="B773" s="57"/>
    </row>
    <row r="774">
      <c r="B774" s="57"/>
    </row>
    <row r="775">
      <c r="B775" s="57"/>
    </row>
    <row r="776">
      <c r="B776" s="57"/>
    </row>
    <row r="777">
      <c r="B777" s="57"/>
    </row>
    <row r="778">
      <c r="B778" s="57"/>
    </row>
    <row r="779">
      <c r="B779" s="57"/>
    </row>
    <row r="780">
      <c r="B780" s="57"/>
    </row>
    <row r="781">
      <c r="B781" s="57"/>
    </row>
    <row r="782">
      <c r="B782" s="57"/>
    </row>
    <row r="783">
      <c r="B783" s="57"/>
    </row>
    <row r="784">
      <c r="B784" s="57"/>
    </row>
    <row r="785">
      <c r="B785" s="57"/>
    </row>
    <row r="786">
      <c r="B786" s="57"/>
    </row>
    <row r="787">
      <c r="B787" s="57"/>
    </row>
    <row r="788">
      <c r="B788" s="57"/>
    </row>
    <row r="789">
      <c r="B789" s="57"/>
    </row>
    <row r="790">
      <c r="B790" s="57"/>
    </row>
    <row r="791">
      <c r="B791" s="57"/>
    </row>
    <row r="792">
      <c r="B792" s="57"/>
    </row>
    <row r="793">
      <c r="B793" s="57"/>
    </row>
    <row r="794">
      <c r="B794" s="57"/>
    </row>
    <row r="795">
      <c r="B795" s="57"/>
    </row>
    <row r="796">
      <c r="B796" s="57"/>
    </row>
    <row r="797">
      <c r="B797" s="57"/>
    </row>
    <row r="798">
      <c r="B798" s="57"/>
    </row>
    <row r="799">
      <c r="B799" s="57"/>
    </row>
    <row r="800">
      <c r="B800" s="57"/>
    </row>
    <row r="801">
      <c r="B801" s="57"/>
    </row>
    <row r="802">
      <c r="B802" s="57"/>
    </row>
    <row r="803">
      <c r="B803" s="57"/>
    </row>
    <row r="804">
      <c r="B804" s="57"/>
    </row>
    <row r="805">
      <c r="B805" s="57"/>
    </row>
    <row r="806">
      <c r="B806" s="57"/>
    </row>
    <row r="807">
      <c r="B807" s="57"/>
    </row>
    <row r="808">
      <c r="B808" s="57"/>
    </row>
    <row r="809">
      <c r="B809" s="57"/>
    </row>
    <row r="810">
      <c r="B810" s="57"/>
    </row>
    <row r="811">
      <c r="B811" s="57"/>
    </row>
    <row r="812">
      <c r="B812" s="57"/>
    </row>
    <row r="813">
      <c r="B813" s="57"/>
    </row>
    <row r="814">
      <c r="B814" s="57"/>
    </row>
    <row r="815">
      <c r="B815" s="57"/>
    </row>
    <row r="816">
      <c r="B816" s="57"/>
    </row>
    <row r="817">
      <c r="B817" s="57"/>
    </row>
    <row r="818">
      <c r="B818" s="57"/>
    </row>
    <row r="819">
      <c r="B819" s="57"/>
    </row>
    <row r="820">
      <c r="B820" s="57"/>
    </row>
    <row r="821">
      <c r="B821" s="57"/>
    </row>
    <row r="822">
      <c r="B822" s="57"/>
    </row>
    <row r="823">
      <c r="B823" s="57"/>
    </row>
    <row r="824">
      <c r="B824" s="57"/>
    </row>
    <row r="825">
      <c r="B825" s="57"/>
    </row>
    <row r="826">
      <c r="B826" s="57"/>
    </row>
    <row r="827">
      <c r="B827" s="57"/>
    </row>
    <row r="828">
      <c r="B828" s="57"/>
    </row>
    <row r="829">
      <c r="B829" s="57"/>
    </row>
    <row r="830">
      <c r="B830" s="57"/>
    </row>
    <row r="831">
      <c r="B831" s="57"/>
    </row>
    <row r="832">
      <c r="B832" s="57"/>
    </row>
    <row r="833">
      <c r="B833" s="57"/>
    </row>
    <row r="834">
      <c r="B834" s="57"/>
    </row>
    <row r="835">
      <c r="B835" s="57"/>
    </row>
    <row r="836">
      <c r="B836" s="57"/>
    </row>
    <row r="837">
      <c r="B837" s="57"/>
    </row>
    <row r="838">
      <c r="B838" s="57"/>
    </row>
    <row r="839">
      <c r="B839" s="57"/>
    </row>
    <row r="840">
      <c r="B840" s="57"/>
    </row>
    <row r="841">
      <c r="B841" s="57"/>
    </row>
    <row r="842">
      <c r="B842" s="57"/>
    </row>
    <row r="843">
      <c r="B843" s="57"/>
    </row>
    <row r="844">
      <c r="B844" s="57"/>
    </row>
    <row r="845">
      <c r="B845" s="57"/>
    </row>
    <row r="846">
      <c r="B846" s="57"/>
    </row>
    <row r="847">
      <c r="B847" s="57"/>
    </row>
    <row r="848">
      <c r="B848" s="57"/>
    </row>
    <row r="849">
      <c r="B849" s="57"/>
    </row>
    <row r="850">
      <c r="B850" s="57"/>
    </row>
    <row r="851">
      <c r="B851" s="57"/>
    </row>
    <row r="852">
      <c r="B852" s="57"/>
    </row>
    <row r="853">
      <c r="B853" s="57"/>
    </row>
    <row r="854">
      <c r="B854" s="57"/>
    </row>
    <row r="855">
      <c r="B855" s="57"/>
    </row>
    <row r="856">
      <c r="B856" s="57"/>
    </row>
    <row r="857">
      <c r="B857" s="57"/>
    </row>
    <row r="858">
      <c r="B858" s="57"/>
    </row>
    <row r="859">
      <c r="B859" s="57"/>
    </row>
    <row r="860">
      <c r="B860" s="57"/>
    </row>
    <row r="861">
      <c r="B861" s="57"/>
    </row>
    <row r="862">
      <c r="B862" s="57"/>
    </row>
    <row r="863">
      <c r="B863" s="57"/>
    </row>
    <row r="864">
      <c r="B864" s="57"/>
    </row>
    <row r="865">
      <c r="B865" s="57"/>
    </row>
    <row r="866">
      <c r="B866" s="57"/>
    </row>
    <row r="867">
      <c r="B867" s="57"/>
    </row>
    <row r="868">
      <c r="B868" s="57"/>
    </row>
    <row r="869">
      <c r="B869" s="57"/>
    </row>
    <row r="870">
      <c r="B870" s="57"/>
    </row>
    <row r="871">
      <c r="B871" s="57"/>
    </row>
    <row r="872">
      <c r="B872" s="57"/>
    </row>
    <row r="873">
      <c r="B873" s="57"/>
    </row>
    <row r="874">
      <c r="B874" s="57"/>
    </row>
    <row r="875">
      <c r="B875" s="57"/>
    </row>
    <row r="876">
      <c r="B876" s="57"/>
    </row>
    <row r="877">
      <c r="B877" s="57"/>
    </row>
    <row r="878">
      <c r="B878" s="57"/>
    </row>
    <row r="879">
      <c r="B879" s="57"/>
    </row>
    <row r="880">
      <c r="B880" s="57"/>
    </row>
    <row r="881">
      <c r="B881" s="57"/>
    </row>
    <row r="882">
      <c r="B882" s="57"/>
    </row>
    <row r="883">
      <c r="B883" s="57"/>
    </row>
    <row r="884">
      <c r="B884" s="57"/>
    </row>
    <row r="885">
      <c r="B885" s="57"/>
    </row>
    <row r="886">
      <c r="B886" s="57"/>
    </row>
    <row r="887">
      <c r="B887" s="57"/>
    </row>
    <row r="888">
      <c r="B888" s="57"/>
    </row>
    <row r="889">
      <c r="B889" s="57"/>
    </row>
    <row r="890">
      <c r="B890" s="57"/>
    </row>
    <row r="891">
      <c r="B891" s="57"/>
    </row>
    <row r="892">
      <c r="B892" s="57"/>
    </row>
    <row r="893">
      <c r="B893" s="57"/>
    </row>
    <row r="894">
      <c r="B894" s="57"/>
    </row>
    <row r="895">
      <c r="B895" s="57"/>
    </row>
    <row r="896">
      <c r="B896" s="57"/>
    </row>
    <row r="897">
      <c r="B897" s="57"/>
    </row>
    <row r="898">
      <c r="B898" s="57"/>
    </row>
    <row r="899">
      <c r="B899" s="57"/>
    </row>
    <row r="900">
      <c r="B900" s="57"/>
    </row>
    <row r="901">
      <c r="B901" s="57"/>
    </row>
    <row r="902">
      <c r="B902" s="57"/>
    </row>
    <row r="903">
      <c r="B903" s="57"/>
    </row>
    <row r="904">
      <c r="B904" s="57"/>
    </row>
    <row r="905">
      <c r="B905" s="57"/>
    </row>
    <row r="906">
      <c r="B906" s="57"/>
    </row>
    <row r="907">
      <c r="B907" s="57"/>
    </row>
    <row r="908">
      <c r="B908" s="57"/>
    </row>
    <row r="909">
      <c r="B909" s="57"/>
    </row>
    <row r="910">
      <c r="B910" s="57"/>
    </row>
    <row r="911">
      <c r="B911" s="57"/>
    </row>
    <row r="912">
      <c r="B912" s="57"/>
    </row>
    <row r="913">
      <c r="B913" s="57"/>
    </row>
    <row r="914">
      <c r="B914" s="57"/>
    </row>
    <row r="915">
      <c r="B915" s="57"/>
    </row>
    <row r="916">
      <c r="B916" s="57"/>
    </row>
    <row r="917">
      <c r="B917" s="57"/>
    </row>
    <row r="918">
      <c r="B918" s="57"/>
    </row>
    <row r="919">
      <c r="B919" s="57"/>
    </row>
    <row r="920">
      <c r="B920" s="57"/>
    </row>
    <row r="921">
      <c r="B921" s="57"/>
    </row>
    <row r="922">
      <c r="B922" s="57"/>
    </row>
    <row r="923">
      <c r="B923" s="57"/>
    </row>
    <row r="924">
      <c r="B924" s="57"/>
    </row>
    <row r="925">
      <c r="B925" s="57"/>
    </row>
    <row r="926">
      <c r="B926" s="57"/>
    </row>
    <row r="927">
      <c r="B927" s="57"/>
    </row>
    <row r="928">
      <c r="B928" s="57"/>
    </row>
    <row r="929">
      <c r="B929" s="57"/>
    </row>
    <row r="930">
      <c r="B930" s="57"/>
    </row>
    <row r="931">
      <c r="B931" s="57"/>
    </row>
    <row r="932">
      <c r="B932" s="57"/>
    </row>
    <row r="933">
      <c r="B933" s="57"/>
    </row>
    <row r="934">
      <c r="B934" s="57"/>
    </row>
    <row r="935">
      <c r="B935" s="57"/>
    </row>
    <row r="936">
      <c r="B936" s="57"/>
    </row>
    <row r="937">
      <c r="B937" s="57"/>
    </row>
    <row r="938">
      <c r="B938" s="57"/>
    </row>
    <row r="939">
      <c r="B939" s="57"/>
    </row>
    <row r="940">
      <c r="B940" s="57"/>
    </row>
    <row r="941">
      <c r="B941" s="57"/>
    </row>
    <row r="942">
      <c r="B942" s="57"/>
    </row>
    <row r="943">
      <c r="B943" s="57"/>
    </row>
    <row r="944">
      <c r="B944" s="57"/>
    </row>
    <row r="945">
      <c r="B945" s="57"/>
    </row>
    <row r="946">
      <c r="B946" s="57"/>
    </row>
    <row r="947">
      <c r="B947" s="57"/>
    </row>
    <row r="948">
      <c r="B948" s="57"/>
    </row>
    <row r="949">
      <c r="B949" s="57"/>
    </row>
    <row r="950">
      <c r="B950" s="57"/>
    </row>
    <row r="951">
      <c r="B951" s="57"/>
    </row>
    <row r="952">
      <c r="B952" s="57"/>
    </row>
    <row r="953">
      <c r="B953" s="57"/>
    </row>
    <row r="954">
      <c r="B954" s="57"/>
    </row>
    <row r="955">
      <c r="B955" s="57"/>
    </row>
    <row r="956">
      <c r="B956" s="57"/>
    </row>
    <row r="957">
      <c r="B957" s="57"/>
    </row>
    <row r="958">
      <c r="B958" s="57"/>
    </row>
    <row r="959">
      <c r="B959" s="57"/>
    </row>
    <row r="960">
      <c r="B960" s="57"/>
    </row>
    <row r="961">
      <c r="B961" s="57"/>
    </row>
    <row r="962">
      <c r="B962" s="57"/>
    </row>
    <row r="963">
      <c r="B963" s="57"/>
    </row>
    <row r="964">
      <c r="B964" s="57"/>
    </row>
    <row r="965">
      <c r="B965" s="57"/>
    </row>
    <row r="966">
      <c r="B966" s="57"/>
    </row>
    <row r="967">
      <c r="B967" s="57"/>
    </row>
    <row r="968">
      <c r="B968" s="57"/>
    </row>
    <row r="969">
      <c r="B969" s="57"/>
    </row>
    <row r="970">
      <c r="B970" s="57"/>
    </row>
    <row r="971">
      <c r="B971" s="57"/>
    </row>
    <row r="972">
      <c r="B972" s="57"/>
    </row>
    <row r="973">
      <c r="B973" s="57"/>
    </row>
    <row r="974">
      <c r="B974" s="57"/>
    </row>
    <row r="975">
      <c r="B975" s="57"/>
    </row>
    <row r="976">
      <c r="B976" s="57"/>
    </row>
    <row r="977">
      <c r="B977" s="57"/>
    </row>
    <row r="978">
      <c r="B978" s="57"/>
    </row>
    <row r="979">
      <c r="B979" s="57"/>
    </row>
    <row r="980">
      <c r="B980" s="57"/>
    </row>
    <row r="981">
      <c r="B981" s="57"/>
    </row>
    <row r="982">
      <c r="B982" s="57"/>
    </row>
    <row r="983">
      <c r="B983" s="57"/>
    </row>
    <row r="984">
      <c r="B984" s="57"/>
    </row>
    <row r="985">
      <c r="B985" s="57"/>
    </row>
    <row r="986">
      <c r="B986" s="57"/>
    </row>
    <row r="987">
      <c r="B987" s="57"/>
    </row>
    <row r="988">
      <c r="B988" s="57"/>
    </row>
    <row r="989">
      <c r="B989" s="57"/>
    </row>
    <row r="990">
      <c r="B990" s="57"/>
    </row>
    <row r="991">
      <c r="B991" s="57"/>
    </row>
    <row r="992">
      <c r="B992" s="57"/>
    </row>
    <row r="993">
      <c r="B993" s="57"/>
    </row>
    <row r="994">
      <c r="B994" s="57"/>
    </row>
    <row r="995">
      <c r="B995" s="57"/>
    </row>
    <row r="996">
      <c r="B996" s="57"/>
    </row>
    <row r="997">
      <c r="B997" s="57"/>
    </row>
    <row r="998">
      <c r="B998" s="57"/>
    </row>
    <row r="999">
      <c r="B999" s="57"/>
    </row>
    <row r="1000">
      <c r="B1000" s="57"/>
    </row>
    <row r="1001">
      <c r="B1001" s="57"/>
    </row>
    <row r="1002">
      <c r="B1002" s="57"/>
    </row>
    <row r="1003">
      <c r="B1003" s="57"/>
    </row>
    <row r="1004">
      <c r="B1004" s="57"/>
    </row>
  </sheetData>
  <mergeCells count="1">
    <mergeCell ref="C2:G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0.57"/>
    <col customWidth="1" min="3" max="3" width="18.86"/>
    <col customWidth="1" min="4" max="4" width="18.29"/>
    <col customWidth="1" min="5" max="5" width="19.14"/>
    <col customWidth="1" min="6" max="6" width="17.43"/>
    <col customWidth="1" min="7" max="7" width="17.86"/>
    <col customWidth="1" min="8" max="8" width="19.0"/>
  </cols>
  <sheetData>
    <row r="1">
      <c r="B1" s="57"/>
      <c r="I1" s="49" t="s">
        <v>87</v>
      </c>
    </row>
    <row r="2">
      <c r="A2" s="58"/>
      <c r="B2" s="70"/>
      <c r="C2" s="59" t="s">
        <v>91</v>
      </c>
      <c r="I2" s="49" t="s">
        <v>92</v>
      </c>
    </row>
    <row r="3">
      <c r="A3" s="58"/>
      <c r="B3" s="70"/>
    </row>
    <row r="4" ht="3.0" customHeight="1">
      <c r="A4" s="57"/>
      <c r="B4" s="60"/>
      <c r="C4" s="60"/>
      <c r="D4" s="60"/>
      <c r="E4" s="60"/>
      <c r="F4" s="60"/>
      <c r="G4" s="60"/>
      <c r="H4" s="60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</row>
    <row r="5">
      <c r="A5" s="61"/>
      <c r="B5" s="71"/>
      <c r="C5" s="61" t="s">
        <v>1</v>
      </c>
      <c r="D5" s="61" t="s">
        <v>0</v>
      </c>
      <c r="E5" s="61" t="s">
        <v>93</v>
      </c>
      <c r="F5" s="61" t="s">
        <v>94</v>
      </c>
      <c r="G5" s="61" t="s">
        <v>95</v>
      </c>
      <c r="H5" s="61" t="s">
        <v>96</v>
      </c>
    </row>
    <row r="6">
      <c r="A6" s="62" t="s">
        <v>97</v>
      </c>
      <c r="B6" s="60"/>
      <c r="C6" s="62" t="s">
        <v>36</v>
      </c>
      <c r="D6" s="62" t="s">
        <v>41</v>
      </c>
      <c r="E6" s="72" t="s">
        <v>41</v>
      </c>
      <c r="F6" s="62" t="s">
        <v>36</v>
      </c>
      <c r="G6" s="72" t="s">
        <v>41</v>
      </c>
      <c r="H6" s="67" t="s">
        <v>41</v>
      </c>
      <c r="J6" s="62"/>
    </row>
    <row r="7">
      <c r="A7" s="62"/>
      <c r="B7" s="60"/>
      <c r="C7" s="72" t="s">
        <v>36</v>
      </c>
      <c r="D7" s="67" t="s">
        <v>41</v>
      </c>
      <c r="E7" s="67" t="s">
        <v>41</v>
      </c>
      <c r="F7" s="72" t="s">
        <v>36</v>
      </c>
      <c r="G7" s="67" t="s">
        <v>41</v>
      </c>
      <c r="H7" s="72" t="s">
        <v>41</v>
      </c>
      <c r="J7" s="72"/>
    </row>
    <row r="8">
      <c r="A8" s="62"/>
      <c r="B8" s="60"/>
      <c r="C8" s="67" t="s">
        <v>36</v>
      </c>
      <c r="D8" s="72" t="s">
        <v>36</v>
      </c>
      <c r="E8" s="72" t="s">
        <v>36</v>
      </c>
      <c r="F8" s="67" t="s">
        <v>36</v>
      </c>
      <c r="G8" s="62" t="s">
        <v>36</v>
      </c>
      <c r="H8" s="62" t="s">
        <v>36</v>
      </c>
      <c r="J8" s="67"/>
    </row>
    <row r="9">
      <c r="A9" s="62"/>
      <c r="B9" s="60"/>
      <c r="C9" s="67" t="s">
        <v>56</v>
      </c>
      <c r="D9" s="67" t="s">
        <v>36</v>
      </c>
      <c r="E9" s="67" t="s">
        <v>36</v>
      </c>
      <c r="F9" s="67" t="s">
        <v>36</v>
      </c>
      <c r="G9" s="67" t="s">
        <v>36</v>
      </c>
      <c r="H9" s="67" t="s">
        <v>36</v>
      </c>
      <c r="J9" s="67"/>
    </row>
    <row r="10">
      <c r="A10" s="62"/>
      <c r="B10" s="60"/>
      <c r="C10" s="67" t="s">
        <v>56</v>
      </c>
      <c r="D10" s="67" t="s">
        <v>36</v>
      </c>
      <c r="E10" s="67" t="s">
        <v>36</v>
      </c>
      <c r="J10" s="67"/>
    </row>
    <row r="11">
      <c r="A11" s="62"/>
      <c r="B11" s="60"/>
      <c r="C11" s="67" t="s">
        <v>56</v>
      </c>
      <c r="F11" s="66"/>
      <c r="G11" s="66"/>
      <c r="H11" s="66"/>
      <c r="J11" s="67"/>
    </row>
    <row r="12">
      <c r="A12" s="62" t="s">
        <v>98</v>
      </c>
      <c r="B12" s="60"/>
      <c r="C12" s="67" t="s">
        <v>67</v>
      </c>
      <c r="D12" s="67" t="s">
        <v>36</v>
      </c>
      <c r="E12" s="67" t="s">
        <v>36</v>
      </c>
      <c r="F12" s="67" t="s">
        <v>67</v>
      </c>
      <c r="G12" s="67" t="s">
        <v>36</v>
      </c>
      <c r="H12" s="67" t="s">
        <v>56</v>
      </c>
      <c r="J12" s="67"/>
    </row>
    <row r="13">
      <c r="A13" s="62"/>
      <c r="B13" s="60"/>
      <c r="C13" s="67"/>
      <c r="D13" s="66"/>
      <c r="E13" s="66"/>
      <c r="F13" s="66"/>
      <c r="G13" s="66"/>
      <c r="H13" s="66"/>
    </row>
    <row r="14" ht="3.0" customHeight="1">
      <c r="A14" s="57"/>
      <c r="B14" s="60"/>
      <c r="C14" s="60"/>
      <c r="D14" s="60"/>
      <c r="E14" s="60"/>
      <c r="F14" s="60"/>
      <c r="G14" s="60"/>
      <c r="H14" s="60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</row>
    <row r="15">
      <c r="B15" s="57"/>
    </row>
    <row r="16">
      <c r="B16" s="57"/>
    </row>
    <row r="17">
      <c r="B17" s="57"/>
    </row>
    <row r="18">
      <c r="B18" s="57"/>
    </row>
    <row r="19">
      <c r="B19" s="57"/>
    </row>
    <row r="20">
      <c r="B20" s="57"/>
    </row>
    <row r="21">
      <c r="B21" s="57"/>
    </row>
    <row r="22">
      <c r="B22" s="57"/>
    </row>
    <row r="23">
      <c r="B23" s="57"/>
    </row>
    <row r="24">
      <c r="B24" s="57"/>
    </row>
    <row r="25">
      <c r="B25" s="57"/>
    </row>
    <row r="26">
      <c r="B26" s="57"/>
    </row>
    <row r="27">
      <c r="B27" s="57"/>
    </row>
    <row r="28">
      <c r="B28" s="57"/>
    </row>
    <row r="29">
      <c r="B29" s="57"/>
    </row>
    <row r="30">
      <c r="B30" s="57"/>
    </row>
    <row r="31">
      <c r="B31" s="57"/>
    </row>
    <row r="32">
      <c r="B32" s="57"/>
    </row>
    <row r="33">
      <c r="B33" s="57"/>
    </row>
    <row r="34">
      <c r="B34" s="57"/>
    </row>
    <row r="35">
      <c r="B35" s="57"/>
    </row>
    <row r="36">
      <c r="B36" s="57"/>
    </row>
    <row r="37">
      <c r="B37" s="57"/>
    </row>
    <row r="38">
      <c r="B38" s="57"/>
    </row>
    <row r="39">
      <c r="B39" s="57"/>
    </row>
    <row r="40">
      <c r="B40" s="57"/>
    </row>
    <row r="41">
      <c r="B41" s="57"/>
    </row>
    <row r="42">
      <c r="B42" s="57"/>
    </row>
    <row r="43">
      <c r="B43" s="57"/>
    </row>
    <row r="44">
      <c r="B44" s="57"/>
    </row>
    <row r="45">
      <c r="B45" s="57"/>
    </row>
    <row r="46">
      <c r="B46" s="57"/>
    </row>
    <row r="47">
      <c r="B47" s="57"/>
    </row>
    <row r="48">
      <c r="B48" s="57"/>
    </row>
    <row r="49">
      <c r="B49" s="57"/>
    </row>
    <row r="50">
      <c r="B50" s="57"/>
    </row>
    <row r="51">
      <c r="B51" s="57"/>
    </row>
    <row r="52">
      <c r="B52" s="57"/>
    </row>
    <row r="53">
      <c r="B53" s="57"/>
    </row>
    <row r="54">
      <c r="B54" s="57"/>
    </row>
    <row r="55">
      <c r="B55" s="57"/>
    </row>
    <row r="56">
      <c r="B56" s="57"/>
    </row>
    <row r="57">
      <c r="B57" s="57"/>
    </row>
    <row r="58">
      <c r="B58" s="57"/>
    </row>
    <row r="59">
      <c r="B59" s="57"/>
    </row>
    <row r="60">
      <c r="B60" s="57"/>
    </row>
    <row r="61">
      <c r="B61" s="57"/>
    </row>
    <row r="62">
      <c r="B62" s="57"/>
    </row>
    <row r="63">
      <c r="B63" s="57"/>
    </row>
    <row r="64">
      <c r="B64" s="57"/>
    </row>
    <row r="65">
      <c r="B65" s="57"/>
    </row>
    <row r="66">
      <c r="B66" s="57"/>
    </row>
    <row r="67">
      <c r="B67" s="57"/>
    </row>
    <row r="68">
      <c r="B68" s="57"/>
    </row>
    <row r="69">
      <c r="B69" s="57"/>
    </row>
    <row r="70">
      <c r="B70" s="57"/>
    </row>
    <row r="71">
      <c r="B71" s="57"/>
    </row>
    <row r="72">
      <c r="B72" s="57"/>
    </row>
    <row r="73">
      <c r="B73" s="57"/>
    </row>
    <row r="74">
      <c r="B74" s="57"/>
    </row>
    <row r="75">
      <c r="B75" s="57"/>
    </row>
    <row r="76">
      <c r="B76" s="57"/>
    </row>
    <row r="77">
      <c r="B77" s="57"/>
    </row>
    <row r="78">
      <c r="B78" s="57"/>
    </row>
    <row r="79">
      <c r="B79" s="57"/>
    </row>
    <row r="80">
      <c r="B80" s="57"/>
    </row>
    <row r="81">
      <c r="B81" s="57"/>
    </row>
    <row r="82">
      <c r="B82" s="57"/>
    </row>
    <row r="83">
      <c r="B83" s="57"/>
    </row>
    <row r="84">
      <c r="B84" s="57"/>
    </row>
    <row r="85">
      <c r="B85" s="57"/>
    </row>
    <row r="86">
      <c r="B86" s="57"/>
    </row>
    <row r="87">
      <c r="B87" s="57"/>
    </row>
    <row r="88">
      <c r="B88" s="57"/>
    </row>
    <row r="89">
      <c r="B89" s="57"/>
    </row>
    <row r="90">
      <c r="B90" s="57"/>
    </row>
    <row r="91">
      <c r="B91" s="57"/>
    </row>
    <row r="92">
      <c r="B92" s="57"/>
    </row>
    <row r="93">
      <c r="B93" s="57"/>
    </row>
    <row r="94">
      <c r="B94" s="57"/>
    </row>
    <row r="95">
      <c r="B95" s="57"/>
    </row>
    <row r="96">
      <c r="B96" s="57"/>
    </row>
    <row r="97">
      <c r="B97" s="57"/>
    </row>
    <row r="98">
      <c r="B98" s="57"/>
    </row>
    <row r="99">
      <c r="B99" s="57"/>
    </row>
    <row r="100">
      <c r="B100" s="57"/>
    </row>
    <row r="101">
      <c r="B101" s="57"/>
    </row>
    <row r="102">
      <c r="B102" s="57"/>
    </row>
    <row r="103">
      <c r="B103" s="57"/>
    </row>
    <row r="104">
      <c r="B104" s="57"/>
    </row>
    <row r="105">
      <c r="B105" s="57"/>
    </row>
    <row r="106">
      <c r="B106" s="57"/>
    </row>
    <row r="107">
      <c r="B107" s="57"/>
    </row>
    <row r="108">
      <c r="B108" s="57"/>
    </row>
    <row r="109">
      <c r="B109" s="57"/>
    </row>
    <row r="110">
      <c r="B110" s="57"/>
    </row>
    <row r="111">
      <c r="B111" s="57"/>
    </row>
    <row r="112">
      <c r="B112" s="57"/>
    </row>
    <row r="113">
      <c r="B113" s="57"/>
    </row>
    <row r="114">
      <c r="B114" s="57"/>
    </row>
    <row r="115">
      <c r="B115" s="57"/>
    </row>
    <row r="116">
      <c r="B116" s="57"/>
    </row>
    <row r="117">
      <c r="B117" s="57"/>
    </row>
    <row r="118">
      <c r="B118" s="57"/>
    </row>
    <row r="119">
      <c r="B119" s="57"/>
    </row>
    <row r="120">
      <c r="B120" s="57"/>
    </row>
    <row r="121">
      <c r="B121" s="57"/>
    </row>
    <row r="122">
      <c r="B122" s="57"/>
    </row>
    <row r="123">
      <c r="B123" s="57"/>
    </row>
    <row r="124">
      <c r="B124" s="57"/>
    </row>
    <row r="125">
      <c r="B125" s="57"/>
    </row>
    <row r="126">
      <c r="B126" s="57"/>
    </row>
    <row r="127">
      <c r="B127" s="57"/>
    </row>
    <row r="128">
      <c r="B128" s="57"/>
    </row>
    <row r="129">
      <c r="B129" s="57"/>
    </row>
    <row r="130">
      <c r="B130" s="57"/>
    </row>
    <row r="131">
      <c r="B131" s="57"/>
    </row>
    <row r="132">
      <c r="B132" s="57"/>
    </row>
    <row r="133">
      <c r="B133" s="57"/>
    </row>
    <row r="134">
      <c r="B134" s="57"/>
    </row>
    <row r="135">
      <c r="B135" s="57"/>
    </row>
    <row r="136">
      <c r="B136" s="57"/>
    </row>
    <row r="137">
      <c r="B137" s="57"/>
    </row>
    <row r="138">
      <c r="B138" s="57"/>
    </row>
    <row r="139">
      <c r="B139" s="57"/>
    </row>
    <row r="140">
      <c r="B140" s="57"/>
    </row>
    <row r="141">
      <c r="B141" s="57"/>
    </row>
    <row r="142">
      <c r="B142" s="57"/>
    </row>
    <row r="143">
      <c r="B143" s="57"/>
    </row>
    <row r="144">
      <c r="B144" s="57"/>
    </row>
    <row r="145">
      <c r="B145" s="57"/>
    </row>
    <row r="146">
      <c r="B146" s="57"/>
    </row>
    <row r="147">
      <c r="B147" s="57"/>
    </row>
    <row r="148">
      <c r="B148" s="57"/>
    </row>
    <row r="149">
      <c r="B149" s="57"/>
    </row>
    <row r="150">
      <c r="B150" s="57"/>
    </row>
    <row r="151">
      <c r="B151" s="57"/>
    </row>
    <row r="152">
      <c r="B152" s="57"/>
    </row>
    <row r="153">
      <c r="B153" s="57"/>
    </row>
    <row r="154">
      <c r="B154" s="57"/>
    </row>
    <row r="155">
      <c r="B155" s="57"/>
    </row>
    <row r="156">
      <c r="B156" s="57"/>
    </row>
    <row r="157">
      <c r="B157" s="57"/>
    </row>
    <row r="158">
      <c r="B158" s="57"/>
    </row>
    <row r="159">
      <c r="B159" s="57"/>
    </row>
    <row r="160">
      <c r="B160" s="57"/>
    </row>
    <row r="161">
      <c r="B161" s="57"/>
    </row>
    <row r="162">
      <c r="B162" s="57"/>
    </row>
    <row r="163">
      <c r="B163" s="57"/>
    </row>
    <row r="164">
      <c r="B164" s="57"/>
    </row>
    <row r="165">
      <c r="B165" s="57"/>
    </row>
    <row r="166">
      <c r="B166" s="57"/>
    </row>
    <row r="167">
      <c r="B167" s="57"/>
    </row>
    <row r="168">
      <c r="B168" s="57"/>
    </row>
    <row r="169">
      <c r="B169" s="57"/>
    </row>
    <row r="170">
      <c r="B170" s="57"/>
    </row>
    <row r="171">
      <c r="B171" s="57"/>
    </row>
    <row r="172">
      <c r="B172" s="57"/>
    </row>
    <row r="173">
      <c r="B173" s="57"/>
    </row>
    <row r="174">
      <c r="B174" s="57"/>
    </row>
    <row r="175">
      <c r="B175" s="57"/>
    </row>
    <row r="176">
      <c r="B176" s="57"/>
    </row>
    <row r="177">
      <c r="B177" s="57"/>
    </row>
    <row r="178">
      <c r="B178" s="57"/>
    </row>
    <row r="179">
      <c r="B179" s="57"/>
    </row>
    <row r="180">
      <c r="B180" s="57"/>
    </row>
    <row r="181">
      <c r="B181" s="57"/>
    </row>
    <row r="182">
      <c r="B182" s="57"/>
    </row>
    <row r="183">
      <c r="B183" s="57"/>
    </row>
    <row r="184">
      <c r="B184" s="57"/>
    </row>
    <row r="185">
      <c r="B185" s="57"/>
    </row>
    <row r="186">
      <c r="B186" s="57"/>
    </row>
    <row r="187">
      <c r="B187" s="57"/>
    </row>
    <row r="188">
      <c r="B188" s="57"/>
    </row>
    <row r="189">
      <c r="B189" s="57"/>
    </row>
    <row r="190">
      <c r="B190" s="57"/>
    </row>
    <row r="191">
      <c r="B191" s="57"/>
    </row>
    <row r="192">
      <c r="B192" s="57"/>
    </row>
    <row r="193">
      <c r="B193" s="57"/>
    </row>
    <row r="194">
      <c r="B194" s="57"/>
    </row>
    <row r="195">
      <c r="B195" s="57"/>
    </row>
    <row r="196">
      <c r="B196" s="57"/>
    </row>
    <row r="197">
      <c r="B197" s="57"/>
    </row>
    <row r="198">
      <c r="B198" s="57"/>
    </row>
    <row r="199">
      <c r="B199" s="57"/>
    </row>
    <row r="200">
      <c r="B200" s="57"/>
    </row>
    <row r="201">
      <c r="B201" s="57"/>
    </row>
    <row r="202">
      <c r="B202" s="57"/>
    </row>
    <row r="203">
      <c r="B203" s="57"/>
    </row>
    <row r="204">
      <c r="B204" s="57"/>
    </row>
    <row r="205">
      <c r="B205" s="57"/>
    </row>
    <row r="206">
      <c r="B206" s="57"/>
    </row>
    <row r="207">
      <c r="B207" s="57"/>
    </row>
    <row r="208">
      <c r="B208" s="57"/>
    </row>
    <row r="209">
      <c r="B209" s="57"/>
    </row>
    <row r="210">
      <c r="B210" s="57"/>
    </row>
    <row r="211">
      <c r="B211" s="57"/>
    </row>
    <row r="212">
      <c r="B212" s="57"/>
    </row>
    <row r="213">
      <c r="B213" s="57"/>
    </row>
    <row r="214">
      <c r="B214" s="57"/>
    </row>
    <row r="215">
      <c r="B215" s="57"/>
    </row>
    <row r="216">
      <c r="B216" s="57"/>
    </row>
    <row r="217">
      <c r="B217" s="57"/>
    </row>
    <row r="218">
      <c r="B218" s="57"/>
    </row>
    <row r="219">
      <c r="B219" s="57"/>
    </row>
    <row r="220">
      <c r="B220" s="57"/>
    </row>
    <row r="221">
      <c r="B221" s="57"/>
    </row>
    <row r="222">
      <c r="B222" s="57"/>
    </row>
    <row r="223">
      <c r="B223" s="57"/>
    </row>
    <row r="224">
      <c r="B224" s="57"/>
    </row>
    <row r="225">
      <c r="B225" s="57"/>
    </row>
    <row r="226">
      <c r="B226" s="57"/>
    </row>
    <row r="227">
      <c r="B227" s="57"/>
    </row>
    <row r="228">
      <c r="B228" s="57"/>
    </row>
    <row r="229">
      <c r="B229" s="57"/>
    </row>
    <row r="230">
      <c r="B230" s="57"/>
    </row>
    <row r="231">
      <c r="B231" s="57"/>
    </row>
    <row r="232">
      <c r="B232" s="57"/>
    </row>
    <row r="233">
      <c r="B233" s="57"/>
    </row>
    <row r="234">
      <c r="B234" s="57"/>
    </row>
    <row r="235">
      <c r="B235" s="57"/>
    </row>
    <row r="236">
      <c r="B236" s="57"/>
    </row>
    <row r="237">
      <c r="B237" s="57"/>
    </row>
    <row r="238">
      <c r="B238" s="57"/>
    </row>
    <row r="239">
      <c r="B239" s="57"/>
    </row>
    <row r="240">
      <c r="B240" s="57"/>
    </row>
    <row r="241">
      <c r="B241" s="57"/>
    </row>
    <row r="242">
      <c r="B242" s="57"/>
    </row>
    <row r="243">
      <c r="B243" s="57"/>
    </row>
    <row r="244">
      <c r="B244" s="57"/>
    </row>
    <row r="245">
      <c r="B245" s="57"/>
    </row>
    <row r="246">
      <c r="B246" s="57"/>
    </row>
    <row r="247">
      <c r="B247" s="57"/>
    </row>
    <row r="248">
      <c r="B248" s="57"/>
    </row>
    <row r="249">
      <c r="B249" s="57"/>
    </row>
    <row r="250">
      <c r="B250" s="57"/>
    </row>
    <row r="251">
      <c r="B251" s="57"/>
    </row>
    <row r="252">
      <c r="B252" s="57"/>
    </row>
    <row r="253">
      <c r="B253" s="57"/>
    </row>
    <row r="254">
      <c r="B254" s="57"/>
    </row>
    <row r="255">
      <c r="B255" s="57"/>
    </row>
    <row r="256">
      <c r="B256" s="57"/>
    </row>
    <row r="257">
      <c r="B257" s="57"/>
    </row>
    <row r="258">
      <c r="B258" s="57"/>
    </row>
    <row r="259">
      <c r="B259" s="57"/>
    </row>
    <row r="260">
      <c r="B260" s="57"/>
    </row>
    <row r="261">
      <c r="B261" s="57"/>
    </row>
    <row r="262">
      <c r="B262" s="57"/>
    </row>
    <row r="263">
      <c r="B263" s="57"/>
    </row>
    <row r="264">
      <c r="B264" s="57"/>
    </row>
    <row r="265">
      <c r="B265" s="57"/>
    </row>
    <row r="266">
      <c r="B266" s="57"/>
    </row>
    <row r="267">
      <c r="B267" s="57"/>
    </row>
    <row r="268">
      <c r="B268" s="57"/>
    </row>
    <row r="269">
      <c r="B269" s="57"/>
    </row>
    <row r="270">
      <c r="B270" s="57"/>
    </row>
    <row r="271">
      <c r="B271" s="57"/>
    </row>
    <row r="272">
      <c r="B272" s="57"/>
    </row>
    <row r="273">
      <c r="B273" s="57"/>
    </row>
    <row r="274">
      <c r="B274" s="57"/>
    </row>
    <row r="275">
      <c r="B275" s="57"/>
    </row>
    <row r="276">
      <c r="B276" s="57"/>
    </row>
    <row r="277">
      <c r="B277" s="57"/>
    </row>
    <row r="278">
      <c r="B278" s="57"/>
    </row>
    <row r="279">
      <c r="B279" s="57"/>
    </row>
    <row r="280">
      <c r="B280" s="57"/>
    </row>
    <row r="281">
      <c r="B281" s="57"/>
    </row>
    <row r="282">
      <c r="B282" s="57"/>
    </row>
    <row r="283">
      <c r="B283" s="57"/>
    </row>
    <row r="284">
      <c r="B284" s="57"/>
    </row>
    <row r="285">
      <c r="B285" s="57"/>
    </row>
    <row r="286">
      <c r="B286" s="57"/>
    </row>
    <row r="287">
      <c r="B287" s="57"/>
    </row>
    <row r="288">
      <c r="B288" s="57"/>
    </row>
    <row r="289">
      <c r="B289" s="57"/>
    </row>
    <row r="290">
      <c r="B290" s="57"/>
    </row>
    <row r="291">
      <c r="B291" s="57"/>
    </row>
    <row r="292">
      <c r="B292" s="57"/>
    </row>
    <row r="293">
      <c r="B293" s="57"/>
    </row>
    <row r="294">
      <c r="B294" s="57"/>
    </row>
    <row r="295">
      <c r="B295" s="57"/>
    </row>
    <row r="296">
      <c r="B296" s="57"/>
    </row>
    <row r="297">
      <c r="B297" s="57"/>
    </row>
    <row r="298">
      <c r="B298" s="57"/>
    </row>
    <row r="299">
      <c r="B299" s="57"/>
    </row>
    <row r="300">
      <c r="B300" s="57"/>
    </row>
    <row r="301">
      <c r="B301" s="57"/>
    </row>
    <row r="302">
      <c r="B302" s="57"/>
    </row>
    <row r="303">
      <c r="B303" s="57"/>
    </row>
    <row r="304">
      <c r="B304" s="57"/>
    </row>
    <row r="305">
      <c r="B305" s="57"/>
    </row>
    <row r="306">
      <c r="B306" s="57"/>
    </row>
    <row r="307">
      <c r="B307" s="57"/>
    </row>
    <row r="308">
      <c r="B308" s="57"/>
    </row>
    <row r="309">
      <c r="B309" s="57"/>
    </row>
    <row r="310">
      <c r="B310" s="57"/>
    </row>
    <row r="311">
      <c r="B311" s="57"/>
    </row>
    <row r="312">
      <c r="B312" s="57"/>
    </row>
    <row r="313">
      <c r="B313" s="57"/>
    </row>
    <row r="314">
      <c r="B314" s="57"/>
    </row>
    <row r="315">
      <c r="B315" s="57"/>
    </row>
    <row r="316">
      <c r="B316" s="57"/>
    </row>
    <row r="317">
      <c r="B317" s="57"/>
    </row>
    <row r="318">
      <c r="B318" s="57"/>
    </row>
    <row r="319">
      <c r="B319" s="57"/>
    </row>
    <row r="320">
      <c r="B320" s="57"/>
    </row>
    <row r="321">
      <c r="B321" s="57"/>
    </row>
    <row r="322">
      <c r="B322" s="57"/>
    </row>
    <row r="323">
      <c r="B323" s="57"/>
    </row>
    <row r="324">
      <c r="B324" s="57"/>
    </row>
    <row r="325">
      <c r="B325" s="57"/>
    </row>
    <row r="326">
      <c r="B326" s="57"/>
    </row>
    <row r="327">
      <c r="B327" s="57"/>
    </row>
    <row r="328">
      <c r="B328" s="57"/>
    </row>
    <row r="329">
      <c r="B329" s="57"/>
    </row>
    <row r="330">
      <c r="B330" s="57"/>
    </row>
    <row r="331">
      <c r="B331" s="57"/>
    </row>
    <row r="332">
      <c r="B332" s="57"/>
    </row>
    <row r="333">
      <c r="B333" s="57"/>
    </row>
    <row r="334">
      <c r="B334" s="57"/>
    </row>
    <row r="335">
      <c r="B335" s="57"/>
    </row>
    <row r="336">
      <c r="B336" s="57"/>
    </row>
    <row r="337">
      <c r="B337" s="57"/>
    </row>
    <row r="338">
      <c r="B338" s="57"/>
    </row>
    <row r="339">
      <c r="B339" s="57"/>
    </row>
    <row r="340">
      <c r="B340" s="57"/>
    </row>
    <row r="341">
      <c r="B341" s="57"/>
    </row>
    <row r="342">
      <c r="B342" s="57"/>
    </row>
    <row r="343">
      <c r="B343" s="57"/>
    </row>
    <row r="344">
      <c r="B344" s="57"/>
    </row>
    <row r="345">
      <c r="B345" s="57"/>
    </row>
    <row r="346">
      <c r="B346" s="57"/>
    </row>
    <row r="347">
      <c r="B347" s="57"/>
    </row>
    <row r="348">
      <c r="B348" s="57"/>
    </row>
    <row r="349">
      <c r="B349" s="57"/>
    </row>
    <row r="350">
      <c r="B350" s="57"/>
    </row>
    <row r="351">
      <c r="B351" s="57"/>
    </row>
    <row r="352">
      <c r="B352" s="57"/>
    </row>
    <row r="353">
      <c r="B353" s="57"/>
    </row>
    <row r="354">
      <c r="B354" s="57"/>
    </row>
    <row r="355">
      <c r="B355" s="57"/>
    </row>
    <row r="356">
      <c r="B356" s="57"/>
    </row>
    <row r="357">
      <c r="B357" s="57"/>
    </row>
    <row r="358">
      <c r="B358" s="57"/>
    </row>
    <row r="359">
      <c r="B359" s="57"/>
    </row>
    <row r="360">
      <c r="B360" s="57"/>
    </row>
    <row r="361">
      <c r="B361" s="57"/>
    </row>
    <row r="362">
      <c r="B362" s="57"/>
    </row>
    <row r="363">
      <c r="B363" s="57"/>
    </row>
    <row r="364">
      <c r="B364" s="57"/>
    </row>
    <row r="365">
      <c r="B365" s="57"/>
    </row>
    <row r="366">
      <c r="B366" s="57"/>
    </row>
    <row r="367">
      <c r="B367" s="57"/>
    </row>
    <row r="368">
      <c r="B368" s="57"/>
    </row>
    <row r="369">
      <c r="B369" s="57"/>
    </row>
    <row r="370">
      <c r="B370" s="57"/>
    </row>
    <row r="371">
      <c r="B371" s="57"/>
    </row>
    <row r="372">
      <c r="B372" s="57"/>
    </row>
    <row r="373">
      <c r="B373" s="57"/>
    </row>
    <row r="374">
      <c r="B374" s="57"/>
    </row>
    <row r="375">
      <c r="B375" s="57"/>
    </row>
    <row r="376">
      <c r="B376" s="57"/>
    </row>
    <row r="377">
      <c r="B377" s="57"/>
    </row>
    <row r="378">
      <c r="B378" s="57"/>
    </row>
    <row r="379">
      <c r="B379" s="57"/>
    </row>
    <row r="380">
      <c r="B380" s="57"/>
    </row>
    <row r="381">
      <c r="B381" s="57"/>
    </row>
    <row r="382">
      <c r="B382" s="57"/>
    </row>
    <row r="383">
      <c r="B383" s="57"/>
    </row>
    <row r="384">
      <c r="B384" s="57"/>
    </row>
    <row r="385">
      <c r="B385" s="57"/>
    </row>
    <row r="386">
      <c r="B386" s="57"/>
    </row>
    <row r="387">
      <c r="B387" s="57"/>
    </row>
    <row r="388">
      <c r="B388" s="57"/>
    </row>
    <row r="389">
      <c r="B389" s="57"/>
    </row>
    <row r="390">
      <c r="B390" s="57"/>
    </row>
    <row r="391">
      <c r="B391" s="57"/>
    </row>
    <row r="392">
      <c r="B392" s="57"/>
    </row>
    <row r="393">
      <c r="B393" s="57"/>
    </row>
    <row r="394">
      <c r="B394" s="57"/>
    </row>
    <row r="395">
      <c r="B395" s="57"/>
    </row>
    <row r="396">
      <c r="B396" s="57"/>
    </row>
    <row r="397">
      <c r="B397" s="57"/>
    </row>
    <row r="398">
      <c r="B398" s="57"/>
    </row>
    <row r="399">
      <c r="B399" s="57"/>
    </row>
    <row r="400">
      <c r="B400" s="57"/>
    </row>
    <row r="401">
      <c r="B401" s="57"/>
    </row>
    <row r="402">
      <c r="B402" s="57"/>
    </row>
    <row r="403">
      <c r="B403" s="57"/>
    </row>
    <row r="404">
      <c r="B404" s="57"/>
    </row>
    <row r="405">
      <c r="B405" s="57"/>
    </row>
    <row r="406">
      <c r="B406" s="57"/>
    </row>
    <row r="407">
      <c r="B407" s="57"/>
    </row>
    <row r="408">
      <c r="B408" s="57"/>
    </row>
    <row r="409">
      <c r="B409" s="57"/>
    </row>
    <row r="410">
      <c r="B410" s="57"/>
    </row>
    <row r="411">
      <c r="B411" s="57"/>
    </row>
    <row r="412">
      <c r="B412" s="57"/>
    </row>
    <row r="413">
      <c r="B413" s="57"/>
    </row>
    <row r="414">
      <c r="B414" s="57"/>
    </row>
    <row r="415">
      <c r="B415" s="57"/>
    </row>
    <row r="416">
      <c r="B416" s="57"/>
    </row>
    <row r="417">
      <c r="B417" s="57"/>
    </row>
    <row r="418">
      <c r="B418" s="57"/>
    </row>
    <row r="419">
      <c r="B419" s="57"/>
    </row>
    <row r="420">
      <c r="B420" s="57"/>
    </row>
    <row r="421">
      <c r="B421" s="57"/>
    </row>
    <row r="422">
      <c r="B422" s="57"/>
    </row>
    <row r="423">
      <c r="B423" s="57"/>
    </row>
    <row r="424">
      <c r="B424" s="57"/>
    </row>
    <row r="425">
      <c r="B425" s="57"/>
    </row>
    <row r="426">
      <c r="B426" s="57"/>
    </row>
    <row r="427">
      <c r="B427" s="57"/>
    </row>
    <row r="428">
      <c r="B428" s="57"/>
    </row>
    <row r="429">
      <c r="B429" s="57"/>
    </row>
    <row r="430">
      <c r="B430" s="57"/>
    </row>
    <row r="431">
      <c r="B431" s="57"/>
    </row>
    <row r="432">
      <c r="B432" s="57"/>
    </row>
    <row r="433">
      <c r="B433" s="57"/>
    </row>
    <row r="434">
      <c r="B434" s="57"/>
    </row>
    <row r="435">
      <c r="B435" s="57"/>
    </row>
    <row r="436">
      <c r="B436" s="57"/>
    </row>
    <row r="437">
      <c r="B437" s="57"/>
    </row>
    <row r="438">
      <c r="B438" s="57"/>
    </row>
    <row r="439">
      <c r="B439" s="57"/>
    </row>
    <row r="440">
      <c r="B440" s="57"/>
    </row>
    <row r="441">
      <c r="B441" s="57"/>
    </row>
    <row r="442">
      <c r="B442" s="57"/>
    </row>
    <row r="443">
      <c r="B443" s="57"/>
    </row>
    <row r="444">
      <c r="B444" s="57"/>
    </row>
    <row r="445">
      <c r="B445" s="57"/>
    </row>
    <row r="446">
      <c r="B446" s="57"/>
    </row>
    <row r="447">
      <c r="B447" s="57"/>
    </row>
    <row r="448">
      <c r="B448" s="57"/>
    </row>
    <row r="449">
      <c r="B449" s="57"/>
    </row>
    <row r="450">
      <c r="B450" s="57"/>
    </row>
    <row r="451">
      <c r="B451" s="57"/>
    </row>
    <row r="452">
      <c r="B452" s="57"/>
    </row>
    <row r="453">
      <c r="B453" s="57"/>
    </row>
    <row r="454">
      <c r="B454" s="57"/>
    </row>
    <row r="455">
      <c r="B455" s="57"/>
    </row>
    <row r="456">
      <c r="B456" s="57"/>
    </row>
    <row r="457">
      <c r="B457" s="57"/>
    </row>
    <row r="458">
      <c r="B458" s="57"/>
    </row>
    <row r="459">
      <c r="B459" s="57"/>
    </row>
    <row r="460">
      <c r="B460" s="57"/>
    </row>
    <row r="461">
      <c r="B461" s="57"/>
    </row>
    <row r="462">
      <c r="B462" s="57"/>
    </row>
    <row r="463">
      <c r="B463" s="57"/>
    </row>
    <row r="464">
      <c r="B464" s="57"/>
    </row>
    <row r="465">
      <c r="B465" s="57"/>
    </row>
    <row r="466">
      <c r="B466" s="57"/>
    </row>
    <row r="467">
      <c r="B467" s="57"/>
    </row>
    <row r="468">
      <c r="B468" s="57"/>
    </row>
    <row r="469">
      <c r="B469" s="57"/>
    </row>
    <row r="470">
      <c r="B470" s="57"/>
    </row>
    <row r="471">
      <c r="B471" s="57"/>
    </row>
    <row r="472">
      <c r="B472" s="57"/>
    </row>
    <row r="473">
      <c r="B473" s="57"/>
    </row>
    <row r="474">
      <c r="B474" s="57"/>
    </row>
    <row r="475">
      <c r="B475" s="57"/>
    </row>
    <row r="476">
      <c r="B476" s="57"/>
    </row>
    <row r="477">
      <c r="B477" s="57"/>
    </row>
    <row r="478">
      <c r="B478" s="57"/>
    </row>
    <row r="479">
      <c r="B479" s="57"/>
    </row>
    <row r="480">
      <c r="B480" s="57"/>
    </row>
    <row r="481">
      <c r="B481" s="57"/>
    </row>
    <row r="482">
      <c r="B482" s="57"/>
    </row>
    <row r="483">
      <c r="B483" s="57"/>
    </row>
    <row r="484">
      <c r="B484" s="57"/>
    </row>
    <row r="485">
      <c r="B485" s="57"/>
    </row>
    <row r="486">
      <c r="B486" s="57"/>
    </row>
    <row r="487">
      <c r="B487" s="57"/>
    </row>
    <row r="488">
      <c r="B488" s="57"/>
    </row>
    <row r="489">
      <c r="B489" s="57"/>
    </row>
    <row r="490">
      <c r="B490" s="57"/>
    </row>
    <row r="491">
      <c r="B491" s="57"/>
    </row>
    <row r="492">
      <c r="B492" s="57"/>
    </row>
    <row r="493">
      <c r="B493" s="57"/>
    </row>
    <row r="494">
      <c r="B494" s="57"/>
    </row>
    <row r="495">
      <c r="B495" s="57"/>
    </row>
    <row r="496">
      <c r="B496" s="57"/>
    </row>
    <row r="497">
      <c r="B497" s="57"/>
    </row>
    <row r="498">
      <c r="B498" s="57"/>
    </row>
    <row r="499">
      <c r="B499" s="57"/>
    </row>
    <row r="500">
      <c r="B500" s="57"/>
    </row>
    <row r="501">
      <c r="B501" s="57"/>
    </row>
    <row r="502">
      <c r="B502" s="57"/>
    </row>
    <row r="503">
      <c r="B503" s="57"/>
    </row>
    <row r="504">
      <c r="B504" s="57"/>
    </row>
    <row r="505">
      <c r="B505" s="57"/>
    </row>
    <row r="506">
      <c r="B506" s="57"/>
    </row>
    <row r="507">
      <c r="B507" s="57"/>
    </row>
    <row r="508">
      <c r="B508" s="57"/>
    </row>
    <row r="509">
      <c r="B509" s="57"/>
    </row>
    <row r="510">
      <c r="B510" s="57"/>
    </row>
    <row r="511">
      <c r="B511" s="57"/>
    </row>
    <row r="512">
      <c r="B512" s="57"/>
    </row>
    <row r="513">
      <c r="B513" s="57"/>
    </row>
    <row r="514">
      <c r="B514" s="57"/>
    </row>
    <row r="515">
      <c r="B515" s="57"/>
    </row>
    <row r="516">
      <c r="B516" s="57"/>
    </row>
    <row r="517">
      <c r="B517" s="57"/>
    </row>
    <row r="518">
      <c r="B518" s="57"/>
    </row>
    <row r="519">
      <c r="B519" s="57"/>
    </row>
    <row r="520">
      <c r="B520" s="57"/>
    </row>
    <row r="521">
      <c r="B521" s="57"/>
    </row>
    <row r="522">
      <c r="B522" s="57"/>
    </row>
    <row r="523">
      <c r="B523" s="57"/>
    </row>
    <row r="524">
      <c r="B524" s="57"/>
    </row>
    <row r="525">
      <c r="B525" s="57"/>
    </row>
    <row r="526">
      <c r="B526" s="57"/>
    </row>
    <row r="527">
      <c r="B527" s="57"/>
    </row>
    <row r="528">
      <c r="B528" s="57"/>
    </row>
    <row r="529">
      <c r="B529" s="57"/>
    </row>
    <row r="530">
      <c r="B530" s="57"/>
    </row>
    <row r="531">
      <c r="B531" s="57"/>
    </row>
    <row r="532">
      <c r="B532" s="57"/>
    </row>
    <row r="533">
      <c r="B533" s="57"/>
    </row>
    <row r="534">
      <c r="B534" s="57"/>
    </row>
    <row r="535">
      <c r="B535" s="57"/>
    </row>
    <row r="536">
      <c r="B536" s="57"/>
    </row>
    <row r="537">
      <c r="B537" s="57"/>
    </row>
    <row r="538">
      <c r="B538" s="57"/>
    </row>
    <row r="539">
      <c r="B539" s="57"/>
    </row>
    <row r="540">
      <c r="B540" s="57"/>
    </row>
    <row r="541">
      <c r="B541" s="57"/>
    </row>
    <row r="542">
      <c r="B542" s="57"/>
    </row>
    <row r="543">
      <c r="B543" s="57"/>
    </row>
    <row r="544">
      <c r="B544" s="57"/>
    </row>
    <row r="545">
      <c r="B545" s="57"/>
    </row>
    <row r="546">
      <c r="B546" s="57"/>
    </row>
    <row r="547">
      <c r="B547" s="57"/>
    </row>
    <row r="548">
      <c r="B548" s="57"/>
    </row>
    <row r="549">
      <c r="B549" s="57"/>
    </row>
    <row r="550">
      <c r="B550" s="57"/>
    </row>
    <row r="551">
      <c r="B551" s="57"/>
    </row>
    <row r="552">
      <c r="B552" s="57"/>
    </row>
    <row r="553">
      <c r="B553" s="57"/>
    </row>
    <row r="554">
      <c r="B554" s="57"/>
    </row>
    <row r="555">
      <c r="B555" s="57"/>
    </row>
    <row r="556">
      <c r="B556" s="57"/>
    </row>
    <row r="557">
      <c r="B557" s="57"/>
    </row>
    <row r="558">
      <c r="B558" s="57"/>
    </row>
    <row r="559">
      <c r="B559" s="57"/>
    </row>
    <row r="560">
      <c r="B560" s="57"/>
    </row>
    <row r="561">
      <c r="B561" s="57"/>
    </row>
    <row r="562">
      <c r="B562" s="57"/>
    </row>
    <row r="563">
      <c r="B563" s="57"/>
    </row>
    <row r="564">
      <c r="B564" s="57"/>
    </row>
    <row r="565">
      <c r="B565" s="57"/>
    </row>
    <row r="566">
      <c r="B566" s="57"/>
    </row>
    <row r="567">
      <c r="B567" s="57"/>
    </row>
    <row r="568">
      <c r="B568" s="57"/>
    </row>
    <row r="569">
      <c r="B569" s="57"/>
    </row>
    <row r="570">
      <c r="B570" s="57"/>
    </row>
    <row r="571">
      <c r="B571" s="57"/>
    </row>
    <row r="572">
      <c r="B572" s="57"/>
    </row>
    <row r="573">
      <c r="B573" s="57"/>
    </row>
    <row r="574">
      <c r="B574" s="57"/>
    </row>
    <row r="575">
      <c r="B575" s="57"/>
    </row>
    <row r="576">
      <c r="B576" s="57"/>
    </row>
    <row r="577">
      <c r="B577" s="57"/>
    </row>
    <row r="578">
      <c r="B578" s="57"/>
    </row>
    <row r="579">
      <c r="B579" s="57"/>
    </row>
    <row r="580">
      <c r="B580" s="57"/>
    </row>
    <row r="581">
      <c r="B581" s="57"/>
    </row>
    <row r="582">
      <c r="B582" s="57"/>
    </row>
    <row r="583">
      <c r="B583" s="57"/>
    </row>
    <row r="584">
      <c r="B584" s="57"/>
    </row>
    <row r="585">
      <c r="B585" s="57"/>
    </row>
    <row r="586">
      <c r="B586" s="57"/>
    </row>
    <row r="587">
      <c r="B587" s="57"/>
    </row>
    <row r="588">
      <c r="B588" s="57"/>
    </row>
    <row r="589">
      <c r="B589" s="57"/>
    </row>
    <row r="590">
      <c r="B590" s="57"/>
    </row>
    <row r="591">
      <c r="B591" s="57"/>
    </row>
    <row r="592">
      <c r="B592" s="57"/>
    </row>
    <row r="593">
      <c r="B593" s="57"/>
    </row>
    <row r="594">
      <c r="B594" s="57"/>
    </row>
    <row r="595">
      <c r="B595" s="57"/>
    </row>
    <row r="596">
      <c r="B596" s="57"/>
    </row>
    <row r="597">
      <c r="B597" s="57"/>
    </row>
    <row r="598">
      <c r="B598" s="57"/>
    </row>
    <row r="599">
      <c r="B599" s="57"/>
    </row>
    <row r="600">
      <c r="B600" s="57"/>
    </row>
    <row r="601">
      <c r="B601" s="57"/>
    </row>
    <row r="602">
      <c r="B602" s="57"/>
    </row>
    <row r="603">
      <c r="B603" s="57"/>
    </row>
    <row r="604">
      <c r="B604" s="57"/>
    </row>
    <row r="605">
      <c r="B605" s="57"/>
    </row>
    <row r="606">
      <c r="B606" s="57"/>
    </row>
    <row r="607">
      <c r="B607" s="57"/>
    </row>
    <row r="608">
      <c r="B608" s="57"/>
    </row>
    <row r="609">
      <c r="B609" s="57"/>
    </row>
    <row r="610">
      <c r="B610" s="57"/>
    </row>
    <row r="611">
      <c r="B611" s="57"/>
    </row>
    <row r="612">
      <c r="B612" s="57"/>
    </row>
    <row r="613">
      <c r="B613" s="57"/>
    </row>
    <row r="614">
      <c r="B614" s="57"/>
    </row>
    <row r="615">
      <c r="B615" s="57"/>
    </row>
    <row r="616">
      <c r="B616" s="57"/>
    </row>
    <row r="617">
      <c r="B617" s="57"/>
    </row>
    <row r="618">
      <c r="B618" s="57"/>
    </row>
    <row r="619">
      <c r="B619" s="57"/>
    </row>
    <row r="620">
      <c r="B620" s="57"/>
    </row>
    <row r="621">
      <c r="B621" s="57"/>
    </row>
    <row r="622">
      <c r="B622" s="57"/>
    </row>
    <row r="623">
      <c r="B623" s="57"/>
    </row>
    <row r="624">
      <c r="B624" s="57"/>
    </row>
    <row r="625">
      <c r="B625" s="57"/>
    </row>
    <row r="626">
      <c r="B626" s="57"/>
    </row>
    <row r="627">
      <c r="B627" s="57"/>
    </row>
    <row r="628">
      <c r="B628" s="57"/>
    </row>
    <row r="629">
      <c r="B629" s="57"/>
    </row>
    <row r="630">
      <c r="B630" s="57"/>
    </row>
    <row r="631">
      <c r="B631" s="57"/>
    </row>
    <row r="632">
      <c r="B632" s="57"/>
    </row>
    <row r="633">
      <c r="B633" s="57"/>
    </row>
    <row r="634">
      <c r="B634" s="57"/>
    </row>
    <row r="635">
      <c r="B635" s="57"/>
    </row>
    <row r="636">
      <c r="B636" s="57"/>
    </row>
    <row r="637">
      <c r="B637" s="57"/>
    </row>
    <row r="638">
      <c r="B638" s="57"/>
    </row>
    <row r="639">
      <c r="B639" s="57"/>
    </row>
    <row r="640">
      <c r="B640" s="57"/>
    </row>
    <row r="641">
      <c r="B641" s="57"/>
    </row>
    <row r="642">
      <c r="B642" s="57"/>
    </row>
    <row r="643">
      <c r="B643" s="57"/>
    </row>
    <row r="644">
      <c r="B644" s="57"/>
    </row>
    <row r="645">
      <c r="B645" s="57"/>
    </row>
    <row r="646">
      <c r="B646" s="57"/>
    </row>
    <row r="647">
      <c r="B647" s="57"/>
    </row>
    <row r="648">
      <c r="B648" s="57"/>
    </row>
    <row r="649">
      <c r="B649" s="57"/>
    </row>
    <row r="650">
      <c r="B650" s="57"/>
    </row>
    <row r="651">
      <c r="B651" s="57"/>
    </row>
    <row r="652">
      <c r="B652" s="57"/>
    </row>
    <row r="653">
      <c r="B653" s="57"/>
    </row>
    <row r="654">
      <c r="B654" s="57"/>
    </row>
    <row r="655">
      <c r="B655" s="57"/>
    </row>
    <row r="656">
      <c r="B656" s="57"/>
    </row>
    <row r="657">
      <c r="B657" s="57"/>
    </row>
    <row r="658">
      <c r="B658" s="57"/>
    </row>
    <row r="659">
      <c r="B659" s="57"/>
    </row>
    <row r="660">
      <c r="B660" s="57"/>
    </row>
    <row r="661">
      <c r="B661" s="57"/>
    </row>
    <row r="662">
      <c r="B662" s="57"/>
    </row>
    <row r="663">
      <c r="B663" s="57"/>
    </row>
    <row r="664">
      <c r="B664" s="57"/>
    </row>
    <row r="665">
      <c r="B665" s="57"/>
    </row>
    <row r="666">
      <c r="B666" s="57"/>
    </row>
    <row r="667">
      <c r="B667" s="57"/>
    </row>
    <row r="668">
      <c r="B668" s="57"/>
    </row>
    <row r="669">
      <c r="B669" s="57"/>
    </row>
    <row r="670">
      <c r="B670" s="57"/>
    </row>
    <row r="671">
      <c r="B671" s="57"/>
    </row>
    <row r="672">
      <c r="B672" s="57"/>
    </row>
    <row r="673">
      <c r="B673" s="57"/>
    </row>
    <row r="674">
      <c r="B674" s="57"/>
    </row>
    <row r="675">
      <c r="B675" s="57"/>
    </row>
    <row r="676">
      <c r="B676" s="57"/>
    </row>
    <row r="677">
      <c r="B677" s="57"/>
    </row>
    <row r="678">
      <c r="B678" s="57"/>
    </row>
    <row r="679">
      <c r="B679" s="57"/>
    </row>
    <row r="680">
      <c r="B680" s="57"/>
    </row>
    <row r="681">
      <c r="B681" s="57"/>
    </row>
    <row r="682">
      <c r="B682" s="57"/>
    </row>
    <row r="683">
      <c r="B683" s="57"/>
    </row>
    <row r="684">
      <c r="B684" s="57"/>
    </row>
    <row r="685">
      <c r="B685" s="57"/>
    </row>
    <row r="686">
      <c r="B686" s="57"/>
    </row>
    <row r="687">
      <c r="B687" s="57"/>
    </row>
    <row r="688">
      <c r="B688" s="57"/>
    </row>
    <row r="689">
      <c r="B689" s="57"/>
    </row>
    <row r="690">
      <c r="B690" s="57"/>
    </row>
    <row r="691">
      <c r="B691" s="57"/>
    </row>
    <row r="692">
      <c r="B692" s="57"/>
    </row>
    <row r="693">
      <c r="B693" s="57"/>
    </row>
    <row r="694">
      <c r="B694" s="57"/>
    </row>
    <row r="695">
      <c r="B695" s="57"/>
    </row>
    <row r="696">
      <c r="B696" s="57"/>
    </row>
    <row r="697">
      <c r="B697" s="57"/>
    </row>
    <row r="698">
      <c r="B698" s="57"/>
    </row>
    <row r="699">
      <c r="B699" s="57"/>
    </row>
    <row r="700">
      <c r="B700" s="57"/>
    </row>
    <row r="701">
      <c r="B701" s="57"/>
    </row>
    <row r="702">
      <c r="B702" s="57"/>
    </row>
    <row r="703">
      <c r="B703" s="57"/>
    </row>
    <row r="704">
      <c r="B704" s="57"/>
    </row>
    <row r="705">
      <c r="B705" s="57"/>
    </row>
    <row r="706">
      <c r="B706" s="57"/>
    </row>
    <row r="707">
      <c r="B707" s="57"/>
    </row>
    <row r="708">
      <c r="B708" s="57"/>
    </row>
    <row r="709">
      <c r="B709" s="57"/>
    </row>
    <row r="710">
      <c r="B710" s="57"/>
    </row>
    <row r="711">
      <c r="B711" s="57"/>
    </row>
    <row r="712">
      <c r="B712" s="57"/>
    </row>
    <row r="713">
      <c r="B713" s="57"/>
    </row>
    <row r="714">
      <c r="B714" s="57"/>
    </row>
    <row r="715">
      <c r="B715" s="57"/>
    </row>
    <row r="716">
      <c r="B716" s="57"/>
    </row>
    <row r="717">
      <c r="B717" s="57"/>
    </row>
    <row r="718">
      <c r="B718" s="57"/>
    </row>
    <row r="719">
      <c r="B719" s="57"/>
    </row>
    <row r="720">
      <c r="B720" s="57"/>
    </row>
    <row r="721">
      <c r="B721" s="57"/>
    </row>
    <row r="722">
      <c r="B722" s="57"/>
    </row>
    <row r="723">
      <c r="B723" s="57"/>
    </row>
    <row r="724">
      <c r="B724" s="57"/>
    </row>
    <row r="725">
      <c r="B725" s="57"/>
    </row>
    <row r="726">
      <c r="B726" s="57"/>
    </row>
    <row r="727">
      <c r="B727" s="57"/>
    </row>
    <row r="728">
      <c r="B728" s="57"/>
    </row>
    <row r="729">
      <c r="B729" s="57"/>
    </row>
    <row r="730">
      <c r="B730" s="57"/>
    </row>
    <row r="731">
      <c r="B731" s="57"/>
    </row>
    <row r="732">
      <c r="B732" s="57"/>
    </row>
    <row r="733">
      <c r="B733" s="57"/>
    </row>
    <row r="734">
      <c r="B734" s="57"/>
    </row>
    <row r="735">
      <c r="B735" s="57"/>
    </row>
    <row r="736">
      <c r="B736" s="57"/>
    </row>
    <row r="737">
      <c r="B737" s="57"/>
    </row>
    <row r="738">
      <c r="B738" s="57"/>
    </row>
    <row r="739">
      <c r="B739" s="57"/>
    </row>
    <row r="740">
      <c r="B740" s="57"/>
    </row>
    <row r="741">
      <c r="B741" s="57"/>
    </row>
    <row r="742">
      <c r="B742" s="57"/>
    </row>
    <row r="743">
      <c r="B743" s="57"/>
    </row>
    <row r="744">
      <c r="B744" s="57"/>
    </row>
    <row r="745">
      <c r="B745" s="57"/>
    </row>
    <row r="746">
      <c r="B746" s="57"/>
    </row>
    <row r="747">
      <c r="B747" s="57"/>
    </row>
    <row r="748">
      <c r="B748" s="57"/>
    </row>
    <row r="749">
      <c r="B749" s="57"/>
    </row>
    <row r="750">
      <c r="B750" s="57"/>
    </row>
    <row r="751">
      <c r="B751" s="57"/>
    </row>
    <row r="752">
      <c r="B752" s="57"/>
    </row>
    <row r="753">
      <c r="B753" s="57"/>
    </row>
    <row r="754">
      <c r="B754" s="57"/>
    </row>
    <row r="755">
      <c r="B755" s="57"/>
    </row>
    <row r="756">
      <c r="B756" s="57"/>
    </row>
    <row r="757">
      <c r="B757" s="57"/>
    </row>
    <row r="758">
      <c r="B758" s="57"/>
    </row>
    <row r="759">
      <c r="B759" s="57"/>
    </row>
    <row r="760">
      <c r="B760" s="57"/>
    </row>
    <row r="761">
      <c r="B761" s="57"/>
    </row>
    <row r="762">
      <c r="B762" s="57"/>
    </row>
    <row r="763">
      <c r="B763" s="57"/>
    </row>
    <row r="764">
      <c r="B764" s="57"/>
    </row>
    <row r="765">
      <c r="B765" s="57"/>
    </row>
    <row r="766">
      <c r="B766" s="57"/>
    </row>
    <row r="767">
      <c r="B767" s="57"/>
    </row>
    <row r="768">
      <c r="B768" s="57"/>
    </row>
    <row r="769">
      <c r="B769" s="57"/>
    </row>
    <row r="770">
      <c r="B770" s="57"/>
    </row>
    <row r="771">
      <c r="B771" s="57"/>
    </row>
    <row r="772">
      <c r="B772" s="57"/>
    </row>
    <row r="773">
      <c r="B773" s="57"/>
    </row>
    <row r="774">
      <c r="B774" s="57"/>
    </row>
    <row r="775">
      <c r="B775" s="57"/>
    </row>
    <row r="776">
      <c r="B776" s="57"/>
    </row>
    <row r="777">
      <c r="B777" s="57"/>
    </row>
    <row r="778">
      <c r="B778" s="57"/>
    </row>
    <row r="779">
      <c r="B779" s="57"/>
    </row>
    <row r="780">
      <c r="B780" s="57"/>
    </row>
    <row r="781">
      <c r="B781" s="57"/>
    </row>
    <row r="782">
      <c r="B782" s="57"/>
    </row>
    <row r="783">
      <c r="B783" s="57"/>
    </row>
    <row r="784">
      <c r="B784" s="57"/>
    </row>
    <row r="785">
      <c r="B785" s="57"/>
    </row>
    <row r="786">
      <c r="B786" s="57"/>
    </row>
    <row r="787">
      <c r="B787" s="57"/>
    </row>
    <row r="788">
      <c r="B788" s="57"/>
    </row>
    <row r="789">
      <c r="B789" s="57"/>
    </row>
    <row r="790">
      <c r="B790" s="57"/>
    </row>
    <row r="791">
      <c r="B791" s="57"/>
    </row>
    <row r="792">
      <c r="B792" s="57"/>
    </row>
    <row r="793">
      <c r="B793" s="57"/>
    </row>
    <row r="794">
      <c r="B794" s="57"/>
    </row>
    <row r="795">
      <c r="B795" s="57"/>
    </row>
    <row r="796">
      <c r="B796" s="57"/>
    </row>
    <row r="797">
      <c r="B797" s="57"/>
    </row>
    <row r="798">
      <c r="B798" s="57"/>
    </row>
    <row r="799">
      <c r="B799" s="57"/>
    </row>
    <row r="800">
      <c r="B800" s="57"/>
    </row>
    <row r="801">
      <c r="B801" s="57"/>
    </row>
    <row r="802">
      <c r="B802" s="57"/>
    </row>
    <row r="803">
      <c r="B803" s="57"/>
    </row>
    <row r="804">
      <c r="B804" s="57"/>
    </row>
    <row r="805">
      <c r="B805" s="57"/>
    </row>
    <row r="806">
      <c r="B806" s="57"/>
    </row>
    <row r="807">
      <c r="B807" s="57"/>
    </row>
    <row r="808">
      <c r="B808" s="57"/>
    </row>
    <row r="809">
      <c r="B809" s="57"/>
    </row>
    <row r="810">
      <c r="B810" s="57"/>
    </row>
    <row r="811">
      <c r="B811" s="57"/>
    </row>
    <row r="812">
      <c r="B812" s="57"/>
    </row>
    <row r="813">
      <c r="B813" s="57"/>
    </row>
    <row r="814">
      <c r="B814" s="57"/>
    </row>
    <row r="815">
      <c r="B815" s="57"/>
    </row>
    <row r="816">
      <c r="B816" s="57"/>
    </row>
    <row r="817">
      <c r="B817" s="57"/>
    </row>
    <row r="818">
      <c r="B818" s="57"/>
    </row>
    <row r="819">
      <c r="B819" s="57"/>
    </row>
    <row r="820">
      <c r="B820" s="57"/>
    </row>
    <row r="821">
      <c r="B821" s="57"/>
    </row>
    <row r="822">
      <c r="B822" s="57"/>
    </row>
    <row r="823">
      <c r="B823" s="57"/>
    </row>
    <row r="824">
      <c r="B824" s="57"/>
    </row>
    <row r="825">
      <c r="B825" s="57"/>
    </row>
    <row r="826">
      <c r="B826" s="57"/>
    </row>
    <row r="827">
      <c r="B827" s="57"/>
    </row>
    <row r="828">
      <c r="B828" s="57"/>
    </row>
    <row r="829">
      <c r="B829" s="57"/>
    </row>
    <row r="830">
      <c r="B830" s="57"/>
    </row>
    <row r="831">
      <c r="B831" s="57"/>
    </row>
    <row r="832">
      <c r="B832" s="57"/>
    </row>
    <row r="833">
      <c r="B833" s="57"/>
    </row>
    <row r="834">
      <c r="B834" s="57"/>
    </row>
    <row r="835">
      <c r="B835" s="57"/>
    </row>
    <row r="836">
      <c r="B836" s="57"/>
    </row>
    <row r="837">
      <c r="B837" s="57"/>
    </row>
    <row r="838">
      <c r="B838" s="57"/>
    </row>
    <row r="839">
      <c r="B839" s="57"/>
    </row>
    <row r="840">
      <c r="B840" s="57"/>
    </row>
    <row r="841">
      <c r="B841" s="57"/>
    </row>
    <row r="842">
      <c r="B842" s="57"/>
    </row>
    <row r="843">
      <c r="B843" s="57"/>
    </row>
    <row r="844">
      <c r="B844" s="57"/>
    </row>
    <row r="845">
      <c r="B845" s="57"/>
    </row>
    <row r="846">
      <c r="B846" s="57"/>
    </row>
    <row r="847">
      <c r="B847" s="57"/>
    </row>
    <row r="848">
      <c r="B848" s="57"/>
    </row>
    <row r="849">
      <c r="B849" s="57"/>
    </row>
    <row r="850">
      <c r="B850" s="57"/>
    </row>
    <row r="851">
      <c r="B851" s="57"/>
    </row>
    <row r="852">
      <c r="B852" s="57"/>
    </row>
    <row r="853">
      <c r="B853" s="57"/>
    </row>
    <row r="854">
      <c r="B854" s="57"/>
    </row>
    <row r="855">
      <c r="B855" s="57"/>
    </row>
    <row r="856">
      <c r="B856" s="57"/>
    </row>
    <row r="857">
      <c r="B857" s="57"/>
    </row>
    <row r="858">
      <c r="B858" s="57"/>
    </row>
    <row r="859">
      <c r="B859" s="57"/>
    </row>
    <row r="860">
      <c r="B860" s="57"/>
    </row>
    <row r="861">
      <c r="B861" s="57"/>
    </row>
    <row r="862">
      <c r="B862" s="57"/>
    </row>
    <row r="863">
      <c r="B863" s="57"/>
    </row>
    <row r="864">
      <c r="B864" s="57"/>
    </row>
    <row r="865">
      <c r="B865" s="57"/>
    </row>
    <row r="866">
      <c r="B866" s="57"/>
    </row>
    <row r="867">
      <c r="B867" s="57"/>
    </row>
    <row r="868">
      <c r="B868" s="57"/>
    </row>
    <row r="869">
      <c r="B869" s="57"/>
    </row>
    <row r="870">
      <c r="B870" s="57"/>
    </row>
    <row r="871">
      <c r="B871" s="57"/>
    </row>
    <row r="872">
      <c r="B872" s="57"/>
    </row>
    <row r="873">
      <c r="B873" s="57"/>
    </row>
    <row r="874">
      <c r="B874" s="57"/>
    </row>
    <row r="875">
      <c r="B875" s="57"/>
    </row>
    <row r="876">
      <c r="B876" s="57"/>
    </row>
    <row r="877">
      <c r="B877" s="57"/>
    </row>
    <row r="878">
      <c r="B878" s="57"/>
    </row>
    <row r="879">
      <c r="B879" s="57"/>
    </row>
    <row r="880">
      <c r="B880" s="57"/>
    </row>
    <row r="881">
      <c r="B881" s="57"/>
    </row>
    <row r="882">
      <c r="B882" s="57"/>
    </row>
    <row r="883">
      <c r="B883" s="57"/>
    </row>
    <row r="884">
      <c r="B884" s="57"/>
    </row>
    <row r="885">
      <c r="B885" s="57"/>
    </row>
    <row r="886">
      <c r="B886" s="57"/>
    </row>
    <row r="887">
      <c r="B887" s="57"/>
    </row>
    <row r="888">
      <c r="B888" s="57"/>
    </row>
    <row r="889">
      <c r="B889" s="57"/>
    </row>
    <row r="890">
      <c r="B890" s="57"/>
    </row>
    <row r="891">
      <c r="B891" s="57"/>
    </row>
    <row r="892">
      <c r="B892" s="57"/>
    </row>
    <row r="893">
      <c r="B893" s="57"/>
    </row>
    <row r="894">
      <c r="B894" s="57"/>
    </row>
    <row r="895">
      <c r="B895" s="57"/>
    </row>
    <row r="896">
      <c r="B896" s="57"/>
    </row>
    <row r="897">
      <c r="B897" s="57"/>
    </row>
    <row r="898">
      <c r="B898" s="57"/>
    </row>
    <row r="899">
      <c r="B899" s="57"/>
    </row>
    <row r="900">
      <c r="B900" s="57"/>
    </row>
    <row r="901">
      <c r="B901" s="57"/>
    </row>
    <row r="902">
      <c r="B902" s="57"/>
    </row>
    <row r="903">
      <c r="B903" s="57"/>
    </row>
    <row r="904">
      <c r="B904" s="57"/>
    </row>
    <row r="905">
      <c r="B905" s="57"/>
    </row>
    <row r="906">
      <c r="B906" s="57"/>
    </row>
    <row r="907">
      <c r="B907" s="57"/>
    </row>
    <row r="908">
      <c r="B908" s="57"/>
    </row>
    <row r="909">
      <c r="B909" s="57"/>
    </row>
    <row r="910">
      <c r="B910" s="57"/>
    </row>
    <row r="911">
      <c r="B911" s="57"/>
    </row>
    <row r="912">
      <c r="B912" s="57"/>
    </row>
    <row r="913">
      <c r="B913" s="57"/>
    </row>
    <row r="914">
      <c r="B914" s="57"/>
    </row>
    <row r="915">
      <c r="B915" s="57"/>
    </row>
    <row r="916">
      <c r="B916" s="57"/>
    </row>
    <row r="917">
      <c r="B917" s="57"/>
    </row>
    <row r="918">
      <c r="B918" s="57"/>
    </row>
    <row r="919">
      <c r="B919" s="57"/>
    </row>
    <row r="920">
      <c r="B920" s="57"/>
    </row>
    <row r="921">
      <c r="B921" s="57"/>
    </row>
    <row r="922">
      <c r="B922" s="57"/>
    </row>
    <row r="923">
      <c r="B923" s="57"/>
    </row>
    <row r="924">
      <c r="B924" s="57"/>
    </row>
    <row r="925">
      <c r="B925" s="57"/>
    </row>
    <row r="926">
      <c r="B926" s="57"/>
    </row>
    <row r="927">
      <c r="B927" s="57"/>
    </row>
    <row r="928">
      <c r="B928" s="57"/>
    </row>
    <row r="929">
      <c r="B929" s="57"/>
    </row>
    <row r="930">
      <c r="B930" s="57"/>
    </row>
    <row r="931">
      <c r="B931" s="57"/>
    </row>
    <row r="932">
      <c r="B932" s="57"/>
    </row>
    <row r="933">
      <c r="B933" s="57"/>
    </row>
    <row r="934">
      <c r="B934" s="57"/>
    </row>
    <row r="935">
      <c r="B935" s="57"/>
    </row>
    <row r="936">
      <c r="B936" s="57"/>
    </row>
    <row r="937">
      <c r="B937" s="57"/>
    </row>
    <row r="938">
      <c r="B938" s="57"/>
    </row>
    <row r="939">
      <c r="B939" s="57"/>
    </row>
    <row r="940">
      <c r="B940" s="57"/>
    </row>
    <row r="941">
      <c r="B941" s="57"/>
    </row>
    <row r="942">
      <c r="B942" s="57"/>
    </row>
    <row r="943">
      <c r="B943" s="57"/>
    </row>
    <row r="944">
      <c r="B944" s="57"/>
    </row>
    <row r="945">
      <c r="B945" s="57"/>
    </row>
    <row r="946">
      <c r="B946" s="57"/>
    </row>
    <row r="947">
      <c r="B947" s="57"/>
    </row>
    <row r="948">
      <c r="B948" s="57"/>
    </row>
    <row r="949">
      <c r="B949" s="57"/>
    </row>
    <row r="950">
      <c r="B950" s="57"/>
    </row>
    <row r="951">
      <c r="B951" s="57"/>
    </row>
    <row r="952">
      <c r="B952" s="57"/>
    </row>
    <row r="953">
      <c r="B953" s="57"/>
    </row>
    <row r="954">
      <c r="B954" s="57"/>
    </row>
    <row r="955">
      <c r="B955" s="57"/>
    </row>
    <row r="956">
      <c r="B956" s="57"/>
    </row>
    <row r="957">
      <c r="B957" s="57"/>
    </row>
    <row r="958">
      <c r="B958" s="57"/>
    </row>
    <row r="959">
      <c r="B959" s="57"/>
    </row>
    <row r="960">
      <c r="B960" s="57"/>
    </row>
    <row r="961">
      <c r="B961" s="57"/>
    </row>
    <row r="962">
      <c r="B962" s="57"/>
    </row>
    <row r="963">
      <c r="B963" s="57"/>
    </row>
    <row r="964">
      <c r="B964" s="57"/>
    </row>
    <row r="965">
      <c r="B965" s="57"/>
    </row>
    <row r="966">
      <c r="B966" s="57"/>
    </row>
    <row r="967">
      <c r="B967" s="57"/>
    </row>
    <row r="968">
      <c r="B968" s="57"/>
    </row>
    <row r="969">
      <c r="B969" s="57"/>
    </row>
    <row r="970">
      <c r="B970" s="57"/>
    </row>
    <row r="971">
      <c r="B971" s="57"/>
    </row>
    <row r="972">
      <c r="B972" s="57"/>
    </row>
    <row r="973">
      <c r="B973" s="57"/>
    </row>
    <row r="974">
      <c r="B974" s="57"/>
    </row>
    <row r="975">
      <c r="B975" s="57"/>
    </row>
    <row r="976">
      <c r="B976" s="57"/>
    </row>
    <row r="977">
      <c r="B977" s="57"/>
    </row>
    <row r="978">
      <c r="B978" s="57"/>
    </row>
    <row r="979">
      <c r="B979" s="57"/>
    </row>
    <row r="980">
      <c r="B980" s="57"/>
    </row>
    <row r="981">
      <c r="B981" s="57"/>
    </row>
    <row r="982">
      <c r="B982" s="57"/>
    </row>
    <row r="983">
      <c r="B983" s="57"/>
    </row>
    <row r="984">
      <c r="B984" s="57"/>
    </row>
    <row r="985">
      <c r="B985" s="57"/>
    </row>
    <row r="986">
      <c r="B986" s="57"/>
    </row>
    <row r="987">
      <c r="B987" s="57"/>
    </row>
    <row r="988">
      <c r="B988" s="57"/>
    </row>
    <row r="989">
      <c r="B989" s="57"/>
    </row>
    <row r="990">
      <c r="B990" s="57"/>
    </row>
    <row r="991">
      <c r="B991" s="57"/>
    </row>
    <row r="992">
      <c r="B992" s="57"/>
    </row>
    <row r="993">
      <c r="B993" s="57"/>
    </row>
    <row r="994">
      <c r="B994" s="57"/>
    </row>
    <row r="995">
      <c r="B995" s="57"/>
    </row>
    <row r="996">
      <c r="B996" s="57"/>
    </row>
    <row r="997">
      <c r="B997" s="57"/>
    </row>
    <row r="998">
      <c r="B998" s="57"/>
    </row>
    <row r="999">
      <c r="B999" s="57"/>
    </row>
  </sheetData>
  <mergeCells count="1">
    <mergeCell ref="C2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5.71"/>
    <col customWidth="1" min="3" max="3" width="12.57"/>
    <col customWidth="1" min="4" max="4" width="26.29"/>
    <col customWidth="1" min="5" max="5" width="4.57"/>
    <col customWidth="1" min="6" max="6" width="7.43"/>
    <col customWidth="1" min="7" max="7" width="19.86"/>
    <col customWidth="1" min="8" max="8" width="37.57"/>
    <col customWidth="1" min="9" max="9" width="22.29"/>
    <col customWidth="1" min="10" max="10" width="20.71"/>
    <col customWidth="1" min="11" max="11" width="16.86"/>
    <col customWidth="1" min="12" max="12" width="17.86"/>
    <col customWidth="1" min="13" max="13" width="14.14"/>
    <col customWidth="1" min="14" max="14" width="14.0"/>
    <col customWidth="1" min="15" max="15" width="15.29"/>
    <col customWidth="1" min="16" max="16" width="25.57"/>
    <col customWidth="1" min="17" max="17" width="5.29"/>
    <col customWidth="1" min="18" max="18" width="6.0"/>
    <col customWidth="1" min="19" max="19" width="26.0"/>
    <col customWidth="1" min="20" max="20" width="42.43"/>
    <col customWidth="1" min="21" max="21" width="22.29"/>
    <col customWidth="1" min="22" max="22" width="4.57"/>
    <col customWidth="1" min="23" max="23" width="6.43"/>
    <col customWidth="1" min="24" max="24" width="18.71"/>
    <col customWidth="1" min="25" max="25" width="24.57"/>
    <col customWidth="1" min="26" max="26" width="25.14"/>
    <col customWidth="1" min="27" max="27" width="4.86"/>
    <col customWidth="1" min="28" max="28" width="6.0"/>
    <col customWidth="1" min="29" max="29" width="14.57"/>
    <col customWidth="1" min="30" max="30" width="15.14"/>
    <col customWidth="1" min="31" max="31" width="20.29"/>
    <col customWidth="1" min="32" max="32" width="21.57"/>
    <col customWidth="1" min="33" max="33" width="15.0"/>
    <col customWidth="1" min="34" max="34" width="25.14"/>
    <col customWidth="1" min="35" max="35" width="25.43"/>
    <col customWidth="1" min="36" max="36" width="4.57"/>
  </cols>
  <sheetData>
    <row r="1">
      <c r="A1" s="1"/>
      <c r="B1" s="2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2"/>
      <c r="S1" s="2"/>
      <c r="T1" s="2"/>
      <c r="U1" s="2"/>
      <c r="V1" s="1"/>
      <c r="W1" s="2"/>
      <c r="X1" s="2"/>
      <c r="Y1" s="2"/>
      <c r="Z1" s="2"/>
      <c r="AA1" s="1"/>
      <c r="AB1" s="2"/>
      <c r="AC1" s="2"/>
      <c r="AD1" s="2"/>
      <c r="AE1" s="2"/>
      <c r="AF1" s="2"/>
      <c r="AG1" s="2"/>
      <c r="AH1" s="2"/>
      <c r="AI1" s="2"/>
      <c r="AJ1" s="3"/>
    </row>
    <row r="2">
      <c r="A2" s="1"/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2"/>
      <c r="T2" s="2"/>
      <c r="U2" s="2"/>
      <c r="V2" s="1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3"/>
    </row>
    <row r="3">
      <c r="A3" s="1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3"/>
    </row>
    <row r="4">
      <c r="A4" s="1"/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1"/>
      <c r="W4" s="2"/>
      <c r="X4" s="2"/>
      <c r="Y4" s="2"/>
      <c r="Z4" s="2"/>
      <c r="AA4" s="1"/>
      <c r="AB4" s="2"/>
      <c r="AC4" s="2"/>
      <c r="AD4" s="2"/>
      <c r="AE4" s="2"/>
      <c r="AF4" s="2"/>
      <c r="AG4" s="2"/>
      <c r="AH4" s="2"/>
      <c r="AI4" s="2"/>
      <c r="AJ4" s="3"/>
    </row>
    <row r="5">
      <c r="A5" s="4" t="s">
        <v>1</v>
      </c>
      <c r="H5" s="5"/>
      <c r="I5" s="5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1"/>
      <c r="W5" s="2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3"/>
    </row>
    <row r="6">
      <c r="H6" s="6">
        <f>COUNTA(B15:B21)</f>
        <v>7</v>
      </c>
      <c r="I6" s="5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1"/>
      <c r="W6" s="2"/>
      <c r="X6" s="2"/>
      <c r="Y6" s="2"/>
      <c r="Z6" s="2"/>
      <c r="AA6" s="1"/>
      <c r="AB6" s="2"/>
      <c r="AC6" s="2"/>
      <c r="AD6" s="2"/>
      <c r="AE6" s="2"/>
      <c r="AF6" s="2"/>
      <c r="AG6" s="2"/>
      <c r="AH6" s="2"/>
      <c r="AI6" s="2"/>
      <c r="AJ6" s="3"/>
    </row>
    <row r="7">
      <c r="I7" s="5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1"/>
      <c r="W7" s="2"/>
      <c r="X7" s="2"/>
      <c r="Y7" s="2"/>
      <c r="Z7" s="2"/>
      <c r="AA7" s="1"/>
      <c r="AB7" s="2"/>
      <c r="AC7" s="2"/>
      <c r="AD7" s="2"/>
      <c r="AE7" s="2"/>
      <c r="AF7" s="2"/>
      <c r="AG7" s="2"/>
      <c r="AH7" s="2"/>
      <c r="AI7" s="2"/>
      <c r="AJ7" s="3"/>
    </row>
    <row r="8">
      <c r="H8" s="5"/>
      <c r="I8" s="5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1"/>
      <c r="W8" s="2"/>
      <c r="X8" s="2"/>
      <c r="Y8" s="2"/>
      <c r="Z8" s="2"/>
      <c r="AA8" s="1"/>
      <c r="AB8" s="2"/>
      <c r="AC8" s="2"/>
      <c r="AD8" s="2"/>
      <c r="AE8" s="2"/>
      <c r="AF8" s="2"/>
      <c r="AG8" s="2"/>
      <c r="AH8" s="2"/>
      <c r="AI8" s="2"/>
      <c r="AJ8" s="3"/>
    </row>
    <row r="9">
      <c r="A9" s="1"/>
      <c r="B9" s="2"/>
      <c r="C9" s="2"/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1"/>
      <c r="W9" s="2"/>
      <c r="X9" s="2"/>
      <c r="Y9" s="2"/>
      <c r="Z9" s="2"/>
      <c r="AA9" s="1"/>
      <c r="AB9" s="2"/>
      <c r="AC9" s="2"/>
      <c r="AD9" s="2"/>
      <c r="AE9" s="2"/>
      <c r="AF9" s="2"/>
      <c r="AG9" s="2"/>
      <c r="AH9" s="2"/>
      <c r="AI9" s="2"/>
      <c r="AJ9" s="3"/>
    </row>
    <row r="10">
      <c r="A10" s="7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5"/>
      <c r="S10" s="5"/>
      <c r="T10" s="5"/>
      <c r="U10" s="5"/>
      <c r="V10" s="7"/>
      <c r="W10" s="5"/>
      <c r="X10" s="5"/>
      <c r="Y10" s="5"/>
      <c r="Z10" s="5"/>
      <c r="AA10" s="7"/>
      <c r="AB10" s="5"/>
      <c r="AC10" s="5"/>
      <c r="AD10" s="5"/>
      <c r="AE10" s="5"/>
      <c r="AF10" s="5"/>
      <c r="AG10" s="5"/>
      <c r="AH10" s="5"/>
      <c r="AI10" s="5"/>
      <c r="AJ10" s="8"/>
    </row>
    <row r="11">
      <c r="A11" s="7"/>
      <c r="B11" s="9"/>
      <c r="C11" s="9" t="s">
        <v>3</v>
      </c>
      <c r="E11" s="7"/>
      <c r="F11" s="9"/>
      <c r="G11" s="9" t="s">
        <v>4</v>
      </c>
      <c r="Q11" s="7"/>
      <c r="R11" s="9"/>
      <c r="S11" s="9" t="s">
        <v>5</v>
      </c>
      <c r="V11" s="7"/>
      <c r="W11" s="9"/>
      <c r="X11" s="9" t="s">
        <v>6</v>
      </c>
      <c r="AA11" s="7"/>
      <c r="AB11" s="9"/>
      <c r="AC11" s="9" t="s">
        <v>7</v>
      </c>
    </row>
    <row r="12">
      <c r="A12" s="7"/>
      <c r="B12" s="9"/>
      <c r="E12" s="7"/>
      <c r="F12" s="9"/>
      <c r="Q12" s="7"/>
      <c r="R12" s="9"/>
      <c r="V12" s="7"/>
      <c r="W12" s="9"/>
      <c r="AA12" s="7"/>
      <c r="AB12" s="9"/>
    </row>
    <row r="13">
      <c r="A13" s="7"/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  <c r="R13" s="5"/>
      <c r="S13" s="5"/>
      <c r="T13" s="5"/>
      <c r="U13" s="5"/>
      <c r="V13" s="7"/>
      <c r="W13" s="5"/>
      <c r="X13" s="5"/>
      <c r="Y13" s="5"/>
      <c r="Z13" s="5"/>
      <c r="AA13" s="7"/>
      <c r="AB13" s="5"/>
      <c r="AC13" s="5"/>
      <c r="AD13" s="5"/>
      <c r="AE13" s="5"/>
      <c r="AF13" s="5"/>
      <c r="AG13" s="5"/>
      <c r="AH13" s="5"/>
      <c r="AI13" s="5"/>
      <c r="AJ13" s="8"/>
    </row>
    <row r="14">
      <c r="A14" s="7"/>
      <c r="B14" s="2" t="s">
        <v>8</v>
      </c>
      <c r="C14" s="2" t="s">
        <v>9</v>
      </c>
      <c r="D14" s="2" t="s">
        <v>10</v>
      </c>
      <c r="E14" s="7"/>
      <c r="F14" s="2" t="s">
        <v>8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7"/>
      <c r="R14" s="2" t="s">
        <v>8</v>
      </c>
      <c r="S14" s="2" t="s">
        <v>21</v>
      </c>
      <c r="T14" s="2" t="s">
        <v>22</v>
      </c>
      <c r="U14" s="2" t="s">
        <v>23</v>
      </c>
      <c r="V14" s="7"/>
      <c r="W14" s="2" t="s">
        <v>8</v>
      </c>
      <c r="X14" s="2" t="s">
        <v>24</v>
      </c>
      <c r="Y14" s="2" t="s">
        <v>25</v>
      </c>
      <c r="Z14" s="2" t="s">
        <v>26</v>
      </c>
      <c r="AA14" s="11"/>
      <c r="AB14" s="2" t="s">
        <v>8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8"/>
    </row>
    <row r="15">
      <c r="A15" s="13"/>
      <c r="B15" s="17">
        <f>IFERROR(__xludf.DUMMYFUNCTION("FILTER('All data'!B15:AI48, 'All data'!J15:J48 = 2)"),1.0)</f>
        <v>1</v>
      </c>
      <c r="C15" s="18" t="str">
        <f>IFERROR(__xludf.DUMMYFUNCTION("""COMPUTED_VALUE"""),"Male")</f>
        <v>Male</v>
      </c>
      <c r="D15" s="20" t="b">
        <f>IFERROR(__xludf.DUMMYFUNCTION("""COMPUTED_VALUE"""),TRUE)</f>
        <v>1</v>
      </c>
      <c r="E15" s="21" t="str">
        <f>IFERROR(__xludf.DUMMYFUNCTION("""COMPUTED_VALUE"""),"")</f>
        <v/>
      </c>
      <c r="F15" s="17">
        <f>IFERROR(__xludf.DUMMYFUNCTION("""COMPUTED_VALUE"""),1.0)</f>
        <v>1</v>
      </c>
      <c r="G15" s="20" t="b">
        <f>IFERROR(__xludf.DUMMYFUNCTION("""COMPUTED_VALUE"""),TRUE)</f>
        <v>1</v>
      </c>
      <c r="H15" s="18" t="str">
        <f>IFERROR(__xludf.DUMMYFUNCTION("""COMPUTED_VALUE"""),"Yilian")</f>
        <v>Yilian</v>
      </c>
      <c r="I15" s="22">
        <f>IFERROR(__xludf.DUMMYFUNCTION("""COMPUTED_VALUE"""),3.35)</f>
        <v>3.35</v>
      </c>
      <c r="J15" s="23">
        <f>IFERROR(__xludf.DUMMYFUNCTION("""COMPUTED_VALUE"""),2.0)</f>
        <v>2</v>
      </c>
      <c r="K15" s="24">
        <f>IFERROR(__xludf.DUMMYFUNCTION("""COMPUTED_VALUE"""),1.0)</f>
        <v>1</v>
      </c>
      <c r="L15" s="24">
        <f>IFERROR(__xludf.DUMMYFUNCTION("""COMPUTED_VALUE"""),1.0)</f>
        <v>1</v>
      </c>
      <c r="M15" s="25">
        <f>IFERROR(__xludf.DUMMYFUNCTION("""COMPUTED_VALUE"""),2.0)</f>
        <v>2</v>
      </c>
      <c r="N15" s="25">
        <f>IFERROR(__xludf.DUMMYFUNCTION("""COMPUTED_VALUE"""),2.0)</f>
        <v>2</v>
      </c>
      <c r="O15" s="20" t="b">
        <f>IFERROR(__xludf.DUMMYFUNCTION("""COMPUTED_VALUE"""),TRUE)</f>
        <v>1</v>
      </c>
      <c r="P15" s="22">
        <f>IFERROR(__xludf.DUMMYFUNCTION("""COMPUTED_VALUE"""),10.5)</f>
        <v>10.5</v>
      </c>
      <c r="Q15" s="21" t="str">
        <f>IFERROR(__xludf.DUMMYFUNCTION("""COMPUTED_VALUE"""),"")</f>
        <v/>
      </c>
      <c r="R15" s="17">
        <f>IFERROR(__xludf.DUMMYFUNCTION("""COMPUTED_VALUE"""),1.0)</f>
        <v>1</v>
      </c>
      <c r="S15" s="18" t="str">
        <f>IFERROR(__xludf.DUMMYFUNCTION("""COMPUTED_VALUE"""),"Satisfied")</f>
        <v>Satisfied</v>
      </c>
      <c r="T15" s="28" t="str">
        <f>IFERROR(__xludf.DUMMYFUNCTION("""COMPUTED_VALUE"""),"I wanted more options")</f>
        <v>I wanted more options</v>
      </c>
      <c r="U15" s="29" t="b">
        <f>IFERROR(__xludf.DUMMYFUNCTION("""COMPUTED_VALUE"""),FALSE)</f>
        <v>0</v>
      </c>
      <c r="V15" s="21" t="str">
        <f>IFERROR(__xludf.DUMMYFUNCTION("""COMPUTED_VALUE"""),"")</f>
        <v/>
      </c>
      <c r="W15" s="17">
        <f>IFERROR(__xludf.DUMMYFUNCTION("""COMPUTED_VALUE"""),1.0)</f>
        <v>1</v>
      </c>
      <c r="X15" s="25">
        <f>IFERROR(__xludf.DUMMYFUNCTION("""COMPUTED_VALUE"""),8.0)</f>
        <v>8</v>
      </c>
      <c r="Y15" s="18" t="str">
        <f>IFERROR(__xludf.DUMMYFUNCTION("""COMPUTED_VALUE"""),"Pleased")</f>
        <v>Pleased</v>
      </c>
      <c r="Z15" s="18" t="str">
        <f>IFERROR(__xludf.DUMMYFUNCTION("""COMPUTED_VALUE"""),"Satisfied")</f>
        <v>Satisfied</v>
      </c>
      <c r="AA15" s="30" t="str">
        <f>IFERROR(__xludf.DUMMYFUNCTION("""COMPUTED_VALUE"""),"")</f>
        <v/>
      </c>
      <c r="AB15" s="17">
        <f>IFERROR(__xludf.DUMMYFUNCTION("""COMPUTED_VALUE"""),1.0)</f>
        <v>1</v>
      </c>
      <c r="AC15" s="25">
        <f>IFERROR(__xludf.DUMMYFUNCTION("""COMPUTED_VALUE"""),235.0)</f>
        <v>235</v>
      </c>
      <c r="AD15" s="25">
        <f>IFERROR(__xludf.DUMMYFUNCTION("""COMPUTED_VALUE"""),68.0)</f>
        <v>68</v>
      </c>
      <c r="AE15" s="25">
        <f>IFERROR(__xludf.DUMMYFUNCTION("""COMPUTED_VALUE"""),167.0)</f>
        <v>167</v>
      </c>
      <c r="AF15" s="24">
        <f>IFERROR(__xludf.DUMMYFUNCTION("""COMPUTED_VALUE"""),0.2894)</f>
        <v>0.2894</v>
      </c>
      <c r="AG15" s="25">
        <f>IFERROR(__xludf.DUMMYFUNCTION("""COMPUTED_VALUE"""),15.0)</f>
        <v>15</v>
      </c>
      <c r="AH15" s="22">
        <f>IFERROR(__xludf.DUMMYFUNCTION("""COMPUTED_VALUE"""),51.47)</f>
        <v>51.47</v>
      </c>
      <c r="AI15" s="22">
        <f>IFERROR(__xludf.DUMMYFUNCTION("""COMPUTED_VALUE"""),11.06)</f>
        <v>11.06</v>
      </c>
      <c r="AJ15" s="11"/>
    </row>
    <row r="16">
      <c r="A16" s="31"/>
      <c r="B16" s="17">
        <f>IFERROR(__xludf.DUMMYFUNCTION("""COMPUTED_VALUE"""),6.0)</f>
        <v>6</v>
      </c>
      <c r="C16" s="18" t="str">
        <f>IFERROR(__xludf.DUMMYFUNCTION("""COMPUTED_VALUE"""),"Male")</f>
        <v>Male</v>
      </c>
      <c r="D16" s="18" t="b">
        <f>IFERROR(__xludf.DUMMYFUNCTION("""COMPUTED_VALUE"""),TRUE)</f>
        <v>1</v>
      </c>
      <c r="E16" s="32" t="str">
        <f>IFERROR(__xludf.DUMMYFUNCTION("""COMPUTED_VALUE"""),"")</f>
        <v/>
      </c>
      <c r="F16" s="17">
        <f>IFERROR(__xludf.DUMMYFUNCTION("""COMPUTED_VALUE"""),6.0)</f>
        <v>6</v>
      </c>
      <c r="G16" s="20" t="b">
        <f>IFERROR(__xludf.DUMMYFUNCTION("""COMPUTED_VALUE"""),TRUE)</f>
        <v>1</v>
      </c>
      <c r="H16" s="18" t="str">
        <f>IFERROR(__xludf.DUMMYFUNCTION("""COMPUTED_VALUE"""),"Bob The Holy")</f>
        <v>Bob The Holy</v>
      </c>
      <c r="I16" s="22">
        <f>IFERROR(__xludf.DUMMYFUNCTION("""COMPUTED_VALUE"""),23.47)</f>
        <v>23.47</v>
      </c>
      <c r="J16" s="23">
        <f>IFERROR(__xludf.DUMMYFUNCTION("""COMPUTED_VALUE"""),2.0)</f>
        <v>2</v>
      </c>
      <c r="K16" s="24">
        <f>IFERROR(__xludf.DUMMYFUNCTION("""COMPUTED_VALUE"""),1.0)</f>
        <v>1</v>
      </c>
      <c r="L16" s="24">
        <f>IFERROR(__xludf.DUMMYFUNCTION("""COMPUTED_VALUE"""),1.0)</f>
        <v>1</v>
      </c>
      <c r="M16" s="25">
        <f>IFERROR(__xludf.DUMMYFUNCTION("""COMPUTED_VALUE"""),2.0)</f>
        <v>2</v>
      </c>
      <c r="N16" s="25">
        <f>IFERROR(__xludf.DUMMYFUNCTION("""COMPUTED_VALUE"""),2.0)</f>
        <v>2</v>
      </c>
      <c r="O16" s="18" t="b">
        <f>IFERROR(__xludf.DUMMYFUNCTION("""COMPUTED_VALUE"""),TRUE)</f>
        <v>1</v>
      </c>
      <c r="P16" s="22">
        <f>IFERROR(__xludf.DUMMYFUNCTION("""COMPUTED_VALUE"""),32.49)</f>
        <v>32.49</v>
      </c>
      <c r="Q16" s="32" t="str">
        <f>IFERROR(__xludf.DUMMYFUNCTION("""COMPUTED_VALUE"""),"")</f>
        <v/>
      </c>
      <c r="R16" s="17">
        <f>IFERROR(__xludf.DUMMYFUNCTION("""COMPUTED_VALUE"""),6.0)</f>
        <v>6</v>
      </c>
      <c r="S16" s="18" t="str">
        <f>IFERROR(__xludf.DUMMYFUNCTION("""COMPUTED_VALUE"""),"Satisfied")</f>
        <v>Satisfied</v>
      </c>
      <c r="T16" s="18" t="str">
        <f>IFERROR(__xludf.DUMMYFUNCTION("""COMPUTED_VALUE"""),"I wanted more options")</f>
        <v>I wanted more options</v>
      </c>
      <c r="U16" s="20" t="b">
        <f>IFERROR(__xludf.DUMMYFUNCTION("""COMPUTED_VALUE"""),TRUE)</f>
        <v>1</v>
      </c>
      <c r="V16" s="32" t="str">
        <f>IFERROR(__xludf.DUMMYFUNCTION("""COMPUTED_VALUE"""),"")</f>
        <v/>
      </c>
      <c r="W16" s="17">
        <f>IFERROR(__xludf.DUMMYFUNCTION("""COMPUTED_VALUE"""),6.0)</f>
        <v>6</v>
      </c>
      <c r="X16" s="25">
        <f>IFERROR(__xludf.DUMMYFUNCTION("""COMPUTED_VALUE"""),9.0)</f>
        <v>9</v>
      </c>
      <c r="Y16" s="18" t="str">
        <f>IFERROR(__xludf.DUMMYFUNCTION("""COMPUTED_VALUE"""),"Very pleased")</f>
        <v>Very pleased</v>
      </c>
      <c r="Z16" s="18" t="str">
        <f>IFERROR(__xludf.DUMMYFUNCTION("""COMPUTED_VALUE"""),"Satisfied")</f>
        <v>Satisfied</v>
      </c>
      <c r="AA16" s="32" t="str">
        <f>IFERROR(__xludf.DUMMYFUNCTION("""COMPUTED_VALUE"""),"")</f>
        <v/>
      </c>
      <c r="AB16" s="17">
        <f>IFERROR(__xludf.DUMMYFUNCTION("""COMPUTED_VALUE"""),6.0)</f>
        <v>6</v>
      </c>
      <c r="AC16" s="25">
        <f>IFERROR(__xludf.DUMMYFUNCTION("""COMPUTED_VALUE"""),136.0)</f>
        <v>136</v>
      </c>
      <c r="AD16" s="25">
        <f>IFERROR(__xludf.DUMMYFUNCTION("""COMPUTED_VALUE"""),42.0)</f>
        <v>42</v>
      </c>
      <c r="AE16" s="25">
        <f>IFERROR(__xludf.DUMMYFUNCTION("""COMPUTED_VALUE"""),94.0)</f>
        <v>94</v>
      </c>
      <c r="AF16" s="24">
        <f>IFERROR(__xludf.DUMMYFUNCTION("""COMPUTED_VALUE"""),0.3088)</f>
        <v>0.3088</v>
      </c>
      <c r="AG16" s="25">
        <f>IFERROR(__xludf.DUMMYFUNCTION("""COMPUTED_VALUE"""),9.0)</f>
        <v>9</v>
      </c>
      <c r="AH16" s="22">
        <f>IFERROR(__xludf.DUMMYFUNCTION("""COMPUTED_VALUE"""),35.01)</f>
        <v>35.01</v>
      </c>
      <c r="AI16" s="22">
        <f>IFERROR(__xludf.DUMMYFUNCTION("""COMPUTED_VALUE"""),13.67)</f>
        <v>13.67</v>
      </c>
      <c r="AJ16" s="11"/>
    </row>
    <row r="17">
      <c r="A17" s="31"/>
      <c r="B17" s="17">
        <f>IFERROR(__xludf.DUMMYFUNCTION("""COMPUTED_VALUE"""),12.0)</f>
        <v>12</v>
      </c>
      <c r="C17" s="18" t="str">
        <f>IFERROR(__xludf.DUMMYFUNCTION("""COMPUTED_VALUE"""),"Male")</f>
        <v>Male</v>
      </c>
      <c r="D17" s="18" t="b">
        <f>IFERROR(__xludf.DUMMYFUNCTION("""COMPUTED_VALUE"""),FALSE)</f>
        <v>0</v>
      </c>
      <c r="E17" s="32" t="str">
        <f>IFERROR(__xludf.DUMMYFUNCTION("""COMPUTED_VALUE"""),"")</f>
        <v/>
      </c>
      <c r="F17" s="17">
        <f>IFERROR(__xludf.DUMMYFUNCTION("""COMPUTED_VALUE"""),12.0)</f>
        <v>12</v>
      </c>
      <c r="G17" s="20" t="b">
        <f>IFERROR(__xludf.DUMMYFUNCTION("""COMPUTED_VALUE"""),TRUE)</f>
        <v>1</v>
      </c>
      <c r="H17" s="18" t="str">
        <f>IFERROR(__xludf.DUMMYFUNCTION("""COMPUTED_VALUE"""),"Lord of Ass")</f>
        <v>Lord of Ass</v>
      </c>
      <c r="I17" s="22">
        <f>IFERROR(__xludf.DUMMYFUNCTION("""COMPUTED_VALUE"""),7.59)</f>
        <v>7.59</v>
      </c>
      <c r="J17" s="23">
        <f>IFERROR(__xludf.DUMMYFUNCTION("""COMPUTED_VALUE"""),2.0)</f>
        <v>2</v>
      </c>
      <c r="K17" s="24">
        <f>IFERROR(__xludf.DUMMYFUNCTION("""COMPUTED_VALUE"""),1.0)</f>
        <v>1</v>
      </c>
      <c r="L17" s="24">
        <f>IFERROR(__xludf.DUMMYFUNCTION("""COMPUTED_VALUE"""),1.0)</f>
        <v>1</v>
      </c>
      <c r="M17" s="25">
        <f>IFERROR(__xludf.DUMMYFUNCTION("""COMPUTED_VALUE"""),1.0)</f>
        <v>1</v>
      </c>
      <c r="N17" s="25">
        <f>IFERROR(__xludf.DUMMYFUNCTION("""COMPUTED_VALUE"""),2.0)</f>
        <v>2</v>
      </c>
      <c r="O17" s="20" t="b">
        <f>IFERROR(__xludf.DUMMYFUNCTION("""COMPUTED_VALUE"""),FALSE)</f>
        <v>0</v>
      </c>
      <c r="P17" s="22">
        <f>IFERROR(__xludf.DUMMYFUNCTION("""COMPUTED_VALUE"""),27.26)</f>
        <v>27.26</v>
      </c>
      <c r="Q17" s="32" t="str">
        <f>IFERROR(__xludf.DUMMYFUNCTION("""COMPUTED_VALUE"""),"")</f>
        <v/>
      </c>
      <c r="R17" s="17">
        <f>IFERROR(__xludf.DUMMYFUNCTION("""COMPUTED_VALUE"""),12.0)</f>
        <v>12</v>
      </c>
      <c r="S17" s="18" t="str">
        <f>IFERROR(__xludf.DUMMYFUNCTION("""COMPUTED_VALUE"""),"Unsatisfied")</f>
        <v>Unsatisfied</v>
      </c>
      <c r="T17" s="18" t="str">
        <f>IFERROR(__xludf.DUMMYFUNCTION("""COMPUTED_VALUE"""),"I wanted more options")</f>
        <v>I wanted more options</v>
      </c>
      <c r="U17" s="20" t="b">
        <f>IFERROR(__xludf.DUMMYFUNCTION("""COMPUTED_VALUE"""),TRUE)</f>
        <v>1</v>
      </c>
      <c r="V17" s="32" t="str">
        <f>IFERROR(__xludf.DUMMYFUNCTION("""COMPUTED_VALUE"""),"")</f>
        <v/>
      </c>
      <c r="W17" s="17">
        <f>IFERROR(__xludf.DUMMYFUNCTION("""COMPUTED_VALUE"""),12.0)</f>
        <v>12</v>
      </c>
      <c r="X17" s="25">
        <f>IFERROR(__xludf.DUMMYFUNCTION("""COMPUTED_VALUE"""),8.0)</f>
        <v>8</v>
      </c>
      <c r="Y17" s="18" t="str">
        <f>IFERROR(__xludf.DUMMYFUNCTION("""COMPUTED_VALUE"""),"Very unpleased")</f>
        <v>Very unpleased</v>
      </c>
      <c r="Z17" s="18" t="str">
        <f>IFERROR(__xludf.DUMMYFUNCTION("""COMPUTED_VALUE"""),"Unsatisfied")</f>
        <v>Unsatisfied</v>
      </c>
      <c r="AA17" s="32" t="str">
        <f>IFERROR(__xludf.DUMMYFUNCTION("""COMPUTED_VALUE"""),"")</f>
        <v/>
      </c>
      <c r="AB17" s="17">
        <f>IFERROR(__xludf.DUMMYFUNCTION("""COMPUTED_VALUE"""),12.0)</f>
        <v>12</v>
      </c>
      <c r="AC17" s="25">
        <f>IFERROR(__xludf.DUMMYFUNCTION("""COMPUTED_VALUE"""),267.0)</f>
        <v>267</v>
      </c>
      <c r="AD17" s="25">
        <f>IFERROR(__xludf.DUMMYFUNCTION("""COMPUTED_VALUE"""),73.0)</f>
        <v>73</v>
      </c>
      <c r="AE17" s="25">
        <f>IFERROR(__xludf.DUMMYFUNCTION("""COMPUTED_VALUE"""),194.0)</f>
        <v>194</v>
      </c>
      <c r="AF17" s="24">
        <f>IFERROR(__xludf.DUMMYFUNCTION("""COMPUTED_VALUE"""),0.2734)</f>
        <v>0.2734</v>
      </c>
      <c r="AG17" s="25">
        <f>IFERROR(__xludf.DUMMYFUNCTION("""COMPUTED_VALUE"""),16.0)</f>
        <v>16</v>
      </c>
      <c r="AH17" s="22">
        <f>IFERROR(__xludf.DUMMYFUNCTION("""COMPUTED_VALUE"""),30.3)</f>
        <v>30.3</v>
      </c>
      <c r="AI17" s="22">
        <f>IFERROR(__xludf.DUMMYFUNCTION("""COMPUTED_VALUE"""),44.05)</f>
        <v>44.05</v>
      </c>
      <c r="AJ17" s="11"/>
    </row>
    <row r="18">
      <c r="A18" s="31"/>
      <c r="B18" s="17">
        <f>IFERROR(__xludf.DUMMYFUNCTION("""COMPUTED_VALUE"""),19.0)</f>
        <v>19</v>
      </c>
      <c r="C18" s="18" t="str">
        <f>IFERROR(__xludf.DUMMYFUNCTION("""COMPUTED_VALUE"""),"Male")</f>
        <v>Male</v>
      </c>
      <c r="D18" s="20" t="b">
        <f>IFERROR(__xludf.DUMMYFUNCTION("""COMPUTED_VALUE"""),TRUE)</f>
        <v>1</v>
      </c>
      <c r="E18" s="32" t="str">
        <f>IFERROR(__xludf.DUMMYFUNCTION("""COMPUTED_VALUE"""),"")</f>
        <v/>
      </c>
      <c r="F18" s="17">
        <f>IFERROR(__xludf.DUMMYFUNCTION("""COMPUTED_VALUE"""),19.0)</f>
        <v>19</v>
      </c>
      <c r="G18" s="20" t="b">
        <f>IFERROR(__xludf.DUMMYFUNCTION("""COMPUTED_VALUE"""),TRUE)</f>
        <v>1</v>
      </c>
      <c r="H18" s="18" t="str">
        <f>IFERROR(__xludf.DUMMYFUNCTION("""COMPUTED_VALUE"""),"Gilded Gary the Grea")</f>
        <v>Gilded Gary the Grea</v>
      </c>
      <c r="I18" s="22">
        <f>IFERROR(__xludf.DUMMYFUNCTION("""COMPUTED_VALUE"""),15.7)</f>
        <v>15.7</v>
      </c>
      <c r="J18" s="23">
        <f>IFERROR(__xludf.DUMMYFUNCTION("""COMPUTED_VALUE"""),2.0)</f>
        <v>2</v>
      </c>
      <c r="K18" s="24">
        <f>IFERROR(__xludf.DUMMYFUNCTION("""COMPUTED_VALUE"""),1.0)</f>
        <v>1</v>
      </c>
      <c r="L18" s="24">
        <f>IFERROR(__xludf.DUMMYFUNCTION("""COMPUTED_VALUE"""),1.0)</f>
        <v>1</v>
      </c>
      <c r="M18" s="25">
        <f>IFERROR(__xludf.DUMMYFUNCTION("""COMPUTED_VALUE"""),2.0)</f>
        <v>2</v>
      </c>
      <c r="N18" s="25">
        <f>IFERROR(__xludf.DUMMYFUNCTION("""COMPUTED_VALUE"""),2.0)</f>
        <v>2</v>
      </c>
      <c r="O18" s="20" t="b">
        <f>IFERROR(__xludf.DUMMYFUNCTION("""COMPUTED_VALUE"""),TRUE)</f>
        <v>1</v>
      </c>
      <c r="P18" s="22">
        <f>IFERROR(__xludf.DUMMYFUNCTION("""COMPUTED_VALUE"""),25.42)</f>
        <v>25.42</v>
      </c>
      <c r="Q18" s="32" t="str">
        <f>IFERROR(__xludf.DUMMYFUNCTION("""COMPUTED_VALUE"""),"")</f>
        <v/>
      </c>
      <c r="R18" s="17">
        <f>IFERROR(__xludf.DUMMYFUNCTION("""COMPUTED_VALUE"""),19.0)</f>
        <v>19</v>
      </c>
      <c r="S18" s="18" t="str">
        <f>IFERROR(__xludf.DUMMYFUNCTION("""COMPUTED_VALUE"""),"Very unsatisfied")</f>
        <v>Very unsatisfied</v>
      </c>
      <c r="T18" s="18" t="str">
        <f>IFERROR(__xludf.DUMMYFUNCTION("""COMPUTED_VALUE"""),"I wanted more options")</f>
        <v>I wanted more options</v>
      </c>
      <c r="U18" s="20" t="b">
        <f>IFERROR(__xludf.DUMMYFUNCTION("""COMPUTED_VALUE"""),FALSE)</f>
        <v>0</v>
      </c>
      <c r="V18" s="32" t="str">
        <f>IFERROR(__xludf.DUMMYFUNCTION("""COMPUTED_VALUE"""),"")</f>
        <v/>
      </c>
      <c r="W18" s="17">
        <f>IFERROR(__xludf.DUMMYFUNCTION("""COMPUTED_VALUE"""),19.0)</f>
        <v>19</v>
      </c>
      <c r="X18" s="25">
        <f>IFERROR(__xludf.DUMMYFUNCTION("""COMPUTED_VALUE"""),9.0)</f>
        <v>9</v>
      </c>
      <c r="Y18" s="18" t="str">
        <f>IFERROR(__xludf.DUMMYFUNCTION("""COMPUTED_VALUE"""),"Unpleased")</f>
        <v>Unpleased</v>
      </c>
      <c r="Z18" s="18" t="str">
        <f>IFERROR(__xludf.DUMMYFUNCTION("""COMPUTED_VALUE"""),"Very unsatisfied")</f>
        <v>Very unsatisfied</v>
      </c>
      <c r="AA18" s="32" t="str">
        <f>IFERROR(__xludf.DUMMYFUNCTION("""COMPUTED_VALUE"""),"")</f>
        <v/>
      </c>
      <c r="AB18" s="17">
        <f>IFERROR(__xludf.DUMMYFUNCTION("""COMPUTED_VALUE"""),19.0)</f>
        <v>19</v>
      </c>
      <c r="AC18" s="25">
        <f>IFERROR(__xludf.DUMMYFUNCTION("""COMPUTED_VALUE"""),314.0)</f>
        <v>314</v>
      </c>
      <c r="AD18" s="25">
        <f>IFERROR(__xludf.DUMMYFUNCTION("""COMPUTED_VALUE"""),93.0)</f>
        <v>93</v>
      </c>
      <c r="AE18" s="25">
        <f>IFERROR(__xludf.DUMMYFUNCTION("""COMPUTED_VALUE"""),221.0)</f>
        <v>221</v>
      </c>
      <c r="AF18" s="24">
        <f>IFERROR(__xludf.DUMMYFUNCTION("""COMPUTED_VALUE"""),0.2962)</f>
        <v>0.2962</v>
      </c>
      <c r="AG18" s="25">
        <f>IFERROR(__xludf.DUMMYFUNCTION("""COMPUTED_VALUE"""),22.0)</f>
        <v>22</v>
      </c>
      <c r="AH18" s="22">
        <f>IFERROR(__xludf.DUMMYFUNCTION("""COMPUTED_VALUE"""),59.8)</f>
        <v>59.8</v>
      </c>
      <c r="AI18" s="22">
        <f>IFERROR(__xludf.DUMMYFUNCTION("""COMPUTED_VALUE"""),33.14)</f>
        <v>33.14</v>
      </c>
      <c r="AJ18" s="11"/>
    </row>
    <row r="19">
      <c r="A19" s="31"/>
      <c r="B19" s="17">
        <f>IFERROR(__xludf.DUMMYFUNCTION("""COMPUTED_VALUE"""),22.0)</f>
        <v>22</v>
      </c>
      <c r="C19" s="18" t="str">
        <f>IFERROR(__xludf.DUMMYFUNCTION("""COMPUTED_VALUE"""),"Male")</f>
        <v>Male</v>
      </c>
      <c r="D19" s="20" t="b">
        <f>IFERROR(__xludf.DUMMYFUNCTION("""COMPUTED_VALUE"""),FALSE)</f>
        <v>0</v>
      </c>
      <c r="E19" s="32" t="str">
        <f>IFERROR(__xludf.DUMMYFUNCTION("""COMPUTED_VALUE"""),"")</f>
        <v/>
      </c>
      <c r="F19" s="17">
        <f>IFERROR(__xludf.DUMMYFUNCTION("""COMPUTED_VALUE"""),22.0)</f>
        <v>22</v>
      </c>
      <c r="G19" s="20" t="b">
        <f>IFERROR(__xludf.DUMMYFUNCTION("""COMPUTED_VALUE"""),TRUE)</f>
        <v>1</v>
      </c>
      <c r="H19" s="18" t="str">
        <f>IFERROR(__xludf.DUMMYFUNCTION("""COMPUTED_VALUE"""),"Dave")</f>
        <v>Dave</v>
      </c>
      <c r="I19" s="22">
        <f>IFERROR(__xludf.DUMMYFUNCTION("""COMPUTED_VALUE"""),2.4)</f>
        <v>2.4</v>
      </c>
      <c r="J19" s="23">
        <f>IFERROR(__xludf.DUMMYFUNCTION("""COMPUTED_VALUE"""),2.0)</f>
        <v>2</v>
      </c>
      <c r="K19" s="24">
        <f>IFERROR(__xludf.DUMMYFUNCTION("""COMPUTED_VALUE"""),1.0)</f>
        <v>1</v>
      </c>
      <c r="L19" s="24">
        <f>IFERROR(__xludf.DUMMYFUNCTION("""COMPUTED_VALUE"""),1.0)</f>
        <v>1</v>
      </c>
      <c r="M19" s="25">
        <f>IFERROR(__xludf.DUMMYFUNCTION("""COMPUTED_VALUE"""),1.0)</f>
        <v>1</v>
      </c>
      <c r="N19" s="25">
        <f>IFERROR(__xludf.DUMMYFUNCTION("""COMPUTED_VALUE"""),2.0)</f>
        <v>2</v>
      </c>
      <c r="O19" s="20" t="b">
        <f>IFERROR(__xludf.DUMMYFUNCTION("""COMPUTED_VALUE"""),FALSE)</f>
        <v>0</v>
      </c>
      <c r="P19" s="22">
        <f>IFERROR(__xludf.DUMMYFUNCTION("""COMPUTED_VALUE"""),5.92)</f>
        <v>5.92</v>
      </c>
      <c r="Q19" s="32" t="str">
        <f>IFERROR(__xludf.DUMMYFUNCTION("""COMPUTED_VALUE"""),"")</f>
        <v/>
      </c>
      <c r="R19" s="17">
        <f>IFERROR(__xludf.DUMMYFUNCTION("""COMPUTED_VALUE"""),22.0)</f>
        <v>22</v>
      </c>
      <c r="S19" s="18" t="str">
        <f>IFERROR(__xludf.DUMMYFUNCTION("""COMPUTED_VALUE"""),"Unsatisfied")</f>
        <v>Unsatisfied</v>
      </c>
      <c r="T19" s="18" t="str">
        <f>IFERROR(__xludf.DUMMYFUNCTION("""COMPUTED_VALUE"""),"I wanted more options")</f>
        <v>I wanted more options</v>
      </c>
      <c r="U19" s="20" t="b">
        <f>IFERROR(__xludf.DUMMYFUNCTION("""COMPUTED_VALUE"""),TRUE)</f>
        <v>1</v>
      </c>
      <c r="V19" s="32" t="str">
        <f>IFERROR(__xludf.DUMMYFUNCTION("""COMPUTED_VALUE"""),"")</f>
        <v/>
      </c>
      <c r="W19" s="17">
        <f>IFERROR(__xludf.DUMMYFUNCTION("""COMPUTED_VALUE"""),22.0)</f>
        <v>22</v>
      </c>
      <c r="X19" s="25">
        <f>IFERROR(__xludf.DUMMYFUNCTION("""COMPUTED_VALUE"""),7.0)</f>
        <v>7</v>
      </c>
      <c r="Y19" s="18" t="str">
        <f>IFERROR(__xludf.DUMMYFUNCTION("""COMPUTED_VALUE"""),"Unpleased")</f>
        <v>Unpleased</v>
      </c>
      <c r="Z19" s="18" t="str">
        <f>IFERROR(__xludf.DUMMYFUNCTION("""COMPUTED_VALUE"""),"Unsatisfied")</f>
        <v>Unsatisfied</v>
      </c>
      <c r="AA19" s="32" t="str">
        <f>IFERROR(__xludf.DUMMYFUNCTION("""COMPUTED_VALUE"""),"")</f>
        <v/>
      </c>
      <c r="AB19" s="17">
        <f>IFERROR(__xludf.DUMMYFUNCTION("""COMPUTED_VALUE"""),22.0)</f>
        <v>22</v>
      </c>
      <c r="AC19" s="25">
        <f>IFERROR(__xludf.DUMMYFUNCTION("""COMPUTED_VALUE"""),252.0)</f>
        <v>252</v>
      </c>
      <c r="AD19" s="25">
        <f>IFERROR(__xludf.DUMMYFUNCTION("""COMPUTED_VALUE"""),84.0)</f>
        <v>84</v>
      </c>
      <c r="AE19" s="25">
        <f>IFERROR(__xludf.DUMMYFUNCTION("""COMPUTED_VALUE"""),168.0)</f>
        <v>168</v>
      </c>
      <c r="AF19" s="24">
        <f>IFERROR(__xludf.DUMMYFUNCTION("""COMPUTED_VALUE"""),0.3333)</f>
        <v>0.3333</v>
      </c>
      <c r="AG19" s="25">
        <f>IFERROR(__xludf.DUMMYFUNCTION("""COMPUTED_VALUE"""),19.0)</f>
        <v>19</v>
      </c>
      <c r="AH19" s="22">
        <f>IFERROR(__xludf.DUMMYFUNCTION("""COMPUTED_VALUE"""),22.36)</f>
        <v>22.36</v>
      </c>
      <c r="AI19" s="22">
        <f>IFERROR(__xludf.DUMMYFUNCTION("""COMPUTED_VALUE"""),46.21)</f>
        <v>46.21</v>
      </c>
      <c r="AJ19" s="11"/>
    </row>
    <row r="20">
      <c r="A20" s="31"/>
      <c r="B20" s="17">
        <f>IFERROR(__xludf.DUMMYFUNCTION("""COMPUTED_VALUE"""),28.0)</f>
        <v>28</v>
      </c>
      <c r="C20" s="18" t="str">
        <f>IFERROR(__xludf.DUMMYFUNCTION("""COMPUTED_VALUE"""),"Male")</f>
        <v>Male</v>
      </c>
      <c r="D20" s="20" t="b">
        <f>IFERROR(__xludf.DUMMYFUNCTION("""COMPUTED_VALUE"""),FALSE)</f>
        <v>0</v>
      </c>
      <c r="E20" s="32" t="str">
        <f>IFERROR(__xludf.DUMMYFUNCTION("""COMPUTED_VALUE"""),"")</f>
        <v/>
      </c>
      <c r="F20" s="17">
        <f>IFERROR(__xludf.DUMMYFUNCTION("""COMPUTED_VALUE"""),28.0)</f>
        <v>28</v>
      </c>
      <c r="G20" s="20" t="b">
        <f>IFERROR(__xludf.DUMMYFUNCTION("""COMPUTED_VALUE"""),FALSE)</f>
        <v>0</v>
      </c>
      <c r="H20" s="18" t="str">
        <f>IFERROR(__xludf.DUMMYFUNCTION("""COMPUTED_VALUE"""),"John Doe the Great")</f>
        <v>John Doe the Great</v>
      </c>
      <c r="I20" s="22">
        <f>IFERROR(__xludf.DUMMYFUNCTION("""COMPUTED_VALUE"""),8.15)</f>
        <v>8.15</v>
      </c>
      <c r="J20" s="23">
        <f>IFERROR(__xludf.DUMMYFUNCTION("""COMPUTED_VALUE"""),2.0)</f>
        <v>2</v>
      </c>
      <c r="K20" s="24">
        <f>IFERROR(__xludf.DUMMYFUNCTION("""COMPUTED_VALUE"""),1.0)</f>
        <v>1</v>
      </c>
      <c r="L20" s="24">
        <f>IFERROR(__xludf.DUMMYFUNCTION("""COMPUTED_VALUE"""),1.0)</f>
        <v>1</v>
      </c>
      <c r="M20" s="25">
        <f>IFERROR(__xludf.DUMMYFUNCTION("""COMPUTED_VALUE"""),2.0)</f>
        <v>2</v>
      </c>
      <c r="N20" s="25">
        <f>IFERROR(__xludf.DUMMYFUNCTION("""COMPUTED_VALUE"""),2.0)</f>
        <v>2</v>
      </c>
      <c r="O20" s="20" t="b">
        <f>IFERROR(__xludf.DUMMYFUNCTION("""COMPUTED_VALUE"""),TRUE)</f>
        <v>1</v>
      </c>
      <c r="P20" s="22">
        <f>IFERROR(__xludf.DUMMYFUNCTION("""COMPUTED_VALUE"""),27.59)</f>
        <v>27.59</v>
      </c>
      <c r="Q20" s="32" t="str">
        <f>IFERROR(__xludf.DUMMYFUNCTION("""COMPUTED_VALUE"""),"")</f>
        <v/>
      </c>
      <c r="R20" s="17">
        <f>IFERROR(__xludf.DUMMYFUNCTION("""COMPUTED_VALUE"""),28.0)</f>
        <v>28</v>
      </c>
      <c r="S20" s="18" t="str">
        <f>IFERROR(__xludf.DUMMYFUNCTION("""COMPUTED_VALUE"""),"Unsatisfied")</f>
        <v>Unsatisfied</v>
      </c>
      <c r="T20" s="18" t="str">
        <f>IFERROR(__xludf.DUMMYFUNCTION("""COMPUTED_VALUE"""),"I wanted more options")</f>
        <v>I wanted more options</v>
      </c>
      <c r="U20" s="20" t="b">
        <f>IFERROR(__xludf.DUMMYFUNCTION("""COMPUTED_VALUE"""),TRUE)</f>
        <v>1</v>
      </c>
      <c r="V20" s="32" t="str">
        <f>IFERROR(__xludf.DUMMYFUNCTION("""COMPUTED_VALUE"""),"")</f>
        <v/>
      </c>
      <c r="W20" s="17">
        <f>IFERROR(__xludf.DUMMYFUNCTION("""COMPUTED_VALUE"""),28.0)</f>
        <v>28</v>
      </c>
      <c r="X20" s="25">
        <f>IFERROR(__xludf.DUMMYFUNCTION("""COMPUTED_VALUE"""),8.0)</f>
        <v>8</v>
      </c>
      <c r="Y20" s="18" t="str">
        <f>IFERROR(__xludf.DUMMYFUNCTION("""COMPUTED_VALUE"""),"Pleased")</f>
        <v>Pleased</v>
      </c>
      <c r="Z20" s="18" t="str">
        <f>IFERROR(__xludf.DUMMYFUNCTION("""COMPUTED_VALUE"""),"Very unsatisfied")</f>
        <v>Very unsatisfied</v>
      </c>
      <c r="AA20" s="32" t="str">
        <f>IFERROR(__xludf.DUMMYFUNCTION("""COMPUTED_VALUE"""),"")</f>
        <v/>
      </c>
      <c r="AB20" s="17">
        <f>IFERROR(__xludf.DUMMYFUNCTION("""COMPUTED_VALUE"""),28.0)</f>
        <v>28</v>
      </c>
      <c r="AC20" s="25">
        <f>IFERROR(__xludf.DUMMYFUNCTION("""COMPUTED_VALUE"""),293.0)</f>
        <v>293</v>
      </c>
      <c r="AD20" s="25">
        <f>IFERROR(__xludf.DUMMYFUNCTION("""COMPUTED_VALUE"""),82.0)</f>
        <v>82</v>
      </c>
      <c r="AE20" s="25">
        <f>IFERROR(__xludf.DUMMYFUNCTION("""COMPUTED_VALUE"""),211.0)</f>
        <v>211</v>
      </c>
      <c r="AF20" s="24">
        <f>IFERROR(__xludf.DUMMYFUNCTION("""COMPUTED_VALUE"""),0.2799)</f>
        <v>0.2799</v>
      </c>
      <c r="AG20" s="25">
        <f>IFERROR(__xludf.DUMMYFUNCTION("""COMPUTED_VALUE"""),21.0)</f>
        <v>21</v>
      </c>
      <c r="AH20" s="22">
        <f>IFERROR(__xludf.DUMMYFUNCTION("""COMPUTED_VALUE"""),31.23)</f>
        <v>31.23</v>
      </c>
      <c r="AI20" s="22">
        <f>IFERROR(__xludf.DUMMYFUNCTION("""COMPUTED_VALUE"""),57.56)</f>
        <v>57.56</v>
      </c>
      <c r="AJ20" s="11"/>
    </row>
    <row r="21">
      <c r="A21" s="31"/>
      <c r="B21" s="17">
        <f>IFERROR(__xludf.DUMMYFUNCTION("""COMPUTED_VALUE"""),32.0)</f>
        <v>32</v>
      </c>
      <c r="C21" s="18" t="str">
        <f>IFERROR(__xludf.DUMMYFUNCTION("""COMPUTED_VALUE"""),"Male")</f>
        <v>Male</v>
      </c>
      <c r="D21" s="18" t="b">
        <f>IFERROR(__xludf.DUMMYFUNCTION("""COMPUTED_VALUE"""),FALSE)</f>
        <v>0</v>
      </c>
      <c r="E21" s="32" t="str">
        <f>IFERROR(__xludf.DUMMYFUNCTION("""COMPUTED_VALUE"""),"")</f>
        <v/>
      </c>
      <c r="F21" s="17">
        <f>IFERROR(__xludf.DUMMYFUNCTION("""COMPUTED_VALUE"""),32.0)</f>
        <v>32</v>
      </c>
      <c r="G21" s="20" t="b">
        <f>IFERROR(__xludf.DUMMYFUNCTION("""COMPUTED_VALUE"""),TRUE)</f>
        <v>1</v>
      </c>
      <c r="H21" s="18" t="str">
        <f>IFERROR(__xludf.DUMMYFUNCTION("""COMPUTED_VALUE"""),"ThaNexT")</f>
        <v>ThaNexT</v>
      </c>
      <c r="I21" s="22">
        <f>IFERROR(__xludf.DUMMYFUNCTION("""COMPUTED_VALUE"""),7.2)</f>
        <v>7.2</v>
      </c>
      <c r="J21" s="23">
        <f>IFERROR(__xludf.DUMMYFUNCTION("""COMPUTED_VALUE"""),2.0)</f>
        <v>2</v>
      </c>
      <c r="K21" s="24">
        <f>IFERROR(__xludf.DUMMYFUNCTION("""COMPUTED_VALUE"""),1.0)</f>
        <v>1</v>
      </c>
      <c r="L21" s="24">
        <f>IFERROR(__xludf.DUMMYFUNCTION("""COMPUTED_VALUE"""),1.0)</f>
        <v>1</v>
      </c>
      <c r="M21" s="25">
        <f>IFERROR(__xludf.DUMMYFUNCTION("""COMPUTED_VALUE"""),1.0)</f>
        <v>1</v>
      </c>
      <c r="N21" s="25">
        <f>IFERROR(__xludf.DUMMYFUNCTION("""COMPUTED_VALUE"""),2.0)</f>
        <v>2</v>
      </c>
      <c r="O21" s="18" t="b">
        <f>IFERROR(__xludf.DUMMYFUNCTION("""COMPUTED_VALUE"""),FALSE)</f>
        <v>0</v>
      </c>
      <c r="P21" s="22">
        <f>IFERROR(__xludf.DUMMYFUNCTION("""COMPUTED_VALUE"""),19.29)</f>
        <v>19.29</v>
      </c>
      <c r="Q21" s="32" t="str">
        <f>IFERROR(__xludf.DUMMYFUNCTION("""COMPUTED_VALUE"""),"")</f>
        <v/>
      </c>
      <c r="R21" s="17">
        <f>IFERROR(__xludf.DUMMYFUNCTION("""COMPUTED_VALUE"""),32.0)</f>
        <v>32</v>
      </c>
      <c r="S21" s="18" t="str">
        <f>IFERROR(__xludf.DUMMYFUNCTION("""COMPUTED_VALUE"""),"Satisfied")</f>
        <v>Satisfied</v>
      </c>
      <c r="T21" s="18" t="str">
        <f>IFERROR(__xludf.DUMMYFUNCTION("""COMPUTED_VALUE"""),"I wanted more options")</f>
        <v>I wanted more options</v>
      </c>
      <c r="U21" s="20" t="b">
        <f>IFERROR(__xludf.DUMMYFUNCTION("""COMPUTED_VALUE"""),TRUE)</f>
        <v>1</v>
      </c>
      <c r="V21" s="32" t="str">
        <f>IFERROR(__xludf.DUMMYFUNCTION("""COMPUTED_VALUE"""),"")</f>
        <v/>
      </c>
      <c r="W21" s="17">
        <f>IFERROR(__xludf.DUMMYFUNCTION("""COMPUTED_VALUE"""),32.0)</f>
        <v>32</v>
      </c>
      <c r="X21" s="25">
        <f>IFERROR(__xludf.DUMMYFUNCTION("""COMPUTED_VALUE"""),7.0)</f>
        <v>7</v>
      </c>
      <c r="Y21" s="18" t="str">
        <f>IFERROR(__xludf.DUMMYFUNCTION("""COMPUTED_VALUE"""),"Unpleased")</f>
        <v>Unpleased</v>
      </c>
      <c r="Z21" s="18" t="str">
        <f>IFERROR(__xludf.DUMMYFUNCTION("""COMPUTED_VALUE"""),"Satisfied")</f>
        <v>Satisfied</v>
      </c>
      <c r="AA21" s="32" t="str">
        <f>IFERROR(__xludf.DUMMYFUNCTION("""COMPUTED_VALUE"""),"")</f>
        <v/>
      </c>
      <c r="AB21" s="17">
        <f>IFERROR(__xludf.DUMMYFUNCTION("""COMPUTED_VALUE"""),32.0)</f>
        <v>32</v>
      </c>
      <c r="AC21" s="25">
        <f>IFERROR(__xludf.DUMMYFUNCTION("""COMPUTED_VALUE"""),542.0)</f>
        <v>542</v>
      </c>
      <c r="AD21" s="25">
        <f>IFERROR(__xludf.DUMMYFUNCTION("""COMPUTED_VALUE"""),163.0)</f>
        <v>163</v>
      </c>
      <c r="AE21" s="25">
        <f>IFERROR(__xludf.DUMMYFUNCTION("""COMPUTED_VALUE"""),379.0)</f>
        <v>379</v>
      </c>
      <c r="AF21" s="24">
        <f>IFERROR(__xludf.DUMMYFUNCTION("""COMPUTED_VALUE"""),0.3007)</f>
        <v>0.3007</v>
      </c>
      <c r="AG21" s="25">
        <f>IFERROR(__xludf.DUMMYFUNCTION("""COMPUTED_VALUE"""),38.0)</f>
        <v>38</v>
      </c>
      <c r="AH21" s="22">
        <f>IFERROR(__xludf.DUMMYFUNCTION("""COMPUTED_VALUE"""),28.61)</f>
        <v>28.61</v>
      </c>
      <c r="AI21" s="22">
        <f>IFERROR(__xludf.DUMMYFUNCTION("""COMPUTED_VALUE"""),103.68)</f>
        <v>103.68</v>
      </c>
      <c r="AJ21" s="11"/>
    </row>
    <row r="22">
      <c r="A22" s="1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11"/>
    </row>
    <row r="23">
      <c r="A23" s="34"/>
      <c r="B23" s="35"/>
      <c r="C23" s="35"/>
      <c r="E23" s="33"/>
      <c r="F23" s="33"/>
      <c r="G23" s="33"/>
      <c r="H23" s="37" t="s">
        <v>62</v>
      </c>
      <c r="I23" s="38">
        <f>MEDIAN(I15:I21)</f>
        <v>7.59</v>
      </c>
      <c r="J23" s="39"/>
      <c r="K23" s="40">
        <f t="shared" ref="K23:L23" si="1">MEDIAN(K15:K21)</f>
        <v>1</v>
      </c>
      <c r="L23" s="40">
        <f t="shared" si="1"/>
        <v>1</v>
      </c>
      <c r="M23" s="33"/>
      <c r="N23" s="33"/>
      <c r="O23" s="37" t="s">
        <v>62</v>
      </c>
      <c r="P23" s="38">
        <f>MEDIAN(P15:P21)</f>
        <v>25.42</v>
      </c>
      <c r="Q23" s="33"/>
      <c r="R23" s="33"/>
      <c r="S23" s="33"/>
      <c r="T23" s="33"/>
      <c r="U23" s="33"/>
      <c r="V23" s="33"/>
      <c r="W23" s="37" t="s">
        <v>62</v>
      </c>
      <c r="X23" s="39">
        <f>MEDIAN(X15:X21)</f>
        <v>8</v>
      </c>
      <c r="Y23" s="33"/>
      <c r="Z23" s="33"/>
      <c r="AA23" s="33"/>
      <c r="AB23" s="37" t="s">
        <v>62</v>
      </c>
      <c r="AC23" s="39">
        <f t="shared" ref="AC23:AI23" si="2">MEDIAN(AC15:AC21)</f>
        <v>267</v>
      </c>
      <c r="AD23" s="39">
        <f t="shared" si="2"/>
        <v>82</v>
      </c>
      <c r="AE23" s="39">
        <f t="shared" si="2"/>
        <v>194</v>
      </c>
      <c r="AF23" s="40">
        <f t="shared" si="2"/>
        <v>0.2962</v>
      </c>
      <c r="AG23" s="39">
        <f t="shared" si="2"/>
        <v>19</v>
      </c>
      <c r="AH23" s="38">
        <f t="shared" si="2"/>
        <v>31.23</v>
      </c>
      <c r="AI23" s="38">
        <f t="shared" si="2"/>
        <v>44.05</v>
      </c>
      <c r="AJ23" s="11"/>
    </row>
    <row r="24">
      <c r="A24" s="11"/>
      <c r="B24" s="35"/>
      <c r="C24" s="35"/>
      <c r="E24" s="33"/>
      <c r="F24" s="33"/>
      <c r="G24" s="33"/>
      <c r="H24" s="37" t="s">
        <v>65</v>
      </c>
      <c r="I24" s="38">
        <f>AVERAGE(I15:I21)</f>
        <v>9.694285714</v>
      </c>
      <c r="J24" s="38"/>
      <c r="K24" s="40">
        <f t="shared" ref="K24:L24" si="3">AVERAGE(K15:K21)</f>
        <v>1</v>
      </c>
      <c r="L24" s="40">
        <f t="shared" si="3"/>
        <v>1</v>
      </c>
      <c r="M24" s="45"/>
      <c r="N24" s="45"/>
      <c r="O24" s="37" t="s">
        <v>65</v>
      </c>
      <c r="P24" s="38">
        <f>AVERAGE(P15:P21)</f>
        <v>21.21</v>
      </c>
      <c r="Q24" s="33"/>
      <c r="R24" s="33"/>
      <c r="S24" s="33"/>
      <c r="T24" s="33"/>
      <c r="U24" s="33"/>
      <c r="V24" s="33"/>
      <c r="W24" s="37" t="s">
        <v>65</v>
      </c>
      <c r="X24" s="38">
        <f>AVERAGE(X15:X21)</f>
        <v>8</v>
      </c>
      <c r="Y24" s="33"/>
      <c r="Z24" s="33"/>
      <c r="AA24" s="33"/>
      <c r="AB24" s="37" t="s">
        <v>65</v>
      </c>
      <c r="AC24" s="38">
        <f t="shared" ref="AC24:AI24" si="4">AVERAGE(AC15:AC21)</f>
        <v>291.2857143</v>
      </c>
      <c r="AD24" s="38">
        <f t="shared" si="4"/>
        <v>86.42857143</v>
      </c>
      <c r="AE24" s="38">
        <f t="shared" si="4"/>
        <v>204.8571429</v>
      </c>
      <c r="AF24" s="40">
        <f t="shared" si="4"/>
        <v>0.2973857143</v>
      </c>
      <c r="AG24" s="38">
        <f t="shared" si="4"/>
        <v>20</v>
      </c>
      <c r="AH24" s="38">
        <f t="shared" si="4"/>
        <v>36.96857143</v>
      </c>
      <c r="AI24" s="38">
        <f t="shared" si="4"/>
        <v>44.19571429</v>
      </c>
      <c r="AJ24" s="11"/>
    </row>
    <row r="25">
      <c r="A25" s="11"/>
      <c r="B25" s="11"/>
      <c r="C25" s="35"/>
      <c r="E25" s="11"/>
      <c r="F25" s="11"/>
      <c r="G25" s="11"/>
      <c r="H25" s="37" t="s">
        <v>68</v>
      </c>
      <c r="I25" s="38">
        <f>STDEV(I15:I21)</f>
        <v>7.442331304</v>
      </c>
      <c r="K25" s="40">
        <f t="shared" ref="K25:L25" si="5">STDEV(K15:K21)</f>
        <v>0</v>
      </c>
      <c r="L25" s="40">
        <f t="shared" si="5"/>
        <v>0</v>
      </c>
      <c r="M25" s="11"/>
      <c r="N25" s="11"/>
      <c r="O25" s="37" t="s">
        <v>68</v>
      </c>
      <c r="P25" s="38">
        <f>STDEV(P15:P21)</f>
        <v>9.784715973</v>
      </c>
      <c r="Q25" s="11"/>
      <c r="R25" s="11"/>
      <c r="S25" s="11"/>
      <c r="T25" s="11"/>
      <c r="U25" s="11"/>
      <c r="V25" s="11"/>
      <c r="W25" s="37" t="s">
        <v>68</v>
      </c>
      <c r="X25" s="38">
        <f>STDEV(X15:X21)</f>
        <v>0.8164965809</v>
      </c>
      <c r="Y25" s="11"/>
      <c r="Z25" s="11"/>
      <c r="AA25" s="11"/>
      <c r="AB25" s="37" t="s">
        <v>68</v>
      </c>
      <c r="AC25" s="38">
        <f t="shared" ref="AC25:AI25" si="6">STDEV(AC15:AC21)</f>
        <v>124.3593104</v>
      </c>
      <c r="AD25" s="38">
        <f t="shared" si="6"/>
        <v>37.47380037</v>
      </c>
      <c r="AE25" s="38">
        <f t="shared" si="6"/>
        <v>87.39074812</v>
      </c>
      <c r="AF25" s="40">
        <f t="shared" si="6"/>
        <v>0.0199053953</v>
      </c>
      <c r="AG25" s="38">
        <f t="shared" si="6"/>
        <v>9.055385138</v>
      </c>
      <c r="AH25" s="38">
        <f t="shared" si="6"/>
        <v>13.51590844</v>
      </c>
      <c r="AI25" s="38">
        <f t="shared" si="6"/>
        <v>31.28654282</v>
      </c>
      <c r="AJ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40">
      <c r="A40" s="49"/>
    </row>
  </sheetData>
  <mergeCells count="10">
    <mergeCell ref="G11:P12"/>
    <mergeCell ref="C11:D12"/>
    <mergeCell ref="C24:D24"/>
    <mergeCell ref="C25:D25"/>
    <mergeCell ref="X11:Z12"/>
    <mergeCell ref="AC11:AJ12"/>
    <mergeCell ref="H6:H7"/>
    <mergeCell ref="A5:G8"/>
    <mergeCell ref="C23:D23"/>
    <mergeCell ref="S11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5.71"/>
    <col customWidth="1" min="3" max="3" width="12.57"/>
    <col customWidth="1" min="4" max="4" width="26.29"/>
    <col customWidth="1" min="5" max="5" width="4.57"/>
    <col customWidth="1" min="6" max="6" width="7.43"/>
    <col customWidth="1" min="7" max="7" width="19.86"/>
    <col customWidth="1" min="8" max="8" width="37.57"/>
    <col customWidth="1" min="9" max="9" width="22.29"/>
    <col customWidth="1" min="10" max="10" width="20.71"/>
    <col customWidth="1" min="11" max="11" width="16.86"/>
    <col customWidth="1" min="12" max="12" width="17.86"/>
    <col customWidth="1" min="13" max="13" width="14.14"/>
    <col customWidth="1" min="14" max="14" width="14.0"/>
    <col customWidth="1" min="15" max="15" width="15.29"/>
    <col customWidth="1" min="16" max="16" width="25.57"/>
    <col customWidth="1" min="17" max="17" width="5.29"/>
    <col customWidth="1" min="18" max="18" width="6.0"/>
    <col customWidth="1" min="19" max="19" width="26.0"/>
    <col customWidth="1" min="20" max="20" width="42.71"/>
    <col customWidth="1" min="21" max="21" width="22.29"/>
    <col customWidth="1" min="22" max="22" width="4.57"/>
    <col customWidth="1" min="23" max="23" width="6.43"/>
    <col customWidth="1" min="24" max="24" width="18.71"/>
    <col customWidth="1" min="25" max="25" width="24.57"/>
    <col customWidth="1" min="26" max="26" width="25.14"/>
    <col customWidth="1" min="27" max="27" width="4.86"/>
    <col customWidth="1" min="28" max="28" width="6.0"/>
    <col customWidth="1" min="29" max="29" width="14.57"/>
    <col customWidth="1" min="30" max="30" width="15.14"/>
    <col customWidth="1" min="31" max="31" width="20.29"/>
    <col customWidth="1" min="32" max="32" width="21.57"/>
    <col customWidth="1" min="33" max="33" width="15.0"/>
    <col customWidth="1" min="34" max="34" width="25.14"/>
    <col customWidth="1" min="35" max="35" width="25.43"/>
    <col customWidth="1" min="36" max="36" width="4.57"/>
  </cols>
  <sheetData>
    <row r="1">
      <c r="A1" s="1"/>
      <c r="B1" s="2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2"/>
      <c r="S1" s="2"/>
      <c r="T1" s="2"/>
      <c r="U1" s="2"/>
      <c r="V1" s="1"/>
      <c r="W1" s="2"/>
      <c r="X1" s="2"/>
      <c r="Y1" s="2"/>
      <c r="Z1" s="2"/>
      <c r="AA1" s="1"/>
      <c r="AB1" s="2"/>
      <c r="AC1" s="2"/>
      <c r="AD1" s="2"/>
      <c r="AE1" s="2"/>
      <c r="AF1" s="2"/>
      <c r="AG1" s="2"/>
      <c r="AH1" s="2"/>
      <c r="AI1" s="2"/>
      <c r="AJ1" s="3"/>
    </row>
    <row r="2">
      <c r="A2" s="1"/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2"/>
      <c r="T2" s="2"/>
      <c r="U2" s="2"/>
      <c r="V2" s="1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3"/>
    </row>
    <row r="3">
      <c r="A3" s="1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3"/>
    </row>
    <row r="4">
      <c r="A4" s="1"/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1"/>
      <c r="W4" s="2"/>
      <c r="X4" s="2"/>
      <c r="Y4" s="2"/>
      <c r="Z4" s="2"/>
      <c r="AA4" s="1"/>
      <c r="AB4" s="2"/>
      <c r="AC4" s="2"/>
      <c r="AD4" s="2"/>
      <c r="AE4" s="2"/>
      <c r="AF4" s="2"/>
      <c r="AG4" s="2"/>
      <c r="AH4" s="2"/>
      <c r="AI4" s="2"/>
      <c r="AJ4" s="3"/>
    </row>
    <row r="5">
      <c r="A5" s="4" t="s">
        <v>0</v>
      </c>
      <c r="H5" s="5"/>
      <c r="I5" s="5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1"/>
      <c r="W5" s="2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3"/>
    </row>
    <row r="6">
      <c r="H6" s="6">
        <f>COUNTA(B15:B20)</f>
        <v>6</v>
      </c>
      <c r="I6" s="5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1"/>
      <c r="W6" s="2"/>
      <c r="X6" s="2"/>
      <c r="Y6" s="2"/>
      <c r="Z6" s="2"/>
      <c r="AA6" s="1"/>
      <c r="AB6" s="2"/>
      <c r="AC6" s="2"/>
      <c r="AD6" s="2"/>
      <c r="AE6" s="2"/>
      <c r="AF6" s="2"/>
      <c r="AG6" s="2"/>
      <c r="AH6" s="2"/>
      <c r="AI6" s="2"/>
      <c r="AJ6" s="3"/>
    </row>
    <row r="7">
      <c r="I7" s="5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1"/>
      <c r="W7" s="2"/>
      <c r="X7" s="2"/>
      <c r="Y7" s="2"/>
      <c r="Z7" s="2"/>
      <c r="AA7" s="1"/>
      <c r="AB7" s="2"/>
      <c r="AC7" s="2"/>
      <c r="AD7" s="2"/>
      <c r="AE7" s="2"/>
      <c r="AF7" s="2"/>
      <c r="AG7" s="2"/>
      <c r="AH7" s="2"/>
      <c r="AI7" s="2"/>
      <c r="AJ7" s="3"/>
    </row>
    <row r="8">
      <c r="H8" s="5"/>
      <c r="I8" s="5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1"/>
      <c r="W8" s="2"/>
      <c r="X8" s="2"/>
      <c r="Y8" s="2"/>
      <c r="Z8" s="2"/>
      <c r="AA8" s="1"/>
      <c r="AB8" s="2"/>
      <c r="AC8" s="2"/>
      <c r="AD8" s="2"/>
      <c r="AE8" s="2"/>
      <c r="AF8" s="2"/>
      <c r="AG8" s="2"/>
      <c r="AH8" s="2"/>
      <c r="AI8" s="2"/>
      <c r="AJ8" s="3"/>
    </row>
    <row r="9">
      <c r="A9" s="1"/>
      <c r="B9" s="2"/>
      <c r="C9" s="2"/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1"/>
      <c r="W9" s="2"/>
      <c r="X9" s="2"/>
      <c r="Y9" s="2"/>
      <c r="Z9" s="2"/>
      <c r="AA9" s="1"/>
      <c r="AB9" s="2"/>
      <c r="AC9" s="2"/>
      <c r="AD9" s="2"/>
      <c r="AE9" s="2"/>
      <c r="AF9" s="2"/>
      <c r="AG9" s="2"/>
      <c r="AH9" s="2"/>
      <c r="AI9" s="2"/>
      <c r="AJ9" s="3"/>
    </row>
    <row r="10">
      <c r="A10" s="7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5"/>
      <c r="S10" s="5"/>
      <c r="T10" s="5"/>
      <c r="U10" s="5"/>
      <c r="V10" s="7"/>
      <c r="W10" s="5"/>
      <c r="X10" s="5"/>
      <c r="Y10" s="5"/>
      <c r="Z10" s="5"/>
      <c r="AA10" s="7"/>
      <c r="AB10" s="5"/>
      <c r="AC10" s="5"/>
      <c r="AD10" s="5"/>
      <c r="AE10" s="5"/>
      <c r="AF10" s="5"/>
      <c r="AG10" s="5"/>
      <c r="AH10" s="5"/>
      <c r="AI10" s="5"/>
      <c r="AJ10" s="8"/>
    </row>
    <row r="11">
      <c r="A11" s="7"/>
      <c r="B11" s="9"/>
      <c r="C11" s="9" t="s">
        <v>3</v>
      </c>
      <c r="E11" s="7"/>
      <c r="F11" s="9"/>
      <c r="G11" s="9" t="s">
        <v>4</v>
      </c>
      <c r="Q11" s="7"/>
      <c r="R11" s="9"/>
      <c r="S11" s="9" t="s">
        <v>5</v>
      </c>
      <c r="V11" s="7"/>
      <c r="W11" s="9"/>
      <c r="X11" s="9" t="s">
        <v>6</v>
      </c>
      <c r="AA11" s="7"/>
      <c r="AB11" s="9"/>
      <c r="AC11" s="9" t="s">
        <v>7</v>
      </c>
    </row>
    <row r="12">
      <c r="A12" s="7"/>
      <c r="B12" s="9"/>
      <c r="E12" s="7"/>
      <c r="F12" s="9"/>
      <c r="Q12" s="7"/>
      <c r="R12" s="9"/>
      <c r="V12" s="7"/>
      <c r="W12" s="9"/>
      <c r="AA12" s="7"/>
      <c r="AB12" s="9"/>
    </row>
    <row r="13">
      <c r="A13" s="7"/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  <c r="R13" s="5"/>
      <c r="S13" s="5"/>
      <c r="T13" s="5"/>
      <c r="U13" s="5"/>
      <c r="V13" s="7"/>
      <c r="W13" s="5"/>
      <c r="X13" s="5"/>
      <c r="Y13" s="5"/>
      <c r="Z13" s="5"/>
      <c r="AA13" s="7"/>
      <c r="AB13" s="5"/>
      <c r="AC13" s="5"/>
      <c r="AD13" s="5"/>
      <c r="AE13" s="5"/>
      <c r="AF13" s="5"/>
      <c r="AG13" s="5"/>
      <c r="AH13" s="5"/>
      <c r="AI13" s="5"/>
      <c r="AJ13" s="8"/>
    </row>
    <row r="14">
      <c r="A14" s="7"/>
      <c r="B14" s="2" t="s">
        <v>8</v>
      </c>
      <c r="C14" s="2" t="s">
        <v>9</v>
      </c>
      <c r="D14" s="2" t="s">
        <v>10</v>
      </c>
      <c r="E14" s="7"/>
      <c r="F14" s="2" t="s">
        <v>8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7"/>
      <c r="R14" s="2" t="s">
        <v>8</v>
      </c>
      <c r="S14" s="2" t="s">
        <v>21</v>
      </c>
      <c r="T14" s="2" t="s">
        <v>22</v>
      </c>
      <c r="U14" s="2" t="s">
        <v>23</v>
      </c>
      <c r="V14" s="7"/>
      <c r="W14" s="2" t="s">
        <v>8</v>
      </c>
      <c r="X14" s="2" t="s">
        <v>24</v>
      </c>
      <c r="Y14" s="2" t="s">
        <v>25</v>
      </c>
      <c r="Z14" s="2" t="s">
        <v>26</v>
      </c>
      <c r="AA14" s="11"/>
      <c r="AB14" s="2" t="s">
        <v>8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8"/>
    </row>
    <row r="15">
      <c r="A15" s="13"/>
      <c r="B15" s="17">
        <f>IFERROR(__xludf.DUMMYFUNCTION("FILTER('All data'!B15:AI48, 'All data'!J15:J48 = 5)"),2.0)</f>
        <v>2</v>
      </c>
      <c r="C15" s="18" t="str">
        <f>IFERROR(__xludf.DUMMYFUNCTION("""COMPUTED_VALUE"""),"Female")</f>
        <v>Female</v>
      </c>
      <c r="D15" s="20" t="b">
        <f>IFERROR(__xludf.DUMMYFUNCTION("""COMPUTED_VALUE"""),FALSE)</f>
        <v>0</v>
      </c>
      <c r="E15" s="21" t="str">
        <f>IFERROR(__xludf.DUMMYFUNCTION("""COMPUTED_VALUE"""),"")</f>
        <v/>
      </c>
      <c r="F15" s="17">
        <f>IFERROR(__xludf.DUMMYFUNCTION("""COMPUTED_VALUE"""),2.0)</f>
        <v>2</v>
      </c>
      <c r="G15" s="20" t="b">
        <f>IFERROR(__xludf.DUMMYFUNCTION("""COMPUTED_VALUE"""),TRUE)</f>
        <v>1</v>
      </c>
      <c r="H15" s="18" t="str">
        <f>IFERROR(__xludf.DUMMYFUNCTION("""COMPUTED_VALUE"""),"Betta the Beta")</f>
        <v>Betta the Beta</v>
      </c>
      <c r="I15" s="22">
        <f>IFERROR(__xludf.DUMMYFUNCTION("""COMPUTED_VALUE"""),51.77)</f>
        <v>51.77</v>
      </c>
      <c r="J15" s="23">
        <f>IFERROR(__xludf.DUMMYFUNCTION("""COMPUTED_VALUE"""),5.0)</f>
        <v>5</v>
      </c>
      <c r="K15" s="24">
        <f>IFERROR(__xludf.DUMMYFUNCTION("""COMPUTED_VALUE"""),1.0)</f>
        <v>1</v>
      </c>
      <c r="L15" s="24">
        <f>IFERROR(__xludf.DUMMYFUNCTION("""COMPUTED_VALUE"""),1.0)</f>
        <v>1</v>
      </c>
      <c r="M15" s="25">
        <f>IFERROR(__xludf.DUMMYFUNCTION("""COMPUTED_VALUE"""),5.0)</f>
        <v>5</v>
      </c>
      <c r="N15" s="25">
        <f>IFERROR(__xludf.DUMMYFUNCTION("""COMPUTED_VALUE"""),2.0)</f>
        <v>2</v>
      </c>
      <c r="O15" s="20" t="b">
        <f>IFERROR(__xludf.DUMMYFUNCTION("""COMPUTED_VALUE"""),FALSE)</f>
        <v>0</v>
      </c>
      <c r="P15" s="22">
        <f>IFERROR(__xludf.DUMMYFUNCTION("""COMPUTED_VALUE"""),99.81)</f>
        <v>99.81</v>
      </c>
      <c r="Q15" s="21" t="str">
        <f>IFERROR(__xludf.DUMMYFUNCTION("""COMPUTED_VALUE"""),"")</f>
        <v/>
      </c>
      <c r="R15" s="17">
        <f>IFERROR(__xludf.DUMMYFUNCTION("""COMPUTED_VALUE"""),2.0)</f>
        <v>2</v>
      </c>
      <c r="S15" s="18" t="str">
        <f>IFERROR(__xludf.DUMMYFUNCTION("""COMPUTED_VALUE"""),"Very satisfied")</f>
        <v>Very satisfied</v>
      </c>
      <c r="T15" s="28" t="str">
        <f>IFERROR(__xludf.DUMMYFUNCTION("""COMPUTED_VALUE"""),"I wanted more options")</f>
        <v>I wanted more options</v>
      </c>
      <c r="U15" s="29" t="b">
        <f>IFERROR(__xludf.DUMMYFUNCTION("""COMPUTED_VALUE"""),TRUE)</f>
        <v>1</v>
      </c>
      <c r="V15" s="21" t="str">
        <f>IFERROR(__xludf.DUMMYFUNCTION("""COMPUTED_VALUE"""),"")</f>
        <v/>
      </c>
      <c r="W15" s="17">
        <f>IFERROR(__xludf.DUMMYFUNCTION("""COMPUTED_VALUE"""),2.0)</f>
        <v>2</v>
      </c>
      <c r="X15" s="25">
        <f>IFERROR(__xludf.DUMMYFUNCTION("""COMPUTED_VALUE"""),6.0)</f>
        <v>6</v>
      </c>
      <c r="Y15" s="18" t="str">
        <f>IFERROR(__xludf.DUMMYFUNCTION("""COMPUTED_VALUE"""),"Pleased")</f>
        <v>Pleased</v>
      </c>
      <c r="Z15" s="18" t="str">
        <f>IFERROR(__xludf.DUMMYFUNCTION("""COMPUTED_VALUE"""),"Very satisfied")</f>
        <v>Very satisfied</v>
      </c>
      <c r="AA15" s="30" t="str">
        <f>IFERROR(__xludf.DUMMYFUNCTION("""COMPUTED_VALUE"""),"")</f>
        <v/>
      </c>
      <c r="AB15" s="17">
        <f>IFERROR(__xludf.DUMMYFUNCTION("""COMPUTED_VALUE"""),2.0)</f>
        <v>2</v>
      </c>
      <c r="AC15" s="25">
        <f>IFERROR(__xludf.DUMMYFUNCTION("""COMPUTED_VALUE"""),612.0)</f>
        <v>612</v>
      </c>
      <c r="AD15" s="25">
        <f>IFERROR(__xludf.DUMMYFUNCTION("""COMPUTED_VALUE"""),112.0)</f>
        <v>112</v>
      </c>
      <c r="AE15" s="25">
        <f>IFERROR(__xludf.DUMMYFUNCTION("""COMPUTED_VALUE"""),500.0)</f>
        <v>500</v>
      </c>
      <c r="AF15" s="24">
        <f>IFERROR(__xludf.DUMMYFUNCTION("""COMPUTED_VALUE"""),0.183)</f>
        <v>0.183</v>
      </c>
      <c r="AG15" s="25">
        <f>IFERROR(__xludf.DUMMYFUNCTION("""COMPUTED_VALUE"""),26.0)</f>
        <v>26</v>
      </c>
      <c r="AH15" s="22">
        <f>IFERROR(__xludf.DUMMYFUNCTION("""COMPUTED_VALUE"""),72.08)</f>
        <v>72.08</v>
      </c>
      <c r="AI15" s="22">
        <f>IFERROR(__xludf.DUMMYFUNCTION("""COMPUTED_VALUE"""),22.01)</f>
        <v>22.01</v>
      </c>
      <c r="AJ15" s="11"/>
    </row>
    <row r="16">
      <c r="A16" s="31"/>
      <c r="B16" s="17">
        <f>IFERROR(__xludf.DUMMYFUNCTION("""COMPUTED_VALUE"""),8.0)</f>
        <v>8</v>
      </c>
      <c r="C16" s="18" t="str">
        <f>IFERROR(__xludf.DUMMYFUNCTION("""COMPUTED_VALUE"""),"Male")</f>
        <v>Male</v>
      </c>
      <c r="D16" s="18" t="b">
        <f>IFERROR(__xludf.DUMMYFUNCTION("""COMPUTED_VALUE"""),FALSE)</f>
        <v>0</v>
      </c>
      <c r="E16" s="32" t="str">
        <f>IFERROR(__xludf.DUMMYFUNCTION("""COMPUTED_VALUE"""),"")</f>
        <v/>
      </c>
      <c r="F16" s="17">
        <f>IFERROR(__xludf.DUMMYFUNCTION("""COMPUTED_VALUE"""),8.0)</f>
        <v>8</v>
      </c>
      <c r="G16" s="20" t="b">
        <f>IFERROR(__xludf.DUMMYFUNCTION("""COMPUTED_VALUE"""),TRUE)</f>
        <v>1</v>
      </c>
      <c r="H16" s="18" t="str">
        <f>IFERROR(__xludf.DUMMYFUNCTION("""COMPUTED_VALUE"""),"Tantawelle")</f>
        <v>Tantawelle</v>
      </c>
      <c r="I16" s="22">
        <f>IFERROR(__xludf.DUMMYFUNCTION("""COMPUTED_VALUE"""),4.29)</f>
        <v>4.29</v>
      </c>
      <c r="J16" s="23">
        <f>IFERROR(__xludf.DUMMYFUNCTION("""COMPUTED_VALUE"""),5.0)</f>
        <v>5</v>
      </c>
      <c r="K16" s="24">
        <f>IFERROR(__xludf.DUMMYFUNCTION("""COMPUTED_VALUE"""),1.0)</f>
        <v>1</v>
      </c>
      <c r="L16" s="24">
        <f>IFERROR(__xludf.DUMMYFUNCTION("""COMPUTED_VALUE"""),1.0)</f>
        <v>1</v>
      </c>
      <c r="M16" s="25">
        <f>IFERROR(__xludf.DUMMYFUNCTION("""COMPUTED_VALUE"""),4.0)</f>
        <v>4</v>
      </c>
      <c r="N16" s="25">
        <f>IFERROR(__xludf.DUMMYFUNCTION("""COMPUTED_VALUE"""),4.0)</f>
        <v>4</v>
      </c>
      <c r="O16" s="18" t="b">
        <f>IFERROR(__xludf.DUMMYFUNCTION("""COMPUTED_VALUE"""),TRUE)</f>
        <v>1</v>
      </c>
      <c r="P16" s="22">
        <f>IFERROR(__xludf.DUMMYFUNCTION("""COMPUTED_VALUE"""),19.88)</f>
        <v>19.88</v>
      </c>
      <c r="Q16" s="32" t="str">
        <f>IFERROR(__xludf.DUMMYFUNCTION("""COMPUTED_VALUE"""),"")</f>
        <v/>
      </c>
      <c r="R16" s="17">
        <f>IFERROR(__xludf.DUMMYFUNCTION("""COMPUTED_VALUE"""),8.0)</f>
        <v>8</v>
      </c>
      <c r="S16" s="18" t="str">
        <f>IFERROR(__xludf.DUMMYFUNCTION("""COMPUTED_VALUE"""),"Satisfied")</f>
        <v>Satisfied</v>
      </c>
      <c r="T16" s="18" t="str">
        <f>IFERROR(__xludf.DUMMYFUNCTION("""COMPUTED_VALUE"""),"I wanted more options")</f>
        <v>I wanted more options</v>
      </c>
      <c r="U16" s="20" t="b">
        <f>IFERROR(__xludf.DUMMYFUNCTION("""COMPUTED_VALUE"""),TRUE)</f>
        <v>1</v>
      </c>
      <c r="V16" s="32" t="str">
        <f>IFERROR(__xludf.DUMMYFUNCTION("""COMPUTED_VALUE"""),"")</f>
        <v/>
      </c>
      <c r="W16" s="17">
        <f>IFERROR(__xludf.DUMMYFUNCTION("""COMPUTED_VALUE"""),8.0)</f>
        <v>8</v>
      </c>
      <c r="X16" s="25">
        <f>IFERROR(__xludf.DUMMYFUNCTION("""COMPUTED_VALUE"""),6.0)</f>
        <v>6</v>
      </c>
      <c r="Y16" s="18" t="str">
        <f>IFERROR(__xludf.DUMMYFUNCTION("""COMPUTED_VALUE"""),"Pleased")</f>
        <v>Pleased</v>
      </c>
      <c r="Z16" s="18" t="str">
        <f>IFERROR(__xludf.DUMMYFUNCTION("""COMPUTED_VALUE"""),"Satisfied")</f>
        <v>Satisfied</v>
      </c>
      <c r="AA16" s="32" t="str">
        <f>IFERROR(__xludf.DUMMYFUNCTION("""COMPUTED_VALUE"""),"")</f>
        <v/>
      </c>
      <c r="AB16" s="17">
        <f>IFERROR(__xludf.DUMMYFUNCTION("""COMPUTED_VALUE"""),8.0)</f>
        <v>8</v>
      </c>
      <c r="AC16" s="25">
        <f>IFERROR(__xludf.DUMMYFUNCTION("""COMPUTED_VALUE"""),515.0)</f>
        <v>515</v>
      </c>
      <c r="AD16" s="25">
        <f>IFERROR(__xludf.DUMMYFUNCTION("""COMPUTED_VALUE"""),234.0)</f>
        <v>234</v>
      </c>
      <c r="AE16" s="25">
        <f>IFERROR(__xludf.DUMMYFUNCTION("""COMPUTED_VALUE"""),281.0)</f>
        <v>281</v>
      </c>
      <c r="AF16" s="24">
        <f>IFERROR(__xludf.DUMMYFUNCTION("""COMPUTED_VALUE"""),0.4544)</f>
        <v>0.4544</v>
      </c>
      <c r="AG16" s="25">
        <f>IFERROR(__xludf.DUMMYFUNCTION("""COMPUTED_VALUE"""),57.0)</f>
        <v>57</v>
      </c>
      <c r="AH16" s="22">
        <f>IFERROR(__xludf.DUMMYFUNCTION("""COMPUTED_VALUE"""),50.68)</f>
        <v>50.68</v>
      </c>
      <c r="AI16" s="22">
        <f>IFERROR(__xludf.DUMMYFUNCTION("""COMPUTED_VALUE"""),114.3)</f>
        <v>114.3</v>
      </c>
      <c r="AJ16" s="11"/>
    </row>
    <row r="17">
      <c r="A17" s="31"/>
      <c r="B17" s="17">
        <f>IFERROR(__xludf.DUMMYFUNCTION("""COMPUTED_VALUE"""),14.0)</f>
        <v>14</v>
      </c>
      <c r="C17" s="18" t="str">
        <f>IFERROR(__xludf.DUMMYFUNCTION("""COMPUTED_VALUE"""),"Male")</f>
        <v>Male</v>
      </c>
      <c r="D17" s="18" t="b">
        <f>IFERROR(__xludf.DUMMYFUNCTION("""COMPUTED_VALUE"""),TRUE)</f>
        <v>1</v>
      </c>
      <c r="E17" s="32" t="str">
        <f>IFERROR(__xludf.DUMMYFUNCTION("""COMPUTED_VALUE"""),"")</f>
        <v/>
      </c>
      <c r="F17" s="17">
        <f>IFERROR(__xludf.DUMMYFUNCTION("""COMPUTED_VALUE"""),14.0)</f>
        <v>14</v>
      </c>
      <c r="G17" s="20" t="b">
        <f>IFERROR(__xludf.DUMMYFUNCTION("""COMPUTED_VALUE"""),TRUE)</f>
        <v>1</v>
      </c>
      <c r="H17" s="18" t="str">
        <f>IFERROR(__xludf.DUMMYFUNCTION("""COMPUTED_VALUE"""),"John doe the average")</f>
        <v>John doe the average</v>
      </c>
      <c r="I17" s="22">
        <f>IFERROR(__xludf.DUMMYFUNCTION("""COMPUTED_VALUE"""),13.63)</f>
        <v>13.63</v>
      </c>
      <c r="J17" s="23">
        <f>IFERROR(__xludf.DUMMYFUNCTION("""COMPUTED_VALUE"""),5.0)</f>
        <v>5</v>
      </c>
      <c r="K17" s="24">
        <f>IFERROR(__xludf.DUMMYFUNCTION("""COMPUTED_VALUE"""),1.0)</f>
        <v>1</v>
      </c>
      <c r="L17" s="24">
        <f>IFERROR(__xludf.DUMMYFUNCTION("""COMPUTED_VALUE"""),1.0)</f>
        <v>1</v>
      </c>
      <c r="M17" s="25">
        <f>IFERROR(__xludf.DUMMYFUNCTION("""COMPUTED_VALUE"""),5.0)</f>
        <v>5</v>
      </c>
      <c r="N17" s="25">
        <f>IFERROR(__xludf.DUMMYFUNCTION("""COMPUTED_VALUE"""),5.0)</f>
        <v>5</v>
      </c>
      <c r="O17" s="20" t="b">
        <f>IFERROR(__xludf.DUMMYFUNCTION("""COMPUTED_VALUE"""),TRUE)</f>
        <v>1</v>
      </c>
      <c r="P17" s="22">
        <f>IFERROR(__xludf.DUMMYFUNCTION("""COMPUTED_VALUE"""),55.94)</f>
        <v>55.94</v>
      </c>
      <c r="Q17" s="32" t="str">
        <f>IFERROR(__xludf.DUMMYFUNCTION("""COMPUTED_VALUE"""),"")</f>
        <v/>
      </c>
      <c r="R17" s="17">
        <f>IFERROR(__xludf.DUMMYFUNCTION("""COMPUTED_VALUE"""),14.0)</f>
        <v>14</v>
      </c>
      <c r="S17" s="18" t="str">
        <f>IFERROR(__xludf.DUMMYFUNCTION("""COMPUTED_VALUE"""),"Satisfied")</f>
        <v>Satisfied</v>
      </c>
      <c r="T17" s="18" t="str">
        <f>IFERROR(__xludf.DUMMYFUNCTION("""COMPUTED_VALUE"""),"I wanted more options")</f>
        <v>I wanted more options</v>
      </c>
      <c r="U17" s="20" t="b">
        <f>IFERROR(__xludf.DUMMYFUNCTION("""COMPUTED_VALUE"""),TRUE)</f>
        <v>1</v>
      </c>
      <c r="V17" s="32" t="str">
        <f>IFERROR(__xludf.DUMMYFUNCTION("""COMPUTED_VALUE"""),"")</f>
        <v/>
      </c>
      <c r="W17" s="17">
        <f>IFERROR(__xludf.DUMMYFUNCTION("""COMPUTED_VALUE"""),14.0)</f>
        <v>14</v>
      </c>
      <c r="X17" s="25">
        <f>IFERROR(__xludf.DUMMYFUNCTION("""COMPUTED_VALUE"""),8.0)</f>
        <v>8</v>
      </c>
      <c r="Y17" s="18" t="str">
        <f>IFERROR(__xludf.DUMMYFUNCTION("""COMPUTED_VALUE"""),"Pleased")</f>
        <v>Pleased</v>
      </c>
      <c r="Z17" s="18" t="str">
        <f>IFERROR(__xludf.DUMMYFUNCTION("""COMPUTED_VALUE"""),"Very satisfied")</f>
        <v>Very satisfied</v>
      </c>
      <c r="AA17" s="32" t="str">
        <f>IFERROR(__xludf.DUMMYFUNCTION("""COMPUTED_VALUE"""),"")</f>
        <v/>
      </c>
      <c r="AB17" s="17">
        <f>IFERROR(__xludf.DUMMYFUNCTION("""COMPUTED_VALUE"""),14.0)</f>
        <v>14</v>
      </c>
      <c r="AC17" s="25">
        <f>IFERROR(__xludf.DUMMYFUNCTION("""COMPUTED_VALUE"""),356.0)</f>
        <v>356</v>
      </c>
      <c r="AD17" s="25">
        <f>IFERROR(__xludf.DUMMYFUNCTION("""COMPUTED_VALUE"""),95.0)</f>
        <v>95</v>
      </c>
      <c r="AE17" s="25">
        <f>IFERROR(__xludf.DUMMYFUNCTION("""COMPUTED_VALUE"""),261.0)</f>
        <v>261</v>
      </c>
      <c r="AF17" s="24">
        <f>IFERROR(__xludf.DUMMYFUNCTION("""COMPUTED_VALUE"""),0.2669)</f>
        <v>0.2669</v>
      </c>
      <c r="AG17" s="25">
        <f>IFERROR(__xludf.DUMMYFUNCTION("""COMPUTED_VALUE"""),21.0)</f>
        <v>21</v>
      </c>
      <c r="AH17" s="22">
        <f>IFERROR(__xludf.DUMMYFUNCTION("""COMPUTED_VALUE"""),27.54)</f>
        <v>27.54</v>
      </c>
      <c r="AI17" s="22">
        <f>IFERROR(__xludf.DUMMYFUNCTION("""COMPUTED_VALUE"""),55.04)</f>
        <v>55.04</v>
      </c>
      <c r="AJ17" s="11"/>
    </row>
    <row r="18">
      <c r="A18" s="31"/>
      <c r="B18" s="17">
        <f>IFERROR(__xludf.DUMMYFUNCTION("""COMPUTED_VALUE"""),25.0)</f>
        <v>25</v>
      </c>
      <c r="C18" s="18" t="str">
        <f>IFERROR(__xludf.DUMMYFUNCTION("""COMPUTED_VALUE"""),"Male")</f>
        <v>Male</v>
      </c>
      <c r="D18" s="20" t="b">
        <f>IFERROR(__xludf.DUMMYFUNCTION("""COMPUTED_VALUE"""),FALSE)</f>
        <v>0</v>
      </c>
      <c r="E18" s="32" t="str">
        <f>IFERROR(__xludf.DUMMYFUNCTION("""COMPUTED_VALUE"""),"")</f>
        <v/>
      </c>
      <c r="F18" s="17">
        <f>IFERROR(__xludf.DUMMYFUNCTION("""COMPUTED_VALUE"""),25.0)</f>
        <v>25</v>
      </c>
      <c r="G18" s="20" t="b">
        <f>IFERROR(__xludf.DUMMYFUNCTION("""COMPUTED_VALUE"""),TRUE)</f>
        <v>1</v>
      </c>
      <c r="H18" s="18" t="str">
        <f>IFERROR(__xludf.DUMMYFUNCTION("""COMPUTED_VALUE"""),"Dio the Great")</f>
        <v>Dio the Great</v>
      </c>
      <c r="I18" s="22">
        <f>IFERROR(__xludf.DUMMYFUNCTION("""COMPUTED_VALUE"""),14.98)</f>
        <v>14.98</v>
      </c>
      <c r="J18" s="23">
        <f>IFERROR(__xludf.DUMMYFUNCTION("""COMPUTED_VALUE"""),5.0)</f>
        <v>5</v>
      </c>
      <c r="K18" s="24">
        <f>IFERROR(__xludf.DUMMYFUNCTION("""COMPUTED_VALUE"""),1.0)</f>
        <v>1</v>
      </c>
      <c r="L18" s="24">
        <f>IFERROR(__xludf.DUMMYFUNCTION("""COMPUTED_VALUE"""),1.0)</f>
        <v>1</v>
      </c>
      <c r="M18" s="25">
        <f>IFERROR(__xludf.DUMMYFUNCTION("""COMPUTED_VALUE"""),5.0)</f>
        <v>5</v>
      </c>
      <c r="N18" s="25">
        <f>IFERROR(__xludf.DUMMYFUNCTION("""COMPUTED_VALUE"""),2.0)</f>
        <v>2</v>
      </c>
      <c r="O18" s="20" t="b">
        <f>IFERROR(__xludf.DUMMYFUNCTION("""COMPUTED_VALUE"""),FALSE)</f>
        <v>0</v>
      </c>
      <c r="P18" s="22">
        <f>IFERROR(__xludf.DUMMYFUNCTION("""COMPUTED_VALUE"""),48.81)</f>
        <v>48.81</v>
      </c>
      <c r="Q18" s="32" t="str">
        <f>IFERROR(__xludf.DUMMYFUNCTION("""COMPUTED_VALUE"""),"")</f>
        <v/>
      </c>
      <c r="R18" s="17">
        <f>IFERROR(__xludf.DUMMYFUNCTION("""COMPUTED_VALUE"""),25.0)</f>
        <v>25</v>
      </c>
      <c r="S18" s="18" t="str">
        <f>IFERROR(__xludf.DUMMYFUNCTION("""COMPUTED_VALUE"""),"Very satisfied")</f>
        <v>Very satisfied</v>
      </c>
      <c r="T18" s="18" t="str">
        <f>IFERROR(__xludf.DUMMYFUNCTION("""COMPUTED_VALUE"""),"I am happy with the amount of options I was given")</f>
        <v>I am happy with the amount of options I was given</v>
      </c>
      <c r="U18" s="20" t="b">
        <f>IFERROR(__xludf.DUMMYFUNCTION("""COMPUTED_VALUE"""),TRUE)</f>
        <v>1</v>
      </c>
      <c r="V18" s="32" t="str">
        <f>IFERROR(__xludf.DUMMYFUNCTION("""COMPUTED_VALUE"""),"")</f>
        <v/>
      </c>
      <c r="W18" s="17">
        <f>IFERROR(__xludf.DUMMYFUNCTION("""COMPUTED_VALUE"""),25.0)</f>
        <v>25</v>
      </c>
      <c r="X18" s="25">
        <f>IFERROR(__xludf.DUMMYFUNCTION("""COMPUTED_VALUE"""),7.0)</f>
        <v>7</v>
      </c>
      <c r="Y18" s="18" t="str">
        <f>IFERROR(__xludf.DUMMYFUNCTION("""COMPUTED_VALUE"""),"Unpleased")</f>
        <v>Unpleased</v>
      </c>
      <c r="Z18" s="18" t="str">
        <f>IFERROR(__xludf.DUMMYFUNCTION("""COMPUTED_VALUE"""),"Very satisfied")</f>
        <v>Very satisfied</v>
      </c>
      <c r="AA18" s="32" t="str">
        <f>IFERROR(__xludf.DUMMYFUNCTION("""COMPUTED_VALUE"""),"")</f>
        <v/>
      </c>
      <c r="AB18" s="17">
        <f>IFERROR(__xludf.DUMMYFUNCTION("""COMPUTED_VALUE"""),25.0)</f>
        <v>25</v>
      </c>
      <c r="AC18" s="25">
        <f>IFERROR(__xludf.DUMMYFUNCTION("""COMPUTED_VALUE"""),171.0)</f>
        <v>171</v>
      </c>
      <c r="AD18" s="25">
        <f>IFERROR(__xludf.DUMMYFUNCTION("""COMPUTED_VALUE"""),55.0)</f>
        <v>55</v>
      </c>
      <c r="AE18" s="25">
        <f>IFERROR(__xludf.DUMMYFUNCTION("""COMPUTED_VALUE"""),116.0)</f>
        <v>116</v>
      </c>
      <c r="AF18" s="24">
        <f>IFERROR(__xludf.DUMMYFUNCTION("""COMPUTED_VALUE"""),0.3216)</f>
        <v>0.3216</v>
      </c>
      <c r="AG18" s="25">
        <f>IFERROR(__xludf.DUMMYFUNCTION("""COMPUTED_VALUE"""),11.0)</f>
        <v>11</v>
      </c>
      <c r="AH18" s="22">
        <f>IFERROR(__xludf.DUMMYFUNCTION("""COMPUTED_VALUE"""),24.42)</f>
        <v>24.42</v>
      </c>
      <c r="AI18" s="22">
        <f>IFERROR(__xludf.DUMMYFUNCTION("""COMPUTED_VALUE"""),35.12)</f>
        <v>35.12</v>
      </c>
      <c r="AJ18" s="11"/>
    </row>
    <row r="19">
      <c r="A19" s="31"/>
      <c r="B19" s="17">
        <f>IFERROR(__xludf.DUMMYFUNCTION("""COMPUTED_VALUE"""),30.0)</f>
        <v>30</v>
      </c>
      <c r="C19" s="18" t="str">
        <f>IFERROR(__xludf.DUMMYFUNCTION("""COMPUTED_VALUE"""),"Male")</f>
        <v>Male</v>
      </c>
      <c r="D19" s="20" t="b">
        <f>IFERROR(__xludf.DUMMYFUNCTION("""COMPUTED_VALUE"""),TRUE)</f>
        <v>1</v>
      </c>
      <c r="E19" s="32" t="str">
        <f>IFERROR(__xludf.DUMMYFUNCTION("""COMPUTED_VALUE"""),"")</f>
        <v/>
      </c>
      <c r="F19" s="17">
        <f>IFERROR(__xludf.DUMMYFUNCTION("""COMPUTED_VALUE"""),30.0)</f>
        <v>30</v>
      </c>
      <c r="G19" s="20" t="b">
        <f>IFERROR(__xludf.DUMMYFUNCTION("""COMPUTED_VALUE"""),TRUE)</f>
        <v>1</v>
      </c>
      <c r="H19" s="18" t="str">
        <f>IFERROR(__xludf.DUMMYFUNCTION("""COMPUTED_VALUE"""),"ObsidianRose")</f>
        <v>ObsidianRose</v>
      </c>
      <c r="I19" s="22">
        <f>IFERROR(__xludf.DUMMYFUNCTION("""COMPUTED_VALUE"""),12.92)</f>
        <v>12.92</v>
      </c>
      <c r="J19" s="23">
        <f>IFERROR(__xludf.DUMMYFUNCTION("""COMPUTED_VALUE"""),5.0)</f>
        <v>5</v>
      </c>
      <c r="K19" s="24">
        <f>IFERROR(__xludf.DUMMYFUNCTION("""COMPUTED_VALUE"""),1.0)</f>
        <v>1</v>
      </c>
      <c r="L19" s="24">
        <f>IFERROR(__xludf.DUMMYFUNCTION("""COMPUTED_VALUE"""),1.0)</f>
        <v>1</v>
      </c>
      <c r="M19" s="25">
        <f>IFERROR(__xludf.DUMMYFUNCTION("""COMPUTED_VALUE"""),5.0)</f>
        <v>5</v>
      </c>
      <c r="N19" s="25">
        <f>IFERROR(__xludf.DUMMYFUNCTION("""COMPUTED_VALUE"""),5.0)</f>
        <v>5</v>
      </c>
      <c r="O19" s="20" t="b">
        <f>IFERROR(__xludf.DUMMYFUNCTION("""COMPUTED_VALUE"""),TRUE)</f>
        <v>1</v>
      </c>
      <c r="P19" s="22">
        <f>IFERROR(__xludf.DUMMYFUNCTION("""COMPUTED_VALUE"""),31.66)</f>
        <v>31.66</v>
      </c>
      <c r="Q19" s="32" t="str">
        <f>IFERROR(__xludf.DUMMYFUNCTION("""COMPUTED_VALUE"""),"")</f>
        <v/>
      </c>
      <c r="R19" s="17">
        <f>IFERROR(__xludf.DUMMYFUNCTION("""COMPUTED_VALUE"""),30.0)</f>
        <v>30</v>
      </c>
      <c r="S19" s="18" t="str">
        <f>IFERROR(__xludf.DUMMYFUNCTION("""COMPUTED_VALUE"""),"Satisfied")</f>
        <v>Satisfied</v>
      </c>
      <c r="T19" s="18" t="str">
        <f>IFERROR(__xludf.DUMMYFUNCTION("""COMPUTED_VALUE"""),"I wanted more options")</f>
        <v>I wanted more options</v>
      </c>
      <c r="U19" s="20" t="b">
        <f>IFERROR(__xludf.DUMMYFUNCTION("""COMPUTED_VALUE"""),FALSE)</f>
        <v>0</v>
      </c>
      <c r="V19" s="32" t="str">
        <f>IFERROR(__xludf.DUMMYFUNCTION("""COMPUTED_VALUE"""),"")</f>
        <v/>
      </c>
      <c r="W19" s="17">
        <f>IFERROR(__xludf.DUMMYFUNCTION("""COMPUTED_VALUE"""),30.0)</f>
        <v>30</v>
      </c>
      <c r="X19" s="25">
        <f>IFERROR(__xludf.DUMMYFUNCTION("""COMPUTED_VALUE"""),5.0)</f>
        <v>5</v>
      </c>
      <c r="Y19" s="18" t="str">
        <f>IFERROR(__xludf.DUMMYFUNCTION("""COMPUTED_VALUE"""),"Unpleased")</f>
        <v>Unpleased</v>
      </c>
      <c r="Z19" s="18" t="str">
        <f>IFERROR(__xludf.DUMMYFUNCTION("""COMPUTED_VALUE"""),"Satisfied")</f>
        <v>Satisfied</v>
      </c>
      <c r="AA19" s="32" t="str">
        <f>IFERROR(__xludf.DUMMYFUNCTION("""COMPUTED_VALUE"""),"")</f>
        <v/>
      </c>
      <c r="AB19" s="17">
        <f>IFERROR(__xludf.DUMMYFUNCTION("""COMPUTED_VALUE"""),30.0)</f>
        <v>30</v>
      </c>
      <c r="AC19" s="25">
        <f>IFERROR(__xludf.DUMMYFUNCTION("""COMPUTED_VALUE"""),331.0)</f>
        <v>331</v>
      </c>
      <c r="AD19" s="25">
        <f>IFERROR(__xludf.DUMMYFUNCTION("""COMPUTED_VALUE"""),115.0)</f>
        <v>115</v>
      </c>
      <c r="AE19" s="25">
        <f>IFERROR(__xludf.DUMMYFUNCTION("""COMPUTED_VALUE"""),216.0)</f>
        <v>216</v>
      </c>
      <c r="AF19" s="24">
        <f>IFERROR(__xludf.DUMMYFUNCTION("""COMPUTED_VALUE"""),0.3474)</f>
        <v>0.3474</v>
      </c>
      <c r="AG19" s="25">
        <f>IFERROR(__xludf.DUMMYFUNCTION("""COMPUTED_VALUE"""),29.0)</f>
        <v>29</v>
      </c>
      <c r="AH19" s="22">
        <f>IFERROR(__xludf.DUMMYFUNCTION("""COMPUTED_VALUE"""),49.27)</f>
        <v>49.27</v>
      </c>
      <c r="AI19" s="22">
        <f>IFERROR(__xludf.DUMMYFUNCTION("""COMPUTED_VALUE"""),43.71)</f>
        <v>43.71</v>
      </c>
      <c r="AJ19" s="11"/>
    </row>
    <row r="20">
      <c r="A20" s="31"/>
      <c r="B20" s="17">
        <f>IFERROR(__xludf.DUMMYFUNCTION("""COMPUTED_VALUE"""),33.0)</f>
        <v>33</v>
      </c>
      <c r="C20" s="18" t="str">
        <f>IFERROR(__xludf.DUMMYFUNCTION("""COMPUTED_VALUE"""),"Male")</f>
        <v>Male</v>
      </c>
      <c r="D20" s="20" t="b">
        <f>IFERROR(__xludf.DUMMYFUNCTION("""COMPUTED_VALUE"""),TRUE)</f>
        <v>1</v>
      </c>
      <c r="E20" s="32" t="str">
        <f>IFERROR(__xludf.DUMMYFUNCTION("""COMPUTED_VALUE"""),"")</f>
        <v/>
      </c>
      <c r="F20" s="17">
        <f>IFERROR(__xludf.DUMMYFUNCTION("""COMPUTED_VALUE"""),33.0)</f>
        <v>33</v>
      </c>
      <c r="G20" s="20" t="b">
        <f>IFERROR(__xludf.DUMMYFUNCTION("""COMPUTED_VALUE"""),TRUE)</f>
        <v>1</v>
      </c>
      <c r="H20" s="18" t="str">
        <f>IFERROR(__xludf.DUMMYFUNCTION("""COMPUTED_VALUE"""),"Gembito")</f>
        <v>Gembito</v>
      </c>
      <c r="I20" s="22">
        <f>IFERROR(__xludf.DUMMYFUNCTION("""COMPUTED_VALUE"""),4.46)</f>
        <v>4.46</v>
      </c>
      <c r="J20" s="23">
        <f>IFERROR(__xludf.DUMMYFUNCTION("""COMPUTED_VALUE"""),5.0)</f>
        <v>5</v>
      </c>
      <c r="K20" s="24">
        <f>IFERROR(__xludf.DUMMYFUNCTION("""COMPUTED_VALUE"""),1.0)</f>
        <v>1</v>
      </c>
      <c r="L20" s="24">
        <f>IFERROR(__xludf.DUMMYFUNCTION("""COMPUTED_VALUE"""),1.0)</f>
        <v>1</v>
      </c>
      <c r="M20" s="25">
        <f>IFERROR(__xludf.DUMMYFUNCTION("""COMPUTED_VALUE"""),4.0)</f>
        <v>4</v>
      </c>
      <c r="N20" s="25">
        <f>IFERROR(__xludf.DUMMYFUNCTION("""COMPUTED_VALUE"""),4.0)</f>
        <v>4</v>
      </c>
      <c r="O20" s="20" t="b">
        <f>IFERROR(__xludf.DUMMYFUNCTION("""COMPUTED_VALUE"""),TRUE)</f>
        <v>1</v>
      </c>
      <c r="P20" s="22">
        <f>IFERROR(__xludf.DUMMYFUNCTION("""COMPUTED_VALUE"""),19.59)</f>
        <v>19.59</v>
      </c>
      <c r="Q20" s="32" t="str">
        <f>IFERROR(__xludf.DUMMYFUNCTION("""COMPUTED_VALUE"""),"")</f>
        <v/>
      </c>
      <c r="R20" s="17">
        <f>IFERROR(__xludf.DUMMYFUNCTION("""COMPUTED_VALUE"""),33.0)</f>
        <v>33</v>
      </c>
      <c r="S20" s="18" t="str">
        <f>IFERROR(__xludf.DUMMYFUNCTION("""COMPUTED_VALUE"""),"Satisfied")</f>
        <v>Satisfied</v>
      </c>
      <c r="T20" s="18" t="str">
        <f>IFERROR(__xludf.DUMMYFUNCTION("""COMPUTED_VALUE"""),"I wanted more options")</f>
        <v>I wanted more options</v>
      </c>
      <c r="U20" s="20" t="b">
        <f>IFERROR(__xludf.DUMMYFUNCTION("""COMPUTED_VALUE"""),TRUE)</f>
        <v>1</v>
      </c>
      <c r="V20" s="32" t="str">
        <f>IFERROR(__xludf.DUMMYFUNCTION("""COMPUTED_VALUE"""),"")</f>
        <v/>
      </c>
      <c r="W20" s="17">
        <f>IFERROR(__xludf.DUMMYFUNCTION("""COMPUTED_VALUE"""),33.0)</f>
        <v>33</v>
      </c>
      <c r="X20" s="25">
        <f>IFERROR(__xludf.DUMMYFUNCTION("""COMPUTED_VALUE"""),7.0)</f>
        <v>7</v>
      </c>
      <c r="Y20" s="18" t="str">
        <f>IFERROR(__xludf.DUMMYFUNCTION("""COMPUTED_VALUE"""),"Unpleased")</f>
        <v>Unpleased</v>
      </c>
      <c r="Z20" s="18" t="str">
        <f>IFERROR(__xludf.DUMMYFUNCTION("""COMPUTED_VALUE"""),"Satisfied")</f>
        <v>Satisfied</v>
      </c>
      <c r="AA20" s="32" t="str">
        <f>IFERROR(__xludf.DUMMYFUNCTION("""COMPUTED_VALUE"""),"")</f>
        <v/>
      </c>
      <c r="AB20" s="17">
        <f>IFERROR(__xludf.DUMMYFUNCTION("""COMPUTED_VALUE"""),33.0)</f>
        <v>33</v>
      </c>
      <c r="AC20" s="25">
        <f>IFERROR(__xludf.DUMMYFUNCTION("""COMPUTED_VALUE"""),541.0)</f>
        <v>541</v>
      </c>
      <c r="AD20" s="25">
        <f>IFERROR(__xludf.DUMMYFUNCTION("""COMPUTED_VALUE"""),126.0)</f>
        <v>126</v>
      </c>
      <c r="AE20" s="25">
        <f>IFERROR(__xludf.DUMMYFUNCTION("""COMPUTED_VALUE"""),415.0)</f>
        <v>415</v>
      </c>
      <c r="AF20" s="24">
        <f>IFERROR(__xludf.DUMMYFUNCTION("""COMPUTED_VALUE"""),0.2329)</f>
        <v>0.2329</v>
      </c>
      <c r="AG20" s="25">
        <f>IFERROR(__xludf.DUMMYFUNCTION("""COMPUTED_VALUE"""),31.0)</f>
        <v>31</v>
      </c>
      <c r="AH20" s="22">
        <f>IFERROR(__xludf.DUMMYFUNCTION("""COMPUTED_VALUE"""),75.22)</f>
        <v>75.22</v>
      </c>
      <c r="AI20" s="22">
        <f>IFERROR(__xludf.DUMMYFUNCTION("""COMPUTED_VALUE"""),38.06)</f>
        <v>38.06</v>
      </c>
      <c r="AJ20" s="11"/>
    </row>
    <row r="21">
      <c r="A21" s="1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11"/>
    </row>
    <row r="22">
      <c r="A22" s="34"/>
      <c r="B22" s="35"/>
      <c r="C22" s="35"/>
      <c r="E22" s="33"/>
      <c r="F22" s="33"/>
      <c r="G22" s="33"/>
      <c r="H22" s="37" t="s">
        <v>62</v>
      </c>
      <c r="I22" s="38">
        <f>MEDIAN(I15:I20)</f>
        <v>13.275</v>
      </c>
      <c r="J22" s="39"/>
      <c r="K22" s="40">
        <f t="shared" ref="K22:L22" si="1">MEDIAN(K15:K20)</f>
        <v>1</v>
      </c>
      <c r="L22" s="40">
        <f t="shared" si="1"/>
        <v>1</v>
      </c>
      <c r="M22" s="33"/>
      <c r="N22" s="33"/>
      <c r="O22" s="37" t="s">
        <v>62</v>
      </c>
      <c r="P22" s="38">
        <f>MEDIAN(P15:P20)</f>
        <v>40.235</v>
      </c>
      <c r="Q22" s="33"/>
      <c r="R22" s="33"/>
      <c r="S22" s="33"/>
      <c r="T22" s="33"/>
      <c r="U22" s="33"/>
      <c r="V22" s="33"/>
      <c r="W22" s="37" t="s">
        <v>62</v>
      </c>
      <c r="X22" s="39">
        <f>MEDIAN(X15:X20)</f>
        <v>6.5</v>
      </c>
      <c r="Y22" s="33"/>
      <c r="Z22" s="33"/>
      <c r="AA22" s="33"/>
      <c r="AB22" s="37" t="s">
        <v>62</v>
      </c>
      <c r="AC22" s="39">
        <f t="shared" ref="AC22:AI22" si="2">MEDIAN(AC15:AC20)</f>
        <v>435.5</v>
      </c>
      <c r="AD22" s="39">
        <f t="shared" si="2"/>
        <v>113.5</v>
      </c>
      <c r="AE22" s="39">
        <f t="shared" si="2"/>
        <v>271</v>
      </c>
      <c r="AF22" s="40">
        <f t="shared" si="2"/>
        <v>0.29425</v>
      </c>
      <c r="AG22" s="39">
        <f t="shared" si="2"/>
        <v>27.5</v>
      </c>
      <c r="AH22" s="38">
        <f t="shared" si="2"/>
        <v>49.975</v>
      </c>
      <c r="AI22" s="38">
        <f t="shared" si="2"/>
        <v>40.885</v>
      </c>
      <c r="AJ22" s="11"/>
    </row>
    <row r="23">
      <c r="A23" s="11"/>
      <c r="B23" s="35"/>
      <c r="C23" s="35"/>
      <c r="E23" s="33"/>
      <c r="F23" s="33"/>
      <c r="G23" s="33"/>
      <c r="H23" s="37" t="s">
        <v>65</v>
      </c>
      <c r="I23" s="38">
        <f>AVERAGE(I15:I20)</f>
        <v>17.00833333</v>
      </c>
      <c r="J23" s="38"/>
      <c r="K23" s="40">
        <f t="shared" ref="K23:L23" si="3">AVERAGE(K15:K20)</f>
        <v>1</v>
      </c>
      <c r="L23" s="40">
        <f t="shared" si="3"/>
        <v>1</v>
      </c>
      <c r="M23" s="45"/>
      <c r="N23" s="45"/>
      <c r="O23" s="37" t="s">
        <v>65</v>
      </c>
      <c r="P23" s="38">
        <f>AVERAGE(P15:P20)</f>
        <v>45.94833333</v>
      </c>
      <c r="Q23" s="33"/>
      <c r="R23" s="33"/>
      <c r="S23" s="33"/>
      <c r="T23" s="33"/>
      <c r="U23" s="33"/>
      <c r="V23" s="33"/>
      <c r="W23" s="37" t="s">
        <v>65</v>
      </c>
      <c r="X23" s="38">
        <f>AVERAGE(X15:X20)</f>
        <v>6.5</v>
      </c>
      <c r="Y23" s="33"/>
      <c r="Z23" s="33"/>
      <c r="AA23" s="33"/>
      <c r="AB23" s="37" t="s">
        <v>65</v>
      </c>
      <c r="AC23" s="38">
        <f t="shared" ref="AC23:AI23" si="4">AVERAGE(AC15:AC20)</f>
        <v>421</v>
      </c>
      <c r="AD23" s="38">
        <f t="shared" si="4"/>
        <v>122.8333333</v>
      </c>
      <c r="AE23" s="38">
        <f t="shared" si="4"/>
        <v>298.1666667</v>
      </c>
      <c r="AF23" s="40">
        <f t="shared" si="4"/>
        <v>0.3010333333</v>
      </c>
      <c r="AG23" s="38">
        <f t="shared" si="4"/>
        <v>29.16666667</v>
      </c>
      <c r="AH23" s="38">
        <f t="shared" si="4"/>
        <v>49.86833333</v>
      </c>
      <c r="AI23" s="38">
        <f t="shared" si="4"/>
        <v>51.37333333</v>
      </c>
      <c r="AJ23" s="11"/>
    </row>
    <row r="24">
      <c r="A24" s="11"/>
      <c r="B24" s="11"/>
      <c r="C24" s="35"/>
      <c r="E24" s="11"/>
      <c r="F24" s="11"/>
      <c r="G24" s="11"/>
      <c r="H24" s="37" t="s">
        <v>68</v>
      </c>
      <c r="I24" s="38">
        <f>STDEV(I15:I20)</f>
        <v>17.66256993</v>
      </c>
      <c r="K24" s="40">
        <f t="shared" ref="K24:L24" si="5">STDEV(K15:K20)</f>
        <v>0</v>
      </c>
      <c r="L24" s="40">
        <f t="shared" si="5"/>
        <v>0</v>
      </c>
      <c r="M24" s="11"/>
      <c r="N24" s="11"/>
      <c r="O24" s="37" t="s">
        <v>68</v>
      </c>
      <c r="P24" s="38">
        <f>STDEV(P15:P20)</f>
        <v>30.29051958</v>
      </c>
      <c r="Q24" s="11"/>
      <c r="R24" s="11"/>
      <c r="S24" s="11"/>
      <c r="T24" s="11"/>
      <c r="U24" s="11"/>
      <c r="V24" s="11"/>
      <c r="W24" s="37" t="s">
        <v>68</v>
      </c>
      <c r="X24" s="38">
        <f>STDEV(X15:X20)</f>
        <v>1.048808848</v>
      </c>
      <c r="Y24" s="11"/>
      <c r="Z24" s="11"/>
      <c r="AA24" s="11"/>
      <c r="AB24" s="37" t="s">
        <v>68</v>
      </c>
      <c r="AC24" s="38">
        <f t="shared" ref="AC24:AI24" si="6">STDEV(AC15:AC20)</f>
        <v>164.0378005</v>
      </c>
      <c r="AD24" s="38">
        <f t="shared" si="6"/>
        <v>59.87125075</v>
      </c>
      <c r="AE24" s="38">
        <f t="shared" si="6"/>
        <v>138.5632226</v>
      </c>
      <c r="AF24" s="40">
        <f t="shared" si="6"/>
        <v>0.095742669</v>
      </c>
      <c r="AG24" s="38">
        <f t="shared" si="6"/>
        <v>15.39372166</v>
      </c>
      <c r="AH24" s="38">
        <f t="shared" si="6"/>
        <v>21.36938971</v>
      </c>
      <c r="AI24" s="38">
        <f t="shared" si="6"/>
        <v>32.66667272</v>
      </c>
      <c r="AJ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39">
      <c r="A39" s="49"/>
    </row>
  </sheetData>
  <mergeCells count="10">
    <mergeCell ref="G11:P12"/>
    <mergeCell ref="C11:D12"/>
    <mergeCell ref="C23:D23"/>
    <mergeCell ref="C24:D24"/>
    <mergeCell ref="S11:U12"/>
    <mergeCell ref="H6:H7"/>
    <mergeCell ref="A5:G8"/>
    <mergeCell ref="AC11:AJ12"/>
    <mergeCell ref="C22:D22"/>
    <mergeCell ref="X11:Z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5.71"/>
    <col customWidth="1" min="3" max="3" width="12.57"/>
    <col customWidth="1" min="4" max="4" width="26.29"/>
    <col customWidth="1" min="5" max="5" width="4.57"/>
    <col customWidth="1" min="6" max="6" width="7.43"/>
    <col customWidth="1" min="7" max="7" width="19.86"/>
    <col customWidth="1" min="8" max="8" width="37.57"/>
    <col customWidth="1" min="9" max="9" width="22.29"/>
    <col customWidth="1" min="10" max="10" width="20.71"/>
    <col customWidth="1" min="11" max="11" width="16.86"/>
    <col customWidth="1" min="12" max="12" width="17.86"/>
    <col customWidth="1" min="13" max="13" width="14.14"/>
    <col customWidth="1" min="14" max="14" width="14.0"/>
    <col customWidth="1" min="15" max="15" width="15.29"/>
    <col customWidth="1" min="16" max="16" width="25.57"/>
    <col customWidth="1" min="17" max="17" width="5.29"/>
    <col customWidth="1" min="18" max="18" width="6.0"/>
    <col customWidth="1" min="19" max="19" width="26.0"/>
    <col customWidth="1" min="20" max="20" width="77.0"/>
    <col customWidth="1" min="21" max="21" width="22.29"/>
    <col customWidth="1" min="22" max="22" width="4.57"/>
    <col customWidth="1" min="23" max="23" width="6.43"/>
    <col customWidth="1" min="24" max="24" width="18.71"/>
    <col customWidth="1" min="25" max="25" width="24.57"/>
    <col customWidth="1" min="26" max="26" width="25.14"/>
    <col customWidth="1" min="27" max="27" width="4.86"/>
    <col customWidth="1" min="28" max="28" width="6.0"/>
    <col customWidth="1" min="29" max="29" width="14.57"/>
    <col customWidth="1" min="30" max="30" width="15.14"/>
    <col customWidth="1" min="31" max="31" width="20.29"/>
    <col customWidth="1" min="32" max="32" width="21.57"/>
    <col customWidth="1" min="33" max="33" width="15.0"/>
    <col customWidth="1" min="34" max="34" width="25.14"/>
    <col customWidth="1" min="35" max="35" width="25.43"/>
    <col customWidth="1" min="36" max="36" width="4.57"/>
  </cols>
  <sheetData>
    <row r="1">
      <c r="A1" s="1"/>
      <c r="B1" s="2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2"/>
      <c r="S1" s="2"/>
      <c r="T1" s="2"/>
      <c r="U1" s="2"/>
      <c r="V1" s="1"/>
      <c r="W1" s="2"/>
      <c r="X1" s="2"/>
      <c r="Y1" s="2"/>
      <c r="Z1" s="2"/>
      <c r="AA1" s="1"/>
      <c r="AB1" s="2"/>
      <c r="AC1" s="2"/>
      <c r="AD1" s="2"/>
      <c r="AE1" s="2"/>
      <c r="AF1" s="2"/>
      <c r="AG1" s="2"/>
      <c r="AH1" s="2"/>
      <c r="AI1" s="2"/>
      <c r="AJ1" s="3"/>
    </row>
    <row r="2">
      <c r="A2" s="1"/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2"/>
      <c r="T2" s="2"/>
      <c r="U2" s="2"/>
      <c r="V2" s="1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3"/>
    </row>
    <row r="3">
      <c r="A3" s="1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3"/>
    </row>
    <row r="4">
      <c r="A4" s="1"/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1"/>
      <c r="W4" s="2"/>
      <c r="X4" s="2"/>
      <c r="Y4" s="2"/>
      <c r="Z4" s="2"/>
      <c r="AA4" s="1"/>
      <c r="AB4" s="2"/>
      <c r="AC4" s="2"/>
      <c r="AD4" s="2"/>
      <c r="AE4" s="2"/>
      <c r="AF4" s="2"/>
      <c r="AG4" s="2"/>
      <c r="AH4" s="2"/>
      <c r="AI4" s="2"/>
      <c r="AJ4" s="3"/>
    </row>
    <row r="5">
      <c r="A5" s="4" t="s">
        <v>1</v>
      </c>
      <c r="H5" s="5"/>
      <c r="I5" s="5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1"/>
      <c r="W5" s="2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3"/>
    </row>
    <row r="6">
      <c r="H6" s="6">
        <f>COUNTA(B15:B20)</f>
        <v>6</v>
      </c>
      <c r="I6" s="5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1"/>
      <c r="W6" s="2"/>
      <c r="X6" s="2"/>
      <c r="Y6" s="2"/>
      <c r="Z6" s="2"/>
      <c r="AA6" s="1"/>
      <c r="AB6" s="2"/>
      <c r="AC6" s="2"/>
      <c r="AD6" s="2"/>
      <c r="AE6" s="2"/>
      <c r="AF6" s="2"/>
      <c r="AG6" s="2"/>
      <c r="AH6" s="2"/>
      <c r="AI6" s="2"/>
      <c r="AJ6" s="3"/>
    </row>
    <row r="7">
      <c r="I7" s="5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1"/>
      <c r="W7" s="2"/>
      <c r="X7" s="2"/>
      <c r="Y7" s="2"/>
      <c r="Z7" s="2"/>
      <c r="AA7" s="1"/>
      <c r="AB7" s="2"/>
      <c r="AC7" s="2"/>
      <c r="AD7" s="2"/>
      <c r="AE7" s="2"/>
      <c r="AF7" s="2"/>
      <c r="AG7" s="2"/>
      <c r="AH7" s="2"/>
      <c r="AI7" s="2"/>
      <c r="AJ7" s="3"/>
    </row>
    <row r="8">
      <c r="H8" s="5"/>
      <c r="I8" s="5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1"/>
      <c r="W8" s="2"/>
      <c r="X8" s="2"/>
      <c r="Y8" s="2"/>
      <c r="Z8" s="2"/>
      <c r="AA8" s="1"/>
      <c r="AB8" s="2"/>
      <c r="AC8" s="2"/>
      <c r="AD8" s="2"/>
      <c r="AE8" s="2"/>
      <c r="AF8" s="2"/>
      <c r="AG8" s="2"/>
      <c r="AH8" s="2"/>
      <c r="AI8" s="2"/>
      <c r="AJ8" s="3"/>
    </row>
    <row r="9">
      <c r="A9" s="1"/>
      <c r="B9" s="2"/>
      <c r="C9" s="2"/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1"/>
      <c r="W9" s="2"/>
      <c r="X9" s="2"/>
      <c r="Y9" s="2"/>
      <c r="Z9" s="2"/>
      <c r="AA9" s="1"/>
      <c r="AB9" s="2"/>
      <c r="AC9" s="2"/>
      <c r="AD9" s="2"/>
      <c r="AE9" s="2"/>
      <c r="AF9" s="2"/>
      <c r="AG9" s="2"/>
      <c r="AH9" s="2"/>
      <c r="AI9" s="2"/>
      <c r="AJ9" s="3"/>
    </row>
    <row r="10">
      <c r="A10" s="7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5"/>
      <c r="S10" s="5"/>
      <c r="T10" s="5"/>
      <c r="U10" s="5"/>
      <c r="V10" s="7"/>
      <c r="W10" s="5"/>
      <c r="X10" s="5"/>
      <c r="Y10" s="5"/>
      <c r="Z10" s="5"/>
      <c r="AA10" s="7"/>
      <c r="AB10" s="5"/>
      <c r="AC10" s="5"/>
      <c r="AD10" s="5"/>
      <c r="AE10" s="5"/>
      <c r="AF10" s="5"/>
      <c r="AG10" s="5"/>
      <c r="AH10" s="5"/>
      <c r="AI10" s="5"/>
      <c r="AJ10" s="8"/>
    </row>
    <row r="11">
      <c r="A11" s="7"/>
      <c r="B11" s="9"/>
      <c r="C11" s="9" t="s">
        <v>3</v>
      </c>
      <c r="E11" s="7"/>
      <c r="F11" s="9"/>
      <c r="G11" s="9" t="s">
        <v>4</v>
      </c>
      <c r="Q11" s="7"/>
      <c r="R11" s="9"/>
      <c r="S11" s="9" t="s">
        <v>5</v>
      </c>
      <c r="V11" s="7"/>
      <c r="W11" s="9"/>
      <c r="X11" s="9" t="s">
        <v>6</v>
      </c>
      <c r="AA11" s="7"/>
      <c r="AB11" s="9"/>
      <c r="AC11" s="9" t="s">
        <v>7</v>
      </c>
    </row>
    <row r="12">
      <c r="A12" s="7"/>
      <c r="B12" s="9"/>
      <c r="E12" s="7"/>
      <c r="F12" s="9"/>
      <c r="Q12" s="7"/>
      <c r="R12" s="9"/>
      <c r="V12" s="7"/>
      <c r="W12" s="9"/>
      <c r="AA12" s="7"/>
      <c r="AB12" s="9"/>
    </row>
    <row r="13">
      <c r="A13" s="7"/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  <c r="R13" s="5"/>
      <c r="S13" s="5"/>
      <c r="T13" s="5"/>
      <c r="U13" s="5"/>
      <c r="V13" s="7"/>
      <c r="W13" s="5"/>
      <c r="X13" s="5"/>
      <c r="Y13" s="5"/>
      <c r="Z13" s="5"/>
      <c r="AA13" s="7"/>
      <c r="AB13" s="5"/>
      <c r="AC13" s="5"/>
      <c r="AD13" s="5"/>
      <c r="AE13" s="5"/>
      <c r="AF13" s="5"/>
      <c r="AG13" s="5"/>
      <c r="AH13" s="5"/>
      <c r="AI13" s="5"/>
      <c r="AJ13" s="8"/>
    </row>
    <row r="14">
      <c r="A14" s="7"/>
      <c r="B14" s="2" t="s">
        <v>8</v>
      </c>
      <c r="C14" s="2" t="s">
        <v>9</v>
      </c>
      <c r="D14" s="2" t="s">
        <v>10</v>
      </c>
      <c r="E14" s="7"/>
      <c r="F14" s="2" t="s">
        <v>8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7"/>
      <c r="R14" s="2" t="s">
        <v>8</v>
      </c>
      <c r="S14" s="2" t="s">
        <v>21</v>
      </c>
      <c r="T14" s="2" t="s">
        <v>22</v>
      </c>
      <c r="U14" s="2" t="s">
        <v>23</v>
      </c>
      <c r="V14" s="7"/>
      <c r="W14" s="2" t="s">
        <v>8</v>
      </c>
      <c r="X14" s="2" t="s">
        <v>24</v>
      </c>
      <c r="Y14" s="2" t="s">
        <v>25</v>
      </c>
      <c r="Z14" s="2" t="s">
        <v>26</v>
      </c>
      <c r="AA14" s="11"/>
      <c r="AB14" s="2" t="s">
        <v>8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8"/>
    </row>
    <row r="15">
      <c r="A15" s="13"/>
      <c r="B15" s="17">
        <f>IFERROR(__xludf.DUMMYFUNCTION("FILTER('All data'!B15:AI48, 'All data'!J15:J48 = 15)"),3.0)</f>
        <v>3</v>
      </c>
      <c r="C15" s="18" t="str">
        <f>IFERROR(__xludf.DUMMYFUNCTION("""COMPUTED_VALUE"""),"Male")</f>
        <v>Male</v>
      </c>
      <c r="D15" s="20" t="b">
        <f>IFERROR(__xludf.DUMMYFUNCTION("""COMPUTED_VALUE"""),FALSE)</f>
        <v>0</v>
      </c>
      <c r="E15" s="21" t="str">
        <f>IFERROR(__xludf.DUMMYFUNCTION("""COMPUTED_VALUE"""),"")</f>
        <v/>
      </c>
      <c r="F15" s="17">
        <f>IFERROR(__xludf.DUMMYFUNCTION("""COMPUTED_VALUE"""),3.0)</f>
        <v>3</v>
      </c>
      <c r="G15" s="20" t="b">
        <f>IFERROR(__xludf.DUMMYFUNCTION("""COMPUTED_VALUE"""),TRUE)</f>
        <v>1</v>
      </c>
      <c r="H15" s="18" t="str">
        <f>IFERROR(__xludf.DUMMYFUNCTION("""COMPUTED_VALUE"""),"Feldir The Undying")</f>
        <v>Feldir The Undying</v>
      </c>
      <c r="I15" s="22">
        <f>IFERROR(__xludf.DUMMYFUNCTION("""COMPUTED_VALUE"""),16.27)</f>
        <v>16.27</v>
      </c>
      <c r="J15" s="23">
        <f>IFERROR(__xludf.DUMMYFUNCTION("""COMPUTED_VALUE"""),15.0)</f>
        <v>15</v>
      </c>
      <c r="K15" s="24">
        <f>IFERROR(__xludf.DUMMYFUNCTION("""COMPUTED_VALUE"""),0.3333)</f>
        <v>0.3333</v>
      </c>
      <c r="L15" s="24">
        <f>IFERROR(__xludf.DUMMYFUNCTION("""COMPUTED_VALUE"""),0.3333)</f>
        <v>0.3333</v>
      </c>
      <c r="M15" s="25">
        <f>IFERROR(__xludf.DUMMYFUNCTION("""COMPUTED_VALUE"""),13.0)</f>
        <v>13</v>
      </c>
      <c r="N15" s="25">
        <f>IFERROR(__xludf.DUMMYFUNCTION("""COMPUTED_VALUE"""),13.0)</f>
        <v>13</v>
      </c>
      <c r="O15" s="20" t="b">
        <f>IFERROR(__xludf.DUMMYFUNCTION("""COMPUTED_VALUE"""),TRUE)</f>
        <v>1</v>
      </c>
      <c r="P15" s="22">
        <f>IFERROR(__xludf.DUMMYFUNCTION("""COMPUTED_VALUE"""),28.08)</f>
        <v>28.08</v>
      </c>
      <c r="Q15" s="21" t="str">
        <f>IFERROR(__xludf.DUMMYFUNCTION("""COMPUTED_VALUE"""),"")</f>
        <v/>
      </c>
      <c r="R15" s="17">
        <f>IFERROR(__xludf.DUMMYFUNCTION("""COMPUTED_VALUE"""),3.0)</f>
        <v>3</v>
      </c>
      <c r="S15" s="18" t="str">
        <f>IFERROR(__xludf.DUMMYFUNCTION("""COMPUTED_VALUE"""),"Very satisfied")</f>
        <v>Very satisfied</v>
      </c>
      <c r="T15" s="28" t="str">
        <f>IFERROR(__xludf.DUMMYFUNCTION("""COMPUTED_VALUE"""),"I am happy with the amount of options I was given")</f>
        <v>I am happy with the amount of options I was given</v>
      </c>
      <c r="U15" s="29" t="b">
        <f>IFERROR(__xludf.DUMMYFUNCTION("""COMPUTED_VALUE"""),TRUE)</f>
        <v>1</v>
      </c>
      <c r="V15" s="21" t="str">
        <f>IFERROR(__xludf.DUMMYFUNCTION("""COMPUTED_VALUE"""),"")</f>
        <v/>
      </c>
      <c r="W15" s="17">
        <f>IFERROR(__xludf.DUMMYFUNCTION("""COMPUTED_VALUE"""),3.0)</f>
        <v>3</v>
      </c>
      <c r="X15" s="25">
        <f>IFERROR(__xludf.DUMMYFUNCTION("""COMPUTED_VALUE"""),6.0)</f>
        <v>6</v>
      </c>
      <c r="Y15" s="18" t="str">
        <f>IFERROR(__xludf.DUMMYFUNCTION("""COMPUTED_VALUE"""),"Unpleased")</f>
        <v>Unpleased</v>
      </c>
      <c r="Z15" s="18" t="str">
        <f>IFERROR(__xludf.DUMMYFUNCTION("""COMPUTED_VALUE"""),"Satisfied")</f>
        <v>Satisfied</v>
      </c>
      <c r="AA15" s="30" t="str">
        <f>IFERROR(__xludf.DUMMYFUNCTION("""COMPUTED_VALUE"""),"")</f>
        <v/>
      </c>
      <c r="AB15" s="17">
        <f>IFERROR(__xludf.DUMMYFUNCTION("""COMPUTED_VALUE"""),3.0)</f>
        <v>3</v>
      </c>
      <c r="AC15" s="25">
        <f>IFERROR(__xludf.DUMMYFUNCTION("""COMPUTED_VALUE"""),242.0)</f>
        <v>242</v>
      </c>
      <c r="AD15" s="25">
        <f>IFERROR(__xludf.DUMMYFUNCTION("""COMPUTED_VALUE"""),62.0)</f>
        <v>62</v>
      </c>
      <c r="AE15" s="25">
        <f>IFERROR(__xludf.DUMMYFUNCTION("""COMPUTED_VALUE"""),180.0)</f>
        <v>180</v>
      </c>
      <c r="AF15" s="24">
        <f>IFERROR(__xludf.DUMMYFUNCTION("""COMPUTED_VALUE"""),0.2562)</f>
        <v>0.2562</v>
      </c>
      <c r="AG15" s="25">
        <f>IFERROR(__xludf.DUMMYFUNCTION("""COMPUTED_VALUE"""),13.0)</f>
        <v>13</v>
      </c>
      <c r="AH15" s="22">
        <f>IFERROR(__xludf.DUMMYFUNCTION("""COMPUTED_VALUE"""),47.71)</f>
        <v>47.71</v>
      </c>
      <c r="AI15" s="22">
        <f>IFERROR(__xludf.DUMMYFUNCTION("""COMPUTED_VALUE"""),25.7)</f>
        <v>25.7</v>
      </c>
      <c r="AJ15" s="11"/>
    </row>
    <row r="16">
      <c r="A16" s="31"/>
      <c r="B16" s="17">
        <f>IFERROR(__xludf.DUMMYFUNCTION("""COMPUTED_VALUE"""),9.0)</f>
        <v>9</v>
      </c>
      <c r="C16" s="18" t="str">
        <f>IFERROR(__xludf.DUMMYFUNCTION("""COMPUTED_VALUE"""),"Female")</f>
        <v>Female</v>
      </c>
      <c r="D16" s="18" t="b">
        <f>IFERROR(__xludf.DUMMYFUNCTION("""COMPUTED_VALUE"""),FALSE)</f>
        <v>0</v>
      </c>
      <c r="E16" s="32" t="str">
        <f>IFERROR(__xludf.DUMMYFUNCTION("""COMPUTED_VALUE"""),"")</f>
        <v/>
      </c>
      <c r="F16" s="17">
        <f>IFERROR(__xludf.DUMMYFUNCTION("""COMPUTED_VALUE"""),9.0)</f>
        <v>9</v>
      </c>
      <c r="G16" s="20" t="b">
        <f>IFERROR(__xludf.DUMMYFUNCTION("""COMPUTED_VALUE"""),TRUE)</f>
        <v>1</v>
      </c>
      <c r="H16" s="18" t="str">
        <f>IFERROR(__xludf.DUMMYFUNCTION("""COMPUTED_VALUE"""),"The Witch")</f>
        <v>The Witch</v>
      </c>
      <c r="I16" s="22">
        <f>IFERROR(__xludf.DUMMYFUNCTION("""COMPUTED_VALUE"""),11.84)</f>
        <v>11.84</v>
      </c>
      <c r="J16" s="23">
        <f>IFERROR(__xludf.DUMMYFUNCTION("""COMPUTED_VALUE"""),15.0)</f>
        <v>15</v>
      </c>
      <c r="K16" s="24">
        <f>IFERROR(__xludf.DUMMYFUNCTION("""COMPUTED_VALUE"""),1.0)</f>
        <v>1</v>
      </c>
      <c r="L16" s="24">
        <f>IFERROR(__xludf.DUMMYFUNCTION("""COMPUTED_VALUE"""),0.4667)</f>
        <v>0.4667</v>
      </c>
      <c r="M16" s="25">
        <f>IFERROR(__xludf.DUMMYFUNCTION("""COMPUTED_VALUE"""),6.0)</f>
        <v>6</v>
      </c>
      <c r="N16" s="25">
        <f>IFERROR(__xludf.DUMMYFUNCTION("""COMPUTED_VALUE"""),7.0)</f>
        <v>7</v>
      </c>
      <c r="O16" s="18" t="b">
        <f>IFERROR(__xludf.DUMMYFUNCTION("""COMPUTED_VALUE"""),FALSE)</f>
        <v>0</v>
      </c>
      <c r="P16" s="22">
        <f>IFERROR(__xludf.DUMMYFUNCTION("""COMPUTED_VALUE"""),35.96)</f>
        <v>35.96</v>
      </c>
      <c r="Q16" s="32" t="str">
        <f>IFERROR(__xludf.DUMMYFUNCTION("""COMPUTED_VALUE"""),"")</f>
        <v/>
      </c>
      <c r="R16" s="17">
        <f>IFERROR(__xludf.DUMMYFUNCTION("""COMPUTED_VALUE"""),9.0)</f>
        <v>9</v>
      </c>
      <c r="S16" s="18" t="str">
        <f>IFERROR(__xludf.DUMMYFUNCTION("""COMPUTED_VALUE"""),"Satisfied")</f>
        <v>Satisfied</v>
      </c>
      <c r="T16" s="18" t="str">
        <f>IFERROR(__xludf.DUMMYFUNCTION("""COMPUTED_VALUE"""),"I wanted more options")</f>
        <v>I wanted more options</v>
      </c>
      <c r="U16" s="20" t="b">
        <f>IFERROR(__xludf.DUMMYFUNCTION("""COMPUTED_VALUE"""),TRUE)</f>
        <v>1</v>
      </c>
      <c r="V16" s="32" t="str">
        <f>IFERROR(__xludf.DUMMYFUNCTION("""COMPUTED_VALUE"""),"")</f>
        <v/>
      </c>
      <c r="W16" s="17">
        <f>IFERROR(__xludf.DUMMYFUNCTION("""COMPUTED_VALUE"""),9.0)</f>
        <v>9</v>
      </c>
      <c r="X16" s="25">
        <f>IFERROR(__xludf.DUMMYFUNCTION("""COMPUTED_VALUE"""),7.0)</f>
        <v>7</v>
      </c>
      <c r="Y16" s="18" t="str">
        <f>IFERROR(__xludf.DUMMYFUNCTION("""COMPUTED_VALUE"""),"Pleased")</f>
        <v>Pleased</v>
      </c>
      <c r="Z16" s="18" t="str">
        <f>IFERROR(__xludf.DUMMYFUNCTION("""COMPUTED_VALUE"""),"Satisfied")</f>
        <v>Satisfied</v>
      </c>
      <c r="AA16" s="32" t="str">
        <f>IFERROR(__xludf.DUMMYFUNCTION("""COMPUTED_VALUE"""),"")</f>
        <v/>
      </c>
      <c r="AB16" s="17">
        <f>IFERROR(__xludf.DUMMYFUNCTION("""COMPUTED_VALUE"""),9.0)</f>
        <v>9</v>
      </c>
      <c r="AC16" s="25">
        <f>IFERROR(__xludf.DUMMYFUNCTION("""COMPUTED_VALUE"""),513.0)</f>
        <v>513</v>
      </c>
      <c r="AD16" s="25">
        <f>IFERROR(__xludf.DUMMYFUNCTION("""COMPUTED_VALUE"""),185.0)</f>
        <v>185</v>
      </c>
      <c r="AE16" s="25">
        <f>IFERROR(__xludf.DUMMYFUNCTION("""COMPUTED_VALUE"""),328.0)</f>
        <v>328</v>
      </c>
      <c r="AF16" s="24">
        <f>IFERROR(__xludf.DUMMYFUNCTION("""COMPUTED_VALUE"""),0.3606)</f>
        <v>0.3606</v>
      </c>
      <c r="AG16" s="25">
        <f>IFERROR(__xludf.DUMMYFUNCTION("""COMPUTED_VALUE"""),44.0)</f>
        <v>44</v>
      </c>
      <c r="AH16" s="22">
        <f>IFERROR(__xludf.DUMMYFUNCTION("""COMPUTED_VALUE"""),96.76)</f>
        <v>96.76</v>
      </c>
      <c r="AI16" s="22">
        <f>IFERROR(__xludf.DUMMYFUNCTION("""COMPUTED_VALUE"""),52.31)</f>
        <v>52.31</v>
      </c>
      <c r="AJ16" s="11"/>
    </row>
    <row r="17">
      <c r="A17" s="31"/>
      <c r="B17" s="17">
        <f>IFERROR(__xludf.DUMMYFUNCTION("""COMPUTED_VALUE"""),15.0)</f>
        <v>15</v>
      </c>
      <c r="C17" s="18" t="str">
        <f>IFERROR(__xludf.DUMMYFUNCTION("""COMPUTED_VALUE"""),"Male")</f>
        <v>Male</v>
      </c>
      <c r="D17" s="18" t="b">
        <f>IFERROR(__xludf.DUMMYFUNCTION("""COMPUTED_VALUE"""),TRUE)</f>
        <v>1</v>
      </c>
      <c r="E17" s="32" t="str">
        <f>IFERROR(__xludf.DUMMYFUNCTION("""COMPUTED_VALUE"""),"")</f>
        <v/>
      </c>
      <c r="F17" s="17">
        <f>IFERROR(__xludf.DUMMYFUNCTION("""COMPUTED_VALUE"""),15.0)</f>
        <v>15</v>
      </c>
      <c r="G17" s="20" t="b">
        <f>IFERROR(__xludf.DUMMYFUNCTION("""COMPUTED_VALUE"""),TRUE)</f>
        <v>1</v>
      </c>
      <c r="H17" s="18" t="str">
        <f>IFERROR(__xludf.DUMMYFUNCTION("""COMPUTED_VALUE"""),"CodeMyst's Clone")</f>
        <v>CodeMyst's Clone</v>
      </c>
      <c r="I17" s="22">
        <f>IFERROR(__xludf.DUMMYFUNCTION("""COMPUTED_VALUE"""),11.23)</f>
        <v>11.23</v>
      </c>
      <c r="J17" s="23">
        <f>IFERROR(__xludf.DUMMYFUNCTION("""COMPUTED_VALUE"""),15.0)</f>
        <v>15</v>
      </c>
      <c r="K17" s="24">
        <f>IFERROR(__xludf.DUMMYFUNCTION("""COMPUTED_VALUE"""),1.0)</f>
        <v>1</v>
      </c>
      <c r="L17" s="24">
        <f>IFERROR(__xludf.DUMMYFUNCTION("""COMPUTED_VALUE"""),1.0)</f>
        <v>1</v>
      </c>
      <c r="M17" s="25">
        <f>IFERROR(__xludf.DUMMYFUNCTION("""COMPUTED_VALUE"""),15.0)</f>
        <v>15</v>
      </c>
      <c r="N17" s="25">
        <f>IFERROR(__xludf.DUMMYFUNCTION("""COMPUTED_VALUE"""),5.0)</f>
        <v>5</v>
      </c>
      <c r="O17" s="20" t="b">
        <f>IFERROR(__xludf.DUMMYFUNCTION("""COMPUTED_VALUE"""),FALSE)</f>
        <v>0</v>
      </c>
      <c r="P17" s="22">
        <f>IFERROR(__xludf.DUMMYFUNCTION("""COMPUTED_VALUE"""),58.54)</f>
        <v>58.54</v>
      </c>
      <c r="Q17" s="32" t="str">
        <f>IFERROR(__xludf.DUMMYFUNCTION("""COMPUTED_VALUE"""),"")</f>
        <v/>
      </c>
      <c r="R17" s="17">
        <f>IFERROR(__xludf.DUMMYFUNCTION("""COMPUTED_VALUE"""),15.0)</f>
        <v>15</v>
      </c>
      <c r="S17" s="18" t="str">
        <f>IFERROR(__xludf.DUMMYFUNCTION("""COMPUTED_VALUE"""),"Satisfied")</f>
        <v>Satisfied</v>
      </c>
      <c r="T17" s="18" t="str">
        <f>IFERROR(__xludf.DUMMYFUNCTION("""COMPUTED_VALUE"""),"I wanted less options")</f>
        <v>I wanted less options</v>
      </c>
      <c r="U17" s="20" t="b">
        <f>IFERROR(__xludf.DUMMYFUNCTION("""COMPUTED_VALUE"""),TRUE)</f>
        <v>1</v>
      </c>
      <c r="V17" s="32" t="str">
        <f>IFERROR(__xludf.DUMMYFUNCTION("""COMPUTED_VALUE"""),"")</f>
        <v/>
      </c>
      <c r="W17" s="17">
        <f>IFERROR(__xludf.DUMMYFUNCTION("""COMPUTED_VALUE"""),15.0)</f>
        <v>15</v>
      </c>
      <c r="X17" s="25">
        <f>IFERROR(__xludf.DUMMYFUNCTION("""COMPUTED_VALUE"""),3.0)</f>
        <v>3</v>
      </c>
      <c r="Y17" s="18" t="str">
        <f>IFERROR(__xludf.DUMMYFUNCTION("""COMPUTED_VALUE"""),"Very unpleased")</f>
        <v>Very unpleased</v>
      </c>
      <c r="Z17" s="18" t="str">
        <f>IFERROR(__xludf.DUMMYFUNCTION("""COMPUTED_VALUE"""),"Satisfied")</f>
        <v>Satisfied</v>
      </c>
      <c r="AA17" s="32" t="str">
        <f>IFERROR(__xludf.DUMMYFUNCTION("""COMPUTED_VALUE"""),"")</f>
        <v/>
      </c>
      <c r="AB17" s="17">
        <f>IFERROR(__xludf.DUMMYFUNCTION("""COMPUTED_VALUE"""),15.0)</f>
        <v>15</v>
      </c>
      <c r="AC17" s="25">
        <f>IFERROR(__xludf.DUMMYFUNCTION("""COMPUTED_VALUE"""),156.0)</f>
        <v>156</v>
      </c>
      <c r="AD17" s="25">
        <f>IFERROR(__xludf.DUMMYFUNCTION("""COMPUTED_VALUE"""),36.0)</f>
        <v>36</v>
      </c>
      <c r="AE17" s="25">
        <f>IFERROR(__xludf.DUMMYFUNCTION("""COMPUTED_VALUE"""),120.0)</f>
        <v>120</v>
      </c>
      <c r="AF17" s="24">
        <f>IFERROR(__xludf.DUMMYFUNCTION("""COMPUTED_VALUE"""),0.2308)</f>
        <v>0.2308</v>
      </c>
      <c r="AG17" s="25">
        <f>IFERROR(__xludf.DUMMYFUNCTION("""COMPUTED_VALUE"""),6.0)</f>
        <v>6</v>
      </c>
      <c r="AH17" s="22">
        <f>IFERROR(__xludf.DUMMYFUNCTION("""COMPUTED_VALUE"""),18.95)</f>
        <v>18.95</v>
      </c>
      <c r="AI17" s="22">
        <f>IFERROR(__xludf.DUMMYFUNCTION("""COMPUTED_VALUE"""),16.35)</f>
        <v>16.35</v>
      </c>
      <c r="AJ17" s="11"/>
    </row>
    <row r="18">
      <c r="A18" s="31"/>
      <c r="B18" s="17">
        <f>IFERROR(__xludf.DUMMYFUNCTION("""COMPUTED_VALUE"""),24.0)</f>
        <v>24</v>
      </c>
      <c r="C18" s="18" t="str">
        <f>IFERROR(__xludf.DUMMYFUNCTION("""COMPUTED_VALUE"""),"Female")</f>
        <v>Female</v>
      </c>
      <c r="D18" s="20" t="b">
        <f>IFERROR(__xludf.DUMMYFUNCTION("""COMPUTED_VALUE"""),FALSE)</f>
        <v>0</v>
      </c>
      <c r="E18" s="32" t="str">
        <f>IFERROR(__xludf.DUMMYFUNCTION("""COMPUTED_VALUE"""),"")</f>
        <v/>
      </c>
      <c r="F18" s="17">
        <f>IFERROR(__xludf.DUMMYFUNCTION("""COMPUTED_VALUE"""),24.0)</f>
        <v>24</v>
      </c>
      <c r="G18" s="20" t="b">
        <f>IFERROR(__xludf.DUMMYFUNCTION("""COMPUTED_VALUE"""),TRUE)</f>
        <v>1</v>
      </c>
      <c r="H18" s="18" t="str">
        <f>IFERROR(__xludf.DUMMYFUNCTION("""COMPUTED_VALUE"""),"Ostron the burger")</f>
        <v>Ostron the burger</v>
      </c>
      <c r="I18" s="22">
        <f>IFERROR(__xludf.DUMMYFUNCTION("""COMPUTED_VALUE"""),21.19)</f>
        <v>21.19</v>
      </c>
      <c r="J18" s="23">
        <f>IFERROR(__xludf.DUMMYFUNCTION("""COMPUTED_VALUE"""),15.0)</f>
        <v>15</v>
      </c>
      <c r="K18" s="24">
        <f>IFERROR(__xludf.DUMMYFUNCTION("""COMPUTED_VALUE"""),1.0)</f>
        <v>1</v>
      </c>
      <c r="L18" s="24">
        <f>IFERROR(__xludf.DUMMYFUNCTION("""COMPUTED_VALUE"""),0.4)</f>
        <v>0.4</v>
      </c>
      <c r="M18" s="25">
        <f>IFERROR(__xludf.DUMMYFUNCTION("""COMPUTED_VALUE"""),11.0)</f>
        <v>11</v>
      </c>
      <c r="N18" s="25">
        <f>IFERROR(__xludf.DUMMYFUNCTION("""COMPUTED_VALUE"""),5.0)</f>
        <v>5</v>
      </c>
      <c r="O18" s="20" t="b">
        <f>IFERROR(__xludf.DUMMYFUNCTION("""COMPUTED_VALUE"""),FALSE)</f>
        <v>0</v>
      </c>
      <c r="P18" s="22">
        <f>IFERROR(__xludf.DUMMYFUNCTION("""COMPUTED_VALUE"""),47.08)</f>
        <v>47.08</v>
      </c>
      <c r="Q18" s="32" t="str">
        <f>IFERROR(__xludf.DUMMYFUNCTION("""COMPUTED_VALUE"""),"")</f>
        <v/>
      </c>
      <c r="R18" s="17">
        <f>IFERROR(__xludf.DUMMYFUNCTION("""COMPUTED_VALUE"""),24.0)</f>
        <v>24</v>
      </c>
      <c r="S18" s="18" t="str">
        <f>IFERROR(__xludf.DUMMYFUNCTION("""COMPUTED_VALUE"""),"Very satisfied")</f>
        <v>Very satisfied</v>
      </c>
      <c r="T18" s="18" t="str">
        <f>IFERROR(__xludf.DUMMYFUNCTION("""COMPUTED_VALUE"""),"I wanted more options")</f>
        <v>I wanted more options</v>
      </c>
      <c r="U18" s="20" t="b">
        <f>IFERROR(__xludf.DUMMYFUNCTION("""COMPUTED_VALUE"""),TRUE)</f>
        <v>1</v>
      </c>
      <c r="V18" s="32" t="str">
        <f>IFERROR(__xludf.DUMMYFUNCTION("""COMPUTED_VALUE"""),"")</f>
        <v/>
      </c>
      <c r="W18" s="17">
        <f>IFERROR(__xludf.DUMMYFUNCTION("""COMPUTED_VALUE"""),24.0)</f>
        <v>24</v>
      </c>
      <c r="X18" s="25">
        <f>IFERROR(__xludf.DUMMYFUNCTION("""COMPUTED_VALUE"""),8.0)</f>
        <v>8</v>
      </c>
      <c r="Y18" s="18" t="str">
        <f>IFERROR(__xludf.DUMMYFUNCTION("""COMPUTED_VALUE"""),"Pleased")</f>
        <v>Pleased</v>
      </c>
      <c r="Z18" s="18" t="str">
        <f>IFERROR(__xludf.DUMMYFUNCTION("""COMPUTED_VALUE"""),"Satisfied")</f>
        <v>Satisfied</v>
      </c>
      <c r="AA18" s="32" t="str">
        <f>IFERROR(__xludf.DUMMYFUNCTION("""COMPUTED_VALUE"""),"")</f>
        <v/>
      </c>
      <c r="AB18" s="17">
        <f>IFERROR(__xludf.DUMMYFUNCTION("""COMPUTED_VALUE"""),24.0)</f>
        <v>24</v>
      </c>
      <c r="AC18" s="25">
        <f>IFERROR(__xludf.DUMMYFUNCTION("""COMPUTED_VALUE"""),533.0)</f>
        <v>533</v>
      </c>
      <c r="AD18" s="25">
        <f>IFERROR(__xludf.DUMMYFUNCTION("""COMPUTED_VALUE"""),109.0)</f>
        <v>109</v>
      </c>
      <c r="AE18" s="25">
        <f>IFERROR(__xludf.DUMMYFUNCTION("""COMPUTED_VALUE"""),424.0)</f>
        <v>424</v>
      </c>
      <c r="AF18" s="24">
        <f>IFERROR(__xludf.DUMMYFUNCTION("""COMPUTED_VALUE"""),0.2045)</f>
        <v>0.2045</v>
      </c>
      <c r="AG18" s="25">
        <f>IFERROR(__xludf.DUMMYFUNCTION("""COMPUTED_VALUE"""),25.0)</f>
        <v>25</v>
      </c>
      <c r="AH18" s="22">
        <f>IFERROR(__xludf.DUMMYFUNCTION("""COMPUTED_VALUE"""),45.03)</f>
        <v>45.03</v>
      </c>
      <c r="AI18" s="22">
        <f>IFERROR(__xludf.DUMMYFUNCTION("""COMPUTED_VALUE"""),49.6)</f>
        <v>49.6</v>
      </c>
      <c r="AJ18" s="11"/>
    </row>
    <row r="19">
      <c r="A19" s="31"/>
      <c r="B19" s="17">
        <f>IFERROR(__xludf.DUMMYFUNCTION("""COMPUTED_VALUE"""),29.0)</f>
        <v>29</v>
      </c>
      <c r="C19" s="18" t="str">
        <f>IFERROR(__xludf.DUMMYFUNCTION("""COMPUTED_VALUE"""),"Male")</f>
        <v>Male</v>
      </c>
      <c r="D19" s="20" t="b">
        <f>IFERROR(__xludf.DUMMYFUNCTION("""COMPUTED_VALUE"""),FALSE)</f>
        <v>0</v>
      </c>
      <c r="E19" s="32" t="str">
        <f>IFERROR(__xludf.DUMMYFUNCTION("""COMPUTED_VALUE"""),"")</f>
        <v/>
      </c>
      <c r="F19" s="17">
        <f>IFERROR(__xludf.DUMMYFUNCTION("""COMPUTED_VALUE"""),29.0)</f>
        <v>29</v>
      </c>
      <c r="G19" s="20" t="b">
        <f>IFERROR(__xludf.DUMMYFUNCTION("""COMPUTED_VALUE"""),TRUE)</f>
        <v>1</v>
      </c>
      <c r="H19" s="18" t="str">
        <f>IFERROR(__xludf.DUMMYFUNCTION("""COMPUTED_VALUE"""),"shakari")</f>
        <v>shakari</v>
      </c>
      <c r="I19" s="22">
        <f>IFERROR(__xludf.DUMMYFUNCTION("""COMPUTED_VALUE"""),3.02)</f>
        <v>3.02</v>
      </c>
      <c r="J19" s="23">
        <f>IFERROR(__xludf.DUMMYFUNCTION("""COMPUTED_VALUE"""),15.0)</f>
        <v>15</v>
      </c>
      <c r="K19" s="24">
        <f>IFERROR(__xludf.DUMMYFUNCTION("""COMPUTED_VALUE"""),1.0)</f>
        <v>1</v>
      </c>
      <c r="L19" s="24">
        <f>IFERROR(__xludf.DUMMYFUNCTION("""COMPUTED_VALUE"""),1.0)</f>
        <v>1</v>
      </c>
      <c r="M19" s="25">
        <f>IFERROR(__xludf.DUMMYFUNCTION("""COMPUTED_VALUE"""),10.0)</f>
        <v>10</v>
      </c>
      <c r="N19" s="25">
        <f>IFERROR(__xludf.DUMMYFUNCTION("""COMPUTED_VALUE"""),4.0)</f>
        <v>4</v>
      </c>
      <c r="O19" s="20" t="b">
        <f>IFERROR(__xludf.DUMMYFUNCTION("""COMPUTED_VALUE"""),FALSE)</f>
        <v>0</v>
      </c>
      <c r="P19" s="22">
        <f>IFERROR(__xludf.DUMMYFUNCTION("""COMPUTED_VALUE"""),126.59)</f>
        <v>126.59</v>
      </c>
      <c r="Q19" s="32" t="str">
        <f>IFERROR(__xludf.DUMMYFUNCTION("""COMPUTED_VALUE"""),"")</f>
        <v/>
      </c>
      <c r="R19" s="17">
        <f>IFERROR(__xludf.DUMMYFUNCTION("""COMPUTED_VALUE"""),29.0)</f>
        <v>29</v>
      </c>
      <c r="S19" s="18" t="str">
        <f>IFERROR(__xludf.DUMMYFUNCTION("""COMPUTED_VALUE"""),"Satisfied")</f>
        <v>Satisfied</v>
      </c>
      <c r="T19" s="18" t="str">
        <f>IFERROR(__xludf.DUMMYFUNCTION("""COMPUTED_VALUE"""),"I am happy with the amount of options I was given")</f>
        <v>I am happy with the amount of options I was given</v>
      </c>
      <c r="U19" s="20" t="b">
        <f>IFERROR(__xludf.DUMMYFUNCTION("""COMPUTED_VALUE"""),TRUE)</f>
        <v>1</v>
      </c>
      <c r="V19" s="32" t="str">
        <f>IFERROR(__xludf.DUMMYFUNCTION("""COMPUTED_VALUE"""),"")</f>
        <v/>
      </c>
      <c r="W19" s="17">
        <f>IFERROR(__xludf.DUMMYFUNCTION("""COMPUTED_VALUE"""),29.0)</f>
        <v>29</v>
      </c>
      <c r="X19" s="25">
        <f>IFERROR(__xludf.DUMMYFUNCTION("""COMPUTED_VALUE"""),5.0)</f>
        <v>5</v>
      </c>
      <c r="Y19" s="18" t="str">
        <f>IFERROR(__xludf.DUMMYFUNCTION("""COMPUTED_VALUE"""),"Very unpleased")</f>
        <v>Very unpleased</v>
      </c>
      <c r="Z19" s="18" t="str">
        <f>IFERROR(__xludf.DUMMYFUNCTION("""COMPUTED_VALUE"""),"Satisfied")</f>
        <v>Satisfied</v>
      </c>
      <c r="AA19" s="32" t="str">
        <f>IFERROR(__xludf.DUMMYFUNCTION("""COMPUTED_VALUE"""),"")</f>
        <v/>
      </c>
      <c r="AB19" s="17">
        <f>IFERROR(__xludf.DUMMYFUNCTION("""COMPUTED_VALUE"""),29.0)</f>
        <v>29</v>
      </c>
      <c r="AC19" s="25">
        <f>IFERROR(__xludf.DUMMYFUNCTION("""COMPUTED_VALUE"""),312.0)</f>
        <v>312</v>
      </c>
      <c r="AD19" s="25">
        <f>IFERROR(__xludf.DUMMYFUNCTION("""COMPUTED_VALUE"""),88.0)</f>
        <v>88</v>
      </c>
      <c r="AE19" s="25">
        <f>IFERROR(__xludf.DUMMYFUNCTION("""COMPUTED_VALUE"""),224.0)</f>
        <v>224</v>
      </c>
      <c r="AF19" s="24">
        <f>IFERROR(__xludf.DUMMYFUNCTION("""COMPUTED_VALUE"""),0.2821)</f>
        <v>0.2821</v>
      </c>
      <c r="AG19" s="25">
        <f>IFERROR(__xludf.DUMMYFUNCTION("""COMPUTED_VALUE"""),21.0)</f>
        <v>21</v>
      </c>
      <c r="AH19" s="22">
        <f>IFERROR(__xludf.DUMMYFUNCTION("""COMPUTED_VALUE"""),29.06)</f>
        <v>29.06</v>
      </c>
      <c r="AI19" s="22">
        <f>IFERROR(__xludf.DUMMYFUNCTION("""COMPUTED_VALUE"""),63.02)</f>
        <v>63.02</v>
      </c>
      <c r="AJ19" s="11"/>
    </row>
    <row r="20">
      <c r="A20" s="31"/>
      <c r="B20" s="17">
        <f>IFERROR(__xludf.DUMMYFUNCTION("""COMPUTED_VALUE"""),34.0)</f>
        <v>34</v>
      </c>
      <c r="C20" s="18" t="str">
        <f>IFERROR(__xludf.DUMMYFUNCTION("""COMPUTED_VALUE"""),"Male")</f>
        <v>Male</v>
      </c>
      <c r="D20" s="20" t="b">
        <f>IFERROR(__xludf.DUMMYFUNCTION("""COMPUTED_VALUE"""),FALSE)</f>
        <v>0</v>
      </c>
      <c r="E20" s="32" t="str">
        <f>IFERROR(__xludf.DUMMYFUNCTION("""COMPUTED_VALUE"""),"")</f>
        <v/>
      </c>
      <c r="F20" s="17">
        <f>IFERROR(__xludf.DUMMYFUNCTION("""COMPUTED_VALUE"""),34.0)</f>
        <v>34</v>
      </c>
      <c r="G20" s="20" t="b">
        <f>IFERROR(__xludf.DUMMYFUNCTION("""COMPUTED_VALUE"""),TRUE)</f>
        <v>1</v>
      </c>
      <c r="H20" s="18" t="str">
        <f>IFERROR(__xludf.DUMMYFUNCTION("""COMPUTED_VALUE"""),"Groot")</f>
        <v>Groot</v>
      </c>
      <c r="I20" s="22">
        <f>IFERROR(__xludf.DUMMYFUNCTION("""COMPUTED_VALUE"""),6.09)</f>
        <v>6.09</v>
      </c>
      <c r="J20" s="23">
        <f>IFERROR(__xludf.DUMMYFUNCTION("""COMPUTED_VALUE"""),15.0)</f>
        <v>15</v>
      </c>
      <c r="K20" s="24">
        <f>IFERROR(__xludf.DUMMYFUNCTION("""COMPUTED_VALUE"""),0.8)</f>
        <v>0.8</v>
      </c>
      <c r="L20" s="24">
        <f>IFERROR(__xludf.DUMMYFUNCTION("""COMPUTED_VALUE"""),1.0)</f>
        <v>1</v>
      </c>
      <c r="M20" s="25">
        <f>IFERROR(__xludf.DUMMYFUNCTION("""COMPUTED_VALUE"""),8.0)</f>
        <v>8</v>
      </c>
      <c r="N20" s="25">
        <f>IFERROR(__xludf.DUMMYFUNCTION("""COMPUTED_VALUE"""),8.0)</f>
        <v>8</v>
      </c>
      <c r="O20" s="20" t="b">
        <f>IFERROR(__xludf.DUMMYFUNCTION("""COMPUTED_VALUE"""),TRUE)</f>
        <v>1</v>
      </c>
      <c r="P20" s="22">
        <f>IFERROR(__xludf.DUMMYFUNCTION("""COMPUTED_VALUE"""),51.24)</f>
        <v>51.24</v>
      </c>
      <c r="Q20" s="32" t="str">
        <f>IFERROR(__xludf.DUMMYFUNCTION("""COMPUTED_VALUE"""),"")</f>
        <v/>
      </c>
      <c r="R20" s="17">
        <f>IFERROR(__xludf.DUMMYFUNCTION("""COMPUTED_VALUE"""),34.0)</f>
        <v>34</v>
      </c>
      <c r="S20" s="18" t="str">
        <f>IFERROR(__xludf.DUMMYFUNCTION("""COMPUTED_VALUE"""),"Satisfied")</f>
        <v>Satisfied</v>
      </c>
      <c r="T20" s="18" t="str">
        <f>IFERROR(__xludf.DUMMYFUNCTION("""COMPUTED_VALUE"""),"I wanted more options")</f>
        <v>I wanted more options</v>
      </c>
      <c r="U20" s="20" t="b">
        <f>IFERROR(__xludf.DUMMYFUNCTION("""COMPUTED_VALUE"""),FALSE)</f>
        <v>0</v>
      </c>
      <c r="V20" s="32" t="str">
        <f>IFERROR(__xludf.DUMMYFUNCTION("""COMPUTED_VALUE"""),"")</f>
        <v/>
      </c>
      <c r="W20" s="17">
        <f>IFERROR(__xludf.DUMMYFUNCTION("""COMPUTED_VALUE"""),34.0)</f>
        <v>34</v>
      </c>
      <c r="X20" s="25">
        <f>IFERROR(__xludf.DUMMYFUNCTION("""COMPUTED_VALUE"""),5.0)</f>
        <v>5</v>
      </c>
      <c r="Y20" s="18" t="str">
        <f>IFERROR(__xludf.DUMMYFUNCTION("""COMPUTED_VALUE"""),"Unpleased")</f>
        <v>Unpleased</v>
      </c>
      <c r="Z20" s="18" t="str">
        <f>IFERROR(__xludf.DUMMYFUNCTION("""COMPUTED_VALUE"""),"Satisfied")</f>
        <v>Satisfied</v>
      </c>
      <c r="AA20" s="32" t="str">
        <f>IFERROR(__xludf.DUMMYFUNCTION("""COMPUTED_VALUE"""),"")</f>
        <v/>
      </c>
      <c r="AB20" s="17">
        <f>IFERROR(__xludf.DUMMYFUNCTION("""COMPUTED_VALUE"""),34.0)</f>
        <v>34</v>
      </c>
      <c r="AC20" s="25">
        <f>IFERROR(__xludf.DUMMYFUNCTION("""COMPUTED_VALUE"""),201.0)</f>
        <v>201</v>
      </c>
      <c r="AD20" s="25">
        <f>IFERROR(__xludf.DUMMYFUNCTION("""COMPUTED_VALUE"""),78.0)</f>
        <v>78</v>
      </c>
      <c r="AE20" s="25">
        <f>IFERROR(__xludf.DUMMYFUNCTION("""COMPUTED_VALUE"""),123.0)</f>
        <v>123</v>
      </c>
      <c r="AF20" s="24">
        <f>IFERROR(__xludf.DUMMYFUNCTION("""COMPUTED_VALUE"""),0.3881)</f>
        <v>0.3881</v>
      </c>
      <c r="AG20" s="25">
        <f>IFERROR(__xludf.DUMMYFUNCTION("""COMPUTED_VALUE"""),16.0)</f>
        <v>16</v>
      </c>
      <c r="AH20" s="22">
        <f>IFERROR(__xludf.DUMMYFUNCTION("""COMPUTED_VALUE"""),52.76)</f>
        <v>52.76</v>
      </c>
      <c r="AI20" s="22">
        <f>IFERROR(__xludf.DUMMYFUNCTION("""COMPUTED_VALUE"""),16.96)</f>
        <v>16.96</v>
      </c>
      <c r="AJ20" s="11"/>
    </row>
    <row r="21">
      <c r="A21" s="1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11"/>
    </row>
    <row r="22">
      <c r="A22" s="34"/>
      <c r="B22" s="35"/>
      <c r="C22" s="35"/>
      <c r="E22" s="33"/>
      <c r="F22" s="33"/>
      <c r="G22" s="33"/>
      <c r="H22" s="37" t="s">
        <v>62</v>
      </c>
      <c r="I22" s="38">
        <f>MEDIAN(I15:I20)</f>
        <v>11.535</v>
      </c>
      <c r="J22" s="39"/>
      <c r="K22" s="40">
        <f t="shared" ref="K22:L22" si="1">MEDIAN(K15:K20)</f>
        <v>1</v>
      </c>
      <c r="L22" s="40">
        <f t="shared" si="1"/>
        <v>0.73335</v>
      </c>
      <c r="M22" s="33"/>
      <c r="N22" s="33"/>
      <c r="O22" s="37" t="s">
        <v>62</v>
      </c>
      <c r="P22" s="38">
        <f>MEDIAN(P15:P20)</f>
        <v>49.16</v>
      </c>
      <c r="Q22" s="33"/>
      <c r="R22" s="33"/>
      <c r="S22" s="33"/>
      <c r="T22" s="33"/>
      <c r="U22" s="33"/>
      <c r="V22" s="33"/>
      <c r="W22" s="37" t="s">
        <v>62</v>
      </c>
      <c r="X22" s="39">
        <f>MEDIAN(X15:X20)</f>
        <v>5.5</v>
      </c>
      <c r="Y22" s="33"/>
      <c r="Z22" s="33"/>
      <c r="AA22" s="33"/>
      <c r="AB22" s="37" t="s">
        <v>62</v>
      </c>
      <c r="AC22" s="39">
        <f t="shared" ref="AC22:AI22" si="2">MEDIAN(AC15:AC20)</f>
        <v>277</v>
      </c>
      <c r="AD22" s="39">
        <f t="shared" si="2"/>
        <v>83</v>
      </c>
      <c r="AE22" s="39">
        <f t="shared" si="2"/>
        <v>202</v>
      </c>
      <c r="AF22" s="40">
        <f t="shared" si="2"/>
        <v>0.26915</v>
      </c>
      <c r="AG22" s="39">
        <f t="shared" si="2"/>
        <v>18.5</v>
      </c>
      <c r="AH22" s="38">
        <f t="shared" si="2"/>
        <v>46.37</v>
      </c>
      <c r="AI22" s="38">
        <f t="shared" si="2"/>
        <v>37.65</v>
      </c>
      <c r="AJ22" s="11"/>
    </row>
    <row r="23">
      <c r="A23" s="11"/>
      <c r="B23" s="35"/>
      <c r="C23" s="35"/>
      <c r="E23" s="33"/>
      <c r="F23" s="33"/>
      <c r="G23" s="33"/>
      <c r="H23" s="37" t="s">
        <v>65</v>
      </c>
      <c r="I23" s="38">
        <f>AVERAGE(I15:I20)</f>
        <v>11.60666667</v>
      </c>
      <c r="J23" s="38"/>
      <c r="K23" s="40">
        <f t="shared" ref="K23:L23" si="3">AVERAGE(K15:K20)</f>
        <v>0.85555</v>
      </c>
      <c r="L23" s="40">
        <f t="shared" si="3"/>
        <v>0.7</v>
      </c>
      <c r="M23" s="45"/>
      <c r="N23" s="45"/>
      <c r="O23" s="37" t="s">
        <v>65</v>
      </c>
      <c r="P23" s="38">
        <f>AVERAGE(P15:P20)</f>
        <v>57.915</v>
      </c>
      <c r="Q23" s="33"/>
      <c r="R23" s="33"/>
      <c r="S23" s="33"/>
      <c r="T23" s="33"/>
      <c r="U23" s="33"/>
      <c r="V23" s="33"/>
      <c r="W23" s="37" t="s">
        <v>65</v>
      </c>
      <c r="X23" s="38">
        <f>AVERAGE(X15:X20)</f>
        <v>5.666666667</v>
      </c>
      <c r="Y23" s="33"/>
      <c r="Z23" s="33"/>
      <c r="AA23" s="33"/>
      <c r="AB23" s="37" t="s">
        <v>65</v>
      </c>
      <c r="AC23" s="38">
        <f t="shared" ref="AC23:AI23" si="4">AVERAGE(AC15:AC20)</f>
        <v>326.1666667</v>
      </c>
      <c r="AD23" s="38">
        <f t="shared" si="4"/>
        <v>93</v>
      </c>
      <c r="AE23" s="38">
        <f t="shared" si="4"/>
        <v>233.1666667</v>
      </c>
      <c r="AF23" s="40">
        <f t="shared" si="4"/>
        <v>0.28705</v>
      </c>
      <c r="AG23" s="38">
        <f t="shared" si="4"/>
        <v>20.83333333</v>
      </c>
      <c r="AH23" s="38">
        <f t="shared" si="4"/>
        <v>48.37833333</v>
      </c>
      <c r="AI23" s="38">
        <f t="shared" si="4"/>
        <v>37.32333333</v>
      </c>
      <c r="AJ23" s="11"/>
    </row>
    <row r="24">
      <c r="A24" s="11"/>
      <c r="B24" s="11"/>
      <c r="C24" s="35"/>
      <c r="E24" s="11"/>
      <c r="F24" s="11"/>
      <c r="G24" s="11"/>
      <c r="H24" s="37" t="s">
        <v>68</v>
      </c>
      <c r="I24" s="38">
        <f>STDEV(I15:I20)</f>
        <v>6.602238004</v>
      </c>
      <c r="K24" s="40">
        <f t="shared" ref="K24:L24" si="5">STDEV(K15:K20)</f>
        <v>0.2680649455</v>
      </c>
      <c r="L24" s="40">
        <f t="shared" si="5"/>
        <v>0.3313299805</v>
      </c>
      <c r="M24" s="11"/>
      <c r="N24" s="11"/>
      <c r="O24" s="37" t="s">
        <v>68</v>
      </c>
      <c r="P24" s="38">
        <f>STDEV(P15:P20)</f>
        <v>35.35745565</v>
      </c>
      <c r="Q24" s="11"/>
      <c r="R24" s="11"/>
      <c r="S24" s="11"/>
      <c r="T24" s="11"/>
      <c r="U24" s="11"/>
      <c r="V24" s="11"/>
      <c r="W24" s="37" t="s">
        <v>68</v>
      </c>
      <c r="X24" s="38">
        <f>STDEV(X15:X20)</f>
        <v>1.751190072</v>
      </c>
      <c r="Y24" s="11"/>
      <c r="Z24" s="11"/>
      <c r="AA24" s="11"/>
      <c r="AB24" s="37" t="s">
        <v>68</v>
      </c>
      <c r="AC24" s="38">
        <f t="shared" ref="AC24:AI24" si="6">STDEV(AC15:AC20)</f>
        <v>160.9936852</v>
      </c>
      <c r="AD24" s="38">
        <f t="shared" si="6"/>
        <v>51.34199061</v>
      </c>
      <c r="AE24" s="38">
        <f t="shared" si="6"/>
        <v>121.0494389</v>
      </c>
      <c r="AF24" s="40">
        <f t="shared" si="6"/>
        <v>0.0729047255</v>
      </c>
      <c r="AG24" s="38">
        <f t="shared" si="6"/>
        <v>13.10597828</v>
      </c>
      <c r="AH24" s="38">
        <f t="shared" si="6"/>
        <v>26.87328593</v>
      </c>
      <c r="AI24" s="38">
        <f t="shared" si="6"/>
        <v>20.12601964</v>
      </c>
      <c r="AJ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39">
      <c r="A39" s="49"/>
    </row>
  </sheetData>
  <mergeCells count="10">
    <mergeCell ref="G11:P12"/>
    <mergeCell ref="C11:D12"/>
    <mergeCell ref="C23:D23"/>
    <mergeCell ref="C24:D24"/>
    <mergeCell ref="S11:U12"/>
    <mergeCell ref="H6:H7"/>
    <mergeCell ref="A5:G8"/>
    <mergeCell ref="AC11:AJ12"/>
    <mergeCell ref="C22:D22"/>
    <mergeCell ref="X11:Z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5.71"/>
    <col customWidth="1" min="3" max="3" width="12.57"/>
    <col customWidth="1" min="4" max="4" width="26.29"/>
    <col customWidth="1" min="5" max="5" width="4.57"/>
    <col customWidth="1" min="6" max="6" width="7.43"/>
    <col customWidth="1" min="7" max="7" width="19.86"/>
    <col customWidth="1" min="8" max="8" width="37.57"/>
    <col customWidth="1" min="9" max="9" width="22.29"/>
    <col customWidth="1" min="10" max="10" width="20.71"/>
    <col customWidth="1" min="11" max="11" width="16.86"/>
    <col customWidth="1" min="12" max="12" width="17.86"/>
    <col customWidth="1" min="13" max="13" width="14.14"/>
    <col customWidth="1" min="14" max="14" width="14.0"/>
    <col customWidth="1" min="15" max="15" width="15.29"/>
    <col customWidth="1" min="16" max="16" width="25.57"/>
    <col customWidth="1" min="17" max="17" width="5.29"/>
    <col customWidth="1" min="18" max="18" width="6.0"/>
    <col customWidth="1" min="19" max="19" width="26.0"/>
    <col customWidth="1" min="20" max="20" width="76.71"/>
    <col customWidth="1" min="21" max="21" width="22.29"/>
    <col customWidth="1" min="22" max="22" width="4.57"/>
    <col customWidth="1" min="23" max="23" width="6.43"/>
    <col customWidth="1" min="24" max="24" width="18.71"/>
    <col customWidth="1" min="25" max="25" width="24.57"/>
    <col customWidth="1" min="26" max="26" width="25.14"/>
    <col customWidth="1" min="27" max="27" width="4.86"/>
    <col customWidth="1" min="28" max="28" width="6.0"/>
    <col customWidth="1" min="29" max="29" width="14.57"/>
    <col customWidth="1" min="30" max="30" width="15.14"/>
    <col customWidth="1" min="31" max="31" width="20.29"/>
    <col customWidth="1" min="32" max="32" width="21.57"/>
    <col customWidth="1" min="33" max="33" width="15.0"/>
    <col customWidth="1" min="34" max="34" width="25.14"/>
    <col customWidth="1" min="35" max="35" width="25.43"/>
    <col customWidth="1" min="36" max="36" width="4.57"/>
  </cols>
  <sheetData>
    <row r="1">
      <c r="A1" s="1"/>
      <c r="B1" s="2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2"/>
      <c r="S1" s="2"/>
      <c r="T1" s="2"/>
      <c r="U1" s="2"/>
      <c r="V1" s="1"/>
      <c r="W1" s="2"/>
      <c r="X1" s="2"/>
      <c r="Y1" s="2"/>
      <c r="Z1" s="2"/>
      <c r="AA1" s="1"/>
      <c r="AB1" s="2"/>
      <c r="AC1" s="2"/>
      <c r="AD1" s="2"/>
      <c r="AE1" s="2"/>
      <c r="AF1" s="2"/>
      <c r="AG1" s="2"/>
      <c r="AH1" s="2"/>
      <c r="AI1" s="2"/>
      <c r="AJ1" s="3"/>
    </row>
    <row r="2">
      <c r="A2" s="1"/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2"/>
      <c r="T2" s="2"/>
      <c r="U2" s="2"/>
      <c r="V2" s="1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3"/>
    </row>
    <row r="3">
      <c r="A3" s="1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3"/>
    </row>
    <row r="4">
      <c r="A4" s="1"/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1"/>
      <c r="W4" s="2"/>
      <c r="X4" s="2"/>
      <c r="Y4" s="2"/>
      <c r="Z4" s="2"/>
      <c r="AA4" s="1"/>
      <c r="AB4" s="2"/>
      <c r="AC4" s="2"/>
      <c r="AD4" s="2"/>
      <c r="AE4" s="2"/>
      <c r="AF4" s="2"/>
      <c r="AG4" s="2"/>
      <c r="AH4" s="2"/>
      <c r="AI4" s="2"/>
      <c r="AJ4" s="3"/>
    </row>
    <row r="5">
      <c r="A5" s="4" t="s">
        <v>1</v>
      </c>
      <c r="H5" s="5"/>
      <c r="I5" s="5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1"/>
      <c r="W5" s="2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3"/>
    </row>
    <row r="6">
      <c r="H6" s="6">
        <f>COUNTA(B15:B19)</f>
        <v>5</v>
      </c>
      <c r="I6" s="5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1"/>
      <c r="W6" s="2"/>
      <c r="X6" s="2"/>
      <c r="Y6" s="2"/>
      <c r="Z6" s="2"/>
      <c r="AA6" s="1"/>
      <c r="AB6" s="2"/>
      <c r="AC6" s="2"/>
      <c r="AD6" s="2"/>
      <c r="AE6" s="2"/>
      <c r="AF6" s="2"/>
      <c r="AG6" s="2"/>
      <c r="AH6" s="2"/>
      <c r="AI6" s="2"/>
      <c r="AJ6" s="3"/>
    </row>
    <row r="7">
      <c r="I7" s="5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1"/>
      <c r="W7" s="2"/>
      <c r="X7" s="2"/>
      <c r="Y7" s="2"/>
      <c r="Z7" s="2"/>
      <c r="AA7" s="1"/>
      <c r="AB7" s="2"/>
      <c r="AC7" s="2"/>
      <c r="AD7" s="2"/>
      <c r="AE7" s="2"/>
      <c r="AF7" s="2"/>
      <c r="AG7" s="2"/>
      <c r="AH7" s="2"/>
      <c r="AI7" s="2"/>
      <c r="AJ7" s="3"/>
    </row>
    <row r="8">
      <c r="H8" s="5"/>
      <c r="I8" s="5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1"/>
      <c r="W8" s="2"/>
      <c r="X8" s="2"/>
      <c r="Y8" s="2"/>
      <c r="Z8" s="2"/>
      <c r="AA8" s="1"/>
      <c r="AB8" s="2"/>
      <c r="AC8" s="2"/>
      <c r="AD8" s="2"/>
      <c r="AE8" s="2"/>
      <c r="AF8" s="2"/>
      <c r="AG8" s="2"/>
      <c r="AH8" s="2"/>
      <c r="AI8" s="2"/>
      <c r="AJ8" s="3"/>
    </row>
    <row r="9">
      <c r="A9" s="1"/>
      <c r="B9" s="2"/>
      <c r="C9" s="2"/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1"/>
      <c r="W9" s="2"/>
      <c r="X9" s="2"/>
      <c r="Y9" s="2"/>
      <c r="Z9" s="2"/>
      <c r="AA9" s="1"/>
      <c r="AB9" s="2"/>
      <c r="AC9" s="2"/>
      <c r="AD9" s="2"/>
      <c r="AE9" s="2"/>
      <c r="AF9" s="2"/>
      <c r="AG9" s="2"/>
      <c r="AH9" s="2"/>
      <c r="AI9" s="2"/>
      <c r="AJ9" s="3"/>
    </row>
    <row r="10">
      <c r="A10" s="7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5"/>
      <c r="S10" s="5"/>
      <c r="T10" s="5"/>
      <c r="U10" s="5"/>
      <c r="V10" s="7"/>
      <c r="W10" s="5"/>
      <c r="X10" s="5"/>
      <c r="Y10" s="5"/>
      <c r="Z10" s="5"/>
      <c r="AA10" s="7"/>
      <c r="AB10" s="5"/>
      <c r="AC10" s="5"/>
      <c r="AD10" s="5"/>
      <c r="AE10" s="5"/>
      <c r="AF10" s="5"/>
      <c r="AG10" s="5"/>
      <c r="AH10" s="5"/>
      <c r="AI10" s="5"/>
      <c r="AJ10" s="8"/>
    </row>
    <row r="11">
      <c r="A11" s="7"/>
      <c r="B11" s="9"/>
      <c r="C11" s="9" t="s">
        <v>3</v>
      </c>
      <c r="E11" s="7"/>
      <c r="F11" s="9"/>
      <c r="G11" s="9" t="s">
        <v>4</v>
      </c>
      <c r="Q11" s="7"/>
      <c r="R11" s="9"/>
      <c r="S11" s="9" t="s">
        <v>5</v>
      </c>
      <c r="V11" s="7"/>
      <c r="W11" s="9"/>
      <c r="X11" s="9" t="s">
        <v>6</v>
      </c>
      <c r="AA11" s="7"/>
      <c r="AB11" s="9"/>
      <c r="AC11" s="9" t="s">
        <v>7</v>
      </c>
    </row>
    <row r="12">
      <c r="A12" s="7"/>
      <c r="B12" s="9"/>
      <c r="E12" s="7"/>
      <c r="F12" s="9"/>
      <c r="Q12" s="7"/>
      <c r="R12" s="9"/>
      <c r="V12" s="7"/>
      <c r="W12" s="9"/>
      <c r="AA12" s="7"/>
      <c r="AB12" s="9"/>
    </row>
    <row r="13">
      <c r="A13" s="7"/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  <c r="R13" s="5"/>
      <c r="S13" s="5"/>
      <c r="T13" s="5"/>
      <c r="U13" s="5"/>
      <c r="V13" s="7"/>
      <c r="W13" s="5"/>
      <c r="X13" s="5"/>
      <c r="Y13" s="5"/>
      <c r="Z13" s="5"/>
      <c r="AA13" s="7"/>
      <c r="AB13" s="5"/>
      <c r="AC13" s="5"/>
      <c r="AD13" s="5"/>
      <c r="AE13" s="5"/>
      <c r="AF13" s="5"/>
      <c r="AG13" s="5"/>
      <c r="AH13" s="5"/>
      <c r="AI13" s="5"/>
      <c r="AJ13" s="8"/>
    </row>
    <row r="14">
      <c r="A14" s="7"/>
      <c r="B14" s="2" t="s">
        <v>8</v>
      </c>
      <c r="C14" s="2" t="s">
        <v>9</v>
      </c>
      <c r="D14" s="2" t="s">
        <v>10</v>
      </c>
      <c r="E14" s="7"/>
      <c r="F14" s="2" t="s">
        <v>8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7"/>
      <c r="R14" s="2" t="s">
        <v>8</v>
      </c>
      <c r="S14" s="2" t="s">
        <v>21</v>
      </c>
      <c r="T14" s="2" t="s">
        <v>22</v>
      </c>
      <c r="U14" s="2" t="s">
        <v>23</v>
      </c>
      <c r="V14" s="7"/>
      <c r="W14" s="2" t="s">
        <v>8</v>
      </c>
      <c r="X14" s="2" t="s">
        <v>24</v>
      </c>
      <c r="Y14" s="2" t="s">
        <v>25</v>
      </c>
      <c r="Z14" s="2" t="s">
        <v>26</v>
      </c>
      <c r="AA14" s="11"/>
      <c r="AB14" s="2" t="s">
        <v>8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8"/>
    </row>
    <row r="15">
      <c r="A15" s="13"/>
      <c r="B15" s="17">
        <f>IFERROR(__xludf.DUMMYFUNCTION("FILTER('All data'!B15:AI48, 'All data'!J15:J48 = 30)"),4.0)</f>
        <v>4</v>
      </c>
      <c r="C15" s="18" t="str">
        <f>IFERROR(__xludf.DUMMYFUNCTION("""COMPUTED_VALUE"""),"Male")</f>
        <v>Male</v>
      </c>
      <c r="D15" s="20" t="b">
        <f>IFERROR(__xludf.DUMMYFUNCTION("""COMPUTED_VALUE"""),TRUE)</f>
        <v>1</v>
      </c>
      <c r="E15" s="21" t="str">
        <f>IFERROR(__xludf.DUMMYFUNCTION("""COMPUTED_VALUE"""),"")</f>
        <v/>
      </c>
      <c r="F15" s="17">
        <f>IFERROR(__xludf.DUMMYFUNCTION("""COMPUTED_VALUE"""),4.0)</f>
        <v>4</v>
      </c>
      <c r="G15" s="20" t="b">
        <f>IFERROR(__xludf.DUMMYFUNCTION("""COMPUTED_VALUE"""),TRUE)</f>
        <v>1</v>
      </c>
      <c r="H15" s="18" t="str">
        <f>IFERROR(__xludf.DUMMYFUNCTION("""COMPUTED_VALUE"""),"TheDutchMagikarp")</f>
        <v>TheDutchMagikarp</v>
      </c>
      <c r="I15" s="22">
        <f>IFERROR(__xludf.DUMMYFUNCTION("""COMPUTED_VALUE"""),4.87)</f>
        <v>4.87</v>
      </c>
      <c r="J15" s="23">
        <f>IFERROR(__xludf.DUMMYFUNCTION("""COMPUTED_VALUE"""),30.0)</f>
        <v>30</v>
      </c>
      <c r="K15" s="24">
        <f>IFERROR(__xludf.DUMMYFUNCTION("""COMPUTED_VALUE"""),1.0)</f>
        <v>1</v>
      </c>
      <c r="L15" s="24">
        <f>IFERROR(__xludf.DUMMYFUNCTION("""COMPUTED_VALUE"""),0.5333)</f>
        <v>0.5333</v>
      </c>
      <c r="M15" s="25">
        <f>IFERROR(__xludf.DUMMYFUNCTION("""COMPUTED_VALUE"""),16.0)</f>
        <v>16</v>
      </c>
      <c r="N15" s="25">
        <f>IFERROR(__xludf.DUMMYFUNCTION("""COMPUTED_VALUE"""),16.0)</f>
        <v>16</v>
      </c>
      <c r="O15" s="20" t="b">
        <f>IFERROR(__xludf.DUMMYFUNCTION("""COMPUTED_VALUE"""),TRUE)</f>
        <v>1</v>
      </c>
      <c r="P15" s="22">
        <f>IFERROR(__xludf.DUMMYFUNCTION("""COMPUTED_VALUE"""),39.0)</f>
        <v>39</v>
      </c>
      <c r="Q15" s="21" t="str">
        <f>IFERROR(__xludf.DUMMYFUNCTION("""COMPUTED_VALUE"""),"")</f>
        <v/>
      </c>
      <c r="R15" s="17">
        <f>IFERROR(__xludf.DUMMYFUNCTION("""COMPUTED_VALUE"""),4.0)</f>
        <v>4</v>
      </c>
      <c r="S15" s="18" t="str">
        <f>IFERROR(__xludf.DUMMYFUNCTION("""COMPUTED_VALUE"""),"Satisfied")</f>
        <v>Satisfied</v>
      </c>
      <c r="T15" s="28" t="str">
        <f>IFERROR(__xludf.DUMMYFUNCTION("""COMPUTED_VALUE"""),"I wanted less options")</f>
        <v>I wanted less options</v>
      </c>
      <c r="U15" s="29" t="b">
        <f>IFERROR(__xludf.DUMMYFUNCTION("""COMPUTED_VALUE"""),TRUE)</f>
        <v>1</v>
      </c>
      <c r="V15" s="21" t="str">
        <f>IFERROR(__xludf.DUMMYFUNCTION("""COMPUTED_VALUE"""),"")</f>
        <v/>
      </c>
      <c r="W15" s="17">
        <f>IFERROR(__xludf.DUMMYFUNCTION("""COMPUTED_VALUE"""),4.0)</f>
        <v>4</v>
      </c>
      <c r="X15" s="25">
        <f>IFERROR(__xludf.DUMMYFUNCTION("""COMPUTED_VALUE"""),7.0)</f>
        <v>7</v>
      </c>
      <c r="Y15" s="18" t="str">
        <f>IFERROR(__xludf.DUMMYFUNCTION("""COMPUTED_VALUE"""),"Unpleased")</f>
        <v>Unpleased</v>
      </c>
      <c r="Z15" s="18" t="str">
        <f>IFERROR(__xludf.DUMMYFUNCTION("""COMPUTED_VALUE"""),"Satisfied")</f>
        <v>Satisfied</v>
      </c>
      <c r="AA15" s="30" t="str">
        <f>IFERROR(__xludf.DUMMYFUNCTION("""COMPUTED_VALUE"""),"")</f>
        <v/>
      </c>
      <c r="AB15" s="17">
        <f>IFERROR(__xludf.DUMMYFUNCTION("""COMPUTED_VALUE"""),4.0)</f>
        <v>4</v>
      </c>
      <c r="AC15" s="25">
        <f>IFERROR(__xludf.DUMMYFUNCTION("""COMPUTED_VALUE"""),462.0)</f>
        <v>462</v>
      </c>
      <c r="AD15" s="25">
        <f>IFERROR(__xludf.DUMMYFUNCTION("""COMPUTED_VALUE"""),126.0)</f>
        <v>126</v>
      </c>
      <c r="AE15" s="25">
        <f>IFERROR(__xludf.DUMMYFUNCTION("""COMPUTED_VALUE"""),336.0)</f>
        <v>336</v>
      </c>
      <c r="AF15" s="24">
        <f>IFERROR(__xludf.DUMMYFUNCTION("""COMPUTED_VALUE"""),0.2727)</f>
        <v>0.2727</v>
      </c>
      <c r="AG15" s="25">
        <f>IFERROR(__xludf.DUMMYFUNCTION("""COMPUTED_VALUE"""),28.0)</f>
        <v>28</v>
      </c>
      <c r="AH15" s="22">
        <f>IFERROR(__xludf.DUMMYFUNCTION("""COMPUTED_VALUE"""),45.72)</f>
        <v>45.72</v>
      </c>
      <c r="AI15" s="22">
        <f>IFERROR(__xludf.DUMMYFUNCTION("""COMPUTED_VALUE"""),49.4)</f>
        <v>49.4</v>
      </c>
      <c r="AJ15" s="11"/>
    </row>
    <row r="16">
      <c r="A16" s="31"/>
      <c r="B16" s="17">
        <f>IFERROR(__xludf.DUMMYFUNCTION("""COMPUTED_VALUE"""),10.0)</f>
        <v>10</v>
      </c>
      <c r="C16" s="18" t="str">
        <f>IFERROR(__xludf.DUMMYFUNCTION("""COMPUTED_VALUE"""),"Male")</f>
        <v>Male</v>
      </c>
      <c r="D16" s="18" t="b">
        <f>IFERROR(__xludf.DUMMYFUNCTION("""COMPUTED_VALUE"""),FALSE)</f>
        <v>0</v>
      </c>
      <c r="E16" s="32" t="str">
        <f>IFERROR(__xludf.DUMMYFUNCTION("""COMPUTED_VALUE"""),"")</f>
        <v/>
      </c>
      <c r="F16" s="17">
        <f>IFERROR(__xludf.DUMMYFUNCTION("""COMPUTED_VALUE"""),10.0)</f>
        <v>10</v>
      </c>
      <c r="G16" s="20" t="b">
        <f>IFERROR(__xludf.DUMMYFUNCTION("""COMPUTED_VALUE"""),TRUE)</f>
        <v>1</v>
      </c>
      <c r="H16" s="18" t="str">
        <f>IFERROR(__xludf.DUMMYFUNCTION("""COMPUTED_VALUE"""),"Billy Herrington")</f>
        <v>Billy Herrington</v>
      </c>
      <c r="I16" s="22">
        <f>IFERROR(__xludf.DUMMYFUNCTION("""COMPUTED_VALUE"""),10.11)</f>
        <v>10.11</v>
      </c>
      <c r="J16" s="23">
        <f>IFERROR(__xludf.DUMMYFUNCTION("""COMPUTED_VALUE"""),30.0)</f>
        <v>30</v>
      </c>
      <c r="K16" s="24">
        <f>IFERROR(__xludf.DUMMYFUNCTION("""COMPUTED_VALUE"""),1.0)</f>
        <v>1</v>
      </c>
      <c r="L16" s="24">
        <f>IFERROR(__xludf.DUMMYFUNCTION("""COMPUTED_VALUE"""),1.0)</f>
        <v>1</v>
      </c>
      <c r="M16" s="25">
        <f>IFERROR(__xludf.DUMMYFUNCTION("""COMPUTED_VALUE"""),26.0)</f>
        <v>26</v>
      </c>
      <c r="N16" s="25">
        <f>IFERROR(__xludf.DUMMYFUNCTION("""COMPUTED_VALUE"""),2.0)</f>
        <v>2</v>
      </c>
      <c r="O16" s="18" t="b">
        <f>IFERROR(__xludf.DUMMYFUNCTION("""COMPUTED_VALUE"""),FALSE)</f>
        <v>0</v>
      </c>
      <c r="P16" s="22">
        <f>IFERROR(__xludf.DUMMYFUNCTION("""COMPUTED_VALUE"""),54.58)</f>
        <v>54.58</v>
      </c>
      <c r="Q16" s="32" t="str">
        <f>IFERROR(__xludf.DUMMYFUNCTION("""COMPUTED_VALUE"""),"")</f>
        <v/>
      </c>
      <c r="R16" s="17">
        <f>IFERROR(__xludf.DUMMYFUNCTION("""COMPUTED_VALUE"""),10.0)</f>
        <v>10</v>
      </c>
      <c r="S16" s="18" t="str">
        <f>IFERROR(__xludf.DUMMYFUNCTION("""COMPUTED_VALUE"""),"Satisfied")</f>
        <v>Satisfied</v>
      </c>
      <c r="T16" s="18" t="str">
        <f>IFERROR(__xludf.DUMMYFUNCTION("""COMPUTED_VALUE"""),"I am happy with the amount of options I was given")</f>
        <v>I am happy with the amount of options I was given</v>
      </c>
      <c r="U16" s="20" t="b">
        <f>IFERROR(__xludf.DUMMYFUNCTION("""COMPUTED_VALUE"""),TRUE)</f>
        <v>1</v>
      </c>
      <c r="V16" s="32" t="str">
        <f>IFERROR(__xludf.DUMMYFUNCTION("""COMPUTED_VALUE"""),"")</f>
        <v/>
      </c>
      <c r="W16" s="17">
        <f>IFERROR(__xludf.DUMMYFUNCTION("""COMPUTED_VALUE"""),10.0)</f>
        <v>10</v>
      </c>
      <c r="X16" s="25">
        <f>IFERROR(__xludf.DUMMYFUNCTION("""COMPUTED_VALUE"""),8.0)</f>
        <v>8</v>
      </c>
      <c r="Y16" s="18" t="str">
        <f>IFERROR(__xludf.DUMMYFUNCTION("""COMPUTED_VALUE"""),"Unpleased")</f>
        <v>Unpleased</v>
      </c>
      <c r="Z16" s="18" t="str">
        <f>IFERROR(__xludf.DUMMYFUNCTION("""COMPUTED_VALUE"""),"Satisfied")</f>
        <v>Satisfied</v>
      </c>
      <c r="AA16" s="32" t="str">
        <f>IFERROR(__xludf.DUMMYFUNCTION("""COMPUTED_VALUE"""),"")</f>
        <v/>
      </c>
      <c r="AB16" s="17">
        <f>IFERROR(__xludf.DUMMYFUNCTION("""COMPUTED_VALUE"""),10.0)</f>
        <v>10</v>
      </c>
      <c r="AC16" s="25">
        <f>IFERROR(__xludf.DUMMYFUNCTION("""COMPUTED_VALUE"""),381.0)</f>
        <v>381</v>
      </c>
      <c r="AD16" s="25">
        <f>IFERROR(__xludf.DUMMYFUNCTION("""COMPUTED_VALUE"""),133.0)</f>
        <v>133</v>
      </c>
      <c r="AE16" s="25">
        <f>IFERROR(__xludf.DUMMYFUNCTION("""COMPUTED_VALUE"""),248.0)</f>
        <v>248</v>
      </c>
      <c r="AF16" s="24">
        <f>IFERROR(__xludf.DUMMYFUNCTION("""COMPUTED_VALUE"""),0.3491)</f>
        <v>0.3491</v>
      </c>
      <c r="AG16" s="25">
        <f>IFERROR(__xludf.DUMMYFUNCTION("""COMPUTED_VALUE"""),34.0)</f>
        <v>34</v>
      </c>
      <c r="AH16" s="22">
        <f>IFERROR(__xludf.DUMMYFUNCTION("""COMPUTED_VALUE"""),45.57)</f>
        <v>45.57</v>
      </c>
      <c r="AI16" s="22">
        <f>IFERROR(__xludf.DUMMYFUNCTION("""COMPUTED_VALUE"""),59.71)</f>
        <v>59.71</v>
      </c>
      <c r="AJ16" s="11"/>
    </row>
    <row r="17">
      <c r="A17" s="31"/>
      <c r="B17" s="17">
        <f>IFERROR(__xludf.DUMMYFUNCTION("""COMPUTED_VALUE"""),16.0)</f>
        <v>16</v>
      </c>
      <c r="C17" s="18" t="str">
        <f>IFERROR(__xludf.DUMMYFUNCTION("""COMPUTED_VALUE"""),"Male")</f>
        <v>Male</v>
      </c>
      <c r="D17" s="18" t="b">
        <f>IFERROR(__xludf.DUMMYFUNCTION("""COMPUTED_VALUE"""),TRUE)</f>
        <v>1</v>
      </c>
      <c r="E17" s="32" t="str">
        <f>IFERROR(__xludf.DUMMYFUNCTION("""COMPUTED_VALUE"""),"")</f>
        <v/>
      </c>
      <c r="F17" s="17">
        <f>IFERROR(__xludf.DUMMYFUNCTION("""COMPUTED_VALUE"""),16.0)</f>
        <v>16</v>
      </c>
      <c r="G17" s="20" t="b">
        <f>IFERROR(__xludf.DUMMYFUNCTION("""COMPUTED_VALUE"""),FALSE)</f>
        <v>0</v>
      </c>
      <c r="H17" s="18" t="str">
        <f>IFERROR(__xludf.DUMMYFUNCTION("""COMPUTED_VALUE"""),"John Doe the Great")</f>
        <v>John Doe the Great</v>
      </c>
      <c r="I17" s="22">
        <f>IFERROR(__xludf.DUMMYFUNCTION("""COMPUTED_VALUE"""),0.0)</f>
        <v>0</v>
      </c>
      <c r="J17" s="23">
        <f>IFERROR(__xludf.DUMMYFUNCTION("""COMPUTED_VALUE"""),30.0)</f>
        <v>30</v>
      </c>
      <c r="K17" s="24">
        <f>IFERROR(__xludf.DUMMYFUNCTION("""COMPUTED_VALUE"""),0.3)</f>
        <v>0.3</v>
      </c>
      <c r="L17" s="24">
        <f>IFERROR(__xludf.DUMMYFUNCTION("""COMPUTED_VALUE"""),0.4)</f>
        <v>0.4</v>
      </c>
      <c r="M17" s="25">
        <f>IFERROR(__xludf.DUMMYFUNCTION("""COMPUTED_VALUE"""),24.0)</f>
        <v>24</v>
      </c>
      <c r="N17" s="25">
        <f>IFERROR(__xludf.DUMMYFUNCTION("""COMPUTED_VALUE"""),11.0)</f>
        <v>11</v>
      </c>
      <c r="O17" s="20" t="b">
        <f>IFERROR(__xludf.DUMMYFUNCTION("""COMPUTED_VALUE"""),FALSE)</f>
        <v>0</v>
      </c>
      <c r="P17" s="22">
        <f>IFERROR(__xludf.DUMMYFUNCTION("""COMPUTED_VALUE"""),16.41)</f>
        <v>16.41</v>
      </c>
      <c r="Q17" s="32" t="str">
        <f>IFERROR(__xludf.DUMMYFUNCTION("""COMPUTED_VALUE"""),"")</f>
        <v/>
      </c>
      <c r="R17" s="17">
        <f>IFERROR(__xludf.DUMMYFUNCTION("""COMPUTED_VALUE"""),16.0)</f>
        <v>16</v>
      </c>
      <c r="S17" s="18" t="str">
        <f>IFERROR(__xludf.DUMMYFUNCTION("""COMPUTED_VALUE"""),"Satisfied")</f>
        <v>Satisfied</v>
      </c>
      <c r="T17" s="18" t="str">
        <f>IFERROR(__xludf.DUMMYFUNCTION("""COMPUTED_VALUE"""),"I am happy with the amount of options I was given")</f>
        <v>I am happy with the amount of options I was given</v>
      </c>
      <c r="U17" s="20" t="b">
        <f>IFERROR(__xludf.DUMMYFUNCTION("""COMPUTED_VALUE"""),TRUE)</f>
        <v>1</v>
      </c>
      <c r="V17" s="32" t="str">
        <f>IFERROR(__xludf.DUMMYFUNCTION("""COMPUTED_VALUE"""),"")</f>
        <v/>
      </c>
      <c r="W17" s="17">
        <f>IFERROR(__xludf.DUMMYFUNCTION("""COMPUTED_VALUE"""),16.0)</f>
        <v>16</v>
      </c>
      <c r="X17" s="25">
        <f>IFERROR(__xludf.DUMMYFUNCTION("""COMPUTED_VALUE"""),7.0)</f>
        <v>7</v>
      </c>
      <c r="Y17" s="18" t="str">
        <f>IFERROR(__xludf.DUMMYFUNCTION("""COMPUTED_VALUE"""),"Pleased")</f>
        <v>Pleased</v>
      </c>
      <c r="Z17" s="18" t="str">
        <f>IFERROR(__xludf.DUMMYFUNCTION("""COMPUTED_VALUE"""),"Satisfied")</f>
        <v>Satisfied</v>
      </c>
      <c r="AA17" s="32" t="str">
        <f>IFERROR(__xludf.DUMMYFUNCTION("""COMPUTED_VALUE"""),"")</f>
        <v/>
      </c>
      <c r="AB17" s="17">
        <f>IFERROR(__xludf.DUMMYFUNCTION("""COMPUTED_VALUE"""),16.0)</f>
        <v>16</v>
      </c>
      <c r="AC17" s="25">
        <f>IFERROR(__xludf.DUMMYFUNCTION("""COMPUTED_VALUE"""),372.0)</f>
        <v>372</v>
      </c>
      <c r="AD17" s="25">
        <f>IFERROR(__xludf.DUMMYFUNCTION("""COMPUTED_VALUE"""),115.0)</f>
        <v>115</v>
      </c>
      <c r="AE17" s="25">
        <f>IFERROR(__xludf.DUMMYFUNCTION("""COMPUTED_VALUE"""),257.0)</f>
        <v>257</v>
      </c>
      <c r="AF17" s="24">
        <f>IFERROR(__xludf.DUMMYFUNCTION("""COMPUTED_VALUE"""),0.3091)</f>
        <v>0.3091</v>
      </c>
      <c r="AG17" s="25">
        <f>IFERROR(__xludf.DUMMYFUNCTION("""COMPUTED_VALUE"""),28.0)</f>
        <v>28</v>
      </c>
      <c r="AH17" s="22">
        <f>IFERROR(__xludf.DUMMYFUNCTION("""COMPUTED_VALUE"""),74.18)</f>
        <v>74.18</v>
      </c>
      <c r="AI17" s="22">
        <f>IFERROR(__xludf.DUMMYFUNCTION("""COMPUTED_VALUE"""),58.71)</f>
        <v>58.71</v>
      </c>
      <c r="AJ17" s="11"/>
    </row>
    <row r="18">
      <c r="A18" s="31"/>
      <c r="B18" s="17">
        <f>IFERROR(__xludf.DUMMYFUNCTION("""COMPUTED_VALUE"""),20.0)</f>
        <v>20</v>
      </c>
      <c r="C18" s="18" t="str">
        <f>IFERROR(__xludf.DUMMYFUNCTION("""COMPUTED_VALUE"""),"Male")</f>
        <v>Male</v>
      </c>
      <c r="D18" s="20" t="b">
        <f>IFERROR(__xludf.DUMMYFUNCTION("""COMPUTED_VALUE"""),FALSE)</f>
        <v>0</v>
      </c>
      <c r="E18" s="32" t="str">
        <f>IFERROR(__xludf.DUMMYFUNCTION("""COMPUTED_VALUE"""),"")</f>
        <v/>
      </c>
      <c r="F18" s="17">
        <f>IFERROR(__xludf.DUMMYFUNCTION("""COMPUTED_VALUE"""),20.0)</f>
        <v>20</v>
      </c>
      <c r="G18" s="20" t="b">
        <f>IFERROR(__xludf.DUMMYFUNCTION("""COMPUTED_VALUE"""),FALSE)</f>
        <v>0</v>
      </c>
      <c r="H18" s="18" t="str">
        <f>IFERROR(__xludf.DUMMYFUNCTION("""COMPUTED_VALUE"""),"John Doe the Great")</f>
        <v>John Doe the Great</v>
      </c>
      <c r="I18" s="22">
        <f>IFERROR(__xludf.DUMMYFUNCTION("""COMPUTED_VALUE"""),0.0)</f>
        <v>0</v>
      </c>
      <c r="J18" s="23">
        <f>IFERROR(__xludf.DUMMYFUNCTION("""COMPUTED_VALUE"""),30.0)</f>
        <v>30</v>
      </c>
      <c r="K18" s="24">
        <f>IFERROR(__xludf.DUMMYFUNCTION("""COMPUTED_VALUE"""),0.5333)</f>
        <v>0.5333</v>
      </c>
      <c r="L18" s="24">
        <f>IFERROR(__xludf.DUMMYFUNCTION("""COMPUTED_VALUE"""),0.1333)</f>
        <v>0.1333</v>
      </c>
      <c r="M18" s="25">
        <f>IFERROR(__xludf.DUMMYFUNCTION("""COMPUTED_VALUE"""),16.0)</f>
        <v>16</v>
      </c>
      <c r="N18" s="25">
        <f>IFERROR(__xludf.DUMMYFUNCTION("""COMPUTED_VALUE"""),4.0)</f>
        <v>4</v>
      </c>
      <c r="O18" s="20" t="b">
        <f>IFERROR(__xludf.DUMMYFUNCTION("""COMPUTED_VALUE"""),FALSE)</f>
        <v>0</v>
      </c>
      <c r="P18" s="22">
        <f>IFERROR(__xludf.DUMMYFUNCTION("""COMPUTED_VALUE"""),22.75)</f>
        <v>22.75</v>
      </c>
      <c r="Q18" s="32" t="str">
        <f>IFERROR(__xludf.DUMMYFUNCTION("""COMPUTED_VALUE"""),"")</f>
        <v/>
      </c>
      <c r="R18" s="17">
        <f>IFERROR(__xludf.DUMMYFUNCTION("""COMPUTED_VALUE"""),20.0)</f>
        <v>20</v>
      </c>
      <c r="S18" s="18" t="str">
        <f>IFERROR(__xludf.DUMMYFUNCTION("""COMPUTED_VALUE"""),"Very unsatisfied")</f>
        <v>Very unsatisfied</v>
      </c>
      <c r="T18" s="18" t="str">
        <f>IFERROR(__xludf.DUMMYFUNCTION("""COMPUTED_VALUE"""),"I am happy with the amount of options I was given")</f>
        <v>I am happy with the amount of options I was given</v>
      </c>
      <c r="U18" s="20" t="b">
        <f>IFERROR(__xludf.DUMMYFUNCTION("""COMPUTED_VALUE"""),TRUE)</f>
        <v>1</v>
      </c>
      <c r="V18" s="32" t="str">
        <f>IFERROR(__xludf.DUMMYFUNCTION("""COMPUTED_VALUE"""),"")</f>
        <v/>
      </c>
      <c r="W18" s="17">
        <f>IFERROR(__xludf.DUMMYFUNCTION("""COMPUTED_VALUE"""),20.0)</f>
        <v>20</v>
      </c>
      <c r="X18" s="25">
        <f>IFERROR(__xludf.DUMMYFUNCTION("""COMPUTED_VALUE"""),9.0)</f>
        <v>9</v>
      </c>
      <c r="Y18" s="18" t="str">
        <f>IFERROR(__xludf.DUMMYFUNCTION("""COMPUTED_VALUE"""),"Very unpleased")</f>
        <v>Very unpleased</v>
      </c>
      <c r="Z18" s="18" t="str">
        <f>IFERROR(__xludf.DUMMYFUNCTION("""COMPUTED_VALUE"""),"Very satisfied")</f>
        <v>Very satisfied</v>
      </c>
      <c r="AA18" s="32" t="str">
        <f>IFERROR(__xludf.DUMMYFUNCTION("""COMPUTED_VALUE"""),"")</f>
        <v/>
      </c>
      <c r="AB18" s="17">
        <f>IFERROR(__xludf.DUMMYFUNCTION("""COMPUTED_VALUE"""),20.0)</f>
        <v>20</v>
      </c>
      <c r="AC18" s="25">
        <f>IFERROR(__xludf.DUMMYFUNCTION("""COMPUTED_VALUE"""),344.0)</f>
        <v>344</v>
      </c>
      <c r="AD18" s="25">
        <f>IFERROR(__xludf.DUMMYFUNCTION("""COMPUTED_VALUE"""),40.0)</f>
        <v>40</v>
      </c>
      <c r="AE18" s="25">
        <f>IFERROR(__xludf.DUMMYFUNCTION("""COMPUTED_VALUE"""),304.0)</f>
        <v>304</v>
      </c>
      <c r="AF18" s="24">
        <f>IFERROR(__xludf.DUMMYFUNCTION("""COMPUTED_VALUE"""),0.1163)</f>
        <v>0.1163</v>
      </c>
      <c r="AG18" s="25">
        <f>IFERROR(__xludf.DUMMYFUNCTION("""COMPUTED_VALUE"""),7.0)</f>
        <v>7</v>
      </c>
      <c r="AH18" s="22">
        <f>IFERROR(__xludf.DUMMYFUNCTION("""COMPUTED_VALUE"""),38.81)</f>
        <v>38.81</v>
      </c>
      <c r="AI18" s="22">
        <f>IFERROR(__xludf.DUMMYFUNCTION("""COMPUTED_VALUE"""),8.75)</f>
        <v>8.75</v>
      </c>
      <c r="AJ18" s="11"/>
    </row>
    <row r="19">
      <c r="A19" s="31"/>
      <c r="B19" s="17">
        <f>IFERROR(__xludf.DUMMYFUNCTION("""COMPUTED_VALUE"""),23.0)</f>
        <v>23</v>
      </c>
      <c r="C19" s="18" t="str">
        <f>IFERROR(__xludf.DUMMYFUNCTION("""COMPUTED_VALUE"""),"Male")</f>
        <v>Male</v>
      </c>
      <c r="D19" s="20" t="b">
        <f>IFERROR(__xludf.DUMMYFUNCTION("""COMPUTED_VALUE"""),FALSE)</f>
        <v>0</v>
      </c>
      <c r="E19" s="32" t="str">
        <f>IFERROR(__xludf.DUMMYFUNCTION("""COMPUTED_VALUE"""),"")</f>
        <v/>
      </c>
      <c r="F19" s="17">
        <f>IFERROR(__xludf.DUMMYFUNCTION("""COMPUTED_VALUE"""),23.0)</f>
        <v>23</v>
      </c>
      <c r="G19" s="20" t="b">
        <f>IFERROR(__xludf.DUMMYFUNCTION("""COMPUTED_VALUE"""),FALSE)</f>
        <v>0</v>
      </c>
      <c r="H19" s="18" t="str">
        <f>IFERROR(__xludf.DUMMYFUNCTION("""COMPUTED_VALUE"""),"John Doe the Great")</f>
        <v>John Doe the Great</v>
      </c>
      <c r="I19" s="22">
        <f>IFERROR(__xludf.DUMMYFUNCTION("""COMPUTED_VALUE"""),0.0)</f>
        <v>0</v>
      </c>
      <c r="J19" s="23">
        <f>IFERROR(__xludf.DUMMYFUNCTION("""COMPUTED_VALUE"""),30.0)</f>
        <v>30</v>
      </c>
      <c r="K19" s="24">
        <f>IFERROR(__xludf.DUMMYFUNCTION("""COMPUTED_VALUE"""),0.0667)</f>
        <v>0.0667</v>
      </c>
      <c r="L19" s="24">
        <f>IFERROR(__xludf.DUMMYFUNCTION("""COMPUTED_VALUE"""),0.0667)</f>
        <v>0.0667</v>
      </c>
      <c r="M19" s="25">
        <f>IFERROR(__xludf.DUMMYFUNCTION("""COMPUTED_VALUE"""),2.0)</f>
        <v>2</v>
      </c>
      <c r="N19" s="25">
        <f>IFERROR(__xludf.DUMMYFUNCTION("""COMPUTED_VALUE"""),2.0)</f>
        <v>2</v>
      </c>
      <c r="O19" s="20" t="b">
        <f>IFERROR(__xludf.DUMMYFUNCTION("""COMPUTED_VALUE"""),TRUE)</f>
        <v>1</v>
      </c>
      <c r="P19" s="22">
        <f>IFERROR(__xludf.DUMMYFUNCTION("""COMPUTED_VALUE"""),19.92)</f>
        <v>19.92</v>
      </c>
      <c r="Q19" s="32" t="str">
        <f>IFERROR(__xludf.DUMMYFUNCTION("""COMPUTED_VALUE"""),"")</f>
        <v/>
      </c>
      <c r="R19" s="17">
        <f>IFERROR(__xludf.DUMMYFUNCTION("""COMPUTED_VALUE"""),23.0)</f>
        <v>23</v>
      </c>
      <c r="S19" s="18" t="str">
        <f>IFERROR(__xludf.DUMMYFUNCTION("""COMPUTED_VALUE"""),"Satisfied")</f>
        <v>Satisfied</v>
      </c>
      <c r="T19" s="18" t="str">
        <f>IFERROR(__xludf.DUMMYFUNCTION("""COMPUTED_VALUE"""),"I am happy with the amount of options I was given")</f>
        <v>I am happy with the amount of options I was given</v>
      </c>
      <c r="U19" s="20" t="b">
        <f>IFERROR(__xludf.DUMMYFUNCTION("""COMPUTED_VALUE"""),TRUE)</f>
        <v>1</v>
      </c>
      <c r="V19" s="32" t="str">
        <f>IFERROR(__xludf.DUMMYFUNCTION("""COMPUTED_VALUE"""),"")</f>
        <v/>
      </c>
      <c r="W19" s="17">
        <f>IFERROR(__xludf.DUMMYFUNCTION("""COMPUTED_VALUE"""),23.0)</f>
        <v>23</v>
      </c>
      <c r="X19" s="25">
        <f>IFERROR(__xludf.DUMMYFUNCTION("""COMPUTED_VALUE"""),10.0)</f>
        <v>10</v>
      </c>
      <c r="Y19" s="18" t="str">
        <f>IFERROR(__xludf.DUMMYFUNCTION("""COMPUTED_VALUE"""),"Pleased")</f>
        <v>Pleased</v>
      </c>
      <c r="Z19" s="18" t="str">
        <f>IFERROR(__xludf.DUMMYFUNCTION("""COMPUTED_VALUE"""),"Satisfied")</f>
        <v>Satisfied</v>
      </c>
      <c r="AA19" s="32" t="str">
        <f>IFERROR(__xludf.DUMMYFUNCTION("""COMPUTED_VALUE"""),"")</f>
        <v/>
      </c>
      <c r="AB19" s="17">
        <f>IFERROR(__xludf.DUMMYFUNCTION("""COMPUTED_VALUE"""),23.0)</f>
        <v>23</v>
      </c>
      <c r="AC19" s="25">
        <f>IFERROR(__xludf.DUMMYFUNCTION("""COMPUTED_VALUE"""),141.0)</f>
        <v>141</v>
      </c>
      <c r="AD19" s="25">
        <f>IFERROR(__xludf.DUMMYFUNCTION("""COMPUTED_VALUE"""),35.0)</f>
        <v>35</v>
      </c>
      <c r="AE19" s="25">
        <f>IFERROR(__xludf.DUMMYFUNCTION("""COMPUTED_VALUE"""),106.0)</f>
        <v>106</v>
      </c>
      <c r="AF19" s="24">
        <f>IFERROR(__xludf.DUMMYFUNCTION("""COMPUTED_VALUE"""),0.2482)</f>
        <v>0.2482</v>
      </c>
      <c r="AG19" s="25">
        <f>IFERROR(__xludf.DUMMYFUNCTION("""COMPUTED_VALUE"""),7.0)</f>
        <v>7</v>
      </c>
      <c r="AH19" s="22">
        <f>IFERROR(__xludf.DUMMYFUNCTION("""COMPUTED_VALUE"""),19.42)</f>
        <v>19.42</v>
      </c>
      <c r="AI19" s="22">
        <f>IFERROR(__xludf.DUMMYFUNCTION("""COMPUTED_VALUE"""),18.3)</f>
        <v>18.3</v>
      </c>
      <c r="AJ19" s="11"/>
    </row>
    <row r="20">
      <c r="A20" s="1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11"/>
    </row>
    <row r="21">
      <c r="A21" s="34"/>
      <c r="B21" s="35"/>
      <c r="C21" s="35"/>
      <c r="E21" s="33"/>
      <c r="F21" s="33"/>
      <c r="G21" s="33"/>
      <c r="H21" s="37" t="s">
        <v>62</v>
      </c>
      <c r="I21" s="38">
        <f>MEDIAN(I15:I19)</f>
        <v>0</v>
      </c>
      <c r="J21" s="39"/>
      <c r="K21" s="40">
        <f t="shared" ref="K21:L21" si="1">MEDIAN(K15:K19)</f>
        <v>0.5333</v>
      </c>
      <c r="L21" s="40">
        <f t="shared" si="1"/>
        <v>0.4</v>
      </c>
      <c r="M21" s="33"/>
      <c r="N21" s="33"/>
      <c r="O21" s="37" t="s">
        <v>62</v>
      </c>
      <c r="P21" s="38">
        <f>MEDIAN(P15:P19)</f>
        <v>22.75</v>
      </c>
      <c r="Q21" s="33"/>
      <c r="R21" s="33"/>
      <c r="S21" s="33"/>
      <c r="T21" s="33"/>
      <c r="U21" s="33"/>
      <c r="V21" s="33"/>
      <c r="W21" s="37" t="s">
        <v>62</v>
      </c>
      <c r="X21" s="39">
        <f>MEDIAN(X15:X19)</f>
        <v>8</v>
      </c>
      <c r="Y21" s="33"/>
      <c r="Z21" s="33"/>
      <c r="AA21" s="33"/>
      <c r="AB21" s="37" t="s">
        <v>62</v>
      </c>
      <c r="AC21" s="39">
        <f t="shared" ref="AC21:AI21" si="2">MEDIAN(AC15:AC19)</f>
        <v>372</v>
      </c>
      <c r="AD21" s="39">
        <f t="shared" si="2"/>
        <v>115</v>
      </c>
      <c r="AE21" s="39">
        <f t="shared" si="2"/>
        <v>257</v>
      </c>
      <c r="AF21" s="40">
        <f t="shared" si="2"/>
        <v>0.2727</v>
      </c>
      <c r="AG21" s="39">
        <f t="shared" si="2"/>
        <v>28</v>
      </c>
      <c r="AH21" s="38">
        <f t="shared" si="2"/>
        <v>45.57</v>
      </c>
      <c r="AI21" s="38">
        <f t="shared" si="2"/>
        <v>49.4</v>
      </c>
      <c r="AJ21" s="11"/>
    </row>
    <row r="22">
      <c r="A22" s="11"/>
      <c r="B22" s="35"/>
      <c r="C22" s="35"/>
      <c r="E22" s="33"/>
      <c r="F22" s="33"/>
      <c r="G22" s="33"/>
      <c r="H22" s="37" t="s">
        <v>65</v>
      </c>
      <c r="I22" s="38">
        <f>AVERAGE(I15:I19)</f>
        <v>2.996</v>
      </c>
      <c r="J22" s="38"/>
      <c r="K22" s="40">
        <f t="shared" ref="K22:L22" si="3">AVERAGE(K15:K19)</f>
        <v>0.58</v>
      </c>
      <c r="L22" s="40">
        <f t="shared" si="3"/>
        <v>0.42666</v>
      </c>
      <c r="M22" s="45"/>
      <c r="N22" s="45"/>
      <c r="O22" s="37" t="s">
        <v>65</v>
      </c>
      <c r="P22" s="38">
        <f>AVERAGE(P15:P19)</f>
        <v>30.532</v>
      </c>
      <c r="Q22" s="33"/>
      <c r="R22" s="33"/>
      <c r="S22" s="33"/>
      <c r="T22" s="33"/>
      <c r="U22" s="33"/>
      <c r="V22" s="33"/>
      <c r="W22" s="37" t="s">
        <v>65</v>
      </c>
      <c r="X22" s="38">
        <f>AVERAGE(X15:X19)</f>
        <v>8.2</v>
      </c>
      <c r="Y22" s="33"/>
      <c r="Z22" s="33"/>
      <c r="AA22" s="33"/>
      <c r="AB22" s="37" t="s">
        <v>65</v>
      </c>
      <c r="AC22" s="38">
        <f t="shared" ref="AC22:AI22" si="4">AVERAGE(AC15:AC19)</f>
        <v>340</v>
      </c>
      <c r="AD22" s="38">
        <f t="shared" si="4"/>
        <v>89.8</v>
      </c>
      <c r="AE22" s="38">
        <f t="shared" si="4"/>
        <v>250.2</v>
      </c>
      <c r="AF22" s="40">
        <f t="shared" si="4"/>
        <v>0.25908</v>
      </c>
      <c r="AG22" s="38">
        <f t="shared" si="4"/>
        <v>20.8</v>
      </c>
      <c r="AH22" s="38">
        <f t="shared" si="4"/>
        <v>44.74</v>
      </c>
      <c r="AI22" s="38">
        <f t="shared" si="4"/>
        <v>38.974</v>
      </c>
      <c r="AJ22" s="11"/>
    </row>
    <row r="23">
      <c r="A23" s="11"/>
      <c r="B23" s="11"/>
      <c r="C23" s="35"/>
      <c r="E23" s="11"/>
      <c r="F23" s="11"/>
      <c r="G23" s="11"/>
      <c r="H23" s="37" t="s">
        <v>68</v>
      </c>
      <c r="I23" s="38">
        <f>STDEV(I15:I19)</f>
        <v>4.501358684</v>
      </c>
      <c r="K23" s="40">
        <f t="shared" ref="K23:L23" si="5">STDEV(K15:K19)</f>
        <v>0.4173900394</v>
      </c>
      <c r="L23" s="40">
        <f t="shared" si="5"/>
        <v>0.3729721478</v>
      </c>
      <c r="M23" s="11"/>
      <c r="N23" s="11"/>
      <c r="O23" s="37" t="s">
        <v>68</v>
      </c>
      <c r="P23" s="38">
        <f>STDEV(P15:P19)</f>
        <v>15.98920167</v>
      </c>
      <c r="Q23" s="11"/>
      <c r="R23" s="11"/>
      <c r="S23" s="11"/>
      <c r="T23" s="11"/>
      <c r="U23" s="11"/>
      <c r="V23" s="11"/>
      <c r="W23" s="37" t="s">
        <v>68</v>
      </c>
      <c r="X23" s="38">
        <f>STDEV(X15:X19)</f>
        <v>1.303840481</v>
      </c>
      <c r="Y23" s="11"/>
      <c r="Z23" s="11"/>
      <c r="AA23" s="11"/>
      <c r="AB23" s="37" t="s">
        <v>68</v>
      </c>
      <c r="AC23" s="38">
        <f t="shared" ref="AC23:AI23" si="6">STDEV(AC15:AC19)</f>
        <v>119.5888791</v>
      </c>
      <c r="AD23" s="38">
        <f t="shared" si="6"/>
        <v>48.20477155</v>
      </c>
      <c r="AE23" s="38">
        <f t="shared" si="6"/>
        <v>88.17709453</v>
      </c>
      <c r="AF23" s="40">
        <f t="shared" si="6"/>
        <v>0.08845282358</v>
      </c>
      <c r="AG23" s="38">
        <f t="shared" si="6"/>
        <v>12.83354978</v>
      </c>
      <c r="AH23" s="38">
        <f t="shared" si="6"/>
        <v>19.65089184</v>
      </c>
      <c r="AI23" s="38">
        <f t="shared" si="6"/>
        <v>23.81752149</v>
      </c>
      <c r="AJ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38">
      <c r="A38" s="49"/>
    </row>
  </sheetData>
  <mergeCells count="10">
    <mergeCell ref="G11:P12"/>
    <mergeCell ref="C11:D12"/>
    <mergeCell ref="C22:D22"/>
    <mergeCell ref="C23:D23"/>
    <mergeCell ref="S11:U12"/>
    <mergeCell ref="H6:H7"/>
    <mergeCell ref="A5:G8"/>
    <mergeCell ref="AC11:AJ12"/>
    <mergeCell ref="C21:D21"/>
    <mergeCell ref="X11:Z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5.71"/>
    <col customWidth="1" min="3" max="3" width="12.57"/>
    <col customWidth="1" min="4" max="4" width="26.29"/>
    <col customWidth="1" min="5" max="5" width="4.57"/>
    <col customWidth="1" min="6" max="6" width="7.43"/>
    <col customWidth="1" min="7" max="7" width="19.86"/>
    <col customWidth="1" min="8" max="8" width="37.57"/>
    <col customWidth="1" min="9" max="9" width="22.29"/>
    <col customWidth="1" min="10" max="10" width="20.71"/>
    <col customWidth="1" min="11" max="11" width="16.86"/>
    <col customWidth="1" min="12" max="12" width="17.86"/>
    <col customWidth="1" min="13" max="13" width="14.14"/>
    <col customWidth="1" min="14" max="14" width="14.0"/>
    <col customWidth="1" min="15" max="15" width="15.29"/>
    <col customWidth="1" min="16" max="16" width="25.57"/>
    <col customWidth="1" min="17" max="17" width="5.29"/>
    <col customWidth="1" min="18" max="18" width="6.0"/>
    <col customWidth="1" min="19" max="19" width="26.0"/>
    <col customWidth="1" min="20" max="20" width="76.43"/>
    <col customWidth="1" min="21" max="21" width="22.29"/>
    <col customWidth="1" min="22" max="22" width="4.57"/>
    <col customWidth="1" min="23" max="23" width="6.43"/>
    <col customWidth="1" min="24" max="24" width="18.71"/>
    <col customWidth="1" min="25" max="25" width="24.57"/>
    <col customWidth="1" min="26" max="26" width="25.14"/>
    <col customWidth="1" min="27" max="27" width="4.86"/>
    <col customWidth="1" min="28" max="28" width="6.0"/>
    <col customWidth="1" min="29" max="29" width="14.57"/>
    <col customWidth="1" min="30" max="30" width="15.14"/>
    <col customWidth="1" min="31" max="31" width="20.29"/>
    <col customWidth="1" min="32" max="32" width="21.57"/>
    <col customWidth="1" min="33" max="33" width="15.0"/>
    <col customWidth="1" min="34" max="34" width="25.14"/>
    <col customWidth="1" min="35" max="35" width="25.43"/>
    <col customWidth="1" min="36" max="36" width="4.57"/>
  </cols>
  <sheetData>
    <row r="1">
      <c r="A1" s="1"/>
      <c r="B1" s="2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2"/>
      <c r="S1" s="2"/>
      <c r="T1" s="2"/>
      <c r="U1" s="2"/>
      <c r="V1" s="1"/>
      <c r="W1" s="2"/>
      <c r="X1" s="2"/>
      <c r="Y1" s="2"/>
      <c r="Z1" s="2"/>
      <c r="AA1" s="1"/>
      <c r="AB1" s="2"/>
      <c r="AC1" s="2"/>
      <c r="AD1" s="2"/>
      <c r="AE1" s="2"/>
      <c r="AF1" s="2"/>
      <c r="AG1" s="2"/>
      <c r="AH1" s="2"/>
      <c r="AI1" s="2"/>
      <c r="AJ1" s="3"/>
    </row>
    <row r="2">
      <c r="A2" s="1"/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2"/>
      <c r="T2" s="2"/>
      <c r="U2" s="2"/>
      <c r="V2" s="1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3"/>
    </row>
    <row r="3">
      <c r="A3" s="1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3"/>
    </row>
    <row r="4">
      <c r="A4" s="1"/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1"/>
      <c r="W4" s="2"/>
      <c r="X4" s="2"/>
      <c r="Y4" s="2"/>
      <c r="Z4" s="2"/>
      <c r="AA4" s="1"/>
      <c r="AB4" s="2"/>
      <c r="AC4" s="2"/>
      <c r="AD4" s="2"/>
      <c r="AE4" s="2"/>
      <c r="AF4" s="2"/>
      <c r="AG4" s="2"/>
      <c r="AH4" s="2"/>
      <c r="AI4" s="2"/>
      <c r="AJ4" s="3"/>
    </row>
    <row r="5">
      <c r="A5" s="4" t="s">
        <v>1</v>
      </c>
      <c r="H5" s="5"/>
      <c r="I5" s="5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1"/>
      <c r="W5" s="2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3"/>
    </row>
    <row r="6">
      <c r="H6" s="6">
        <f>COUNTA(B15:B19)</f>
        <v>5</v>
      </c>
      <c r="I6" s="5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1"/>
      <c r="W6" s="2"/>
      <c r="X6" s="2"/>
      <c r="Y6" s="2"/>
      <c r="Z6" s="2"/>
      <c r="AA6" s="1"/>
      <c r="AB6" s="2"/>
      <c r="AC6" s="2"/>
      <c r="AD6" s="2"/>
      <c r="AE6" s="2"/>
      <c r="AF6" s="2"/>
      <c r="AG6" s="2"/>
      <c r="AH6" s="2"/>
      <c r="AI6" s="2"/>
      <c r="AJ6" s="3"/>
    </row>
    <row r="7">
      <c r="I7" s="5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1"/>
      <c r="W7" s="2"/>
      <c r="X7" s="2"/>
      <c r="Y7" s="2"/>
      <c r="Z7" s="2"/>
      <c r="AA7" s="1"/>
      <c r="AB7" s="2"/>
      <c r="AC7" s="2"/>
      <c r="AD7" s="2"/>
      <c r="AE7" s="2"/>
      <c r="AF7" s="2"/>
      <c r="AG7" s="2"/>
      <c r="AH7" s="2"/>
      <c r="AI7" s="2"/>
      <c r="AJ7" s="3"/>
    </row>
    <row r="8">
      <c r="H8" s="5"/>
      <c r="I8" s="5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1"/>
      <c r="W8" s="2"/>
      <c r="X8" s="2"/>
      <c r="Y8" s="2"/>
      <c r="Z8" s="2"/>
      <c r="AA8" s="1"/>
      <c r="AB8" s="2"/>
      <c r="AC8" s="2"/>
      <c r="AD8" s="2"/>
      <c r="AE8" s="2"/>
      <c r="AF8" s="2"/>
      <c r="AG8" s="2"/>
      <c r="AH8" s="2"/>
      <c r="AI8" s="2"/>
      <c r="AJ8" s="3"/>
    </row>
    <row r="9">
      <c r="A9" s="1"/>
      <c r="B9" s="2"/>
      <c r="C9" s="2"/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1"/>
      <c r="W9" s="2"/>
      <c r="X9" s="2"/>
      <c r="Y9" s="2"/>
      <c r="Z9" s="2"/>
      <c r="AA9" s="1"/>
      <c r="AB9" s="2"/>
      <c r="AC9" s="2"/>
      <c r="AD9" s="2"/>
      <c r="AE9" s="2"/>
      <c r="AF9" s="2"/>
      <c r="AG9" s="2"/>
      <c r="AH9" s="2"/>
      <c r="AI9" s="2"/>
      <c r="AJ9" s="3"/>
    </row>
    <row r="10">
      <c r="A10" s="7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5"/>
      <c r="S10" s="5"/>
      <c r="T10" s="5"/>
      <c r="U10" s="5"/>
      <c r="V10" s="7"/>
      <c r="W10" s="5"/>
      <c r="X10" s="5"/>
      <c r="Y10" s="5"/>
      <c r="Z10" s="5"/>
      <c r="AA10" s="7"/>
      <c r="AB10" s="5"/>
      <c r="AC10" s="5"/>
      <c r="AD10" s="5"/>
      <c r="AE10" s="5"/>
      <c r="AF10" s="5"/>
      <c r="AG10" s="5"/>
      <c r="AH10" s="5"/>
      <c r="AI10" s="5"/>
      <c r="AJ10" s="8"/>
    </row>
    <row r="11">
      <c r="A11" s="7"/>
      <c r="B11" s="9"/>
      <c r="C11" s="9" t="s">
        <v>3</v>
      </c>
      <c r="E11" s="7"/>
      <c r="F11" s="9"/>
      <c r="G11" s="9" t="s">
        <v>4</v>
      </c>
      <c r="Q11" s="7"/>
      <c r="R11" s="9"/>
      <c r="S11" s="9" t="s">
        <v>5</v>
      </c>
      <c r="V11" s="7"/>
      <c r="W11" s="9"/>
      <c r="X11" s="9" t="s">
        <v>6</v>
      </c>
      <c r="AA11" s="7"/>
      <c r="AB11" s="9"/>
      <c r="AC11" s="9" t="s">
        <v>7</v>
      </c>
    </row>
    <row r="12">
      <c r="A12" s="7"/>
      <c r="B12" s="9"/>
      <c r="E12" s="7"/>
      <c r="F12" s="9"/>
      <c r="Q12" s="7"/>
      <c r="R12" s="9"/>
      <c r="V12" s="7"/>
      <c r="W12" s="9"/>
      <c r="AA12" s="7"/>
      <c r="AB12" s="9"/>
    </row>
    <row r="13">
      <c r="A13" s="7"/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  <c r="R13" s="5"/>
      <c r="S13" s="5"/>
      <c r="T13" s="5"/>
      <c r="U13" s="5"/>
      <c r="V13" s="7"/>
      <c r="W13" s="5"/>
      <c r="X13" s="5"/>
      <c r="Y13" s="5"/>
      <c r="Z13" s="5"/>
      <c r="AA13" s="7"/>
      <c r="AB13" s="5"/>
      <c r="AC13" s="5"/>
      <c r="AD13" s="5"/>
      <c r="AE13" s="5"/>
      <c r="AF13" s="5"/>
      <c r="AG13" s="5"/>
      <c r="AH13" s="5"/>
      <c r="AI13" s="5"/>
      <c r="AJ13" s="8"/>
    </row>
    <row r="14">
      <c r="A14" s="7"/>
      <c r="B14" s="2" t="s">
        <v>8</v>
      </c>
      <c r="C14" s="2" t="s">
        <v>9</v>
      </c>
      <c r="D14" s="2" t="s">
        <v>10</v>
      </c>
      <c r="E14" s="7"/>
      <c r="F14" s="2" t="s">
        <v>8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7"/>
      <c r="R14" s="2" t="s">
        <v>8</v>
      </c>
      <c r="S14" s="2" t="s">
        <v>21</v>
      </c>
      <c r="T14" s="2" t="s">
        <v>22</v>
      </c>
      <c r="U14" s="2" t="s">
        <v>23</v>
      </c>
      <c r="V14" s="7"/>
      <c r="W14" s="2" t="s">
        <v>8</v>
      </c>
      <c r="X14" s="2" t="s">
        <v>24</v>
      </c>
      <c r="Y14" s="2" t="s">
        <v>25</v>
      </c>
      <c r="Z14" s="2" t="s">
        <v>26</v>
      </c>
      <c r="AA14" s="11"/>
      <c r="AB14" s="2" t="s">
        <v>8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8"/>
    </row>
    <row r="15">
      <c r="A15" s="13"/>
      <c r="B15" s="17">
        <f>IFERROR(__xludf.DUMMYFUNCTION("FILTER('All data'!B15:AI48, 'All data'!J15:J48 = 45)"),5.0)</f>
        <v>5</v>
      </c>
      <c r="C15" s="18" t="str">
        <f>IFERROR(__xludf.DUMMYFUNCTION("""COMPUTED_VALUE"""),"Male")</f>
        <v>Male</v>
      </c>
      <c r="D15" s="20" t="b">
        <f>IFERROR(__xludf.DUMMYFUNCTION("""COMPUTED_VALUE"""),TRUE)</f>
        <v>1</v>
      </c>
      <c r="E15" s="21" t="str">
        <f>IFERROR(__xludf.DUMMYFUNCTION("""COMPUTED_VALUE"""),"")</f>
        <v/>
      </c>
      <c r="F15" s="17">
        <f>IFERROR(__xludf.DUMMYFUNCTION("""COMPUTED_VALUE"""),5.0)</f>
        <v>5</v>
      </c>
      <c r="G15" s="20" t="b">
        <f>IFERROR(__xludf.DUMMYFUNCTION("""COMPUTED_VALUE"""),TRUE)</f>
        <v>1</v>
      </c>
      <c r="H15" s="18" t="str">
        <f>IFERROR(__xludf.DUMMYFUNCTION("""COMPUTED_VALUE"""),"Don")</f>
        <v>Don</v>
      </c>
      <c r="I15" s="22">
        <f>IFERROR(__xludf.DUMMYFUNCTION("""COMPUTED_VALUE"""),15.98)</f>
        <v>15.98</v>
      </c>
      <c r="J15" s="23">
        <f>IFERROR(__xludf.DUMMYFUNCTION("""COMPUTED_VALUE"""),45.0)</f>
        <v>45</v>
      </c>
      <c r="K15" s="24">
        <f>IFERROR(__xludf.DUMMYFUNCTION("""COMPUTED_VALUE"""),0.6889)</f>
        <v>0.6889</v>
      </c>
      <c r="L15" s="24">
        <f>IFERROR(__xludf.DUMMYFUNCTION("""COMPUTED_VALUE"""),0.6667)</f>
        <v>0.6667</v>
      </c>
      <c r="M15" s="25">
        <f>IFERROR(__xludf.DUMMYFUNCTION("""COMPUTED_VALUE"""),30.0)</f>
        <v>30</v>
      </c>
      <c r="N15" s="25">
        <f>IFERROR(__xludf.DUMMYFUNCTION("""COMPUTED_VALUE"""),30.0)</f>
        <v>30</v>
      </c>
      <c r="O15" s="20" t="b">
        <f>IFERROR(__xludf.DUMMYFUNCTION("""COMPUTED_VALUE"""),TRUE)</f>
        <v>1</v>
      </c>
      <c r="P15" s="22">
        <f>IFERROR(__xludf.DUMMYFUNCTION("""COMPUTED_VALUE"""),49.23)</f>
        <v>49.23</v>
      </c>
      <c r="Q15" s="21" t="str">
        <f>IFERROR(__xludf.DUMMYFUNCTION("""COMPUTED_VALUE"""),"")</f>
        <v/>
      </c>
      <c r="R15" s="17">
        <f>IFERROR(__xludf.DUMMYFUNCTION("""COMPUTED_VALUE"""),5.0)</f>
        <v>5</v>
      </c>
      <c r="S15" s="18" t="str">
        <f>IFERROR(__xludf.DUMMYFUNCTION("""COMPUTED_VALUE"""),"Satisfied")</f>
        <v>Satisfied</v>
      </c>
      <c r="T15" s="28" t="str">
        <f>IFERROR(__xludf.DUMMYFUNCTION("""COMPUTED_VALUE"""),"I am happy with the amount of options I was given")</f>
        <v>I am happy with the amount of options I was given</v>
      </c>
      <c r="U15" s="29" t="b">
        <f>IFERROR(__xludf.DUMMYFUNCTION("""COMPUTED_VALUE"""),TRUE)</f>
        <v>1</v>
      </c>
      <c r="V15" s="21" t="str">
        <f>IFERROR(__xludf.DUMMYFUNCTION("""COMPUTED_VALUE"""),"")</f>
        <v/>
      </c>
      <c r="W15" s="17">
        <f>IFERROR(__xludf.DUMMYFUNCTION("""COMPUTED_VALUE"""),5.0)</f>
        <v>5</v>
      </c>
      <c r="X15" s="25">
        <f>IFERROR(__xludf.DUMMYFUNCTION("""COMPUTED_VALUE"""),7.0)</f>
        <v>7</v>
      </c>
      <c r="Y15" s="18" t="str">
        <f>IFERROR(__xludf.DUMMYFUNCTION("""COMPUTED_VALUE"""),"Very pleased")</f>
        <v>Very pleased</v>
      </c>
      <c r="Z15" s="18" t="str">
        <f>IFERROR(__xludf.DUMMYFUNCTION("""COMPUTED_VALUE"""),"Satisfied")</f>
        <v>Satisfied</v>
      </c>
      <c r="AA15" s="30" t="str">
        <f>IFERROR(__xludf.DUMMYFUNCTION("""COMPUTED_VALUE"""),"")</f>
        <v/>
      </c>
      <c r="AB15" s="17">
        <f>IFERROR(__xludf.DUMMYFUNCTION("""COMPUTED_VALUE"""),5.0)</f>
        <v>5</v>
      </c>
      <c r="AC15" s="25">
        <f>IFERROR(__xludf.DUMMYFUNCTION("""COMPUTED_VALUE"""),436.0)</f>
        <v>436</v>
      </c>
      <c r="AD15" s="25">
        <f>IFERROR(__xludf.DUMMYFUNCTION("""COMPUTED_VALUE"""),121.0)</f>
        <v>121</v>
      </c>
      <c r="AE15" s="25">
        <f>IFERROR(__xludf.DUMMYFUNCTION("""COMPUTED_VALUE"""),315.0)</f>
        <v>315</v>
      </c>
      <c r="AF15" s="24">
        <f>IFERROR(__xludf.DUMMYFUNCTION("""COMPUTED_VALUE"""),0.2775)</f>
        <v>0.2775</v>
      </c>
      <c r="AG15" s="25">
        <f>IFERROR(__xludf.DUMMYFUNCTION("""COMPUTED_VALUE"""),30.0)</f>
        <v>30</v>
      </c>
      <c r="AH15" s="22">
        <f>IFERROR(__xludf.DUMMYFUNCTION("""COMPUTED_VALUE"""),23.26)</f>
        <v>23.26</v>
      </c>
      <c r="AI15" s="22">
        <f>IFERROR(__xludf.DUMMYFUNCTION("""COMPUTED_VALUE"""),80.41)</f>
        <v>80.41</v>
      </c>
      <c r="AJ15" s="11"/>
    </row>
    <row r="16">
      <c r="A16" s="31"/>
      <c r="B16" s="17">
        <f>IFERROR(__xludf.DUMMYFUNCTION("""COMPUTED_VALUE"""),11.0)</f>
        <v>11</v>
      </c>
      <c r="C16" s="18" t="str">
        <f>IFERROR(__xludf.DUMMYFUNCTION("""COMPUTED_VALUE"""),"Male")</f>
        <v>Male</v>
      </c>
      <c r="D16" s="18" t="b">
        <f>IFERROR(__xludf.DUMMYFUNCTION("""COMPUTED_VALUE"""),FALSE)</f>
        <v>0</v>
      </c>
      <c r="E16" s="32" t="str">
        <f>IFERROR(__xludf.DUMMYFUNCTION("""COMPUTED_VALUE"""),"")</f>
        <v/>
      </c>
      <c r="F16" s="17">
        <f>IFERROR(__xludf.DUMMYFUNCTION("""COMPUTED_VALUE"""),11.0)</f>
        <v>11</v>
      </c>
      <c r="G16" s="20" t="b">
        <f>IFERROR(__xludf.DUMMYFUNCTION("""COMPUTED_VALUE"""),TRUE)</f>
        <v>1</v>
      </c>
      <c r="H16" s="18" t="str">
        <f>IFERROR(__xludf.DUMMYFUNCTION("""COMPUTED_VALUE"""),"Yaff")</f>
        <v>Yaff</v>
      </c>
      <c r="I16" s="22">
        <f>IFERROR(__xludf.DUMMYFUNCTION("""COMPUTED_VALUE"""),9.78)</f>
        <v>9.78</v>
      </c>
      <c r="J16" s="23">
        <f>IFERROR(__xludf.DUMMYFUNCTION("""COMPUTED_VALUE"""),45.0)</f>
        <v>45</v>
      </c>
      <c r="K16" s="24">
        <f>IFERROR(__xludf.DUMMYFUNCTION("""COMPUTED_VALUE"""),1.0)</f>
        <v>1</v>
      </c>
      <c r="L16" s="24">
        <f>IFERROR(__xludf.DUMMYFUNCTION("""COMPUTED_VALUE"""),1.0)</f>
        <v>1</v>
      </c>
      <c r="M16" s="25">
        <f>IFERROR(__xludf.DUMMYFUNCTION("""COMPUTED_VALUE"""),45.0)</f>
        <v>45</v>
      </c>
      <c r="N16" s="25">
        <f>IFERROR(__xludf.DUMMYFUNCTION("""COMPUTED_VALUE"""),41.0)</f>
        <v>41</v>
      </c>
      <c r="O16" s="18" t="b">
        <f>IFERROR(__xludf.DUMMYFUNCTION("""COMPUTED_VALUE"""),FALSE)</f>
        <v>0</v>
      </c>
      <c r="P16" s="22">
        <f>IFERROR(__xludf.DUMMYFUNCTION("""COMPUTED_VALUE"""),52.56)</f>
        <v>52.56</v>
      </c>
      <c r="Q16" s="32" t="str">
        <f>IFERROR(__xludf.DUMMYFUNCTION("""COMPUTED_VALUE"""),"")</f>
        <v/>
      </c>
      <c r="R16" s="17">
        <f>IFERROR(__xludf.DUMMYFUNCTION("""COMPUTED_VALUE"""),11.0)</f>
        <v>11</v>
      </c>
      <c r="S16" s="18" t="str">
        <f>IFERROR(__xludf.DUMMYFUNCTION("""COMPUTED_VALUE"""),"Very satisfied")</f>
        <v>Very satisfied</v>
      </c>
      <c r="T16" s="18" t="str">
        <f>IFERROR(__xludf.DUMMYFUNCTION("""COMPUTED_VALUE"""),"I am happy with the amount of options I was given")</f>
        <v>I am happy with the amount of options I was given</v>
      </c>
      <c r="U16" s="20" t="b">
        <f>IFERROR(__xludf.DUMMYFUNCTION("""COMPUTED_VALUE"""),TRUE)</f>
        <v>1</v>
      </c>
      <c r="V16" s="32" t="str">
        <f>IFERROR(__xludf.DUMMYFUNCTION("""COMPUTED_VALUE"""),"")</f>
        <v/>
      </c>
      <c r="W16" s="17">
        <f>IFERROR(__xludf.DUMMYFUNCTION("""COMPUTED_VALUE"""),11.0)</f>
        <v>11</v>
      </c>
      <c r="X16" s="25">
        <f>IFERROR(__xludf.DUMMYFUNCTION("""COMPUTED_VALUE"""),8.0)</f>
        <v>8</v>
      </c>
      <c r="Y16" s="18" t="str">
        <f>IFERROR(__xludf.DUMMYFUNCTION("""COMPUTED_VALUE"""),"Unpleased")</f>
        <v>Unpleased</v>
      </c>
      <c r="Z16" s="18" t="str">
        <f>IFERROR(__xludf.DUMMYFUNCTION("""COMPUTED_VALUE"""),"Very satisfied")</f>
        <v>Very satisfied</v>
      </c>
      <c r="AA16" s="32" t="str">
        <f>IFERROR(__xludf.DUMMYFUNCTION("""COMPUTED_VALUE"""),"")</f>
        <v/>
      </c>
      <c r="AB16" s="17">
        <f>IFERROR(__xludf.DUMMYFUNCTION("""COMPUTED_VALUE"""),11.0)</f>
        <v>11</v>
      </c>
      <c r="AC16" s="25">
        <f>IFERROR(__xludf.DUMMYFUNCTION("""COMPUTED_VALUE"""),506.0)</f>
        <v>506</v>
      </c>
      <c r="AD16" s="25">
        <f>IFERROR(__xludf.DUMMYFUNCTION("""COMPUTED_VALUE"""),230.0)</f>
        <v>230</v>
      </c>
      <c r="AE16" s="25">
        <f>IFERROR(__xludf.DUMMYFUNCTION("""COMPUTED_VALUE"""),276.0)</f>
        <v>276</v>
      </c>
      <c r="AF16" s="24">
        <f>IFERROR(__xludf.DUMMYFUNCTION("""COMPUTED_VALUE"""),0.4545)</f>
        <v>0.4545</v>
      </c>
      <c r="AG16" s="25">
        <f>IFERROR(__xludf.DUMMYFUNCTION("""COMPUTED_VALUE"""),58.0)</f>
        <v>58</v>
      </c>
      <c r="AH16" s="22">
        <f>IFERROR(__xludf.DUMMYFUNCTION("""COMPUTED_VALUE"""),34.91)</f>
        <v>34.91</v>
      </c>
      <c r="AI16" s="22">
        <f>IFERROR(__xludf.DUMMYFUNCTION("""COMPUTED_VALUE"""),116.68)</f>
        <v>116.68</v>
      </c>
      <c r="AJ16" s="11"/>
    </row>
    <row r="17">
      <c r="A17" s="31"/>
      <c r="B17" s="17">
        <f>IFERROR(__xludf.DUMMYFUNCTION("""COMPUTED_VALUE"""),17.0)</f>
        <v>17</v>
      </c>
      <c r="C17" s="18" t="str">
        <f>IFERROR(__xludf.DUMMYFUNCTION("""COMPUTED_VALUE"""),"Male")</f>
        <v>Male</v>
      </c>
      <c r="D17" s="18" t="b">
        <f>IFERROR(__xludf.DUMMYFUNCTION("""COMPUTED_VALUE"""),TRUE)</f>
        <v>1</v>
      </c>
      <c r="E17" s="32" t="str">
        <f>IFERROR(__xludf.DUMMYFUNCTION("""COMPUTED_VALUE"""),"")</f>
        <v/>
      </c>
      <c r="F17" s="17">
        <f>IFERROR(__xludf.DUMMYFUNCTION("""COMPUTED_VALUE"""),17.0)</f>
        <v>17</v>
      </c>
      <c r="G17" s="20" t="b">
        <f>IFERROR(__xludf.DUMMYFUNCTION("""COMPUTED_VALUE"""),TRUE)</f>
        <v>1</v>
      </c>
      <c r="H17" s="18" t="str">
        <f>IFERROR(__xludf.DUMMYFUNCTION("""COMPUTED_VALUE"""),"Gringledoof")</f>
        <v>Gringledoof</v>
      </c>
      <c r="I17" s="22">
        <f>IFERROR(__xludf.DUMMYFUNCTION("""COMPUTED_VALUE"""),21.62)</f>
        <v>21.62</v>
      </c>
      <c r="J17" s="23">
        <f>IFERROR(__xludf.DUMMYFUNCTION("""COMPUTED_VALUE"""),45.0)</f>
        <v>45</v>
      </c>
      <c r="K17" s="24">
        <f>IFERROR(__xludf.DUMMYFUNCTION("""COMPUTED_VALUE"""),0.6889)</f>
        <v>0.6889</v>
      </c>
      <c r="L17" s="24">
        <f>IFERROR(__xludf.DUMMYFUNCTION("""COMPUTED_VALUE"""),1.0)</f>
        <v>1</v>
      </c>
      <c r="M17" s="25">
        <f>IFERROR(__xludf.DUMMYFUNCTION("""COMPUTED_VALUE"""),16.0)</f>
        <v>16</v>
      </c>
      <c r="N17" s="25">
        <f>IFERROR(__xludf.DUMMYFUNCTION("""COMPUTED_VALUE"""),35.0)</f>
        <v>35</v>
      </c>
      <c r="O17" s="20" t="b">
        <f>IFERROR(__xludf.DUMMYFUNCTION("""COMPUTED_VALUE"""),FALSE)</f>
        <v>0</v>
      </c>
      <c r="P17" s="22">
        <f>IFERROR(__xludf.DUMMYFUNCTION("""COMPUTED_VALUE"""),75.71)</f>
        <v>75.71</v>
      </c>
      <c r="Q17" s="32" t="str">
        <f>IFERROR(__xludf.DUMMYFUNCTION("""COMPUTED_VALUE"""),"")</f>
        <v/>
      </c>
      <c r="R17" s="17">
        <f>IFERROR(__xludf.DUMMYFUNCTION("""COMPUTED_VALUE"""),17.0)</f>
        <v>17</v>
      </c>
      <c r="S17" s="18" t="str">
        <f>IFERROR(__xludf.DUMMYFUNCTION("""COMPUTED_VALUE"""),"Satisfied")</f>
        <v>Satisfied</v>
      </c>
      <c r="T17" s="18" t="str">
        <f>IFERROR(__xludf.DUMMYFUNCTION("""COMPUTED_VALUE"""),"I wanted less options")</f>
        <v>I wanted less options</v>
      </c>
      <c r="U17" s="20" t="b">
        <f>IFERROR(__xludf.DUMMYFUNCTION("""COMPUTED_VALUE"""),TRUE)</f>
        <v>1</v>
      </c>
      <c r="V17" s="32" t="str">
        <f>IFERROR(__xludf.DUMMYFUNCTION("""COMPUTED_VALUE"""),"")</f>
        <v/>
      </c>
      <c r="W17" s="17">
        <f>IFERROR(__xludf.DUMMYFUNCTION("""COMPUTED_VALUE"""),17.0)</f>
        <v>17</v>
      </c>
      <c r="X17" s="25">
        <f>IFERROR(__xludf.DUMMYFUNCTION("""COMPUTED_VALUE"""),7.0)</f>
        <v>7</v>
      </c>
      <c r="Y17" s="18" t="str">
        <f>IFERROR(__xludf.DUMMYFUNCTION("""COMPUTED_VALUE"""),"Pleased")</f>
        <v>Pleased</v>
      </c>
      <c r="Z17" s="18" t="str">
        <f>IFERROR(__xludf.DUMMYFUNCTION("""COMPUTED_VALUE"""),"Satisfied")</f>
        <v>Satisfied</v>
      </c>
      <c r="AA17" s="32" t="str">
        <f>IFERROR(__xludf.DUMMYFUNCTION("""COMPUTED_VALUE"""),"")</f>
        <v/>
      </c>
      <c r="AB17" s="17">
        <f>IFERROR(__xludf.DUMMYFUNCTION("""COMPUTED_VALUE"""),17.0)</f>
        <v>17</v>
      </c>
      <c r="AC17" s="25">
        <f>IFERROR(__xludf.DUMMYFUNCTION("""COMPUTED_VALUE"""),283.0)</f>
        <v>283</v>
      </c>
      <c r="AD17" s="25">
        <f>IFERROR(__xludf.DUMMYFUNCTION("""COMPUTED_VALUE"""),91.0)</f>
        <v>91</v>
      </c>
      <c r="AE17" s="25">
        <f>IFERROR(__xludf.DUMMYFUNCTION("""COMPUTED_VALUE"""),192.0)</f>
        <v>192</v>
      </c>
      <c r="AF17" s="24">
        <f>IFERROR(__xludf.DUMMYFUNCTION("""COMPUTED_VALUE"""),0.3216)</f>
        <v>0.3216</v>
      </c>
      <c r="AG17" s="25">
        <f>IFERROR(__xludf.DUMMYFUNCTION("""COMPUTED_VALUE"""),19.0)</f>
        <v>19</v>
      </c>
      <c r="AH17" s="22">
        <f>IFERROR(__xludf.DUMMYFUNCTION("""COMPUTED_VALUE"""),42.23)</f>
        <v>42.23</v>
      </c>
      <c r="AI17" s="22">
        <f>IFERROR(__xludf.DUMMYFUNCTION("""COMPUTED_VALUE"""),38.17)</f>
        <v>38.17</v>
      </c>
      <c r="AJ17" s="11"/>
    </row>
    <row r="18">
      <c r="A18" s="31"/>
      <c r="B18" s="17">
        <f>IFERROR(__xludf.DUMMYFUNCTION("""COMPUTED_VALUE"""),21.0)</f>
        <v>21</v>
      </c>
      <c r="C18" s="18" t="str">
        <f>IFERROR(__xludf.DUMMYFUNCTION("""COMPUTED_VALUE"""),"Female")</f>
        <v>Female</v>
      </c>
      <c r="D18" s="20" t="b">
        <f>IFERROR(__xludf.DUMMYFUNCTION("""COMPUTED_VALUE"""),FALSE)</f>
        <v>0</v>
      </c>
      <c r="E18" s="32" t="str">
        <f>IFERROR(__xludf.DUMMYFUNCTION("""COMPUTED_VALUE"""),"")</f>
        <v/>
      </c>
      <c r="F18" s="17">
        <f>IFERROR(__xludf.DUMMYFUNCTION("""COMPUTED_VALUE"""),21.0)</f>
        <v>21</v>
      </c>
      <c r="G18" s="20" t="b">
        <f>IFERROR(__xludf.DUMMYFUNCTION("""COMPUTED_VALUE"""),TRUE)</f>
        <v>1</v>
      </c>
      <c r="H18" s="18" t="str">
        <f>IFERROR(__xludf.DUMMYFUNCTION("""COMPUTED_VALUE"""),"Ninamien")</f>
        <v>Ninamien</v>
      </c>
      <c r="I18" s="22">
        <f>IFERROR(__xludf.DUMMYFUNCTION("""COMPUTED_VALUE"""),2.8)</f>
        <v>2.8</v>
      </c>
      <c r="J18" s="23">
        <f>IFERROR(__xludf.DUMMYFUNCTION("""COMPUTED_VALUE"""),45.0)</f>
        <v>45</v>
      </c>
      <c r="K18" s="24">
        <f>IFERROR(__xludf.DUMMYFUNCTION("""COMPUTED_VALUE"""),1.0)</f>
        <v>1</v>
      </c>
      <c r="L18" s="24">
        <f>IFERROR(__xludf.DUMMYFUNCTION("""COMPUTED_VALUE"""),1.0)</f>
        <v>1</v>
      </c>
      <c r="M18" s="25">
        <f>IFERROR(__xludf.DUMMYFUNCTION("""COMPUTED_VALUE"""),16.0)</f>
        <v>16</v>
      </c>
      <c r="N18" s="25">
        <f>IFERROR(__xludf.DUMMYFUNCTION("""COMPUTED_VALUE"""),20.0)</f>
        <v>20</v>
      </c>
      <c r="O18" s="20" t="b">
        <f>IFERROR(__xludf.DUMMYFUNCTION("""COMPUTED_VALUE"""),FALSE)</f>
        <v>0</v>
      </c>
      <c r="P18" s="22">
        <f>IFERROR(__xludf.DUMMYFUNCTION("""COMPUTED_VALUE"""),151.07)</f>
        <v>151.07</v>
      </c>
      <c r="Q18" s="32" t="str">
        <f>IFERROR(__xludf.DUMMYFUNCTION("""COMPUTED_VALUE"""),"")</f>
        <v/>
      </c>
      <c r="R18" s="17">
        <f>IFERROR(__xludf.DUMMYFUNCTION("""COMPUTED_VALUE"""),21.0)</f>
        <v>21</v>
      </c>
      <c r="S18" s="18" t="str">
        <f>IFERROR(__xludf.DUMMYFUNCTION("""COMPUTED_VALUE"""),"Very satisfied")</f>
        <v>Very satisfied</v>
      </c>
      <c r="T18" s="18" t="str">
        <f>IFERROR(__xludf.DUMMYFUNCTION("""COMPUTED_VALUE"""),"I wanted more options")</f>
        <v>I wanted more options</v>
      </c>
      <c r="U18" s="20" t="b">
        <f>IFERROR(__xludf.DUMMYFUNCTION("""COMPUTED_VALUE"""),TRUE)</f>
        <v>1</v>
      </c>
      <c r="V18" s="32" t="str">
        <f>IFERROR(__xludf.DUMMYFUNCTION("""COMPUTED_VALUE"""),"")</f>
        <v/>
      </c>
      <c r="W18" s="17">
        <f>IFERROR(__xludf.DUMMYFUNCTION("""COMPUTED_VALUE"""),21.0)</f>
        <v>21</v>
      </c>
      <c r="X18" s="25">
        <f>IFERROR(__xludf.DUMMYFUNCTION("""COMPUTED_VALUE"""),7.0)</f>
        <v>7</v>
      </c>
      <c r="Y18" s="18" t="str">
        <f>IFERROR(__xludf.DUMMYFUNCTION("""COMPUTED_VALUE"""),"Unpleased")</f>
        <v>Unpleased</v>
      </c>
      <c r="Z18" s="18" t="str">
        <f>IFERROR(__xludf.DUMMYFUNCTION("""COMPUTED_VALUE"""),"Very satisfied")</f>
        <v>Very satisfied</v>
      </c>
      <c r="AA18" s="32" t="str">
        <f>IFERROR(__xludf.DUMMYFUNCTION("""COMPUTED_VALUE"""),"")</f>
        <v/>
      </c>
      <c r="AB18" s="17">
        <f>IFERROR(__xludf.DUMMYFUNCTION("""COMPUTED_VALUE"""),21.0)</f>
        <v>21</v>
      </c>
      <c r="AC18" s="25">
        <f>IFERROR(__xludf.DUMMYFUNCTION("""COMPUTED_VALUE"""),180.0)</f>
        <v>180</v>
      </c>
      <c r="AD18" s="25">
        <f>IFERROR(__xludf.DUMMYFUNCTION("""COMPUTED_VALUE"""),63.0)</f>
        <v>63</v>
      </c>
      <c r="AE18" s="25">
        <f>IFERROR(__xludf.DUMMYFUNCTION("""COMPUTED_VALUE"""),117.0)</f>
        <v>117</v>
      </c>
      <c r="AF18" s="24">
        <f>IFERROR(__xludf.DUMMYFUNCTION("""COMPUTED_VALUE"""),0.35)</f>
        <v>0.35</v>
      </c>
      <c r="AG18" s="25">
        <f>IFERROR(__xludf.DUMMYFUNCTION("""COMPUTED_VALUE"""),11.0)</f>
        <v>11</v>
      </c>
      <c r="AH18" s="22">
        <f>IFERROR(__xludf.DUMMYFUNCTION("""COMPUTED_VALUE"""),34.05)</f>
        <v>34.05</v>
      </c>
      <c r="AI18" s="22">
        <f>IFERROR(__xludf.DUMMYFUNCTION("""COMPUTED_VALUE"""),49.61)</f>
        <v>49.61</v>
      </c>
      <c r="AJ18" s="11"/>
    </row>
    <row r="19">
      <c r="A19" s="31"/>
      <c r="B19" s="17">
        <f>IFERROR(__xludf.DUMMYFUNCTION("""COMPUTED_VALUE"""),26.0)</f>
        <v>26</v>
      </c>
      <c r="C19" s="18" t="str">
        <f>IFERROR(__xludf.DUMMYFUNCTION("""COMPUTED_VALUE"""),"Male")</f>
        <v>Male</v>
      </c>
      <c r="D19" s="20" t="b">
        <f>IFERROR(__xludf.DUMMYFUNCTION("""COMPUTED_VALUE"""),FALSE)</f>
        <v>0</v>
      </c>
      <c r="E19" s="32" t="str">
        <f>IFERROR(__xludf.DUMMYFUNCTION("""COMPUTED_VALUE"""),"")</f>
        <v/>
      </c>
      <c r="F19" s="17">
        <f>IFERROR(__xludf.DUMMYFUNCTION("""COMPUTED_VALUE"""),26.0)</f>
        <v>26</v>
      </c>
      <c r="G19" s="20" t="b">
        <f>IFERROR(__xludf.DUMMYFUNCTION("""COMPUTED_VALUE"""),TRUE)</f>
        <v>1</v>
      </c>
      <c r="H19" s="18" t="str">
        <f>IFERROR(__xludf.DUMMYFUNCTION("""COMPUTED_VALUE"""),"John Dee")</f>
        <v>John Dee</v>
      </c>
      <c r="I19" s="22">
        <f>IFERROR(__xludf.DUMMYFUNCTION("""COMPUTED_VALUE"""),5.9)</f>
        <v>5.9</v>
      </c>
      <c r="J19" s="23">
        <f>IFERROR(__xludf.DUMMYFUNCTION("""COMPUTED_VALUE"""),45.0)</f>
        <v>45</v>
      </c>
      <c r="K19" s="24">
        <f>IFERROR(__xludf.DUMMYFUNCTION("""COMPUTED_VALUE"""),0.0889)</f>
        <v>0.0889</v>
      </c>
      <c r="L19" s="24">
        <f>IFERROR(__xludf.DUMMYFUNCTION("""COMPUTED_VALUE"""),0.2)</f>
        <v>0.2</v>
      </c>
      <c r="M19" s="25">
        <f>IFERROR(__xludf.DUMMYFUNCTION("""COMPUTED_VALUE"""),3.0)</f>
        <v>3</v>
      </c>
      <c r="N19" s="25">
        <f>IFERROR(__xludf.DUMMYFUNCTION("""COMPUTED_VALUE"""),3.0)</f>
        <v>3</v>
      </c>
      <c r="O19" s="20" t="b">
        <f>IFERROR(__xludf.DUMMYFUNCTION("""COMPUTED_VALUE"""),TRUE)</f>
        <v>1</v>
      </c>
      <c r="P19" s="22">
        <f>IFERROR(__xludf.DUMMYFUNCTION("""COMPUTED_VALUE"""),24.74)</f>
        <v>24.74</v>
      </c>
      <c r="Q19" s="32" t="str">
        <f>IFERROR(__xludf.DUMMYFUNCTION("""COMPUTED_VALUE"""),"")</f>
        <v/>
      </c>
      <c r="R19" s="17">
        <f>IFERROR(__xludf.DUMMYFUNCTION("""COMPUTED_VALUE"""),26.0)</f>
        <v>26</v>
      </c>
      <c r="S19" s="18" t="str">
        <f>IFERROR(__xludf.DUMMYFUNCTION("""COMPUTED_VALUE"""),"Satisfied")</f>
        <v>Satisfied</v>
      </c>
      <c r="T19" s="18" t="str">
        <f>IFERROR(__xludf.DUMMYFUNCTION("""COMPUTED_VALUE"""),"I am happy with the amount of options I was given")</f>
        <v>I am happy with the amount of options I was given</v>
      </c>
      <c r="U19" s="20" t="b">
        <f>IFERROR(__xludf.DUMMYFUNCTION("""COMPUTED_VALUE"""),TRUE)</f>
        <v>1</v>
      </c>
      <c r="V19" s="32" t="str">
        <f>IFERROR(__xludf.DUMMYFUNCTION("""COMPUTED_VALUE"""),"")</f>
        <v/>
      </c>
      <c r="W19" s="17">
        <f>IFERROR(__xludf.DUMMYFUNCTION("""COMPUTED_VALUE"""),26.0)</f>
        <v>26</v>
      </c>
      <c r="X19" s="25">
        <f>IFERROR(__xludf.DUMMYFUNCTION("""COMPUTED_VALUE"""),6.0)</f>
        <v>6</v>
      </c>
      <c r="Y19" s="18" t="str">
        <f>IFERROR(__xludf.DUMMYFUNCTION("""COMPUTED_VALUE"""),"Unpleased")</f>
        <v>Unpleased</v>
      </c>
      <c r="Z19" s="18" t="str">
        <f>IFERROR(__xludf.DUMMYFUNCTION("""COMPUTED_VALUE"""),"Satisfied")</f>
        <v>Satisfied</v>
      </c>
      <c r="AA19" s="32" t="str">
        <f>IFERROR(__xludf.DUMMYFUNCTION("""COMPUTED_VALUE"""),"")</f>
        <v/>
      </c>
      <c r="AB19" s="17">
        <f>IFERROR(__xludf.DUMMYFUNCTION("""COMPUTED_VALUE"""),26.0)</f>
        <v>26</v>
      </c>
      <c r="AC19" s="25">
        <f>IFERROR(__xludf.DUMMYFUNCTION("""COMPUTED_VALUE"""),603.0)</f>
        <v>603</v>
      </c>
      <c r="AD19" s="25">
        <f>IFERROR(__xludf.DUMMYFUNCTION("""COMPUTED_VALUE"""),117.0)</f>
        <v>117</v>
      </c>
      <c r="AE19" s="25">
        <f>IFERROR(__xludf.DUMMYFUNCTION("""COMPUTED_VALUE"""),486.0)</f>
        <v>486</v>
      </c>
      <c r="AF19" s="24">
        <f>IFERROR(__xludf.DUMMYFUNCTION("""COMPUTED_VALUE"""),0.194)</f>
        <v>0.194</v>
      </c>
      <c r="AG19" s="25">
        <f>IFERROR(__xludf.DUMMYFUNCTION("""COMPUTED_VALUE"""),26.0)</f>
        <v>26</v>
      </c>
      <c r="AH19" s="22">
        <f>IFERROR(__xludf.DUMMYFUNCTION("""COMPUTED_VALUE"""),37.44)</f>
        <v>37.44</v>
      </c>
      <c r="AI19" s="22">
        <f>IFERROR(__xludf.DUMMYFUNCTION("""COMPUTED_VALUE"""),51.13)</f>
        <v>51.13</v>
      </c>
      <c r="AJ19" s="11"/>
    </row>
    <row r="20">
      <c r="A20" s="1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11"/>
    </row>
    <row r="21">
      <c r="A21" s="34"/>
      <c r="B21" s="35"/>
      <c r="C21" s="35"/>
      <c r="E21" s="33"/>
      <c r="F21" s="33"/>
      <c r="G21" s="33"/>
      <c r="H21" s="37" t="s">
        <v>62</v>
      </c>
      <c r="I21" s="38">
        <f>MEDIAN(I15:I19)</f>
        <v>9.78</v>
      </c>
      <c r="J21" s="39"/>
      <c r="K21" s="40">
        <f t="shared" ref="K21:L21" si="1">MEDIAN(K15:K19)</f>
        <v>0.6889</v>
      </c>
      <c r="L21" s="40">
        <f t="shared" si="1"/>
        <v>1</v>
      </c>
      <c r="M21" s="33"/>
      <c r="N21" s="33"/>
      <c r="O21" s="37" t="s">
        <v>62</v>
      </c>
      <c r="P21" s="38">
        <f>MEDIAN(P15:P19)</f>
        <v>52.56</v>
      </c>
      <c r="Q21" s="33"/>
      <c r="R21" s="33"/>
      <c r="S21" s="33"/>
      <c r="T21" s="33"/>
      <c r="U21" s="33"/>
      <c r="V21" s="33"/>
      <c r="W21" s="37" t="s">
        <v>62</v>
      </c>
      <c r="X21" s="39">
        <f>MEDIAN(X15:X19)</f>
        <v>7</v>
      </c>
      <c r="Y21" s="33"/>
      <c r="Z21" s="33"/>
      <c r="AA21" s="33"/>
      <c r="AB21" s="37" t="s">
        <v>62</v>
      </c>
      <c r="AC21" s="39">
        <f t="shared" ref="AC21:AI21" si="2">MEDIAN(AC15:AC19)</f>
        <v>436</v>
      </c>
      <c r="AD21" s="39">
        <f t="shared" si="2"/>
        <v>117</v>
      </c>
      <c r="AE21" s="39">
        <f t="shared" si="2"/>
        <v>276</v>
      </c>
      <c r="AF21" s="40">
        <f t="shared" si="2"/>
        <v>0.3216</v>
      </c>
      <c r="AG21" s="39">
        <f t="shared" si="2"/>
        <v>26</v>
      </c>
      <c r="AH21" s="38">
        <f t="shared" si="2"/>
        <v>34.91</v>
      </c>
      <c r="AI21" s="38">
        <f t="shared" si="2"/>
        <v>51.13</v>
      </c>
      <c r="AJ21" s="11"/>
    </row>
    <row r="22">
      <c r="A22" s="11"/>
      <c r="B22" s="35"/>
      <c r="C22" s="35"/>
      <c r="E22" s="33"/>
      <c r="F22" s="33"/>
      <c r="G22" s="33"/>
      <c r="H22" s="37" t="s">
        <v>65</v>
      </c>
      <c r="I22" s="38">
        <f>AVERAGE(I15:I19)</f>
        <v>11.216</v>
      </c>
      <c r="J22" s="38"/>
      <c r="K22" s="40">
        <f t="shared" ref="K22:L22" si="3">AVERAGE(K15:K19)</f>
        <v>0.69334</v>
      </c>
      <c r="L22" s="40">
        <f t="shared" si="3"/>
        <v>0.77334</v>
      </c>
      <c r="M22" s="45"/>
      <c r="N22" s="45"/>
      <c r="O22" s="37" t="s">
        <v>65</v>
      </c>
      <c r="P22" s="38">
        <f>AVERAGE(P15:P19)</f>
        <v>70.662</v>
      </c>
      <c r="Q22" s="33"/>
      <c r="R22" s="33"/>
      <c r="S22" s="33"/>
      <c r="T22" s="33"/>
      <c r="U22" s="33"/>
      <c r="V22" s="33"/>
      <c r="W22" s="37" t="s">
        <v>65</v>
      </c>
      <c r="X22" s="38">
        <f>AVERAGE(X15:X19)</f>
        <v>7</v>
      </c>
      <c r="Y22" s="33"/>
      <c r="Z22" s="33"/>
      <c r="AA22" s="33"/>
      <c r="AB22" s="37" t="s">
        <v>65</v>
      </c>
      <c r="AC22" s="38">
        <f t="shared" ref="AC22:AI22" si="4">AVERAGE(AC15:AC19)</f>
        <v>401.6</v>
      </c>
      <c r="AD22" s="38">
        <f t="shared" si="4"/>
        <v>124.4</v>
      </c>
      <c r="AE22" s="38">
        <f t="shared" si="4"/>
        <v>277.2</v>
      </c>
      <c r="AF22" s="40">
        <f t="shared" si="4"/>
        <v>0.31952</v>
      </c>
      <c r="AG22" s="38">
        <f t="shared" si="4"/>
        <v>28.8</v>
      </c>
      <c r="AH22" s="38">
        <f t="shared" si="4"/>
        <v>34.378</v>
      </c>
      <c r="AI22" s="38">
        <f t="shared" si="4"/>
        <v>67.2</v>
      </c>
      <c r="AJ22" s="11"/>
    </row>
    <row r="23">
      <c r="A23" s="11"/>
      <c r="B23" s="11"/>
      <c r="C23" s="35"/>
      <c r="E23" s="11"/>
      <c r="F23" s="11"/>
      <c r="G23" s="11"/>
      <c r="H23" s="37" t="s">
        <v>68</v>
      </c>
      <c r="I23" s="38">
        <f>STDEV(I15:I19)</f>
        <v>7.617248847</v>
      </c>
      <c r="K23" s="40">
        <f t="shared" ref="K23:L23" si="5">STDEV(K15:K19)</f>
        <v>0.3719771001</v>
      </c>
      <c r="L23" s="40">
        <f t="shared" si="5"/>
        <v>0.3515021735</v>
      </c>
      <c r="M23" s="11"/>
      <c r="N23" s="11"/>
      <c r="O23" s="37" t="s">
        <v>68</v>
      </c>
      <c r="P23" s="38">
        <f>STDEV(P15:P19)</f>
        <v>48.44267716</v>
      </c>
      <c r="Q23" s="11"/>
      <c r="R23" s="11"/>
      <c r="S23" s="11"/>
      <c r="T23" s="11"/>
      <c r="U23" s="11"/>
      <c r="V23" s="11"/>
      <c r="W23" s="37" t="s">
        <v>68</v>
      </c>
      <c r="X23" s="38">
        <f>STDEV(X15:X19)</f>
        <v>0.7071067812</v>
      </c>
      <c r="Y23" s="11"/>
      <c r="Z23" s="11"/>
      <c r="AA23" s="11"/>
      <c r="AB23" s="37" t="s">
        <v>68</v>
      </c>
      <c r="AC23" s="38">
        <f t="shared" ref="AC23:AI23" si="6">STDEV(AC15:AC19)</f>
        <v>170.1596309</v>
      </c>
      <c r="AD23" s="38">
        <f t="shared" si="6"/>
        <v>63.44919227</v>
      </c>
      <c r="AE23" s="38">
        <f t="shared" si="6"/>
        <v>139.5983524</v>
      </c>
      <c r="AF23" s="40">
        <f t="shared" si="6"/>
        <v>0.09575216447</v>
      </c>
      <c r="AG23" s="38">
        <f t="shared" si="6"/>
        <v>17.85217074</v>
      </c>
      <c r="AH23" s="38">
        <f t="shared" si="6"/>
        <v>6.9826621</v>
      </c>
      <c r="AI23" s="38">
        <f t="shared" si="6"/>
        <v>31.75361554</v>
      </c>
      <c r="AJ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38">
      <c r="A38" s="49"/>
    </row>
  </sheetData>
  <mergeCells count="10">
    <mergeCell ref="G11:P12"/>
    <mergeCell ref="C11:D12"/>
    <mergeCell ref="C22:D22"/>
    <mergeCell ref="C23:D23"/>
    <mergeCell ref="S11:U12"/>
    <mergeCell ref="H6:H7"/>
    <mergeCell ref="A5:G8"/>
    <mergeCell ref="AC11:AJ12"/>
    <mergeCell ref="C21:D21"/>
    <mergeCell ref="X11:Z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5.71"/>
    <col customWidth="1" min="3" max="3" width="12.57"/>
    <col customWidth="1" min="4" max="4" width="26.29"/>
    <col customWidth="1" min="5" max="5" width="4.57"/>
    <col customWidth="1" min="6" max="6" width="7.43"/>
    <col customWidth="1" min="7" max="7" width="19.86"/>
    <col customWidth="1" min="8" max="8" width="37.57"/>
    <col customWidth="1" min="9" max="9" width="22.29"/>
    <col customWidth="1" min="10" max="10" width="20.71"/>
    <col customWidth="1" min="11" max="11" width="16.86"/>
    <col customWidth="1" min="12" max="12" width="17.86"/>
    <col customWidth="1" min="13" max="13" width="14.14"/>
    <col customWidth="1" min="14" max="14" width="14.0"/>
    <col customWidth="1" min="15" max="15" width="15.29"/>
    <col customWidth="1" min="16" max="16" width="25.57"/>
    <col customWidth="1" min="17" max="17" width="5.29"/>
    <col customWidth="1" min="18" max="18" width="6.0"/>
    <col customWidth="1" min="19" max="19" width="26.0"/>
    <col customWidth="1" min="20" max="20" width="77.57"/>
    <col customWidth="1" min="21" max="21" width="22.29"/>
    <col customWidth="1" min="22" max="22" width="4.57"/>
    <col customWidth="1" min="23" max="23" width="6.43"/>
    <col customWidth="1" min="24" max="24" width="18.71"/>
    <col customWidth="1" min="25" max="25" width="24.57"/>
    <col customWidth="1" min="26" max="26" width="25.14"/>
    <col customWidth="1" min="27" max="27" width="4.86"/>
    <col customWidth="1" min="28" max="28" width="6.0"/>
    <col customWidth="1" min="29" max="29" width="14.57"/>
    <col customWidth="1" min="30" max="30" width="15.14"/>
    <col customWidth="1" min="31" max="31" width="20.29"/>
    <col customWidth="1" min="32" max="32" width="21.57"/>
    <col customWidth="1" min="33" max="33" width="15.0"/>
    <col customWidth="1" min="34" max="34" width="25.14"/>
    <col customWidth="1" min="35" max="35" width="25.43"/>
    <col customWidth="1" min="36" max="36" width="4.57"/>
  </cols>
  <sheetData>
    <row r="1">
      <c r="A1" s="1"/>
      <c r="B1" s="2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2"/>
      <c r="S1" s="2"/>
      <c r="T1" s="2"/>
      <c r="U1" s="2"/>
      <c r="V1" s="1"/>
      <c r="W1" s="2"/>
      <c r="X1" s="2"/>
      <c r="Y1" s="2"/>
      <c r="Z1" s="2"/>
      <c r="AA1" s="1"/>
      <c r="AB1" s="2"/>
      <c r="AC1" s="2"/>
      <c r="AD1" s="2"/>
      <c r="AE1" s="2"/>
      <c r="AF1" s="2"/>
      <c r="AG1" s="2"/>
      <c r="AH1" s="2"/>
      <c r="AI1" s="2"/>
      <c r="AJ1" s="3"/>
    </row>
    <row r="2">
      <c r="A2" s="1"/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2"/>
      <c r="T2" s="2"/>
      <c r="U2" s="2"/>
      <c r="V2" s="1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3"/>
    </row>
    <row r="3">
      <c r="A3" s="1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3"/>
    </row>
    <row r="4">
      <c r="A4" s="1"/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1"/>
      <c r="W4" s="2"/>
      <c r="X4" s="2"/>
      <c r="Y4" s="2"/>
      <c r="Z4" s="2"/>
      <c r="AA4" s="1"/>
      <c r="AB4" s="2"/>
      <c r="AC4" s="2"/>
      <c r="AD4" s="2"/>
      <c r="AE4" s="2"/>
      <c r="AF4" s="2"/>
      <c r="AG4" s="2"/>
      <c r="AH4" s="2"/>
      <c r="AI4" s="2"/>
      <c r="AJ4" s="3"/>
    </row>
    <row r="5">
      <c r="A5" s="4" t="s">
        <v>1</v>
      </c>
      <c r="H5" s="5"/>
      <c r="I5" s="5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1"/>
      <c r="W5" s="2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3"/>
    </row>
    <row r="6">
      <c r="H6" s="6">
        <f>COUNTA(B15:B19)</f>
        <v>5</v>
      </c>
      <c r="I6" s="5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1"/>
      <c r="W6" s="2"/>
      <c r="X6" s="2"/>
      <c r="Y6" s="2"/>
      <c r="Z6" s="2"/>
      <c r="AA6" s="1"/>
      <c r="AB6" s="2"/>
      <c r="AC6" s="2"/>
      <c r="AD6" s="2"/>
      <c r="AE6" s="2"/>
      <c r="AF6" s="2"/>
      <c r="AG6" s="2"/>
      <c r="AH6" s="2"/>
      <c r="AI6" s="2"/>
      <c r="AJ6" s="3"/>
    </row>
    <row r="7">
      <c r="I7" s="5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1"/>
      <c r="W7" s="2"/>
      <c r="X7" s="2"/>
      <c r="Y7" s="2"/>
      <c r="Z7" s="2"/>
      <c r="AA7" s="1"/>
      <c r="AB7" s="2"/>
      <c r="AC7" s="2"/>
      <c r="AD7" s="2"/>
      <c r="AE7" s="2"/>
      <c r="AF7" s="2"/>
      <c r="AG7" s="2"/>
      <c r="AH7" s="2"/>
      <c r="AI7" s="2"/>
      <c r="AJ7" s="3"/>
    </row>
    <row r="8">
      <c r="H8" s="5"/>
      <c r="I8" s="5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1"/>
      <c r="W8" s="2"/>
      <c r="X8" s="2"/>
      <c r="Y8" s="2"/>
      <c r="Z8" s="2"/>
      <c r="AA8" s="1"/>
      <c r="AB8" s="2"/>
      <c r="AC8" s="2"/>
      <c r="AD8" s="2"/>
      <c r="AE8" s="2"/>
      <c r="AF8" s="2"/>
      <c r="AG8" s="2"/>
      <c r="AH8" s="2"/>
      <c r="AI8" s="2"/>
      <c r="AJ8" s="3"/>
    </row>
    <row r="9">
      <c r="A9" s="1"/>
      <c r="B9" s="2"/>
      <c r="C9" s="2"/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1"/>
      <c r="W9" s="2"/>
      <c r="X9" s="2"/>
      <c r="Y9" s="2"/>
      <c r="Z9" s="2"/>
      <c r="AA9" s="1"/>
      <c r="AB9" s="2"/>
      <c r="AC9" s="2"/>
      <c r="AD9" s="2"/>
      <c r="AE9" s="2"/>
      <c r="AF9" s="2"/>
      <c r="AG9" s="2"/>
      <c r="AH9" s="2"/>
      <c r="AI9" s="2"/>
      <c r="AJ9" s="3"/>
    </row>
    <row r="10">
      <c r="A10" s="7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5"/>
      <c r="S10" s="5"/>
      <c r="T10" s="5"/>
      <c r="U10" s="5"/>
      <c r="V10" s="7"/>
      <c r="W10" s="5"/>
      <c r="X10" s="5"/>
      <c r="Y10" s="5"/>
      <c r="Z10" s="5"/>
      <c r="AA10" s="7"/>
      <c r="AB10" s="5"/>
      <c r="AC10" s="5"/>
      <c r="AD10" s="5"/>
      <c r="AE10" s="5"/>
      <c r="AF10" s="5"/>
      <c r="AG10" s="5"/>
      <c r="AH10" s="5"/>
      <c r="AI10" s="5"/>
      <c r="AJ10" s="8"/>
    </row>
    <row r="11">
      <c r="A11" s="7"/>
      <c r="B11" s="9"/>
      <c r="C11" s="9" t="s">
        <v>3</v>
      </c>
      <c r="E11" s="7"/>
      <c r="F11" s="9"/>
      <c r="G11" s="9" t="s">
        <v>4</v>
      </c>
      <c r="Q11" s="7"/>
      <c r="R11" s="9"/>
      <c r="S11" s="9" t="s">
        <v>5</v>
      </c>
      <c r="V11" s="7"/>
      <c r="W11" s="9"/>
      <c r="X11" s="9" t="s">
        <v>6</v>
      </c>
      <c r="AA11" s="7"/>
      <c r="AB11" s="9"/>
      <c r="AC11" s="9" t="s">
        <v>7</v>
      </c>
    </row>
    <row r="12">
      <c r="A12" s="7"/>
      <c r="B12" s="9"/>
      <c r="E12" s="7"/>
      <c r="F12" s="9"/>
      <c r="Q12" s="7"/>
      <c r="R12" s="9"/>
      <c r="V12" s="7"/>
      <c r="W12" s="9"/>
      <c r="AA12" s="7"/>
      <c r="AB12" s="9"/>
    </row>
    <row r="13">
      <c r="A13" s="7"/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  <c r="R13" s="5"/>
      <c r="S13" s="5"/>
      <c r="T13" s="5"/>
      <c r="U13" s="5"/>
      <c r="V13" s="7"/>
      <c r="W13" s="5"/>
      <c r="X13" s="5"/>
      <c r="Y13" s="5"/>
      <c r="Z13" s="5"/>
      <c r="AA13" s="7"/>
      <c r="AB13" s="5"/>
      <c r="AC13" s="5"/>
      <c r="AD13" s="5"/>
      <c r="AE13" s="5"/>
      <c r="AF13" s="5"/>
      <c r="AG13" s="5"/>
      <c r="AH13" s="5"/>
      <c r="AI13" s="5"/>
      <c r="AJ13" s="8"/>
    </row>
    <row r="14">
      <c r="A14" s="7"/>
      <c r="B14" s="2" t="s">
        <v>8</v>
      </c>
      <c r="C14" s="2" t="s">
        <v>9</v>
      </c>
      <c r="D14" s="2" t="s">
        <v>10</v>
      </c>
      <c r="E14" s="7"/>
      <c r="F14" s="2" t="s">
        <v>8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7"/>
      <c r="R14" s="2" t="s">
        <v>8</v>
      </c>
      <c r="S14" s="2" t="s">
        <v>21</v>
      </c>
      <c r="T14" s="2" t="s">
        <v>22</v>
      </c>
      <c r="U14" s="2" t="s">
        <v>23</v>
      </c>
      <c r="V14" s="7"/>
      <c r="W14" s="2" t="s">
        <v>8</v>
      </c>
      <c r="X14" s="2" t="s">
        <v>24</v>
      </c>
      <c r="Y14" s="2" t="s">
        <v>25</v>
      </c>
      <c r="Z14" s="2" t="s">
        <v>26</v>
      </c>
      <c r="AA14" s="11"/>
      <c r="AB14" s="2" t="s">
        <v>8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8"/>
    </row>
    <row r="15">
      <c r="A15" s="13"/>
      <c r="B15" s="17">
        <f>IFERROR(__xludf.DUMMYFUNCTION("FILTER('All data'!B15:AI48, 'All data'!J15:J48 = 60)"),7.0)</f>
        <v>7</v>
      </c>
      <c r="C15" s="18" t="str">
        <f>IFERROR(__xludf.DUMMYFUNCTION("""COMPUTED_VALUE"""),"Female")</f>
        <v>Female</v>
      </c>
      <c r="D15" s="20" t="b">
        <f>IFERROR(__xludf.DUMMYFUNCTION("""COMPUTED_VALUE"""),FALSE)</f>
        <v>0</v>
      </c>
      <c r="E15" s="21" t="str">
        <f>IFERROR(__xludf.DUMMYFUNCTION("""COMPUTED_VALUE"""),"")</f>
        <v/>
      </c>
      <c r="F15" s="17">
        <f>IFERROR(__xludf.DUMMYFUNCTION("""COMPUTED_VALUE"""),7.0)</f>
        <v>7</v>
      </c>
      <c r="G15" s="20" t="b">
        <f>IFERROR(__xludf.DUMMYFUNCTION("""COMPUTED_VALUE"""),TRUE)</f>
        <v>1</v>
      </c>
      <c r="H15" s="18" t="str">
        <f>IFERROR(__xludf.DUMMYFUNCTION("""COMPUTED_VALUE"""),"Applesauce")</f>
        <v>Applesauce</v>
      </c>
      <c r="I15" s="22">
        <f>IFERROR(__xludf.DUMMYFUNCTION("""COMPUTED_VALUE"""),32.47)</f>
        <v>32.47</v>
      </c>
      <c r="J15" s="23">
        <f>IFERROR(__xludf.DUMMYFUNCTION("""COMPUTED_VALUE"""),60.0)</f>
        <v>60</v>
      </c>
      <c r="K15" s="24">
        <f>IFERROR(__xludf.DUMMYFUNCTION("""COMPUTED_VALUE"""),0.3667)</f>
        <v>0.3667</v>
      </c>
      <c r="L15" s="24">
        <f>IFERROR(__xludf.DUMMYFUNCTION("""COMPUTED_VALUE"""),0.95)</f>
        <v>0.95</v>
      </c>
      <c r="M15" s="25">
        <f>IFERROR(__xludf.DUMMYFUNCTION("""COMPUTED_VALUE"""),51.0)</f>
        <v>51</v>
      </c>
      <c r="N15" s="25">
        <f>IFERROR(__xludf.DUMMYFUNCTION("""COMPUTED_VALUE"""),53.0)</f>
        <v>53</v>
      </c>
      <c r="O15" s="20" t="b">
        <f>IFERROR(__xludf.DUMMYFUNCTION("""COMPUTED_VALUE"""),FALSE)</f>
        <v>0</v>
      </c>
      <c r="P15" s="22">
        <f>IFERROR(__xludf.DUMMYFUNCTION("""COMPUTED_VALUE"""),106.85)</f>
        <v>106.85</v>
      </c>
      <c r="Q15" s="21" t="str">
        <f>IFERROR(__xludf.DUMMYFUNCTION("""COMPUTED_VALUE"""),"")</f>
        <v/>
      </c>
      <c r="R15" s="17">
        <f>IFERROR(__xludf.DUMMYFUNCTION("""COMPUTED_VALUE"""),7.0)</f>
        <v>7</v>
      </c>
      <c r="S15" s="18" t="str">
        <f>IFERROR(__xludf.DUMMYFUNCTION("""COMPUTED_VALUE"""),"Satisfied")</f>
        <v>Satisfied</v>
      </c>
      <c r="T15" s="28" t="str">
        <f>IFERROR(__xludf.DUMMYFUNCTION("""COMPUTED_VALUE"""),"I wanted less options")</f>
        <v>I wanted less options</v>
      </c>
      <c r="U15" s="29" t="b">
        <f>IFERROR(__xludf.DUMMYFUNCTION("""COMPUTED_VALUE"""),TRUE)</f>
        <v>1</v>
      </c>
      <c r="V15" s="21" t="str">
        <f>IFERROR(__xludf.DUMMYFUNCTION("""COMPUTED_VALUE"""),"")</f>
        <v/>
      </c>
      <c r="W15" s="17">
        <f>IFERROR(__xludf.DUMMYFUNCTION("""COMPUTED_VALUE"""),7.0)</f>
        <v>7</v>
      </c>
      <c r="X15" s="25">
        <f>IFERROR(__xludf.DUMMYFUNCTION("""COMPUTED_VALUE"""),4.0)</f>
        <v>4</v>
      </c>
      <c r="Y15" s="18" t="str">
        <f>IFERROR(__xludf.DUMMYFUNCTION("""COMPUTED_VALUE"""),"Unpleased")</f>
        <v>Unpleased</v>
      </c>
      <c r="Z15" s="18" t="str">
        <f>IFERROR(__xludf.DUMMYFUNCTION("""COMPUTED_VALUE"""),"Satisfied")</f>
        <v>Satisfied</v>
      </c>
      <c r="AA15" s="30" t="str">
        <f>IFERROR(__xludf.DUMMYFUNCTION("""COMPUTED_VALUE"""),"")</f>
        <v/>
      </c>
      <c r="AB15" s="17">
        <f>IFERROR(__xludf.DUMMYFUNCTION("""COMPUTED_VALUE"""),7.0)</f>
        <v>7</v>
      </c>
      <c r="AC15" s="25">
        <f>IFERROR(__xludf.DUMMYFUNCTION("""COMPUTED_VALUE"""),334.0)</f>
        <v>334</v>
      </c>
      <c r="AD15" s="25">
        <f>IFERROR(__xludf.DUMMYFUNCTION("""COMPUTED_VALUE"""),96.0)</f>
        <v>96</v>
      </c>
      <c r="AE15" s="25">
        <f>IFERROR(__xludf.DUMMYFUNCTION("""COMPUTED_VALUE"""),238.0)</f>
        <v>238</v>
      </c>
      <c r="AF15" s="24">
        <f>IFERROR(__xludf.DUMMYFUNCTION("""COMPUTED_VALUE"""),0.2874)</f>
        <v>0.2874</v>
      </c>
      <c r="AG15" s="25">
        <f>IFERROR(__xludf.DUMMYFUNCTION("""COMPUTED_VALUE"""),24.0)</f>
        <v>24</v>
      </c>
      <c r="AH15" s="22">
        <f>IFERROR(__xludf.DUMMYFUNCTION("""COMPUTED_VALUE"""),41.83)</f>
        <v>41.83</v>
      </c>
      <c r="AI15" s="22">
        <f>IFERROR(__xludf.DUMMYFUNCTION("""COMPUTED_VALUE"""),55.12)</f>
        <v>55.12</v>
      </c>
      <c r="AJ15" s="11"/>
    </row>
    <row r="16">
      <c r="A16" s="31"/>
      <c r="B16" s="17">
        <f>IFERROR(__xludf.DUMMYFUNCTION("""COMPUTED_VALUE"""),13.0)</f>
        <v>13</v>
      </c>
      <c r="C16" s="18" t="str">
        <f>IFERROR(__xludf.DUMMYFUNCTION("""COMPUTED_VALUE"""),"Female")</f>
        <v>Female</v>
      </c>
      <c r="D16" s="18" t="b">
        <f>IFERROR(__xludf.DUMMYFUNCTION("""COMPUTED_VALUE"""),FALSE)</f>
        <v>0</v>
      </c>
      <c r="E16" s="32" t="str">
        <f>IFERROR(__xludf.DUMMYFUNCTION("""COMPUTED_VALUE"""),"")</f>
        <v/>
      </c>
      <c r="F16" s="17">
        <f>IFERROR(__xludf.DUMMYFUNCTION("""COMPUTED_VALUE"""),13.0)</f>
        <v>13</v>
      </c>
      <c r="G16" s="20" t="b">
        <f>IFERROR(__xludf.DUMMYFUNCTION("""COMPUTED_VALUE"""),TRUE)</f>
        <v>1</v>
      </c>
      <c r="H16" s="18" t="str">
        <f>IFERROR(__xludf.DUMMYFUNCTION("""COMPUTED_VALUE"""),"KingGizzardAndTheWiz")</f>
        <v>KingGizzardAndTheWiz</v>
      </c>
      <c r="I16" s="22">
        <f>IFERROR(__xludf.DUMMYFUNCTION("""COMPUTED_VALUE"""),17.06)</f>
        <v>17.06</v>
      </c>
      <c r="J16" s="23">
        <f>IFERROR(__xludf.DUMMYFUNCTION("""COMPUTED_VALUE"""),60.0)</f>
        <v>60</v>
      </c>
      <c r="K16" s="24">
        <f>IFERROR(__xludf.DUMMYFUNCTION("""COMPUTED_VALUE"""),0.35)</f>
        <v>0.35</v>
      </c>
      <c r="L16" s="24">
        <f>IFERROR(__xludf.DUMMYFUNCTION("""COMPUTED_VALUE"""),0.2)</f>
        <v>0.2</v>
      </c>
      <c r="M16" s="25">
        <f>IFERROR(__xludf.DUMMYFUNCTION("""COMPUTED_VALUE"""),21.0)</f>
        <v>21</v>
      </c>
      <c r="N16" s="25">
        <f>IFERROR(__xludf.DUMMYFUNCTION("""COMPUTED_VALUE"""),12.0)</f>
        <v>12</v>
      </c>
      <c r="O16" s="18" t="b">
        <f>IFERROR(__xludf.DUMMYFUNCTION("""COMPUTED_VALUE"""),FALSE)</f>
        <v>0</v>
      </c>
      <c r="P16" s="22">
        <f>IFERROR(__xludf.DUMMYFUNCTION("""COMPUTED_VALUE"""),50.58)</f>
        <v>50.58</v>
      </c>
      <c r="Q16" s="32" t="str">
        <f>IFERROR(__xludf.DUMMYFUNCTION("""COMPUTED_VALUE"""),"")</f>
        <v/>
      </c>
      <c r="R16" s="17">
        <f>IFERROR(__xludf.DUMMYFUNCTION("""COMPUTED_VALUE"""),13.0)</f>
        <v>13</v>
      </c>
      <c r="S16" s="18" t="str">
        <f>IFERROR(__xludf.DUMMYFUNCTION("""COMPUTED_VALUE"""),"Very satisfied")</f>
        <v>Very satisfied</v>
      </c>
      <c r="T16" s="18" t="str">
        <f>IFERROR(__xludf.DUMMYFUNCTION("""COMPUTED_VALUE"""),"I am happy with the amount of options I was given")</f>
        <v>I am happy with the amount of options I was given</v>
      </c>
      <c r="U16" s="20" t="b">
        <f>IFERROR(__xludf.DUMMYFUNCTION("""COMPUTED_VALUE"""),TRUE)</f>
        <v>1</v>
      </c>
      <c r="V16" s="32" t="str">
        <f>IFERROR(__xludf.DUMMYFUNCTION("""COMPUTED_VALUE"""),"")</f>
        <v/>
      </c>
      <c r="W16" s="17">
        <f>IFERROR(__xludf.DUMMYFUNCTION("""COMPUTED_VALUE"""),13.0)</f>
        <v>13</v>
      </c>
      <c r="X16" s="25">
        <f>IFERROR(__xludf.DUMMYFUNCTION("""COMPUTED_VALUE"""),9.0)</f>
        <v>9</v>
      </c>
      <c r="Y16" s="18" t="str">
        <f>IFERROR(__xludf.DUMMYFUNCTION("""COMPUTED_VALUE"""),"Pleased")</f>
        <v>Pleased</v>
      </c>
      <c r="Z16" s="18" t="str">
        <f>IFERROR(__xludf.DUMMYFUNCTION("""COMPUTED_VALUE"""),"Very satisfied")</f>
        <v>Very satisfied</v>
      </c>
      <c r="AA16" s="32" t="str">
        <f>IFERROR(__xludf.DUMMYFUNCTION("""COMPUTED_VALUE"""),"")</f>
        <v/>
      </c>
      <c r="AB16" s="17">
        <f>IFERROR(__xludf.DUMMYFUNCTION("""COMPUTED_VALUE"""),13.0)</f>
        <v>13</v>
      </c>
      <c r="AC16" s="25">
        <f>IFERROR(__xludf.DUMMYFUNCTION("""COMPUTED_VALUE"""),157.0)</f>
        <v>157</v>
      </c>
      <c r="AD16" s="25">
        <f>IFERROR(__xludf.DUMMYFUNCTION("""COMPUTED_VALUE"""),70.0)</f>
        <v>70</v>
      </c>
      <c r="AE16" s="25">
        <f>IFERROR(__xludf.DUMMYFUNCTION("""COMPUTED_VALUE"""),87.0)</f>
        <v>87</v>
      </c>
      <c r="AF16" s="24">
        <f>IFERROR(__xludf.DUMMYFUNCTION("""COMPUTED_VALUE"""),0.4459)</f>
        <v>0.4459</v>
      </c>
      <c r="AG16" s="25">
        <f>IFERROR(__xludf.DUMMYFUNCTION("""COMPUTED_VALUE"""),16.0)</f>
        <v>16</v>
      </c>
      <c r="AH16" s="22">
        <f>IFERROR(__xludf.DUMMYFUNCTION("""COMPUTED_VALUE"""),12.17)</f>
        <v>12.17</v>
      </c>
      <c r="AI16" s="22">
        <f>IFERROR(__xludf.DUMMYFUNCTION("""COMPUTED_VALUE"""),47.05)</f>
        <v>47.05</v>
      </c>
      <c r="AJ16" s="11"/>
    </row>
    <row r="17">
      <c r="A17" s="31"/>
      <c r="B17" s="17">
        <f>IFERROR(__xludf.DUMMYFUNCTION("""COMPUTED_VALUE"""),18.0)</f>
        <v>18</v>
      </c>
      <c r="C17" s="18" t="str">
        <f>IFERROR(__xludf.DUMMYFUNCTION("""COMPUTED_VALUE"""),"Male")</f>
        <v>Male</v>
      </c>
      <c r="D17" s="18" t="b">
        <f>IFERROR(__xludf.DUMMYFUNCTION("""COMPUTED_VALUE"""),FALSE)</f>
        <v>0</v>
      </c>
      <c r="E17" s="32" t="str">
        <f>IFERROR(__xludf.DUMMYFUNCTION("""COMPUTED_VALUE"""),"")</f>
        <v/>
      </c>
      <c r="F17" s="17">
        <f>IFERROR(__xludf.DUMMYFUNCTION("""COMPUTED_VALUE"""),18.0)</f>
        <v>18</v>
      </c>
      <c r="G17" s="20" t="b">
        <f>IFERROR(__xludf.DUMMYFUNCTION("""COMPUTED_VALUE"""),TRUE)</f>
        <v>1</v>
      </c>
      <c r="H17" s="18" t="str">
        <f>IFERROR(__xludf.DUMMYFUNCTION("""COMPUTED_VALUE"""),"Buck The Puck")</f>
        <v>Buck The Puck</v>
      </c>
      <c r="I17" s="22">
        <f>IFERROR(__xludf.DUMMYFUNCTION("""COMPUTED_VALUE"""),7.46)</f>
        <v>7.46</v>
      </c>
      <c r="J17" s="23">
        <f>IFERROR(__xludf.DUMMYFUNCTION("""COMPUTED_VALUE"""),60.0)</f>
        <v>60</v>
      </c>
      <c r="K17" s="24">
        <f>IFERROR(__xludf.DUMMYFUNCTION("""COMPUTED_VALUE"""),0.3333)</f>
        <v>0.3333</v>
      </c>
      <c r="L17" s="24">
        <f>IFERROR(__xludf.DUMMYFUNCTION("""COMPUTED_VALUE"""),0.15)</f>
        <v>0.15</v>
      </c>
      <c r="M17" s="25">
        <f>IFERROR(__xludf.DUMMYFUNCTION("""COMPUTED_VALUE"""),42.0)</f>
        <v>42</v>
      </c>
      <c r="N17" s="25">
        <f>IFERROR(__xludf.DUMMYFUNCTION("""COMPUTED_VALUE"""),53.0)</f>
        <v>53</v>
      </c>
      <c r="O17" s="20" t="b">
        <f>IFERROR(__xludf.DUMMYFUNCTION("""COMPUTED_VALUE"""),FALSE)</f>
        <v>0</v>
      </c>
      <c r="P17" s="22">
        <f>IFERROR(__xludf.DUMMYFUNCTION("""COMPUTED_VALUE"""),22.16)</f>
        <v>22.16</v>
      </c>
      <c r="Q17" s="32" t="str">
        <f>IFERROR(__xludf.DUMMYFUNCTION("""COMPUTED_VALUE"""),"")</f>
        <v/>
      </c>
      <c r="R17" s="17">
        <f>IFERROR(__xludf.DUMMYFUNCTION("""COMPUTED_VALUE"""),18.0)</f>
        <v>18</v>
      </c>
      <c r="S17" s="18" t="str">
        <f>IFERROR(__xludf.DUMMYFUNCTION("""COMPUTED_VALUE"""),"Satisfied")</f>
        <v>Satisfied</v>
      </c>
      <c r="T17" s="18" t="str">
        <f>IFERROR(__xludf.DUMMYFUNCTION("""COMPUTED_VALUE"""),"I wanted more options")</f>
        <v>I wanted more options</v>
      </c>
      <c r="U17" s="20" t="b">
        <f>IFERROR(__xludf.DUMMYFUNCTION("""COMPUTED_VALUE"""),TRUE)</f>
        <v>1</v>
      </c>
      <c r="V17" s="32" t="str">
        <f>IFERROR(__xludf.DUMMYFUNCTION("""COMPUTED_VALUE"""),"")</f>
        <v/>
      </c>
      <c r="W17" s="17">
        <f>IFERROR(__xludf.DUMMYFUNCTION("""COMPUTED_VALUE"""),18.0)</f>
        <v>18</v>
      </c>
      <c r="X17" s="25">
        <f>IFERROR(__xludf.DUMMYFUNCTION("""COMPUTED_VALUE"""),5.0)</f>
        <v>5</v>
      </c>
      <c r="Y17" s="18" t="str">
        <f>IFERROR(__xludf.DUMMYFUNCTION("""COMPUTED_VALUE"""),"Pleased")</f>
        <v>Pleased</v>
      </c>
      <c r="Z17" s="18" t="str">
        <f>IFERROR(__xludf.DUMMYFUNCTION("""COMPUTED_VALUE"""),"Unsatisfied")</f>
        <v>Unsatisfied</v>
      </c>
      <c r="AA17" s="32" t="str">
        <f>IFERROR(__xludf.DUMMYFUNCTION("""COMPUTED_VALUE"""),"")</f>
        <v/>
      </c>
      <c r="AB17" s="17">
        <f>IFERROR(__xludf.DUMMYFUNCTION("""COMPUTED_VALUE"""),18.0)</f>
        <v>18</v>
      </c>
      <c r="AC17" s="25">
        <f>IFERROR(__xludf.DUMMYFUNCTION("""COMPUTED_VALUE"""),442.0)</f>
        <v>442</v>
      </c>
      <c r="AD17" s="25">
        <f>IFERROR(__xludf.DUMMYFUNCTION("""COMPUTED_VALUE"""),136.0)</f>
        <v>136</v>
      </c>
      <c r="AE17" s="25">
        <f>IFERROR(__xludf.DUMMYFUNCTION("""COMPUTED_VALUE"""),306.0)</f>
        <v>306</v>
      </c>
      <c r="AF17" s="24">
        <f>IFERROR(__xludf.DUMMYFUNCTION("""COMPUTED_VALUE"""),0.3077)</f>
        <v>0.3077</v>
      </c>
      <c r="AG17" s="25">
        <f>IFERROR(__xludf.DUMMYFUNCTION("""COMPUTED_VALUE"""),34.0)</f>
        <v>34</v>
      </c>
      <c r="AH17" s="22">
        <f>IFERROR(__xludf.DUMMYFUNCTION("""COMPUTED_VALUE"""),34.0)</f>
        <v>34</v>
      </c>
      <c r="AI17" s="22">
        <f>IFERROR(__xludf.DUMMYFUNCTION("""COMPUTED_VALUE"""),65.34)</f>
        <v>65.34</v>
      </c>
      <c r="AJ17" s="11"/>
    </row>
    <row r="18">
      <c r="A18" s="31"/>
      <c r="B18" s="17">
        <f>IFERROR(__xludf.DUMMYFUNCTION("""COMPUTED_VALUE"""),27.0)</f>
        <v>27</v>
      </c>
      <c r="C18" s="18" t="str">
        <f>IFERROR(__xludf.DUMMYFUNCTION("""COMPUTED_VALUE"""),"Male")</f>
        <v>Male</v>
      </c>
      <c r="D18" s="20" t="b">
        <f>IFERROR(__xludf.DUMMYFUNCTION("""COMPUTED_VALUE"""),TRUE)</f>
        <v>1</v>
      </c>
      <c r="E18" s="32" t="str">
        <f>IFERROR(__xludf.DUMMYFUNCTION("""COMPUTED_VALUE"""),"")</f>
        <v/>
      </c>
      <c r="F18" s="17">
        <f>IFERROR(__xludf.DUMMYFUNCTION("""COMPUTED_VALUE"""),27.0)</f>
        <v>27</v>
      </c>
      <c r="G18" s="20" t="b">
        <f>IFERROR(__xludf.DUMMYFUNCTION("""COMPUTED_VALUE"""),TRUE)</f>
        <v>1</v>
      </c>
      <c r="H18" s="18" t="str">
        <f>IFERROR(__xludf.DUMMYFUNCTION("""COMPUTED_VALUE"""),"PinkKnight")</f>
        <v>PinkKnight</v>
      </c>
      <c r="I18" s="22">
        <f>IFERROR(__xludf.DUMMYFUNCTION("""COMPUTED_VALUE"""),14.05)</f>
        <v>14.05</v>
      </c>
      <c r="J18" s="23">
        <f>IFERROR(__xludf.DUMMYFUNCTION("""COMPUTED_VALUE"""),60.0)</f>
        <v>60</v>
      </c>
      <c r="K18" s="24">
        <f>IFERROR(__xludf.DUMMYFUNCTION("""COMPUTED_VALUE"""),1.0)</f>
        <v>1</v>
      </c>
      <c r="L18" s="24">
        <f>IFERROR(__xludf.DUMMYFUNCTION("""COMPUTED_VALUE"""),0.95)</f>
        <v>0.95</v>
      </c>
      <c r="M18" s="25">
        <f>IFERROR(__xludf.DUMMYFUNCTION("""COMPUTED_VALUE"""),4.0)</f>
        <v>4</v>
      </c>
      <c r="N18" s="25">
        <f>IFERROR(__xludf.DUMMYFUNCTION("""COMPUTED_VALUE"""),6.0)</f>
        <v>6</v>
      </c>
      <c r="O18" s="20" t="b">
        <f>IFERROR(__xludf.DUMMYFUNCTION("""COMPUTED_VALUE"""),FALSE)</f>
        <v>0</v>
      </c>
      <c r="P18" s="22">
        <f>IFERROR(__xludf.DUMMYFUNCTION("""COMPUTED_VALUE"""),86.89)</f>
        <v>86.89</v>
      </c>
      <c r="Q18" s="32" t="str">
        <f>IFERROR(__xludf.DUMMYFUNCTION("""COMPUTED_VALUE"""),"")</f>
        <v/>
      </c>
      <c r="R18" s="17">
        <f>IFERROR(__xludf.DUMMYFUNCTION("""COMPUTED_VALUE"""),27.0)</f>
        <v>27</v>
      </c>
      <c r="S18" s="18" t="str">
        <f>IFERROR(__xludf.DUMMYFUNCTION("""COMPUTED_VALUE"""),"Very satisfied")</f>
        <v>Very satisfied</v>
      </c>
      <c r="T18" s="18" t="str">
        <f>IFERROR(__xludf.DUMMYFUNCTION("""COMPUTED_VALUE"""),"I am happy with the amount of options I was given")</f>
        <v>I am happy with the amount of options I was given</v>
      </c>
      <c r="U18" s="20" t="b">
        <f>IFERROR(__xludf.DUMMYFUNCTION("""COMPUTED_VALUE"""),TRUE)</f>
        <v>1</v>
      </c>
      <c r="V18" s="32" t="str">
        <f>IFERROR(__xludf.DUMMYFUNCTION("""COMPUTED_VALUE"""),"")</f>
        <v/>
      </c>
      <c r="W18" s="17">
        <f>IFERROR(__xludf.DUMMYFUNCTION("""COMPUTED_VALUE"""),27.0)</f>
        <v>27</v>
      </c>
      <c r="X18" s="25">
        <f>IFERROR(__xludf.DUMMYFUNCTION("""COMPUTED_VALUE"""),9.0)</f>
        <v>9</v>
      </c>
      <c r="Y18" s="18" t="str">
        <f>IFERROR(__xludf.DUMMYFUNCTION("""COMPUTED_VALUE"""),"Unpleased")</f>
        <v>Unpleased</v>
      </c>
      <c r="Z18" s="18" t="str">
        <f>IFERROR(__xludf.DUMMYFUNCTION("""COMPUTED_VALUE"""),"Very satisfied")</f>
        <v>Very satisfied</v>
      </c>
      <c r="AA18" s="32" t="str">
        <f>IFERROR(__xludf.DUMMYFUNCTION("""COMPUTED_VALUE"""),"")</f>
        <v/>
      </c>
      <c r="AB18" s="17">
        <f>IFERROR(__xludf.DUMMYFUNCTION("""COMPUTED_VALUE"""),27.0)</f>
        <v>27</v>
      </c>
      <c r="AC18" s="25">
        <f>IFERROR(__xludf.DUMMYFUNCTION("""COMPUTED_VALUE"""),236.0)</f>
        <v>236</v>
      </c>
      <c r="AD18" s="25">
        <f>IFERROR(__xludf.DUMMYFUNCTION("""COMPUTED_VALUE"""),60.0)</f>
        <v>60</v>
      </c>
      <c r="AE18" s="25">
        <f>IFERROR(__xludf.DUMMYFUNCTION("""COMPUTED_VALUE"""),176.0)</f>
        <v>176</v>
      </c>
      <c r="AF18" s="24">
        <f>IFERROR(__xludf.DUMMYFUNCTION("""COMPUTED_VALUE"""),0.2542)</f>
        <v>0.2542</v>
      </c>
      <c r="AG18" s="25">
        <f>IFERROR(__xludf.DUMMYFUNCTION("""COMPUTED_VALUE"""),13.0)</f>
        <v>13</v>
      </c>
      <c r="AH18" s="22">
        <f>IFERROR(__xludf.DUMMYFUNCTION("""COMPUTED_VALUE"""),50.93)</f>
        <v>50.93</v>
      </c>
      <c r="AI18" s="22">
        <f>IFERROR(__xludf.DUMMYFUNCTION("""COMPUTED_VALUE"""),12.95)</f>
        <v>12.95</v>
      </c>
      <c r="AJ18" s="11"/>
    </row>
    <row r="19">
      <c r="A19" s="31"/>
      <c r="B19" s="17">
        <f>IFERROR(__xludf.DUMMYFUNCTION("""COMPUTED_VALUE"""),31.0)</f>
        <v>31</v>
      </c>
      <c r="C19" s="18" t="str">
        <f>IFERROR(__xludf.DUMMYFUNCTION("""COMPUTED_VALUE"""),"Male")</f>
        <v>Male</v>
      </c>
      <c r="D19" s="20" t="b">
        <f>IFERROR(__xludf.DUMMYFUNCTION("""COMPUTED_VALUE"""),TRUE)</f>
        <v>1</v>
      </c>
      <c r="E19" s="32" t="str">
        <f>IFERROR(__xludf.DUMMYFUNCTION("""COMPUTED_VALUE"""),"")</f>
        <v/>
      </c>
      <c r="F19" s="17">
        <f>IFERROR(__xludf.DUMMYFUNCTION("""COMPUTED_VALUE"""),31.0)</f>
        <v>31</v>
      </c>
      <c r="G19" s="20" t="b">
        <f>IFERROR(__xludf.DUMMYFUNCTION("""COMPUTED_VALUE"""),TRUE)</f>
        <v>1</v>
      </c>
      <c r="H19" s="18" t="str">
        <f>IFERROR(__xludf.DUMMYFUNCTION("""COMPUTED_VALUE"""),"Dom the Awful")</f>
        <v>Dom the Awful</v>
      </c>
      <c r="I19" s="22">
        <f>IFERROR(__xludf.DUMMYFUNCTION("""COMPUTED_VALUE"""),12.27)</f>
        <v>12.27</v>
      </c>
      <c r="J19" s="23">
        <f>IFERROR(__xludf.DUMMYFUNCTION("""COMPUTED_VALUE"""),60.0)</f>
        <v>60</v>
      </c>
      <c r="K19" s="24">
        <f>IFERROR(__xludf.DUMMYFUNCTION("""COMPUTED_VALUE"""),0.9)</f>
        <v>0.9</v>
      </c>
      <c r="L19" s="24">
        <f>IFERROR(__xludf.DUMMYFUNCTION("""COMPUTED_VALUE"""),1.0)</f>
        <v>1</v>
      </c>
      <c r="M19" s="25">
        <f>IFERROR(__xludf.DUMMYFUNCTION("""COMPUTED_VALUE"""),8.0)</f>
        <v>8</v>
      </c>
      <c r="N19" s="25">
        <f>IFERROR(__xludf.DUMMYFUNCTION("""COMPUTED_VALUE"""),18.0)</f>
        <v>18</v>
      </c>
      <c r="O19" s="20" t="b">
        <f>IFERROR(__xludf.DUMMYFUNCTION("""COMPUTED_VALUE"""),FALSE)</f>
        <v>0</v>
      </c>
      <c r="P19" s="22">
        <f>IFERROR(__xludf.DUMMYFUNCTION("""COMPUTED_VALUE"""),79.14)</f>
        <v>79.14</v>
      </c>
      <c r="Q19" s="32" t="str">
        <f>IFERROR(__xludf.DUMMYFUNCTION("""COMPUTED_VALUE"""),"")</f>
        <v/>
      </c>
      <c r="R19" s="17">
        <f>IFERROR(__xludf.DUMMYFUNCTION("""COMPUTED_VALUE"""),31.0)</f>
        <v>31</v>
      </c>
      <c r="S19" s="18" t="str">
        <f>IFERROR(__xludf.DUMMYFUNCTION("""COMPUTED_VALUE"""),"Unsatisfied")</f>
        <v>Unsatisfied</v>
      </c>
      <c r="T19" s="18" t="str">
        <f>IFERROR(__xludf.DUMMYFUNCTION("""COMPUTED_VALUE"""),"I wanted less options")</f>
        <v>I wanted less options</v>
      </c>
      <c r="U19" s="20" t="b">
        <f>IFERROR(__xludf.DUMMYFUNCTION("""COMPUTED_VALUE"""),TRUE)</f>
        <v>1</v>
      </c>
      <c r="V19" s="32" t="str">
        <f>IFERROR(__xludf.DUMMYFUNCTION("""COMPUTED_VALUE"""),"")</f>
        <v/>
      </c>
      <c r="W19" s="17">
        <f>IFERROR(__xludf.DUMMYFUNCTION("""COMPUTED_VALUE"""),31.0)</f>
        <v>31</v>
      </c>
      <c r="X19" s="25">
        <f>IFERROR(__xludf.DUMMYFUNCTION("""COMPUTED_VALUE"""),6.0)</f>
        <v>6</v>
      </c>
      <c r="Y19" s="18" t="str">
        <f>IFERROR(__xludf.DUMMYFUNCTION("""COMPUTED_VALUE"""),"Very unpleased")</f>
        <v>Very unpleased</v>
      </c>
      <c r="Z19" s="18" t="str">
        <f>IFERROR(__xludf.DUMMYFUNCTION("""COMPUTED_VALUE"""),"Unsatisfied")</f>
        <v>Unsatisfied</v>
      </c>
      <c r="AA19" s="32" t="str">
        <f>IFERROR(__xludf.DUMMYFUNCTION("""COMPUTED_VALUE"""),"")</f>
        <v/>
      </c>
      <c r="AB19" s="17">
        <f>IFERROR(__xludf.DUMMYFUNCTION("""COMPUTED_VALUE"""),31.0)</f>
        <v>31</v>
      </c>
      <c r="AC19" s="25">
        <f>IFERROR(__xludf.DUMMYFUNCTION("""COMPUTED_VALUE"""),303.0)</f>
        <v>303</v>
      </c>
      <c r="AD19" s="25">
        <f>IFERROR(__xludf.DUMMYFUNCTION("""COMPUTED_VALUE"""),122.0)</f>
        <v>122</v>
      </c>
      <c r="AE19" s="25">
        <f>IFERROR(__xludf.DUMMYFUNCTION("""COMPUTED_VALUE"""),181.0)</f>
        <v>181</v>
      </c>
      <c r="AF19" s="24">
        <f>IFERROR(__xludf.DUMMYFUNCTION("""COMPUTED_VALUE"""),0.4026)</f>
        <v>0.4026</v>
      </c>
      <c r="AG19" s="25">
        <f>IFERROR(__xludf.DUMMYFUNCTION("""COMPUTED_VALUE"""),31.0)</f>
        <v>31</v>
      </c>
      <c r="AH19" s="22">
        <f>IFERROR(__xludf.DUMMYFUNCTION("""COMPUTED_VALUE"""),41.92)</f>
        <v>41.92</v>
      </c>
      <c r="AI19" s="22">
        <f>IFERROR(__xludf.DUMMYFUNCTION("""COMPUTED_VALUE"""),68.41)</f>
        <v>68.41</v>
      </c>
      <c r="AJ19" s="11"/>
    </row>
    <row r="20">
      <c r="A20" s="1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11"/>
    </row>
    <row r="21">
      <c r="A21" s="34"/>
      <c r="B21" s="35"/>
      <c r="C21" s="35"/>
      <c r="E21" s="33"/>
      <c r="F21" s="33"/>
      <c r="G21" s="33"/>
      <c r="H21" s="37" t="s">
        <v>62</v>
      </c>
      <c r="I21" s="38">
        <f>MEDIAN(I15:I19)</f>
        <v>14.05</v>
      </c>
      <c r="J21" s="39"/>
      <c r="K21" s="40">
        <f t="shared" ref="K21:L21" si="1">MEDIAN(K15:K19)</f>
        <v>0.3667</v>
      </c>
      <c r="L21" s="40">
        <f t="shared" si="1"/>
        <v>0.95</v>
      </c>
      <c r="M21" s="33"/>
      <c r="N21" s="33"/>
      <c r="O21" s="37" t="s">
        <v>62</v>
      </c>
      <c r="P21" s="38">
        <f>MEDIAN(P15:P19)</f>
        <v>79.14</v>
      </c>
      <c r="Q21" s="33"/>
      <c r="R21" s="33"/>
      <c r="S21" s="33"/>
      <c r="T21" s="33"/>
      <c r="U21" s="33"/>
      <c r="V21" s="33"/>
      <c r="W21" s="37" t="s">
        <v>62</v>
      </c>
      <c r="X21" s="39">
        <f>MEDIAN(X15:X19)</f>
        <v>6</v>
      </c>
      <c r="Y21" s="33"/>
      <c r="Z21" s="33"/>
      <c r="AA21" s="33"/>
      <c r="AB21" s="37" t="s">
        <v>62</v>
      </c>
      <c r="AC21" s="39">
        <f t="shared" ref="AC21:AI21" si="2">MEDIAN(AC15:AC19)</f>
        <v>303</v>
      </c>
      <c r="AD21" s="39">
        <f t="shared" si="2"/>
        <v>96</v>
      </c>
      <c r="AE21" s="39">
        <f t="shared" si="2"/>
        <v>181</v>
      </c>
      <c r="AF21" s="40">
        <f t="shared" si="2"/>
        <v>0.3077</v>
      </c>
      <c r="AG21" s="39">
        <f t="shared" si="2"/>
        <v>24</v>
      </c>
      <c r="AH21" s="38">
        <f t="shared" si="2"/>
        <v>41.83</v>
      </c>
      <c r="AI21" s="38">
        <f t="shared" si="2"/>
        <v>55.12</v>
      </c>
      <c r="AJ21" s="11"/>
    </row>
    <row r="22">
      <c r="A22" s="11"/>
      <c r="B22" s="35"/>
      <c r="C22" s="35"/>
      <c r="E22" s="33"/>
      <c r="F22" s="33"/>
      <c r="G22" s="33"/>
      <c r="H22" s="37" t="s">
        <v>65</v>
      </c>
      <c r="I22" s="38">
        <f>AVERAGE(I15:I19)</f>
        <v>16.662</v>
      </c>
      <c r="J22" s="38"/>
      <c r="K22" s="40">
        <f t="shared" ref="K22:L22" si="3">AVERAGE(K15:K19)</f>
        <v>0.59</v>
      </c>
      <c r="L22" s="40">
        <f t="shared" si="3"/>
        <v>0.65</v>
      </c>
      <c r="M22" s="45"/>
      <c r="N22" s="45"/>
      <c r="O22" s="37" t="s">
        <v>65</v>
      </c>
      <c r="P22" s="38">
        <f>AVERAGE(P15:P19)</f>
        <v>69.124</v>
      </c>
      <c r="Q22" s="33"/>
      <c r="R22" s="33"/>
      <c r="S22" s="33"/>
      <c r="T22" s="33"/>
      <c r="U22" s="33"/>
      <c r="V22" s="33"/>
      <c r="W22" s="37" t="s">
        <v>65</v>
      </c>
      <c r="X22" s="38">
        <f>AVERAGE(X15:X19)</f>
        <v>6.6</v>
      </c>
      <c r="Y22" s="33"/>
      <c r="Z22" s="33"/>
      <c r="AA22" s="33"/>
      <c r="AB22" s="37" t="s">
        <v>65</v>
      </c>
      <c r="AC22" s="38">
        <f t="shared" ref="AC22:AI22" si="4">AVERAGE(AC15:AC19)</f>
        <v>294.4</v>
      </c>
      <c r="AD22" s="38">
        <f t="shared" si="4"/>
        <v>96.8</v>
      </c>
      <c r="AE22" s="38">
        <f t="shared" si="4"/>
        <v>197.6</v>
      </c>
      <c r="AF22" s="40">
        <f t="shared" si="4"/>
        <v>0.33956</v>
      </c>
      <c r="AG22" s="38">
        <f t="shared" si="4"/>
        <v>23.6</v>
      </c>
      <c r="AH22" s="38">
        <f t="shared" si="4"/>
        <v>36.17</v>
      </c>
      <c r="AI22" s="38">
        <f t="shared" si="4"/>
        <v>49.774</v>
      </c>
      <c r="AJ22" s="11"/>
    </row>
    <row r="23">
      <c r="A23" s="11"/>
      <c r="B23" s="11"/>
      <c r="C23" s="35"/>
      <c r="E23" s="11"/>
      <c r="F23" s="11"/>
      <c r="G23" s="11"/>
      <c r="H23" s="37" t="s">
        <v>68</v>
      </c>
      <c r="I23" s="38">
        <f>STDEV(I15:I19)</f>
        <v>9.497898189</v>
      </c>
      <c r="K23" s="40">
        <f t="shared" ref="K23:L23" si="5">STDEV(K15:K19)</f>
        <v>0.3307407519</v>
      </c>
      <c r="L23" s="40">
        <f t="shared" si="5"/>
        <v>0.4344536799</v>
      </c>
      <c r="M23" s="11"/>
      <c r="N23" s="11"/>
      <c r="O23" s="37" t="s">
        <v>68</v>
      </c>
      <c r="P23" s="38">
        <f>STDEV(P15:P19)</f>
        <v>33.12362948</v>
      </c>
      <c r="Q23" s="11"/>
      <c r="R23" s="11"/>
      <c r="S23" s="11"/>
      <c r="T23" s="11"/>
      <c r="U23" s="11"/>
      <c r="V23" s="11"/>
      <c r="W23" s="37" t="s">
        <v>68</v>
      </c>
      <c r="X23" s="38">
        <f>STDEV(X15:X19)</f>
        <v>2.302172887</v>
      </c>
      <c r="Y23" s="11"/>
      <c r="Z23" s="11"/>
      <c r="AA23" s="11"/>
      <c r="AB23" s="37" t="s">
        <v>68</v>
      </c>
      <c r="AC23" s="38">
        <f t="shared" ref="AC23:AI23" si="6">STDEV(AC15:AC19)</f>
        <v>106.9079043</v>
      </c>
      <c r="AD23" s="38">
        <f t="shared" si="6"/>
        <v>32.57606483</v>
      </c>
      <c r="AE23" s="38">
        <f t="shared" si="6"/>
        <v>81.17450339</v>
      </c>
      <c r="AF23" s="40">
        <f t="shared" si="6"/>
        <v>0.08109298983</v>
      </c>
      <c r="AG23" s="38">
        <f t="shared" si="6"/>
        <v>9.126883367</v>
      </c>
      <c r="AH23" s="38">
        <f t="shared" si="6"/>
        <v>14.69408554</v>
      </c>
      <c r="AI23" s="38">
        <f t="shared" si="6"/>
        <v>22.25762633</v>
      </c>
      <c r="AJ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38">
      <c r="A38" s="49"/>
    </row>
  </sheetData>
  <mergeCells count="10">
    <mergeCell ref="G11:P12"/>
    <mergeCell ref="C11:D12"/>
    <mergeCell ref="C22:D22"/>
    <mergeCell ref="C23:D23"/>
    <mergeCell ref="S11:U12"/>
    <mergeCell ref="H6:H7"/>
    <mergeCell ref="A5:G8"/>
    <mergeCell ref="AC11:AJ12"/>
    <mergeCell ref="C21:D21"/>
    <mergeCell ref="X11:Z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0.57"/>
    <col customWidth="1" min="3" max="3" width="18.86"/>
    <col customWidth="1" min="4" max="4" width="18.29"/>
    <col customWidth="1" min="5" max="5" width="19.14"/>
    <col customWidth="1" min="6" max="6" width="17.43"/>
    <col customWidth="1" min="7" max="7" width="17.86"/>
    <col customWidth="1" min="8" max="8" width="19.0"/>
  </cols>
  <sheetData>
    <row r="1">
      <c r="B1" s="57"/>
      <c r="I1" s="49" t="s">
        <v>87</v>
      </c>
    </row>
    <row r="2">
      <c r="A2" s="58"/>
      <c r="B2" s="70"/>
      <c r="C2" s="59" t="s">
        <v>89</v>
      </c>
      <c r="I2" s="49" t="s">
        <v>88</v>
      </c>
    </row>
    <row r="3">
      <c r="A3" s="58"/>
      <c r="B3" s="70"/>
    </row>
    <row r="4" ht="3.0" customHeight="1">
      <c r="A4" s="57"/>
      <c r="B4" s="60"/>
      <c r="C4" s="60"/>
      <c r="D4" s="60"/>
      <c r="E4" s="60"/>
      <c r="F4" s="60"/>
      <c r="G4" s="60"/>
      <c r="H4" s="60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</row>
    <row r="5">
      <c r="A5" s="61"/>
      <c r="B5" s="71"/>
      <c r="C5" s="61">
        <v>2.0</v>
      </c>
      <c r="D5" s="61">
        <v>5.0</v>
      </c>
      <c r="E5" s="61">
        <v>15.0</v>
      </c>
      <c r="F5" s="61">
        <v>30.0</v>
      </c>
      <c r="G5" s="61">
        <v>45.0</v>
      </c>
      <c r="H5" s="61">
        <v>60.0</v>
      </c>
    </row>
    <row r="6">
      <c r="A6" s="62" t="s">
        <v>83</v>
      </c>
      <c r="B6" s="60"/>
      <c r="C6" s="67">
        <v>5.92</v>
      </c>
      <c r="D6" s="66">
        <v>19.59</v>
      </c>
      <c r="E6" s="72">
        <v>28.08</v>
      </c>
      <c r="F6" s="66">
        <v>16.41</v>
      </c>
      <c r="G6" s="66">
        <v>24.74</v>
      </c>
      <c r="H6" s="66">
        <v>22.16</v>
      </c>
      <c r="J6" s="66"/>
    </row>
    <row r="7">
      <c r="A7" s="62"/>
      <c r="B7" s="60"/>
      <c r="C7" s="72">
        <v>10.5</v>
      </c>
      <c r="D7" s="66">
        <v>19.88</v>
      </c>
      <c r="E7" s="66">
        <v>35.96</v>
      </c>
      <c r="F7" s="66">
        <v>19.92</v>
      </c>
      <c r="G7" s="62">
        <v>49.23</v>
      </c>
      <c r="H7" s="66">
        <v>50.58</v>
      </c>
      <c r="J7" s="66"/>
    </row>
    <row r="8">
      <c r="A8" s="62"/>
      <c r="B8" s="60"/>
      <c r="C8" s="67">
        <v>19.29</v>
      </c>
      <c r="D8" s="66">
        <v>31.66</v>
      </c>
      <c r="E8" s="66">
        <v>47.08</v>
      </c>
      <c r="F8" s="66">
        <v>22.75</v>
      </c>
      <c r="G8" s="66">
        <v>52.56</v>
      </c>
      <c r="H8" s="66">
        <v>79.14</v>
      </c>
      <c r="J8" s="66"/>
    </row>
    <row r="9">
      <c r="A9" s="62"/>
      <c r="B9" s="60"/>
      <c r="C9" s="67">
        <v>25.42</v>
      </c>
      <c r="D9" s="66">
        <v>48.81</v>
      </c>
      <c r="E9" s="66">
        <v>51.24</v>
      </c>
      <c r="F9" s="72">
        <v>39.0</v>
      </c>
      <c r="G9" s="66">
        <v>75.71</v>
      </c>
      <c r="H9" s="66">
        <v>86.89</v>
      </c>
      <c r="J9" s="66"/>
    </row>
    <row r="10">
      <c r="A10" s="62"/>
      <c r="B10" s="60"/>
      <c r="C10" s="67">
        <v>27.26</v>
      </c>
      <c r="D10" s="66">
        <v>55.94</v>
      </c>
      <c r="E10" s="66">
        <v>58.54</v>
      </c>
      <c r="J10" s="62"/>
    </row>
    <row r="11">
      <c r="A11" s="62"/>
      <c r="B11" s="60"/>
      <c r="C11" s="67">
        <v>27.59</v>
      </c>
      <c r="D11" s="72"/>
      <c r="E11" s="66"/>
      <c r="F11" s="66"/>
      <c r="G11" s="66"/>
      <c r="H11" s="66"/>
      <c r="J11" s="66"/>
    </row>
    <row r="12">
      <c r="A12" s="62" t="s">
        <v>84</v>
      </c>
      <c r="B12" s="60"/>
      <c r="C12" s="67">
        <v>32.49</v>
      </c>
      <c r="D12" s="72">
        <v>99.81</v>
      </c>
      <c r="E12" s="66">
        <v>126.59</v>
      </c>
      <c r="F12" s="66">
        <v>54.58</v>
      </c>
      <c r="G12" s="66">
        <v>151.07</v>
      </c>
      <c r="H12" s="62">
        <v>106.85</v>
      </c>
      <c r="J12" s="67"/>
    </row>
    <row r="13">
      <c r="A13" s="62"/>
      <c r="B13" s="60"/>
      <c r="C13" s="67"/>
      <c r="D13" s="66"/>
      <c r="E13" s="66"/>
      <c r="F13" s="66"/>
      <c r="G13" s="66"/>
      <c r="H13" s="66"/>
    </row>
    <row r="14" ht="3.0" customHeight="1">
      <c r="A14" s="57"/>
      <c r="B14" s="60"/>
      <c r="C14" s="60"/>
      <c r="D14" s="60"/>
      <c r="E14" s="60"/>
      <c r="F14" s="60"/>
      <c r="G14" s="60"/>
      <c r="H14" s="60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</row>
    <row r="15" ht="21.0" customHeight="1">
      <c r="A15" s="68" t="s">
        <v>62</v>
      </c>
      <c r="B15" s="73"/>
      <c r="C15" s="74">
        <f t="shared" ref="C15:H15" si="1">MEDIAN(C6:C13)</f>
        <v>25.42</v>
      </c>
      <c r="D15" s="74">
        <f t="shared" si="1"/>
        <v>40.235</v>
      </c>
      <c r="E15" s="74">
        <f t="shared" si="1"/>
        <v>49.16</v>
      </c>
      <c r="F15" s="74">
        <f t="shared" si="1"/>
        <v>22.75</v>
      </c>
      <c r="G15" s="74">
        <f t="shared" si="1"/>
        <v>52.56</v>
      </c>
      <c r="H15" s="74">
        <f t="shared" si="1"/>
        <v>79.14</v>
      </c>
    </row>
    <row r="16" ht="19.5" customHeight="1">
      <c r="A16" s="68" t="s">
        <v>65</v>
      </c>
      <c r="B16" s="73"/>
      <c r="C16" s="74">
        <f t="shared" ref="C16:H16" si="2">AVERAGE(C6:C13)</f>
        <v>21.21</v>
      </c>
      <c r="D16" s="74">
        <f t="shared" si="2"/>
        <v>45.94833333</v>
      </c>
      <c r="E16" s="74">
        <f t="shared" si="2"/>
        <v>57.915</v>
      </c>
      <c r="F16" s="74">
        <f t="shared" si="2"/>
        <v>30.532</v>
      </c>
      <c r="G16" s="74">
        <f t="shared" si="2"/>
        <v>70.662</v>
      </c>
      <c r="H16" s="74">
        <f t="shared" si="2"/>
        <v>69.124</v>
      </c>
    </row>
    <row r="17" ht="19.5" customHeight="1">
      <c r="A17" s="68" t="s">
        <v>68</v>
      </c>
      <c r="B17" s="60"/>
      <c r="C17" s="74">
        <f t="shared" ref="C17:H17" si="3">STDEV(C6:C13)</f>
        <v>9.784715973</v>
      </c>
      <c r="D17" s="74">
        <f t="shared" si="3"/>
        <v>30.29051958</v>
      </c>
      <c r="E17" s="74">
        <f t="shared" si="3"/>
        <v>35.35745565</v>
      </c>
      <c r="F17" s="74">
        <f t="shared" si="3"/>
        <v>15.98920167</v>
      </c>
      <c r="G17" s="74">
        <f t="shared" si="3"/>
        <v>48.44267716</v>
      </c>
      <c r="H17" s="74">
        <f t="shared" si="3"/>
        <v>33.12362948</v>
      </c>
    </row>
    <row r="18" ht="3.0" customHeight="1">
      <c r="A18" s="57"/>
      <c r="B18" s="60"/>
      <c r="C18" s="60"/>
      <c r="D18" s="60"/>
      <c r="E18" s="60"/>
      <c r="F18" s="60"/>
      <c r="G18" s="60"/>
      <c r="H18" s="60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</row>
    <row r="19">
      <c r="B19" s="57"/>
    </row>
    <row r="20">
      <c r="B20" s="57"/>
    </row>
    <row r="21">
      <c r="B21" s="57"/>
    </row>
    <row r="22">
      <c r="B22" s="57"/>
    </row>
    <row r="23">
      <c r="B23" s="57"/>
    </row>
    <row r="24">
      <c r="B24" s="57"/>
    </row>
    <row r="25">
      <c r="B25" s="57"/>
    </row>
    <row r="26">
      <c r="B26" s="57"/>
    </row>
    <row r="27">
      <c r="B27" s="57"/>
    </row>
    <row r="28">
      <c r="B28" s="57"/>
    </row>
    <row r="29">
      <c r="B29" s="57"/>
    </row>
    <row r="30">
      <c r="B30" s="57"/>
    </row>
    <row r="31">
      <c r="B31" s="57"/>
    </row>
    <row r="32">
      <c r="B32" s="57"/>
    </row>
    <row r="33">
      <c r="B33" s="57"/>
    </row>
    <row r="34">
      <c r="B34" s="57"/>
    </row>
    <row r="35">
      <c r="B35" s="57"/>
    </row>
    <row r="36">
      <c r="B36" s="57"/>
    </row>
    <row r="37">
      <c r="B37" s="57"/>
    </row>
    <row r="38">
      <c r="B38" s="57"/>
    </row>
    <row r="39">
      <c r="B39" s="57"/>
    </row>
    <row r="40">
      <c r="B40" s="57"/>
    </row>
    <row r="41">
      <c r="B41" s="57"/>
    </row>
    <row r="42">
      <c r="B42" s="57"/>
    </row>
    <row r="43">
      <c r="B43" s="57"/>
    </row>
    <row r="44">
      <c r="B44" s="57"/>
    </row>
    <row r="45">
      <c r="B45" s="57"/>
    </row>
    <row r="46">
      <c r="B46" s="57"/>
    </row>
    <row r="47">
      <c r="B47" s="57"/>
    </row>
    <row r="48">
      <c r="B48" s="57"/>
    </row>
    <row r="49">
      <c r="B49" s="57"/>
    </row>
    <row r="50">
      <c r="B50" s="57"/>
    </row>
    <row r="51">
      <c r="B51" s="57"/>
    </row>
    <row r="52">
      <c r="B52" s="57"/>
    </row>
    <row r="53">
      <c r="B53" s="57"/>
    </row>
    <row r="54">
      <c r="B54" s="57"/>
    </row>
    <row r="55">
      <c r="B55" s="57"/>
    </row>
    <row r="56">
      <c r="B56" s="57"/>
    </row>
    <row r="57">
      <c r="B57" s="57"/>
    </row>
    <row r="58">
      <c r="B58" s="57"/>
    </row>
    <row r="59">
      <c r="B59" s="57"/>
    </row>
    <row r="60">
      <c r="B60" s="57"/>
    </row>
    <row r="61">
      <c r="B61" s="57"/>
    </row>
    <row r="62">
      <c r="B62" s="57"/>
    </row>
    <row r="63">
      <c r="B63" s="57"/>
    </row>
    <row r="64">
      <c r="B64" s="57"/>
    </row>
    <row r="65">
      <c r="B65" s="57"/>
    </row>
    <row r="66">
      <c r="B66" s="57"/>
    </row>
    <row r="67">
      <c r="B67" s="57"/>
    </row>
    <row r="68">
      <c r="B68" s="57"/>
    </row>
    <row r="69">
      <c r="B69" s="57"/>
    </row>
    <row r="70">
      <c r="B70" s="57"/>
    </row>
    <row r="71">
      <c r="B71" s="57"/>
    </row>
    <row r="72">
      <c r="B72" s="57"/>
    </row>
    <row r="73">
      <c r="B73" s="57"/>
    </row>
    <row r="74">
      <c r="B74" s="57"/>
    </row>
    <row r="75">
      <c r="B75" s="57"/>
    </row>
    <row r="76">
      <c r="B76" s="57"/>
    </row>
    <row r="77">
      <c r="B77" s="57"/>
    </row>
    <row r="78">
      <c r="B78" s="57"/>
    </row>
    <row r="79">
      <c r="B79" s="57"/>
    </row>
    <row r="80">
      <c r="B80" s="57"/>
    </row>
    <row r="81">
      <c r="B81" s="57"/>
    </row>
    <row r="82">
      <c r="B82" s="57"/>
    </row>
    <row r="83">
      <c r="B83" s="57"/>
    </row>
    <row r="84">
      <c r="B84" s="57"/>
    </row>
    <row r="85">
      <c r="B85" s="57"/>
    </row>
    <row r="86">
      <c r="B86" s="57"/>
    </row>
    <row r="87">
      <c r="B87" s="57"/>
    </row>
    <row r="88">
      <c r="B88" s="57"/>
    </row>
    <row r="89">
      <c r="B89" s="57"/>
    </row>
    <row r="90">
      <c r="B90" s="57"/>
    </row>
    <row r="91">
      <c r="B91" s="57"/>
    </row>
    <row r="92">
      <c r="B92" s="57"/>
    </row>
    <row r="93">
      <c r="B93" s="57"/>
    </row>
    <row r="94">
      <c r="B94" s="57"/>
    </row>
    <row r="95">
      <c r="B95" s="57"/>
    </row>
    <row r="96">
      <c r="B96" s="57"/>
    </row>
    <row r="97">
      <c r="B97" s="57"/>
    </row>
    <row r="98">
      <c r="B98" s="57"/>
    </row>
    <row r="99">
      <c r="B99" s="57"/>
    </row>
    <row r="100">
      <c r="B100" s="57"/>
    </row>
    <row r="101">
      <c r="B101" s="57"/>
    </row>
    <row r="102">
      <c r="B102" s="57"/>
    </row>
    <row r="103">
      <c r="B103" s="57"/>
    </row>
    <row r="104">
      <c r="B104" s="57"/>
    </row>
    <row r="105">
      <c r="B105" s="57"/>
    </row>
    <row r="106">
      <c r="B106" s="57"/>
    </row>
    <row r="107">
      <c r="B107" s="57"/>
    </row>
    <row r="108">
      <c r="B108" s="57"/>
    </row>
    <row r="109">
      <c r="B109" s="57"/>
    </row>
    <row r="110">
      <c r="B110" s="57"/>
    </row>
    <row r="111">
      <c r="B111" s="57"/>
    </row>
    <row r="112">
      <c r="B112" s="57"/>
    </row>
    <row r="113">
      <c r="B113" s="57"/>
    </row>
    <row r="114">
      <c r="B114" s="57"/>
    </row>
    <row r="115">
      <c r="B115" s="57"/>
    </row>
    <row r="116">
      <c r="B116" s="57"/>
    </row>
    <row r="117">
      <c r="B117" s="57"/>
    </row>
    <row r="118">
      <c r="B118" s="57"/>
    </row>
    <row r="119">
      <c r="B119" s="57"/>
    </row>
    <row r="120">
      <c r="B120" s="57"/>
    </row>
    <row r="121">
      <c r="B121" s="57"/>
    </row>
    <row r="122">
      <c r="B122" s="57"/>
    </row>
    <row r="123">
      <c r="B123" s="57"/>
    </row>
    <row r="124">
      <c r="B124" s="57"/>
    </row>
    <row r="125">
      <c r="B125" s="57"/>
    </row>
    <row r="126">
      <c r="B126" s="57"/>
    </row>
    <row r="127">
      <c r="B127" s="57"/>
    </row>
    <row r="128">
      <c r="B128" s="57"/>
    </row>
    <row r="129">
      <c r="B129" s="57"/>
    </row>
    <row r="130">
      <c r="B130" s="57"/>
    </row>
    <row r="131">
      <c r="B131" s="57"/>
    </row>
    <row r="132">
      <c r="B132" s="57"/>
    </row>
    <row r="133">
      <c r="B133" s="57"/>
    </row>
    <row r="134">
      <c r="B134" s="57"/>
    </row>
    <row r="135">
      <c r="B135" s="57"/>
    </row>
    <row r="136">
      <c r="B136" s="57"/>
    </row>
    <row r="137">
      <c r="B137" s="57"/>
    </row>
    <row r="138">
      <c r="B138" s="57"/>
    </row>
    <row r="139">
      <c r="B139" s="57"/>
    </row>
    <row r="140">
      <c r="B140" s="57"/>
    </row>
    <row r="141">
      <c r="B141" s="57"/>
    </row>
    <row r="142">
      <c r="B142" s="57"/>
    </row>
    <row r="143">
      <c r="B143" s="57"/>
    </row>
    <row r="144">
      <c r="B144" s="57"/>
    </row>
    <row r="145">
      <c r="B145" s="57"/>
    </row>
    <row r="146">
      <c r="B146" s="57"/>
    </row>
    <row r="147">
      <c r="B147" s="57"/>
    </row>
    <row r="148">
      <c r="B148" s="57"/>
    </row>
    <row r="149">
      <c r="B149" s="57"/>
    </row>
    <row r="150">
      <c r="B150" s="57"/>
    </row>
    <row r="151">
      <c r="B151" s="57"/>
    </row>
    <row r="152">
      <c r="B152" s="57"/>
    </row>
    <row r="153">
      <c r="B153" s="57"/>
    </row>
    <row r="154">
      <c r="B154" s="57"/>
    </row>
    <row r="155">
      <c r="B155" s="57"/>
    </row>
    <row r="156">
      <c r="B156" s="57"/>
    </row>
    <row r="157">
      <c r="B157" s="57"/>
    </row>
    <row r="158">
      <c r="B158" s="57"/>
    </row>
    <row r="159">
      <c r="B159" s="57"/>
    </row>
    <row r="160">
      <c r="B160" s="57"/>
    </row>
    <row r="161">
      <c r="B161" s="57"/>
    </row>
    <row r="162">
      <c r="B162" s="57"/>
    </row>
    <row r="163">
      <c r="B163" s="57"/>
    </row>
    <row r="164">
      <c r="B164" s="57"/>
    </row>
    <row r="165">
      <c r="B165" s="57"/>
    </row>
    <row r="166">
      <c r="B166" s="57"/>
    </row>
    <row r="167">
      <c r="B167" s="57"/>
    </row>
    <row r="168">
      <c r="B168" s="57"/>
    </row>
    <row r="169">
      <c r="B169" s="57"/>
    </row>
    <row r="170">
      <c r="B170" s="57"/>
    </row>
    <row r="171">
      <c r="B171" s="57"/>
    </row>
    <row r="172">
      <c r="B172" s="57"/>
    </row>
    <row r="173">
      <c r="B173" s="57"/>
    </row>
    <row r="174">
      <c r="B174" s="57"/>
    </row>
    <row r="175">
      <c r="B175" s="57"/>
    </row>
    <row r="176">
      <c r="B176" s="57"/>
    </row>
    <row r="177">
      <c r="B177" s="57"/>
    </row>
    <row r="178">
      <c r="B178" s="57"/>
    </row>
    <row r="179">
      <c r="B179" s="57"/>
    </row>
    <row r="180">
      <c r="B180" s="57"/>
    </row>
    <row r="181">
      <c r="B181" s="57"/>
    </row>
    <row r="182">
      <c r="B182" s="57"/>
    </row>
    <row r="183">
      <c r="B183" s="57"/>
    </row>
    <row r="184">
      <c r="B184" s="57"/>
    </row>
    <row r="185">
      <c r="B185" s="57"/>
    </row>
    <row r="186">
      <c r="B186" s="57"/>
    </row>
    <row r="187">
      <c r="B187" s="57"/>
    </row>
    <row r="188">
      <c r="B188" s="57"/>
    </row>
    <row r="189">
      <c r="B189" s="57"/>
    </row>
    <row r="190">
      <c r="B190" s="57"/>
    </row>
    <row r="191">
      <c r="B191" s="57"/>
    </row>
    <row r="192">
      <c r="B192" s="57"/>
    </row>
    <row r="193">
      <c r="B193" s="57"/>
    </row>
    <row r="194">
      <c r="B194" s="57"/>
    </row>
    <row r="195">
      <c r="B195" s="57"/>
    </row>
    <row r="196">
      <c r="B196" s="57"/>
    </row>
    <row r="197">
      <c r="B197" s="57"/>
    </row>
    <row r="198">
      <c r="B198" s="57"/>
    </row>
    <row r="199">
      <c r="B199" s="57"/>
    </row>
    <row r="200">
      <c r="B200" s="57"/>
    </row>
    <row r="201">
      <c r="B201" s="57"/>
    </row>
    <row r="202">
      <c r="B202" s="57"/>
    </row>
    <row r="203">
      <c r="B203" s="57"/>
    </row>
    <row r="204">
      <c r="B204" s="57"/>
    </row>
    <row r="205">
      <c r="B205" s="57"/>
    </row>
    <row r="206">
      <c r="B206" s="57"/>
    </row>
    <row r="207">
      <c r="B207" s="57"/>
    </row>
    <row r="208">
      <c r="B208" s="57"/>
    </row>
    <row r="209">
      <c r="B209" s="57"/>
    </row>
    <row r="210">
      <c r="B210" s="57"/>
    </row>
    <row r="211">
      <c r="B211" s="57"/>
    </row>
    <row r="212">
      <c r="B212" s="57"/>
    </row>
    <row r="213">
      <c r="B213" s="57"/>
    </row>
    <row r="214">
      <c r="B214" s="57"/>
    </row>
    <row r="215">
      <c r="B215" s="57"/>
    </row>
    <row r="216">
      <c r="B216" s="57"/>
    </row>
    <row r="217">
      <c r="B217" s="57"/>
    </row>
    <row r="218">
      <c r="B218" s="57"/>
    </row>
    <row r="219">
      <c r="B219" s="57"/>
    </row>
    <row r="220">
      <c r="B220" s="57"/>
    </row>
    <row r="221">
      <c r="B221" s="57"/>
    </row>
    <row r="222">
      <c r="B222" s="57"/>
    </row>
    <row r="223">
      <c r="B223" s="57"/>
    </row>
    <row r="224">
      <c r="B224" s="57"/>
    </row>
    <row r="225">
      <c r="B225" s="57"/>
    </row>
    <row r="226">
      <c r="B226" s="57"/>
    </row>
    <row r="227">
      <c r="B227" s="57"/>
    </row>
    <row r="228">
      <c r="B228" s="57"/>
    </row>
    <row r="229">
      <c r="B229" s="57"/>
    </row>
    <row r="230">
      <c r="B230" s="57"/>
    </row>
    <row r="231">
      <c r="B231" s="57"/>
    </row>
    <row r="232">
      <c r="B232" s="57"/>
    </row>
    <row r="233">
      <c r="B233" s="57"/>
    </row>
    <row r="234">
      <c r="B234" s="57"/>
    </row>
    <row r="235">
      <c r="B235" s="57"/>
    </row>
    <row r="236">
      <c r="B236" s="57"/>
    </row>
    <row r="237">
      <c r="B237" s="57"/>
    </row>
    <row r="238">
      <c r="B238" s="57"/>
    </row>
    <row r="239">
      <c r="B239" s="57"/>
    </row>
    <row r="240">
      <c r="B240" s="57"/>
    </row>
    <row r="241">
      <c r="B241" s="57"/>
    </row>
    <row r="242">
      <c r="B242" s="57"/>
    </row>
    <row r="243">
      <c r="B243" s="57"/>
    </row>
    <row r="244">
      <c r="B244" s="57"/>
    </row>
    <row r="245">
      <c r="B245" s="57"/>
    </row>
    <row r="246">
      <c r="B246" s="57"/>
    </row>
    <row r="247">
      <c r="B247" s="57"/>
    </row>
    <row r="248">
      <c r="B248" s="57"/>
    </row>
    <row r="249">
      <c r="B249" s="57"/>
    </row>
    <row r="250">
      <c r="B250" s="57"/>
    </row>
    <row r="251">
      <c r="B251" s="57"/>
    </row>
    <row r="252">
      <c r="B252" s="57"/>
    </row>
    <row r="253">
      <c r="B253" s="57"/>
    </row>
    <row r="254">
      <c r="B254" s="57"/>
    </row>
    <row r="255">
      <c r="B255" s="57"/>
    </row>
    <row r="256">
      <c r="B256" s="57"/>
    </row>
    <row r="257">
      <c r="B257" s="57"/>
    </row>
    <row r="258">
      <c r="B258" s="57"/>
    </row>
    <row r="259">
      <c r="B259" s="57"/>
    </row>
    <row r="260">
      <c r="B260" s="57"/>
    </row>
    <row r="261">
      <c r="B261" s="57"/>
    </row>
    <row r="262">
      <c r="B262" s="57"/>
    </row>
    <row r="263">
      <c r="B263" s="57"/>
    </row>
    <row r="264">
      <c r="B264" s="57"/>
    </row>
    <row r="265">
      <c r="B265" s="57"/>
    </row>
    <row r="266">
      <c r="B266" s="57"/>
    </row>
    <row r="267">
      <c r="B267" s="57"/>
    </row>
    <row r="268">
      <c r="B268" s="57"/>
    </row>
    <row r="269">
      <c r="B269" s="57"/>
    </row>
    <row r="270">
      <c r="B270" s="57"/>
    </row>
    <row r="271">
      <c r="B271" s="57"/>
    </row>
    <row r="272">
      <c r="B272" s="57"/>
    </row>
    <row r="273">
      <c r="B273" s="57"/>
    </row>
    <row r="274">
      <c r="B274" s="57"/>
    </row>
    <row r="275">
      <c r="B275" s="57"/>
    </row>
    <row r="276">
      <c r="B276" s="57"/>
    </row>
    <row r="277">
      <c r="B277" s="57"/>
    </row>
    <row r="278">
      <c r="B278" s="57"/>
    </row>
    <row r="279">
      <c r="B279" s="57"/>
    </row>
    <row r="280">
      <c r="B280" s="57"/>
    </row>
    <row r="281">
      <c r="B281" s="57"/>
    </row>
    <row r="282">
      <c r="B282" s="57"/>
    </row>
    <row r="283">
      <c r="B283" s="57"/>
    </row>
    <row r="284">
      <c r="B284" s="57"/>
    </row>
    <row r="285">
      <c r="B285" s="57"/>
    </row>
    <row r="286">
      <c r="B286" s="57"/>
    </row>
    <row r="287">
      <c r="B287" s="57"/>
    </row>
    <row r="288">
      <c r="B288" s="57"/>
    </row>
    <row r="289">
      <c r="B289" s="57"/>
    </row>
    <row r="290">
      <c r="B290" s="57"/>
    </row>
    <row r="291">
      <c r="B291" s="57"/>
    </row>
    <row r="292">
      <c r="B292" s="57"/>
    </row>
    <row r="293">
      <c r="B293" s="57"/>
    </row>
    <row r="294">
      <c r="B294" s="57"/>
    </row>
    <row r="295">
      <c r="B295" s="57"/>
    </row>
    <row r="296">
      <c r="B296" s="57"/>
    </row>
    <row r="297">
      <c r="B297" s="57"/>
    </row>
    <row r="298">
      <c r="B298" s="57"/>
    </row>
    <row r="299">
      <c r="B299" s="57"/>
    </row>
    <row r="300">
      <c r="B300" s="57"/>
    </row>
    <row r="301">
      <c r="B301" s="57"/>
    </row>
    <row r="302">
      <c r="B302" s="57"/>
    </row>
    <row r="303">
      <c r="B303" s="57"/>
    </row>
    <row r="304">
      <c r="B304" s="57"/>
    </row>
    <row r="305">
      <c r="B305" s="57"/>
    </row>
    <row r="306">
      <c r="B306" s="57"/>
    </row>
    <row r="307">
      <c r="B307" s="57"/>
    </row>
    <row r="308">
      <c r="B308" s="57"/>
    </row>
    <row r="309">
      <c r="B309" s="57"/>
    </row>
    <row r="310">
      <c r="B310" s="57"/>
    </row>
    <row r="311">
      <c r="B311" s="57"/>
    </row>
    <row r="312">
      <c r="B312" s="57"/>
    </row>
    <row r="313">
      <c r="B313" s="57"/>
    </row>
    <row r="314">
      <c r="B314" s="57"/>
    </row>
    <row r="315">
      <c r="B315" s="57"/>
    </row>
    <row r="316">
      <c r="B316" s="57"/>
    </row>
    <row r="317">
      <c r="B317" s="57"/>
    </row>
    <row r="318">
      <c r="B318" s="57"/>
    </row>
    <row r="319">
      <c r="B319" s="57"/>
    </row>
    <row r="320">
      <c r="B320" s="57"/>
    </row>
    <row r="321">
      <c r="B321" s="57"/>
    </row>
    <row r="322">
      <c r="B322" s="57"/>
    </row>
    <row r="323">
      <c r="B323" s="57"/>
    </row>
    <row r="324">
      <c r="B324" s="57"/>
    </row>
    <row r="325">
      <c r="B325" s="57"/>
    </row>
    <row r="326">
      <c r="B326" s="57"/>
    </row>
    <row r="327">
      <c r="B327" s="57"/>
    </row>
    <row r="328">
      <c r="B328" s="57"/>
    </row>
    <row r="329">
      <c r="B329" s="57"/>
    </row>
    <row r="330">
      <c r="B330" s="57"/>
    </row>
    <row r="331">
      <c r="B331" s="57"/>
    </row>
    <row r="332">
      <c r="B332" s="57"/>
    </row>
    <row r="333">
      <c r="B333" s="57"/>
    </row>
    <row r="334">
      <c r="B334" s="57"/>
    </row>
    <row r="335">
      <c r="B335" s="57"/>
    </row>
    <row r="336">
      <c r="B336" s="57"/>
    </row>
    <row r="337">
      <c r="B337" s="57"/>
    </row>
    <row r="338">
      <c r="B338" s="57"/>
    </row>
    <row r="339">
      <c r="B339" s="57"/>
    </row>
    <row r="340">
      <c r="B340" s="57"/>
    </row>
    <row r="341">
      <c r="B341" s="57"/>
    </row>
    <row r="342">
      <c r="B342" s="57"/>
    </row>
    <row r="343">
      <c r="B343" s="57"/>
    </row>
    <row r="344">
      <c r="B344" s="57"/>
    </row>
    <row r="345">
      <c r="B345" s="57"/>
    </row>
    <row r="346">
      <c r="B346" s="57"/>
    </row>
    <row r="347">
      <c r="B347" s="57"/>
    </row>
    <row r="348">
      <c r="B348" s="57"/>
    </row>
    <row r="349">
      <c r="B349" s="57"/>
    </row>
    <row r="350">
      <c r="B350" s="57"/>
    </row>
    <row r="351">
      <c r="B351" s="57"/>
    </row>
    <row r="352">
      <c r="B352" s="57"/>
    </row>
    <row r="353">
      <c r="B353" s="57"/>
    </row>
    <row r="354">
      <c r="B354" s="57"/>
    </row>
    <row r="355">
      <c r="B355" s="57"/>
    </row>
    <row r="356">
      <c r="B356" s="57"/>
    </row>
    <row r="357">
      <c r="B357" s="57"/>
    </row>
    <row r="358">
      <c r="B358" s="57"/>
    </row>
    <row r="359">
      <c r="B359" s="57"/>
    </row>
    <row r="360">
      <c r="B360" s="57"/>
    </row>
    <row r="361">
      <c r="B361" s="57"/>
    </row>
    <row r="362">
      <c r="B362" s="57"/>
    </row>
    <row r="363">
      <c r="B363" s="57"/>
    </row>
    <row r="364">
      <c r="B364" s="57"/>
    </row>
    <row r="365">
      <c r="B365" s="57"/>
    </row>
    <row r="366">
      <c r="B366" s="57"/>
    </row>
    <row r="367">
      <c r="B367" s="57"/>
    </row>
    <row r="368">
      <c r="B368" s="57"/>
    </row>
    <row r="369">
      <c r="B369" s="57"/>
    </row>
    <row r="370">
      <c r="B370" s="57"/>
    </row>
    <row r="371">
      <c r="B371" s="57"/>
    </row>
    <row r="372">
      <c r="B372" s="57"/>
    </row>
    <row r="373">
      <c r="B373" s="57"/>
    </row>
    <row r="374">
      <c r="B374" s="57"/>
    </row>
    <row r="375">
      <c r="B375" s="57"/>
    </row>
    <row r="376">
      <c r="B376" s="57"/>
    </row>
    <row r="377">
      <c r="B377" s="57"/>
    </row>
    <row r="378">
      <c r="B378" s="57"/>
    </row>
    <row r="379">
      <c r="B379" s="57"/>
    </row>
    <row r="380">
      <c r="B380" s="57"/>
    </row>
    <row r="381">
      <c r="B381" s="57"/>
    </row>
    <row r="382">
      <c r="B382" s="57"/>
    </row>
    <row r="383">
      <c r="B383" s="57"/>
    </row>
    <row r="384">
      <c r="B384" s="57"/>
    </row>
    <row r="385">
      <c r="B385" s="57"/>
    </row>
    <row r="386">
      <c r="B386" s="57"/>
    </row>
    <row r="387">
      <c r="B387" s="57"/>
    </row>
    <row r="388">
      <c r="B388" s="57"/>
    </row>
    <row r="389">
      <c r="B389" s="57"/>
    </row>
    <row r="390">
      <c r="B390" s="57"/>
    </row>
    <row r="391">
      <c r="B391" s="57"/>
    </row>
    <row r="392">
      <c r="B392" s="57"/>
    </row>
    <row r="393">
      <c r="B393" s="57"/>
    </row>
    <row r="394">
      <c r="B394" s="57"/>
    </row>
    <row r="395">
      <c r="B395" s="57"/>
    </row>
    <row r="396">
      <c r="B396" s="57"/>
    </row>
    <row r="397">
      <c r="B397" s="57"/>
    </row>
    <row r="398">
      <c r="B398" s="57"/>
    </row>
    <row r="399">
      <c r="B399" s="57"/>
    </row>
    <row r="400">
      <c r="B400" s="57"/>
    </row>
    <row r="401">
      <c r="B401" s="57"/>
    </row>
    <row r="402">
      <c r="B402" s="57"/>
    </row>
    <row r="403">
      <c r="B403" s="57"/>
    </row>
    <row r="404">
      <c r="B404" s="57"/>
    </row>
    <row r="405">
      <c r="B405" s="57"/>
    </row>
    <row r="406">
      <c r="B406" s="57"/>
    </row>
    <row r="407">
      <c r="B407" s="57"/>
    </row>
    <row r="408">
      <c r="B408" s="57"/>
    </row>
    <row r="409">
      <c r="B409" s="57"/>
    </row>
    <row r="410">
      <c r="B410" s="57"/>
    </row>
    <row r="411">
      <c r="B411" s="57"/>
    </row>
    <row r="412">
      <c r="B412" s="57"/>
    </row>
    <row r="413">
      <c r="B413" s="57"/>
    </row>
    <row r="414">
      <c r="B414" s="57"/>
    </row>
    <row r="415">
      <c r="B415" s="57"/>
    </row>
    <row r="416">
      <c r="B416" s="57"/>
    </row>
    <row r="417">
      <c r="B417" s="57"/>
    </row>
    <row r="418">
      <c r="B418" s="57"/>
    </row>
    <row r="419">
      <c r="B419" s="57"/>
    </row>
    <row r="420">
      <c r="B420" s="57"/>
    </row>
    <row r="421">
      <c r="B421" s="57"/>
    </row>
    <row r="422">
      <c r="B422" s="57"/>
    </row>
    <row r="423">
      <c r="B423" s="57"/>
    </row>
    <row r="424">
      <c r="B424" s="57"/>
    </row>
    <row r="425">
      <c r="B425" s="57"/>
    </row>
    <row r="426">
      <c r="B426" s="57"/>
    </row>
    <row r="427">
      <c r="B427" s="57"/>
    </row>
    <row r="428">
      <c r="B428" s="57"/>
    </row>
    <row r="429">
      <c r="B429" s="57"/>
    </row>
    <row r="430">
      <c r="B430" s="57"/>
    </row>
    <row r="431">
      <c r="B431" s="57"/>
    </row>
    <row r="432">
      <c r="B432" s="57"/>
    </row>
    <row r="433">
      <c r="B433" s="57"/>
    </row>
    <row r="434">
      <c r="B434" s="57"/>
    </row>
    <row r="435">
      <c r="B435" s="57"/>
    </row>
    <row r="436">
      <c r="B436" s="57"/>
    </row>
    <row r="437">
      <c r="B437" s="57"/>
    </row>
    <row r="438">
      <c r="B438" s="57"/>
    </row>
    <row r="439">
      <c r="B439" s="57"/>
    </row>
    <row r="440">
      <c r="B440" s="57"/>
    </row>
    <row r="441">
      <c r="B441" s="57"/>
    </row>
    <row r="442">
      <c r="B442" s="57"/>
    </row>
    <row r="443">
      <c r="B443" s="57"/>
    </row>
    <row r="444">
      <c r="B444" s="57"/>
    </row>
    <row r="445">
      <c r="B445" s="57"/>
    </row>
    <row r="446">
      <c r="B446" s="57"/>
    </row>
    <row r="447">
      <c r="B447" s="57"/>
    </row>
    <row r="448">
      <c r="B448" s="57"/>
    </row>
    <row r="449">
      <c r="B449" s="57"/>
    </row>
    <row r="450">
      <c r="B450" s="57"/>
    </row>
    <row r="451">
      <c r="B451" s="57"/>
    </row>
    <row r="452">
      <c r="B452" s="57"/>
    </row>
    <row r="453">
      <c r="B453" s="57"/>
    </row>
    <row r="454">
      <c r="B454" s="57"/>
    </row>
    <row r="455">
      <c r="B455" s="57"/>
    </row>
    <row r="456">
      <c r="B456" s="57"/>
    </row>
    <row r="457">
      <c r="B457" s="57"/>
    </row>
    <row r="458">
      <c r="B458" s="57"/>
    </row>
    <row r="459">
      <c r="B459" s="57"/>
    </row>
    <row r="460">
      <c r="B460" s="57"/>
    </row>
    <row r="461">
      <c r="B461" s="57"/>
    </row>
    <row r="462">
      <c r="B462" s="57"/>
    </row>
    <row r="463">
      <c r="B463" s="57"/>
    </row>
    <row r="464">
      <c r="B464" s="57"/>
    </row>
    <row r="465">
      <c r="B465" s="57"/>
    </row>
    <row r="466">
      <c r="B466" s="57"/>
    </row>
    <row r="467">
      <c r="B467" s="57"/>
    </row>
    <row r="468">
      <c r="B468" s="57"/>
    </row>
    <row r="469">
      <c r="B469" s="57"/>
    </row>
    <row r="470">
      <c r="B470" s="57"/>
    </row>
    <row r="471">
      <c r="B471" s="57"/>
    </row>
    <row r="472">
      <c r="B472" s="57"/>
    </row>
    <row r="473">
      <c r="B473" s="57"/>
    </row>
    <row r="474">
      <c r="B474" s="57"/>
    </row>
    <row r="475">
      <c r="B475" s="57"/>
    </row>
    <row r="476">
      <c r="B476" s="57"/>
    </row>
    <row r="477">
      <c r="B477" s="57"/>
    </row>
    <row r="478">
      <c r="B478" s="57"/>
    </row>
    <row r="479">
      <c r="B479" s="57"/>
    </row>
    <row r="480">
      <c r="B480" s="57"/>
    </row>
    <row r="481">
      <c r="B481" s="57"/>
    </row>
    <row r="482">
      <c r="B482" s="57"/>
    </row>
    <row r="483">
      <c r="B483" s="57"/>
    </row>
    <row r="484">
      <c r="B484" s="57"/>
    </row>
    <row r="485">
      <c r="B485" s="57"/>
    </row>
    <row r="486">
      <c r="B486" s="57"/>
    </row>
    <row r="487">
      <c r="B487" s="57"/>
    </row>
    <row r="488">
      <c r="B488" s="57"/>
    </row>
    <row r="489">
      <c r="B489" s="57"/>
    </row>
    <row r="490">
      <c r="B490" s="57"/>
    </row>
    <row r="491">
      <c r="B491" s="57"/>
    </row>
    <row r="492">
      <c r="B492" s="57"/>
    </row>
    <row r="493">
      <c r="B493" s="57"/>
    </row>
    <row r="494">
      <c r="B494" s="57"/>
    </row>
    <row r="495">
      <c r="B495" s="57"/>
    </row>
    <row r="496">
      <c r="B496" s="57"/>
    </row>
    <row r="497">
      <c r="B497" s="57"/>
    </row>
    <row r="498">
      <c r="B498" s="57"/>
    </row>
    <row r="499">
      <c r="B499" s="57"/>
    </row>
    <row r="500">
      <c r="B500" s="57"/>
    </row>
    <row r="501">
      <c r="B501" s="57"/>
    </row>
    <row r="502">
      <c r="B502" s="57"/>
    </row>
    <row r="503">
      <c r="B503" s="57"/>
    </row>
    <row r="504">
      <c r="B504" s="57"/>
    </row>
    <row r="505">
      <c r="B505" s="57"/>
    </row>
    <row r="506">
      <c r="B506" s="57"/>
    </row>
    <row r="507">
      <c r="B507" s="57"/>
    </row>
    <row r="508">
      <c r="B508" s="57"/>
    </row>
    <row r="509">
      <c r="B509" s="57"/>
    </row>
    <row r="510">
      <c r="B510" s="57"/>
    </row>
    <row r="511">
      <c r="B511" s="57"/>
    </row>
    <row r="512">
      <c r="B512" s="57"/>
    </row>
    <row r="513">
      <c r="B513" s="57"/>
    </row>
    <row r="514">
      <c r="B514" s="57"/>
    </row>
    <row r="515">
      <c r="B515" s="57"/>
    </row>
    <row r="516">
      <c r="B516" s="57"/>
    </row>
    <row r="517">
      <c r="B517" s="57"/>
    </row>
    <row r="518">
      <c r="B518" s="57"/>
    </row>
    <row r="519">
      <c r="B519" s="57"/>
    </row>
    <row r="520">
      <c r="B520" s="57"/>
    </row>
    <row r="521">
      <c r="B521" s="57"/>
    </row>
    <row r="522">
      <c r="B522" s="57"/>
    </row>
    <row r="523">
      <c r="B523" s="57"/>
    </row>
    <row r="524">
      <c r="B524" s="57"/>
    </row>
    <row r="525">
      <c r="B525" s="57"/>
    </row>
    <row r="526">
      <c r="B526" s="57"/>
    </row>
    <row r="527">
      <c r="B527" s="57"/>
    </row>
    <row r="528">
      <c r="B528" s="57"/>
    </row>
    <row r="529">
      <c r="B529" s="57"/>
    </row>
    <row r="530">
      <c r="B530" s="57"/>
    </row>
    <row r="531">
      <c r="B531" s="57"/>
    </row>
    <row r="532">
      <c r="B532" s="57"/>
    </row>
    <row r="533">
      <c r="B533" s="57"/>
    </row>
    <row r="534">
      <c r="B534" s="57"/>
    </row>
    <row r="535">
      <c r="B535" s="57"/>
    </row>
    <row r="536">
      <c r="B536" s="57"/>
    </row>
    <row r="537">
      <c r="B537" s="57"/>
    </row>
    <row r="538">
      <c r="B538" s="57"/>
    </row>
    <row r="539">
      <c r="B539" s="57"/>
    </row>
    <row r="540">
      <c r="B540" s="57"/>
    </row>
    <row r="541">
      <c r="B541" s="57"/>
    </row>
    <row r="542">
      <c r="B542" s="57"/>
    </row>
    <row r="543">
      <c r="B543" s="57"/>
    </row>
    <row r="544">
      <c r="B544" s="57"/>
    </row>
    <row r="545">
      <c r="B545" s="57"/>
    </row>
    <row r="546">
      <c r="B546" s="57"/>
    </row>
    <row r="547">
      <c r="B547" s="57"/>
    </row>
    <row r="548">
      <c r="B548" s="57"/>
    </row>
    <row r="549">
      <c r="B549" s="57"/>
    </row>
    <row r="550">
      <c r="B550" s="57"/>
    </row>
    <row r="551">
      <c r="B551" s="57"/>
    </row>
    <row r="552">
      <c r="B552" s="57"/>
    </row>
    <row r="553">
      <c r="B553" s="57"/>
    </row>
    <row r="554">
      <c r="B554" s="57"/>
    </row>
    <row r="555">
      <c r="B555" s="57"/>
    </row>
    <row r="556">
      <c r="B556" s="57"/>
    </row>
    <row r="557">
      <c r="B557" s="57"/>
    </row>
    <row r="558">
      <c r="B558" s="57"/>
    </row>
    <row r="559">
      <c r="B559" s="57"/>
    </row>
    <row r="560">
      <c r="B560" s="57"/>
    </row>
    <row r="561">
      <c r="B561" s="57"/>
    </row>
    <row r="562">
      <c r="B562" s="57"/>
    </row>
    <row r="563">
      <c r="B563" s="57"/>
    </row>
    <row r="564">
      <c r="B564" s="57"/>
    </row>
    <row r="565">
      <c r="B565" s="57"/>
    </row>
    <row r="566">
      <c r="B566" s="57"/>
    </row>
    <row r="567">
      <c r="B567" s="57"/>
    </row>
    <row r="568">
      <c r="B568" s="57"/>
    </row>
    <row r="569">
      <c r="B569" s="57"/>
    </row>
    <row r="570">
      <c r="B570" s="57"/>
    </row>
    <row r="571">
      <c r="B571" s="57"/>
    </row>
    <row r="572">
      <c r="B572" s="57"/>
    </row>
    <row r="573">
      <c r="B573" s="57"/>
    </row>
    <row r="574">
      <c r="B574" s="57"/>
    </row>
    <row r="575">
      <c r="B575" s="57"/>
    </row>
    <row r="576">
      <c r="B576" s="57"/>
    </row>
    <row r="577">
      <c r="B577" s="57"/>
    </row>
    <row r="578">
      <c r="B578" s="57"/>
    </row>
    <row r="579">
      <c r="B579" s="57"/>
    </row>
    <row r="580">
      <c r="B580" s="57"/>
    </row>
    <row r="581">
      <c r="B581" s="57"/>
    </row>
    <row r="582">
      <c r="B582" s="57"/>
    </row>
    <row r="583">
      <c r="B583" s="57"/>
    </row>
    <row r="584">
      <c r="B584" s="57"/>
    </row>
    <row r="585">
      <c r="B585" s="57"/>
    </row>
    <row r="586">
      <c r="B586" s="57"/>
    </row>
    <row r="587">
      <c r="B587" s="57"/>
    </row>
    <row r="588">
      <c r="B588" s="57"/>
    </row>
    <row r="589">
      <c r="B589" s="57"/>
    </row>
    <row r="590">
      <c r="B590" s="57"/>
    </row>
    <row r="591">
      <c r="B591" s="57"/>
    </row>
    <row r="592">
      <c r="B592" s="57"/>
    </row>
    <row r="593">
      <c r="B593" s="57"/>
    </row>
    <row r="594">
      <c r="B594" s="57"/>
    </row>
    <row r="595">
      <c r="B595" s="57"/>
    </row>
    <row r="596">
      <c r="B596" s="57"/>
    </row>
    <row r="597">
      <c r="B597" s="57"/>
    </row>
    <row r="598">
      <c r="B598" s="57"/>
    </row>
    <row r="599">
      <c r="B599" s="57"/>
    </row>
    <row r="600">
      <c r="B600" s="57"/>
    </row>
    <row r="601">
      <c r="B601" s="57"/>
    </row>
    <row r="602">
      <c r="B602" s="57"/>
    </row>
    <row r="603">
      <c r="B603" s="57"/>
    </row>
    <row r="604">
      <c r="B604" s="57"/>
    </row>
    <row r="605">
      <c r="B605" s="57"/>
    </row>
    <row r="606">
      <c r="B606" s="57"/>
    </row>
    <row r="607">
      <c r="B607" s="57"/>
    </row>
    <row r="608">
      <c r="B608" s="57"/>
    </row>
    <row r="609">
      <c r="B609" s="57"/>
    </row>
    <row r="610">
      <c r="B610" s="57"/>
    </row>
    <row r="611">
      <c r="B611" s="57"/>
    </row>
    <row r="612">
      <c r="B612" s="57"/>
    </row>
    <row r="613">
      <c r="B613" s="57"/>
    </row>
    <row r="614">
      <c r="B614" s="57"/>
    </row>
    <row r="615">
      <c r="B615" s="57"/>
    </row>
    <row r="616">
      <c r="B616" s="57"/>
    </row>
    <row r="617">
      <c r="B617" s="57"/>
    </row>
    <row r="618">
      <c r="B618" s="57"/>
    </row>
    <row r="619">
      <c r="B619" s="57"/>
    </row>
    <row r="620">
      <c r="B620" s="57"/>
    </row>
    <row r="621">
      <c r="B621" s="57"/>
    </row>
    <row r="622">
      <c r="B622" s="57"/>
    </row>
    <row r="623">
      <c r="B623" s="57"/>
    </row>
    <row r="624">
      <c r="B624" s="57"/>
    </row>
    <row r="625">
      <c r="B625" s="57"/>
    </row>
    <row r="626">
      <c r="B626" s="57"/>
    </row>
    <row r="627">
      <c r="B627" s="57"/>
    </row>
    <row r="628">
      <c r="B628" s="57"/>
    </row>
    <row r="629">
      <c r="B629" s="57"/>
    </row>
    <row r="630">
      <c r="B630" s="57"/>
    </row>
    <row r="631">
      <c r="B631" s="57"/>
    </row>
    <row r="632">
      <c r="B632" s="57"/>
    </row>
    <row r="633">
      <c r="B633" s="57"/>
    </row>
    <row r="634">
      <c r="B634" s="57"/>
    </row>
    <row r="635">
      <c r="B635" s="57"/>
    </row>
    <row r="636">
      <c r="B636" s="57"/>
    </row>
    <row r="637">
      <c r="B637" s="57"/>
    </row>
    <row r="638">
      <c r="B638" s="57"/>
    </row>
    <row r="639">
      <c r="B639" s="57"/>
    </row>
    <row r="640">
      <c r="B640" s="57"/>
    </row>
    <row r="641">
      <c r="B641" s="57"/>
    </row>
    <row r="642">
      <c r="B642" s="57"/>
    </row>
    <row r="643">
      <c r="B643" s="57"/>
    </row>
    <row r="644">
      <c r="B644" s="57"/>
    </row>
    <row r="645">
      <c r="B645" s="57"/>
    </row>
    <row r="646">
      <c r="B646" s="57"/>
    </row>
    <row r="647">
      <c r="B647" s="57"/>
    </row>
    <row r="648">
      <c r="B648" s="57"/>
    </row>
    <row r="649">
      <c r="B649" s="57"/>
    </row>
    <row r="650">
      <c r="B650" s="57"/>
    </row>
    <row r="651">
      <c r="B651" s="57"/>
    </row>
    <row r="652">
      <c r="B652" s="57"/>
    </row>
    <row r="653">
      <c r="B653" s="57"/>
    </row>
    <row r="654">
      <c r="B654" s="57"/>
    </row>
    <row r="655">
      <c r="B655" s="57"/>
    </row>
    <row r="656">
      <c r="B656" s="57"/>
    </row>
    <row r="657">
      <c r="B657" s="57"/>
    </row>
    <row r="658">
      <c r="B658" s="57"/>
    </row>
    <row r="659">
      <c r="B659" s="57"/>
    </row>
    <row r="660">
      <c r="B660" s="57"/>
    </row>
    <row r="661">
      <c r="B661" s="57"/>
    </row>
    <row r="662">
      <c r="B662" s="57"/>
    </row>
    <row r="663">
      <c r="B663" s="57"/>
    </row>
    <row r="664">
      <c r="B664" s="57"/>
    </row>
    <row r="665">
      <c r="B665" s="57"/>
    </row>
    <row r="666">
      <c r="B666" s="57"/>
    </row>
    <row r="667">
      <c r="B667" s="57"/>
    </row>
    <row r="668">
      <c r="B668" s="57"/>
    </row>
    <row r="669">
      <c r="B669" s="57"/>
    </row>
    <row r="670">
      <c r="B670" s="57"/>
    </row>
    <row r="671">
      <c r="B671" s="57"/>
    </row>
    <row r="672">
      <c r="B672" s="57"/>
    </row>
    <row r="673">
      <c r="B673" s="57"/>
    </row>
    <row r="674">
      <c r="B674" s="57"/>
    </row>
    <row r="675">
      <c r="B675" s="57"/>
    </row>
    <row r="676">
      <c r="B676" s="57"/>
    </row>
    <row r="677">
      <c r="B677" s="57"/>
    </row>
    <row r="678">
      <c r="B678" s="57"/>
    </row>
    <row r="679">
      <c r="B679" s="57"/>
    </row>
    <row r="680">
      <c r="B680" s="57"/>
    </row>
    <row r="681">
      <c r="B681" s="57"/>
    </row>
    <row r="682">
      <c r="B682" s="57"/>
    </row>
    <row r="683">
      <c r="B683" s="57"/>
    </row>
    <row r="684">
      <c r="B684" s="57"/>
    </row>
    <row r="685">
      <c r="B685" s="57"/>
    </row>
    <row r="686">
      <c r="B686" s="57"/>
    </row>
    <row r="687">
      <c r="B687" s="57"/>
    </row>
    <row r="688">
      <c r="B688" s="57"/>
    </row>
    <row r="689">
      <c r="B689" s="57"/>
    </row>
    <row r="690">
      <c r="B690" s="57"/>
    </row>
    <row r="691">
      <c r="B691" s="57"/>
    </row>
    <row r="692">
      <c r="B692" s="57"/>
    </row>
    <row r="693">
      <c r="B693" s="57"/>
    </row>
    <row r="694">
      <c r="B694" s="57"/>
    </row>
    <row r="695">
      <c r="B695" s="57"/>
    </row>
    <row r="696">
      <c r="B696" s="57"/>
    </row>
    <row r="697">
      <c r="B697" s="57"/>
    </row>
    <row r="698">
      <c r="B698" s="57"/>
    </row>
    <row r="699">
      <c r="B699" s="57"/>
    </row>
    <row r="700">
      <c r="B700" s="57"/>
    </row>
    <row r="701">
      <c r="B701" s="57"/>
    </row>
    <row r="702">
      <c r="B702" s="57"/>
    </row>
    <row r="703">
      <c r="B703" s="57"/>
    </row>
    <row r="704">
      <c r="B704" s="57"/>
    </row>
    <row r="705">
      <c r="B705" s="57"/>
    </row>
    <row r="706">
      <c r="B706" s="57"/>
    </row>
    <row r="707">
      <c r="B707" s="57"/>
    </row>
    <row r="708">
      <c r="B708" s="57"/>
    </row>
    <row r="709">
      <c r="B709" s="57"/>
    </row>
    <row r="710">
      <c r="B710" s="57"/>
    </row>
    <row r="711">
      <c r="B711" s="57"/>
    </row>
    <row r="712">
      <c r="B712" s="57"/>
    </row>
    <row r="713">
      <c r="B713" s="57"/>
    </row>
    <row r="714">
      <c r="B714" s="57"/>
    </row>
    <row r="715">
      <c r="B715" s="57"/>
    </row>
    <row r="716">
      <c r="B716" s="57"/>
    </row>
    <row r="717">
      <c r="B717" s="57"/>
    </row>
    <row r="718">
      <c r="B718" s="57"/>
    </row>
    <row r="719">
      <c r="B719" s="57"/>
    </row>
    <row r="720">
      <c r="B720" s="57"/>
    </row>
    <row r="721">
      <c r="B721" s="57"/>
    </row>
    <row r="722">
      <c r="B722" s="57"/>
    </row>
    <row r="723">
      <c r="B723" s="57"/>
    </row>
    <row r="724">
      <c r="B724" s="57"/>
    </row>
    <row r="725">
      <c r="B725" s="57"/>
    </row>
    <row r="726">
      <c r="B726" s="57"/>
    </row>
    <row r="727">
      <c r="B727" s="57"/>
    </row>
    <row r="728">
      <c r="B728" s="57"/>
    </row>
    <row r="729">
      <c r="B729" s="57"/>
    </row>
    <row r="730">
      <c r="B730" s="57"/>
    </row>
    <row r="731">
      <c r="B731" s="57"/>
    </row>
    <row r="732">
      <c r="B732" s="57"/>
    </row>
    <row r="733">
      <c r="B733" s="57"/>
    </row>
    <row r="734">
      <c r="B734" s="57"/>
    </row>
    <row r="735">
      <c r="B735" s="57"/>
    </row>
    <row r="736">
      <c r="B736" s="57"/>
    </row>
    <row r="737">
      <c r="B737" s="57"/>
    </row>
    <row r="738">
      <c r="B738" s="57"/>
    </row>
    <row r="739">
      <c r="B739" s="57"/>
    </row>
    <row r="740">
      <c r="B740" s="57"/>
    </row>
    <row r="741">
      <c r="B741" s="57"/>
    </row>
    <row r="742">
      <c r="B742" s="57"/>
    </row>
    <row r="743">
      <c r="B743" s="57"/>
    </row>
    <row r="744">
      <c r="B744" s="57"/>
    </row>
    <row r="745">
      <c r="B745" s="57"/>
    </row>
    <row r="746">
      <c r="B746" s="57"/>
    </row>
    <row r="747">
      <c r="B747" s="57"/>
    </row>
    <row r="748">
      <c r="B748" s="57"/>
    </row>
    <row r="749">
      <c r="B749" s="57"/>
    </row>
    <row r="750">
      <c r="B750" s="57"/>
    </row>
    <row r="751">
      <c r="B751" s="57"/>
    </row>
    <row r="752">
      <c r="B752" s="57"/>
    </row>
    <row r="753">
      <c r="B753" s="57"/>
    </row>
    <row r="754">
      <c r="B754" s="57"/>
    </row>
    <row r="755">
      <c r="B755" s="57"/>
    </row>
    <row r="756">
      <c r="B756" s="57"/>
    </row>
    <row r="757">
      <c r="B757" s="57"/>
    </row>
    <row r="758">
      <c r="B758" s="57"/>
    </row>
    <row r="759">
      <c r="B759" s="57"/>
    </row>
    <row r="760">
      <c r="B760" s="57"/>
    </row>
    <row r="761">
      <c r="B761" s="57"/>
    </row>
    <row r="762">
      <c r="B762" s="57"/>
    </row>
    <row r="763">
      <c r="B763" s="57"/>
    </row>
    <row r="764">
      <c r="B764" s="57"/>
    </row>
    <row r="765">
      <c r="B765" s="57"/>
    </row>
    <row r="766">
      <c r="B766" s="57"/>
    </row>
    <row r="767">
      <c r="B767" s="57"/>
    </row>
    <row r="768">
      <c r="B768" s="57"/>
    </row>
    <row r="769">
      <c r="B769" s="57"/>
    </row>
    <row r="770">
      <c r="B770" s="57"/>
    </row>
    <row r="771">
      <c r="B771" s="57"/>
    </row>
    <row r="772">
      <c r="B772" s="57"/>
    </row>
    <row r="773">
      <c r="B773" s="57"/>
    </row>
    <row r="774">
      <c r="B774" s="57"/>
    </row>
    <row r="775">
      <c r="B775" s="57"/>
    </row>
    <row r="776">
      <c r="B776" s="57"/>
    </row>
    <row r="777">
      <c r="B777" s="57"/>
    </row>
    <row r="778">
      <c r="B778" s="57"/>
    </row>
    <row r="779">
      <c r="B779" s="57"/>
    </row>
    <row r="780">
      <c r="B780" s="57"/>
    </row>
    <row r="781">
      <c r="B781" s="57"/>
    </row>
    <row r="782">
      <c r="B782" s="57"/>
    </row>
    <row r="783">
      <c r="B783" s="57"/>
    </row>
    <row r="784">
      <c r="B784" s="57"/>
    </row>
    <row r="785">
      <c r="B785" s="57"/>
    </row>
    <row r="786">
      <c r="B786" s="57"/>
    </row>
    <row r="787">
      <c r="B787" s="57"/>
    </row>
    <row r="788">
      <c r="B788" s="57"/>
    </row>
    <row r="789">
      <c r="B789" s="57"/>
    </row>
    <row r="790">
      <c r="B790" s="57"/>
    </row>
    <row r="791">
      <c r="B791" s="57"/>
    </row>
    <row r="792">
      <c r="B792" s="57"/>
    </row>
    <row r="793">
      <c r="B793" s="57"/>
    </row>
    <row r="794">
      <c r="B794" s="57"/>
    </row>
    <row r="795">
      <c r="B795" s="57"/>
    </row>
    <row r="796">
      <c r="B796" s="57"/>
    </row>
    <row r="797">
      <c r="B797" s="57"/>
    </row>
    <row r="798">
      <c r="B798" s="57"/>
    </row>
    <row r="799">
      <c r="B799" s="57"/>
    </row>
    <row r="800">
      <c r="B800" s="57"/>
    </row>
    <row r="801">
      <c r="B801" s="57"/>
    </row>
    <row r="802">
      <c r="B802" s="57"/>
    </row>
    <row r="803">
      <c r="B803" s="57"/>
    </row>
    <row r="804">
      <c r="B804" s="57"/>
    </row>
    <row r="805">
      <c r="B805" s="57"/>
    </row>
    <row r="806">
      <c r="B806" s="57"/>
    </row>
    <row r="807">
      <c r="B807" s="57"/>
    </row>
    <row r="808">
      <c r="B808" s="57"/>
    </row>
    <row r="809">
      <c r="B809" s="57"/>
    </row>
    <row r="810">
      <c r="B810" s="57"/>
    </row>
    <row r="811">
      <c r="B811" s="57"/>
    </row>
    <row r="812">
      <c r="B812" s="57"/>
    </row>
    <row r="813">
      <c r="B813" s="57"/>
    </row>
    <row r="814">
      <c r="B814" s="57"/>
    </row>
    <row r="815">
      <c r="B815" s="57"/>
    </row>
    <row r="816">
      <c r="B816" s="57"/>
    </row>
    <row r="817">
      <c r="B817" s="57"/>
    </row>
    <row r="818">
      <c r="B818" s="57"/>
    </row>
    <row r="819">
      <c r="B819" s="57"/>
    </row>
    <row r="820">
      <c r="B820" s="57"/>
    </row>
    <row r="821">
      <c r="B821" s="57"/>
    </row>
    <row r="822">
      <c r="B822" s="57"/>
    </row>
    <row r="823">
      <c r="B823" s="57"/>
    </row>
    <row r="824">
      <c r="B824" s="57"/>
    </row>
    <row r="825">
      <c r="B825" s="57"/>
    </row>
    <row r="826">
      <c r="B826" s="57"/>
    </row>
    <row r="827">
      <c r="B827" s="57"/>
    </row>
    <row r="828">
      <c r="B828" s="57"/>
    </row>
    <row r="829">
      <c r="B829" s="57"/>
    </row>
    <row r="830">
      <c r="B830" s="57"/>
    </row>
    <row r="831">
      <c r="B831" s="57"/>
    </row>
    <row r="832">
      <c r="B832" s="57"/>
    </row>
    <row r="833">
      <c r="B833" s="57"/>
    </row>
    <row r="834">
      <c r="B834" s="57"/>
    </row>
    <row r="835">
      <c r="B835" s="57"/>
    </row>
    <row r="836">
      <c r="B836" s="57"/>
    </row>
    <row r="837">
      <c r="B837" s="57"/>
    </row>
    <row r="838">
      <c r="B838" s="57"/>
    </row>
    <row r="839">
      <c r="B839" s="57"/>
    </row>
    <row r="840">
      <c r="B840" s="57"/>
    </row>
    <row r="841">
      <c r="B841" s="57"/>
    </row>
    <row r="842">
      <c r="B842" s="57"/>
    </row>
    <row r="843">
      <c r="B843" s="57"/>
    </row>
    <row r="844">
      <c r="B844" s="57"/>
    </row>
    <row r="845">
      <c r="B845" s="57"/>
    </row>
    <row r="846">
      <c r="B846" s="57"/>
    </row>
    <row r="847">
      <c r="B847" s="57"/>
    </row>
    <row r="848">
      <c r="B848" s="57"/>
    </row>
    <row r="849">
      <c r="B849" s="57"/>
    </row>
    <row r="850">
      <c r="B850" s="57"/>
    </row>
    <row r="851">
      <c r="B851" s="57"/>
    </row>
    <row r="852">
      <c r="B852" s="57"/>
    </row>
    <row r="853">
      <c r="B853" s="57"/>
    </row>
    <row r="854">
      <c r="B854" s="57"/>
    </row>
    <row r="855">
      <c r="B855" s="57"/>
    </row>
    <row r="856">
      <c r="B856" s="57"/>
    </row>
    <row r="857">
      <c r="B857" s="57"/>
    </row>
    <row r="858">
      <c r="B858" s="57"/>
    </row>
    <row r="859">
      <c r="B859" s="57"/>
    </row>
    <row r="860">
      <c r="B860" s="57"/>
    </row>
    <row r="861">
      <c r="B861" s="57"/>
    </row>
    <row r="862">
      <c r="B862" s="57"/>
    </row>
    <row r="863">
      <c r="B863" s="57"/>
    </row>
    <row r="864">
      <c r="B864" s="57"/>
    </row>
    <row r="865">
      <c r="B865" s="57"/>
    </row>
    <row r="866">
      <c r="B866" s="57"/>
    </row>
    <row r="867">
      <c r="B867" s="57"/>
    </row>
    <row r="868">
      <c r="B868" s="57"/>
    </row>
    <row r="869">
      <c r="B869" s="57"/>
    </row>
    <row r="870">
      <c r="B870" s="57"/>
    </row>
    <row r="871">
      <c r="B871" s="57"/>
    </row>
    <row r="872">
      <c r="B872" s="57"/>
    </row>
    <row r="873">
      <c r="B873" s="57"/>
    </row>
    <row r="874">
      <c r="B874" s="57"/>
    </row>
    <row r="875">
      <c r="B875" s="57"/>
    </row>
    <row r="876">
      <c r="B876" s="57"/>
    </row>
    <row r="877">
      <c r="B877" s="57"/>
    </row>
    <row r="878">
      <c r="B878" s="57"/>
    </row>
    <row r="879">
      <c r="B879" s="57"/>
    </row>
    <row r="880">
      <c r="B880" s="57"/>
    </row>
    <row r="881">
      <c r="B881" s="57"/>
    </row>
    <row r="882">
      <c r="B882" s="57"/>
    </row>
    <row r="883">
      <c r="B883" s="57"/>
    </row>
    <row r="884">
      <c r="B884" s="57"/>
    </row>
    <row r="885">
      <c r="B885" s="57"/>
    </row>
    <row r="886">
      <c r="B886" s="57"/>
    </row>
    <row r="887">
      <c r="B887" s="57"/>
    </row>
    <row r="888">
      <c r="B888" s="57"/>
    </row>
    <row r="889">
      <c r="B889" s="57"/>
    </row>
    <row r="890">
      <c r="B890" s="57"/>
    </row>
    <row r="891">
      <c r="B891" s="57"/>
    </row>
    <row r="892">
      <c r="B892" s="57"/>
    </row>
    <row r="893">
      <c r="B893" s="57"/>
    </row>
    <row r="894">
      <c r="B894" s="57"/>
    </row>
    <row r="895">
      <c r="B895" s="57"/>
    </row>
    <row r="896">
      <c r="B896" s="57"/>
    </row>
    <row r="897">
      <c r="B897" s="57"/>
    </row>
    <row r="898">
      <c r="B898" s="57"/>
    </row>
    <row r="899">
      <c r="B899" s="57"/>
    </row>
    <row r="900">
      <c r="B900" s="57"/>
    </row>
    <row r="901">
      <c r="B901" s="57"/>
    </row>
    <row r="902">
      <c r="B902" s="57"/>
    </row>
    <row r="903">
      <c r="B903" s="57"/>
    </row>
    <row r="904">
      <c r="B904" s="57"/>
    </row>
    <row r="905">
      <c r="B905" s="57"/>
    </row>
    <row r="906">
      <c r="B906" s="57"/>
    </row>
    <row r="907">
      <c r="B907" s="57"/>
    </row>
    <row r="908">
      <c r="B908" s="57"/>
    </row>
    <row r="909">
      <c r="B909" s="57"/>
    </row>
    <row r="910">
      <c r="B910" s="57"/>
    </row>
    <row r="911">
      <c r="B911" s="57"/>
    </row>
    <row r="912">
      <c r="B912" s="57"/>
    </row>
    <row r="913">
      <c r="B913" s="57"/>
    </row>
    <row r="914">
      <c r="B914" s="57"/>
    </row>
    <row r="915">
      <c r="B915" s="57"/>
    </row>
    <row r="916">
      <c r="B916" s="57"/>
    </row>
    <row r="917">
      <c r="B917" s="57"/>
    </row>
    <row r="918">
      <c r="B918" s="57"/>
    </row>
    <row r="919">
      <c r="B919" s="57"/>
    </row>
    <row r="920">
      <c r="B920" s="57"/>
    </row>
    <row r="921">
      <c r="B921" s="57"/>
    </row>
    <row r="922">
      <c r="B922" s="57"/>
    </row>
    <row r="923">
      <c r="B923" s="57"/>
    </row>
    <row r="924">
      <c r="B924" s="57"/>
    </row>
    <row r="925">
      <c r="B925" s="57"/>
    </row>
    <row r="926">
      <c r="B926" s="57"/>
    </row>
    <row r="927">
      <c r="B927" s="57"/>
    </row>
    <row r="928">
      <c r="B928" s="57"/>
    </row>
    <row r="929">
      <c r="B929" s="57"/>
    </row>
    <row r="930">
      <c r="B930" s="57"/>
    </row>
    <row r="931">
      <c r="B931" s="57"/>
    </row>
    <row r="932">
      <c r="B932" s="57"/>
    </row>
    <row r="933">
      <c r="B933" s="57"/>
    </row>
    <row r="934">
      <c r="B934" s="57"/>
    </row>
    <row r="935">
      <c r="B935" s="57"/>
    </row>
    <row r="936">
      <c r="B936" s="57"/>
    </row>
    <row r="937">
      <c r="B937" s="57"/>
    </row>
    <row r="938">
      <c r="B938" s="57"/>
    </row>
    <row r="939">
      <c r="B939" s="57"/>
    </row>
    <row r="940">
      <c r="B940" s="57"/>
    </row>
    <row r="941">
      <c r="B941" s="57"/>
    </row>
    <row r="942">
      <c r="B942" s="57"/>
    </row>
    <row r="943">
      <c r="B943" s="57"/>
    </row>
    <row r="944">
      <c r="B944" s="57"/>
    </row>
    <row r="945">
      <c r="B945" s="57"/>
    </row>
    <row r="946">
      <c r="B946" s="57"/>
    </row>
    <row r="947">
      <c r="B947" s="57"/>
    </row>
    <row r="948">
      <c r="B948" s="57"/>
    </row>
    <row r="949">
      <c r="B949" s="57"/>
    </row>
    <row r="950">
      <c r="B950" s="57"/>
    </row>
    <row r="951">
      <c r="B951" s="57"/>
    </row>
    <row r="952">
      <c r="B952" s="57"/>
    </row>
    <row r="953">
      <c r="B953" s="57"/>
    </row>
    <row r="954">
      <c r="B954" s="57"/>
    </row>
    <row r="955">
      <c r="B955" s="57"/>
    </row>
    <row r="956">
      <c r="B956" s="57"/>
    </row>
    <row r="957">
      <c r="B957" s="57"/>
    </row>
    <row r="958">
      <c r="B958" s="57"/>
    </row>
    <row r="959">
      <c r="B959" s="57"/>
    </row>
    <row r="960">
      <c r="B960" s="57"/>
    </row>
    <row r="961">
      <c r="B961" s="57"/>
    </row>
    <row r="962">
      <c r="B962" s="57"/>
    </row>
    <row r="963">
      <c r="B963" s="57"/>
    </row>
    <row r="964">
      <c r="B964" s="57"/>
    </row>
    <row r="965">
      <c r="B965" s="57"/>
    </row>
    <row r="966">
      <c r="B966" s="57"/>
    </row>
    <row r="967">
      <c r="B967" s="57"/>
    </row>
    <row r="968">
      <c r="B968" s="57"/>
    </row>
    <row r="969">
      <c r="B969" s="57"/>
    </row>
    <row r="970">
      <c r="B970" s="57"/>
    </row>
    <row r="971">
      <c r="B971" s="57"/>
    </row>
    <row r="972">
      <c r="B972" s="57"/>
    </row>
    <row r="973">
      <c r="B973" s="57"/>
    </row>
    <row r="974">
      <c r="B974" s="57"/>
    </row>
    <row r="975">
      <c r="B975" s="57"/>
    </row>
    <row r="976">
      <c r="B976" s="57"/>
    </row>
    <row r="977">
      <c r="B977" s="57"/>
    </row>
    <row r="978">
      <c r="B978" s="57"/>
    </row>
    <row r="979">
      <c r="B979" s="57"/>
    </row>
    <row r="980">
      <c r="B980" s="57"/>
    </row>
    <row r="981">
      <c r="B981" s="57"/>
    </row>
    <row r="982">
      <c r="B982" s="57"/>
    </row>
    <row r="983">
      <c r="B983" s="57"/>
    </row>
    <row r="984">
      <c r="B984" s="57"/>
    </row>
    <row r="985">
      <c r="B985" s="57"/>
    </row>
    <row r="986">
      <c r="B986" s="57"/>
    </row>
    <row r="987">
      <c r="B987" s="57"/>
    </row>
    <row r="988">
      <c r="B988" s="57"/>
    </row>
    <row r="989">
      <c r="B989" s="57"/>
    </row>
    <row r="990">
      <c r="B990" s="57"/>
    </row>
    <row r="991">
      <c r="B991" s="57"/>
    </row>
    <row r="992">
      <c r="B992" s="57"/>
    </row>
    <row r="993">
      <c r="B993" s="57"/>
    </row>
    <row r="994">
      <c r="B994" s="57"/>
    </row>
    <row r="995">
      <c r="B995" s="57"/>
    </row>
    <row r="996">
      <c r="B996" s="57"/>
    </row>
    <row r="997">
      <c r="B997" s="57"/>
    </row>
    <row r="998">
      <c r="B998" s="57"/>
    </row>
    <row r="999">
      <c r="B999" s="57"/>
    </row>
    <row r="1000">
      <c r="B1000" s="57"/>
    </row>
    <row r="1001">
      <c r="B1001" s="57"/>
    </row>
    <row r="1002">
      <c r="B1002" s="57"/>
    </row>
    <row r="1003">
      <c r="B1003" s="57"/>
    </row>
    <row r="1004">
      <c r="B1004" s="57"/>
    </row>
  </sheetData>
  <mergeCells count="1">
    <mergeCell ref="C2:G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86"/>
    <col customWidth="1" min="3" max="3" width="18.29"/>
    <col customWidth="1" min="4" max="4" width="19.14"/>
    <col customWidth="1" min="5" max="5" width="17.43"/>
    <col customWidth="1" min="6" max="6" width="17.86"/>
    <col customWidth="1" min="7" max="7" width="19.0"/>
    <col customWidth="1" min="8" max="8" width="1.14"/>
    <col customWidth="1" min="9" max="9" width="20.86"/>
    <col customWidth="1" min="10" max="10" width="18.57"/>
    <col customWidth="1" min="11" max="11" width="17.0"/>
    <col customWidth="1" min="12" max="12" width="18.57"/>
    <col customWidth="1" min="13" max="13" width="18.43"/>
    <col customWidth="1" min="14" max="15" width="18.14"/>
  </cols>
  <sheetData>
    <row r="1">
      <c r="H1" s="57"/>
    </row>
    <row r="2">
      <c r="A2" s="58"/>
      <c r="B2" s="59" t="s">
        <v>81</v>
      </c>
      <c r="H2" s="57"/>
      <c r="I2" s="58"/>
      <c r="J2" s="59" t="s">
        <v>82</v>
      </c>
    </row>
    <row r="3">
      <c r="A3" s="58"/>
      <c r="H3" s="57"/>
      <c r="I3" s="58"/>
    </row>
    <row r="4" ht="3.0" customHeight="1">
      <c r="A4" s="57"/>
      <c r="B4" s="60"/>
      <c r="C4" s="60"/>
      <c r="D4" s="60"/>
      <c r="E4" s="60"/>
      <c r="F4" s="60"/>
      <c r="G4" s="60"/>
      <c r="H4" s="57"/>
      <c r="I4" s="57"/>
      <c r="J4" s="60"/>
      <c r="K4" s="60"/>
      <c r="L4" s="60"/>
      <c r="M4" s="60"/>
      <c r="N4" s="60"/>
      <c r="O4" s="60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</row>
    <row r="5">
      <c r="A5" s="61"/>
      <c r="B5" s="61">
        <v>2.0</v>
      </c>
      <c r="C5" s="61">
        <v>5.0</v>
      </c>
      <c r="D5" s="61">
        <v>15.0</v>
      </c>
      <c r="E5" s="61">
        <v>30.0</v>
      </c>
      <c r="F5" s="61">
        <v>45.0</v>
      </c>
      <c r="G5" s="61">
        <v>60.0</v>
      </c>
      <c r="H5" s="57"/>
      <c r="I5" s="61"/>
      <c r="J5" s="61">
        <v>2.0</v>
      </c>
      <c r="K5" s="61">
        <v>5.0</v>
      </c>
      <c r="L5" s="61">
        <v>15.0</v>
      </c>
      <c r="M5" s="61">
        <v>30.0</v>
      </c>
      <c r="N5" s="61">
        <v>45.0</v>
      </c>
      <c r="O5" s="61">
        <v>60.0</v>
      </c>
    </row>
    <row r="6">
      <c r="A6" s="62" t="s">
        <v>83</v>
      </c>
      <c r="B6" s="63">
        <v>1.0</v>
      </c>
      <c r="C6" s="64">
        <v>1.0</v>
      </c>
      <c r="D6" s="63">
        <v>0.3333</v>
      </c>
      <c r="E6" s="65">
        <v>0.0667</v>
      </c>
      <c r="F6" s="65">
        <v>0.0889</v>
      </c>
      <c r="G6" s="65">
        <v>0.3333</v>
      </c>
      <c r="H6" s="57"/>
      <c r="I6" s="62" t="s">
        <v>83</v>
      </c>
      <c r="J6" s="63">
        <f>IFERROR(__xludf.DUMMYFUNCTION("FILTER('All data'!L15:L48, 'All data'!J15:J48 = 2)"),1.0)</f>
        <v>1</v>
      </c>
      <c r="K6" s="65">
        <v>1.0</v>
      </c>
      <c r="L6" s="63">
        <v>0.3333</v>
      </c>
      <c r="M6" s="65">
        <v>0.0667</v>
      </c>
      <c r="N6" s="65">
        <v>0.2</v>
      </c>
      <c r="O6" s="63">
        <v>0.15</v>
      </c>
      <c r="P6" s="66"/>
    </row>
    <row r="7">
      <c r="A7" s="62"/>
      <c r="B7" s="64">
        <v>1.0</v>
      </c>
      <c r="C7" s="65">
        <v>1.0</v>
      </c>
      <c r="D7" s="65">
        <v>0.8</v>
      </c>
      <c r="E7" s="65">
        <v>0.3</v>
      </c>
      <c r="F7" s="63">
        <v>0.6889</v>
      </c>
      <c r="G7" s="65">
        <v>0.35</v>
      </c>
      <c r="H7" s="57"/>
      <c r="I7" s="62"/>
      <c r="J7" s="64">
        <f>IFERROR(__xludf.DUMMYFUNCTION("""COMPUTED_VALUE"""),1.0)</f>
        <v>1</v>
      </c>
      <c r="K7" s="65">
        <v>1.0</v>
      </c>
      <c r="L7" s="65">
        <v>0.4</v>
      </c>
      <c r="M7" s="63">
        <v>0.1333</v>
      </c>
      <c r="N7" s="63">
        <v>0.6667</v>
      </c>
      <c r="O7" s="65">
        <v>0.2</v>
      </c>
      <c r="P7" s="66"/>
    </row>
    <row r="8">
      <c r="A8" s="62"/>
      <c r="B8" s="65">
        <v>1.0</v>
      </c>
      <c r="C8" s="65">
        <v>1.0</v>
      </c>
      <c r="D8" s="65">
        <v>1.0</v>
      </c>
      <c r="E8" s="64">
        <v>0.5333</v>
      </c>
      <c r="F8" s="65">
        <v>0.6889</v>
      </c>
      <c r="G8" s="63">
        <v>0.3667</v>
      </c>
      <c r="H8" s="57"/>
      <c r="I8" s="62"/>
      <c r="J8" s="65">
        <f>IFERROR(__xludf.DUMMYFUNCTION("""COMPUTED_VALUE"""),1.0)</f>
        <v>1</v>
      </c>
      <c r="K8" s="65">
        <v>1.0</v>
      </c>
      <c r="L8" s="65">
        <v>0.4667</v>
      </c>
      <c r="M8" s="64">
        <v>0.4</v>
      </c>
      <c r="N8" s="63">
        <v>1.0</v>
      </c>
      <c r="O8" s="63">
        <v>0.95</v>
      </c>
      <c r="P8" s="66"/>
    </row>
    <row r="9">
      <c r="A9" s="62"/>
      <c r="B9" s="65">
        <v>1.0</v>
      </c>
      <c r="C9" s="65">
        <v>1.0</v>
      </c>
      <c r="D9" s="65">
        <v>1.0</v>
      </c>
      <c r="E9" s="63">
        <v>1.0</v>
      </c>
      <c r="F9" s="63">
        <v>1.0</v>
      </c>
      <c r="G9" s="65">
        <v>0.9</v>
      </c>
      <c r="H9" s="57"/>
      <c r="I9" s="62"/>
      <c r="J9" s="65">
        <f>IFERROR(__xludf.DUMMYFUNCTION("""COMPUTED_VALUE"""),1.0)</f>
        <v>1</v>
      </c>
      <c r="K9" s="65">
        <v>1.0</v>
      </c>
      <c r="L9" s="65">
        <v>1.0</v>
      </c>
      <c r="M9" s="63">
        <v>0.5333</v>
      </c>
      <c r="N9" s="65">
        <v>1.0</v>
      </c>
      <c r="O9" s="65">
        <v>0.95</v>
      </c>
      <c r="P9" s="66"/>
    </row>
    <row r="10">
      <c r="A10" s="62"/>
      <c r="B10" s="65">
        <v>1.0</v>
      </c>
      <c r="C10" s="65">
        <v>1.0</v>
      </c>
      <c r="D10" s="65">
        <v>1.0</v>
      </c>
      <c r="H10" s="57"/>
      <c r="I10" s="62"/>
      <c r="J10" s="65">
        <f>IFERROR(__xludf.DUMMYFUNCTION("""COMPUTED_VALUE"""),1.0)</f>
        <v>1</v>
      </c>
      <c r="K10" s="65">
        <v>1.0</v>
      </c>
      <c r="L10" s="65">
        <v>1.0</v>
      </c>
      <c r="P10" s="66"/>
    </row>
    <row r="11">
      <c r="A11" s="62"/>
      <c r="B11" s="65">
        <v>1.0</v>
      </c>
      <c r="E11" s="66"/>
      <c r="F11" s="66"/>
      <c r="G11" s="66"/>
      <c r="H11" s="57"/>
      <c r="I11" s="62"/>
      <c r="J11" s="65">
        <f>IFERROR(__xludf.DUMMYFUNCTION("""COMPUTED_VALUE"""),1.0)</f>
        <v>1</v>
      </c>
      <c r="M11" s="66"/>
      <c r="N11" s="66"/>
      <c r="O11" s="66"/>
      <c r="Q11" s="65"/>
    </row>
    <row r="12">
      <c r="A12" s="62" t="s">
        <v>84</v>
      </c>
      <c r="B12" s="65">
        <v>1.0</v>
      </c>
      <c r="C12" s="65">
        <v>1.0</v>
      </c>
      <c r="D12" s="65">
        <v>1.0</v>
      </c>
      <c r="E12" s="65">
        <v>1.0</v>
      </c>
      <c r="F12" s="65">
        <v>1.0</v>
      </c>
      <c r="G12" s="65">
        <v>1.0</v>
      </c>
      <c r="H12" s="57"/>
      <c r="I12" s="62" t="s">
        <v>84</v>
      </c>
      <c r="J12" s="65">
        <f>IFERROR(__xludf.DUMMYFUNCTION("""COMPUTED_VALUE"""),1.0)</f>
        <v>1</v>
      </c>
      <c r="K12" s="65">
        <v>1.0</v>
      </c>
      <c r="L12" s="65">
        <v>1.0</v>
      </c>
      <c r="M12" s="65">
        <v>1.0</v>
      </c>
      <c r="N12" s="63">
        <v>1.0</v>
      </c>
      <c r="O12" s="65">
        <v>1.0</v>
      </c>
    </row>
    <row r="13">
      <c r="A13" s="62"/>
      <c r="B13" s="67"/>
      <c r="C13" s="66"/>
      <c r="D13" s="66"/>
      <c r="E13" s="66"/>
      <c r="F13" s="66"/>
      <c r="G13" s="66"/>
      <c r="H13" s="57"/>
      <c r="I13" s="62"/>
      <c r="J13" s="67"/>
      <c r="K13" s="66"/>
      <c r="L13" s="66"/>
      <c r="M13" s="66"/>
      <c r="N13" s="66"/>
      <c r="O13" s="66"/>
    </row>
    <row r="14" ht="3.0" customHeight="1">
      <c r="A14" s="57"/>
      <c r="B14" s="60"/>
      <c r="C14" s="60"/>
      <c r="D14" s="60"/>
      <c r="E14" s="60"/>
      <c r="F14" s="60"/>
      <c r="G14" s="60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</row>
    <row r="15" ht="21.0" customHeight="1">
      <c r="A15" s="68" t="s">
        <v>62</v>
      </c>
      <c r="B15" s="65">
        <f t="shared" ref="B15:G15" si="1">MEDIAN(B6:B13)</f>
        <v>1</v>
      </c>
      <c r="C15" s="65">
        <f t="shared" si="1"/>
        <v>1</v>
      </c>
      <c r="D15" s="65">
        <f t="shared" si="1"/>
        <v>1</v>
      </c>
      <c r="E15" s="65">
        <f t="shared" si="1"/>
        <v>0.5333</v>
      </c>
      <c r="F15" s="65">
        <f t="shared" si="1"/>
        <v>0.6889</v>
      </c>
      <c r="G15" s="65">
        <f t="shared" si="1"/>
        <v>0.3667</v>
      </c>
      <c r="H15" s="57"/>
      <c r="I15" s="68" t="s">
        <v>62</v>
      </c>
      <c r="J15" s="65">
        <f t="shared" ref="J15:O15" si="2">MEDIAN(J6:J13)</f>
        <v>1</v>
      </c>
      <c r="K15" s="65">
        <f t="shared" si="2"/>
        <v>1</v>
      </c>
      <c r="L15" s="65">
        <f t="shared" si="2"/>
        <v>0.73335</v>
      </c>
      <c r="M15" s="65">
        <f t="shared" si="2"/>
        <v>0.4</v>
      </c>
      <c r="N15" s="65">
        <f t="shared" si="2"/>
        <v>1</v>
      </c>
      <c r="O15" s="65">
        <f t="shared" si="2"/>
        <v>0.95</v>
      </c>
    </row>
    <row r="16" ht="19.5" customHeight="1">
      <c r="A16" s="68" t="s">
        <v>85</v>
      </c>
      <c r="B16" s="69">
        <f t="shared" ref="B16:G16" si="3">AVERAGE(B6:B13)</f>
        <v>1</v>
      </c>
      <c r="C16" s="69">
        <f t="shared" si="3"/>
        <v>1</v>
      </c>
      <c r="D16" s="69">
        <f t="shared" si="3"/>
        <v>0.85555</v>
      </c>
      <c r="E16" s="69">
        <f t="shared" si="3"/>
        <v>0.58</v>
      </c>
      <c r="F16" s="69">
        <f t="shared" si="3"/>
        <v>0.69334</v>
      </c>
      <c r="G16" s="69">
        <f t="shared" si="3"/>
        <v>0.59</v>
      </c>
      <c r="H16" s="57"/>
      <c r="I16" s="68" t="s">
        <v>86</v>
      </c>
      <c r="J16" s="69">
        <f t="shared" ref="J16:O16" si="4">AVERAGE(J6:J13)</f>
        <v>1</v>
      </c>
      <c r="K16" s="69">
        <f t="shared" si="4"/>
        <v>1</v>
      </c>
      <c r="L16" s="69">
        <f t="shared" si="4"/>
        <v>0.7</v>
      </c>
      <c r="M16" s="69">
        <f t="shared" si="4"/>
        <v>0.42666</v>
      </c>
      <c r="N16" s="69">
        <f t="shared" si="4"/>
        <v>0.77334</v>
      </c>
      <c r="O16" s="69">
        <f t="shared" si="4"/>
        <v>0.65</v>
      </c>
    </row>
    <row r="17" ht="19.5" customHeight="1">
      <c r="A17" s="68" t="s">
        <v>68</v>
      </c>
      <c r="B17" s="65">
        <f t="shared" ref="B17:G17" si="5">STDEV(B6:B13)</f>
        <v>0</v>
      </c>
      <c r="C17" s="65">
        <f t="shared" si="5"/>
        <v>0</v>
      </c>
      <c r="D17" s="65">
        <f t="shared" si="5"/>
        <v>0.2680649455</v>
      </c>
      <c r="E17" s="65">
        <f t="shared" si="5"/>
        <v>0.4173900394</v>
      </c>
      <c r="F17" s="65">
        <f t="shared" si="5"/>
        <v>0.3719771001</v>
      </c>
      <c r="G17" s="65">
        <f t="shared" si="5"/>
        <v>0.3307407519</v>
      </c>
      <c r="H17" s="57"/>
      <c r="I17" s="68" t="s">
        <v>68</v>
      </c>
      <c r="J17" s="65">
        <f t="shared" ref="J17:O17" si="6">STDEV(J6:J13)</f>
        <v>0</v>
      </c>
      <c r="K17" s="65">
        <f t="shared" si="6"/>
        <v>0</v>
      </c>
      <c r="L17" s="65">
        <f t="shared" si="6"/>
        <v>0.3313299805</v>
      </c>
      <c r="M17" s="65">
        <f t="shared" si="6"/>
        <v>0.3729721478</v>
      </c>
      <c r="N17" s="65">
        <f t="shared" si="6"/>
        <v>0.3515021735</v>
      </c>
      <c r="O17" s="65">
        <f t="shared" si="6"/>
        <v>0.4344536799</v>
      </c>
    </row>
    <row r="18" ht="3.0" customHeight="1">
      <c r="A18" s="57"/>
      <c r="B18" s="60"/>
      <c r="C18" s="60"/>
      <c r="D18" s="60"/>
      <c r="E18" s="60"/>
      <c r="F18" s="60"/>
      <c r="G18" s="60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</row>
    <row r="19">
      <c r="H19" s="57"/>
    </row>
    <row r="20">
      <c r="H20" s="57"/>
    </row>
    <row r="21">
      <c r="A21" s="49" t="s">
        <v>87</v>
      </c>
      <c r="B21" s="49" t="s">
        <v>88</v>
      </c>
      <c r="H21" s="57"/>
    </row>
    <row r="22">
      <c r="H22" s="57"/>
    </row>
    <row r="23">
      <c r="H23" s="57"/>
    </row>
    <row r="24">
      <c r="H24" s="57"/>
    </row>
    <row r="25">
      <c r="H25" s="57"/>
    </row>
    <row r="26">
      <c r="H26" s="57"/>
    </row>
    <row r="27">
      <c r="H27" s="57"/>
    </row>
    <row r="28">
      <c r="H28" s="57"/>
    </row>
    <row r="29">
      <c r="H29" s="57"/>
    </row>
    <row r="30">
      <c r="H30" s="57"/>
    </row>
    <row r="31">
      <c r="H31" s="57"/>
    </row>
    <row r="32">
      <c r="H32" s="57"/>
    </row>
    <row r="33">
      <c r="H33" s="57"/>
    </row>
    <row r="34">
      <c r="H34" s="57"/>
    </row>
    <row r="35">
      <c r="H35" s="57"/>
    </row>
    <row r="36">
      <c r="H36" s="57"/>
    </row>
    <row r="37">
      <c r="H37" s="57"/>
    </row>
    <row r="38">
      <c r="H38" s="57"/>
    </row>
    <row r="39">
      <c r="H39" s="57"/>
    </row>
    <row r="40">
      <c r="H40" s="57"/>
    </row>
    <row r="41">
      <c r="H41" s="57"/>
    </row>
    <row r="42">
      <c r="H42" s="57"/>
    </row>
    <row r="43">
      <c r="H43" s="57"/>
    </row>
    <row r="44">
      <c r="H44" s="57"/>
    </row>
    <row r="45">
      <c r="H45" s="57"/>
    </row>
    <row r="46">
      <c r="H46" s="57"/>
    </row>
    <row r="47">
      <c r="H47" s="57"/>
    </row>
    <row r="48">
      <c r="H48" s="57"/>
    </row>
    <row r="49">
      <c r="H49" s="57"/>
    </row>
    <row r="50">
      <c r="H50" s="57"/>
    </row>
    <row r="51">
      <c r="H51" s="57"/>
    </row>
    <row r="52">
      <c r="H52" s="57"/>
    </row>
    <row r="53">
      <c r="H53" s="57"/>
    </row>
    <row r="54">
      <c r="H54" s="57"/>
    </row>
    <row r="55">
      <c r="H55" s="57"/>
    </row>
    <row r="56">
      <c r="H56" s="57"/>
    </row>
    <row r="57">
      <c r="H57" s="57"/>
    </row>
    <row r="58">
      <c r="H58" s="57"/>
    </row>
    <row r="59">
      <c r="H59" s="57"/>
    </row>
    <row r="60">
      <c r="H60" s="57"/>
    </row>
    <row r="61">
      <c r="H61" s="57"/>
    </row>
    <row r="62">
      <c r="H62" s="57"/>
    </row>
    <row r="63">
      <c r="H63" s="57"/>
    </row>
    <row r="64">
      <c r="H64" s="57"/>
    </row>
    <row r="65">
      <c r="H65" s="57"/>
    </row>
    <row r="66">
      <c r="H66" s="57"/>
    </row>
    <row r="67">
      <c r="H67" s="57"/>
    </row>
    <row r="68">
      <c r="H68" s="57"/>
    </row>
    <row r="69">
      <c r="H69" s="57"/>
    </row>
    <row r="70">
      <c r="H70" s="57"/>
    </row>
    <row r="71">
      <c r="H71" s="57"/>
    </row>
    <row r="72">
      <c r="H72" s="57"/>
    </row>
    <row r="73">
      <c r="H73" s="57"/>
    </row>
    <row r="74">
      <c r="H74" s="57"/>
    </row>
    <row r="75">
      <c r="H75" s="57"/>
    </row>
    <row r="76">
      <c r="H76" s="57"/>
    </row>
    <row r="77">
      <c r="H77" s="57"/>
    </row>
    <row r="78">
      <c r="H78" s="57"/>
    </row>
    <row r="79">
      <c r="H79" s="57"/>
    </row>
    <row r="80">
      <c r="H80" s="57"/>
    </row>
    <row r="81">
      <c r="H81" s="57"/>
    </row>
    <row r="82">
      <c r="H82" s="57"/>
    </row>
    <row r="83">
      <c r="H83" s="57"/>
    </row>
    <row r="84">
      <c r="H84" s="57"/>
    </row>
    <row r="85">
      <c r="H85" s="57"/>
    </row>
    <row r="86">
      <c r="H86" s="57"/>
    </row>
    <row r="87">
      <c r="H87" s="57"/>
    </row>
    <row r="88">
      <c r="H88" s="57"/>
    </row>
    <row r="89">
      <c r="H89" s="57"/>
    </row>
    <row r="90">
      <c r="H90" s="57"/>
    </row>
    <row r="91">
      <c r="H91" s="57"/>
    </row>
    <row r="92">
      <c r="H92" s="57"/>
    </row>
    <row r="93">
      <c r="H93" s="57"/>
    </row>
    <row r="94">
      <c r="H94" s="57"/>
    </row>
    <row r="95">
      <c r="H95" s="57"/>
    </row>
    <row r="96">
      <c r="H96" s="57"/>
    </row>
    <row r="97">
      <c r="H97" s="57"/>
    </row>
    <row r="98">
      <c r="H98" s="57"/>
    </row>
    <row r="99">
      <c r="H99" s="57"/>
    </row>
    <row r="100">
      <c r="H100" s="57"/>
    </row>
    <row r="101">
      <c r="H101" s="57"/>
    </row>
    <row r="102">
      <c r="H102" s="57"/>
    </row>
    <row r="103">
      <c r="H103" s="57"/>
    </row>
    <row r="104">
      <c r="H104" s="57"/>
    </row>
    <row r="105">
      <c r="H105" s="57"/>
    </row>
    <row r="106">
      <c r="H106" s="57"/>
    </row>
    <row r="107">
      <c r="H107" s="57"/>
    </row>
    <row r="108">
      <c r="H108" s="57"/>
    </row>
    <row r="109">
      <c r="H109" s="57"/>
    </row>
    <row r="110">
      <c r="H110" s="57"/>
    </row>
    <row r="111">
      <c r="H111" s="57"/>
    </row>
    <row r="112">
      <c r="H112" s="57"/>
    </row>
    <row r="113">
      <c r="H113" s="57"/>
    </row>
    <row r="114">
      <c r="H114" s="57"/>
    </row>
    <row r="115">
      <c r="H115" s="57"/>
    </row>
    <row r="116">
      <c r="H116" s="57"/>
    </row>
    <row r="117">
      <c r="H117" s="57"/>
    </row>
    <row r="118">
      <c r="H118" s="57"/>
    </row>
    <row r="119">
      <c r="H119" s="57"/>
    </row>
    <row r="120">
      <c r="H120" s="57"/>
    </row>
    <row r="121">
      <c r="H121" s="57"/>
    </row>
    <row r="122">
      <c r="H122" s="57"/>
    </row>
    <row r="123">
      <c r="H123" s="57"/>
    </row>
    <row r="124">
      <c r="H124" s="57"/>
    </row>
    <row r="125">
      <c r="H125" s="57"/>
    </row>
    <row r="126">
      <c r="H126" s="57"/>
    </row>
    <row r="127">
      <c r="H127" s="57"/>
    </row>
    <row r="128">
      <c r="H128" s="57"/>
    </row>
    <row r="129">
      <c r="H129" s="57"/>
    </row>
    <row r="130">
      <c r="H130" s="57"/>
    </row>
    <row r="131">
      <c r="H131" s="57"/>
    </row>
    <row r="132">
      <c r="H132" s="57"/>
    </row>
    <row r="133">
      <c r="H133" s="57"/>
    </row>
    <row r="134">
      <c r="H134" s="57"/>
    </row>
    <row r="135">
      <c r="H135" s="57"/>
    </row>
    <row r="136">
      <c r="H136" s="57"/>
    </row>
    <row r="137">
      <c r="H137" s="57"/>
    </row>
    <row r="138">
      <c r="H138" s="57"/>
    </row>
    <row r="139">
      <c r="H139" s="57"/>
    </row>
    <row r="140">
      <c r="H140" s="57"/>
    </row>
    <row r="141">
      <c r="H141" s="57"/>
    </row>
    <row r="142">
      <c r="H142" s="57"/>
    </row>
    <row r="143">
      <c r="H143" s="57"/>
    </row>
    <row r="144">
      <c r="H144" s="57"/>
    </row>
    <row r="145">
      <c r="H145" s="57"/>
    </row>
    <row r="146">
      <c r="H146" s="57"/>
    </row>
    <row r="147">
      <c r="H147" s="57"/>
    </row>
    <row r="148">
      <c r="H148" s="57"/>
    </row>
    <row r="149">
      <c r="H149" s="57"/>
    </row>
    <row r="150">
      <c r="H150" s="57"/>
    </row>
    <row r="151">
      <c r="H151" s="57"/>
    </row>
    <row r="152">
      <c r="H152" s="57"/>
    </row>
    <row r="153">
      <c r="H153" s="57"/>
    </row>
    <row r="154">
      <c r="H154" s="57"/>
    </row>
    <row r="155">
      <c r="H155" s="57"/>
    </row>
    <row r="156">
      <c r="H156" s="57"/>
    </row>
    <row r="157">
      <c r="H157" s="57"/>
    </row>
    <row r="158">
      <c r="H158" s="57"/>
    </row>
    <row r="159">
      <c r="H159" s="57"/>
    </row>
    <row r="160">
      <c r="H160" s="57"/>
    </row>
    <row r="161">
      <c r="H161" s="57"/>
    </row>
    <row r="162">
      <c r="H162" s="57"/>
    </row>
    <row r="163">
      <c r="H163" s="57"/>
    </row>
    <row r="164">
      <c r="H164" s="57"/>
    </row>
    <row r="165">
      <c r="H165" s="57"/>
    </row>
    <row r="166">
      <c r="H166" s="57"/>
    </row>
    <row r="167">
      <c r="H167" s="57"/>
    </row>
    <row r="168">
      <c r="H168" s="57"/>
    </row>
    <row r="169">
      <c r="H169" s="57"/>
    </row>
    <row r="170">
      <c r="H170" s="57"/>
    </row>
    <row r="171">
      <c r="H171" s="57"/>
    </row>
    <row r="172">
      <c r="H172" s="57"/>
    </row>
    <row r="173">
      <c r="H173" s="57"/>
    </row>
    <row r="174">
      <c r="H174" s="57"/>
    </row>
    <row r="175">
      <c r="H175" s="57"/>
    </row>
    <row r="176">
      <c r="H176" s="57"/>
    </row>
    <row r="177">
      <c r="H177" s="57"/>
    </row>
    <row r="178">
      <c r="H178" s="57"/>
    </row>
    <row r="179">
      <c r="H179" s="57"/>
    </row>
    <row r="180">
      <c r="H180" s="57"/>
    </row>
    <row r="181">
      <c r="H181" s="57"/>
    </row>
    <row r="182">
      <c r="H182" s="57"/>
    </row>
    <row r="183">
      <c r="H183" s="57"/>
    </row>
    <row r="184">
      <c r="H184" s="57"/>
    </row>
    <row r="185">
      <c r="H185" s="57"/>
    </row>
    <row r="186">
      <c r="H186" s="57"/>
    </row>
    <row r="187">
      <c r="H187" s="57"/>
    </row>
    <row r="188">
      <c r="H188" s="57"/>
    </row>
    <row r="189">
      <c r="H189" s="57"/>
    </row>
    <row r="190">
      <c r="H190" s="57"/>
    </row>
    <row r="191">
      <c r="H191" s="57"/>
    </row>
    <row r="192">
      <c r="H192" s="57"/>
    </row>
    <row r="193">
      <c r="H193" s="57"/>
    </row>
    <row r="194">
      <c r="H194" s="57"/>
    </row>
    <row r="195">
      <c r="H195" s="57"/>
    </row>
    <row r="196">
      <c r="H196" s="57"/>
    </row>
    <row r="197">
      <c r="H197" s="57"/>
    </row>
    <row r="198">
      <c r="H198" s="57"/>
    </row>
    <row r="199">
      <c r="H199" s="57"/>
    </row>
    <row r="200">
      <c r="H200" s="57"/>
    </row>
    <row r="201">
      <c r="H201" s="57"/>
    </row>
    <row r="202">
      <c r="H202" s="57"/>
    </row>
    <row r="203">
      <c r="H203" s="57"/>
    </row>
    <row r="204">
      <c r="H204" s="57"/>
    </row>
    <row r="205">
      <c r="H205" s="57"/>
    </row>
    <row r="206">
      <c r="H206" s="57"/>
    </row>
    <row r="207">
      <c r="H207" s="57"/>
    </row>
    <row r="208">
      <c r="H208" s="57"/>
    </row>
    <row r="209">
      <c r="H209" s="57"/>
    </row>
    <row r="210">
      <c r="H210" s="57"/>
    </row>
    <row r="211">
      <c r="H211" s="57"/>
    </row>
    <row r="212">
      <c r="H212" s="57"/>
    </row>
    <row r="213">
      <c r="H213" s="57"/>
    </row>
    <row r="214">
      <c r="H214" s="57"/>
    </row>
    <row r="215">
      <c r="H215" s="57"/>
    </row>
    <row r="216">
      <c r="H216" s="57"/>
    </row>
    <row r="217">
      <c r="H217" s="57"/>
    </row>
    <row r="218">
      <c r="H218" s="57"/>
    </row>
    <row r="219">
      <c r="H219" s="57"/>
    </row>
    <row r="220">
      <c r="H220" s="57"/>
    </row>
    <row r="221">
      <c r="H221" s="57"/>
    </row>
    <row r="222">
      <c r="H222" s="57"/>
    </row>
    <row r="223">
      <c r="H223" s="57"/>
    </row>
    <row r="224">
      <c r="H224" s="57"/>
    </row>
    <row r="225">
      <c r="H225" s="57"/>
    </row>
    <row r="226">
      <c r="H226" s="57"/>
    </row>
    <row r="227">
      <c r="H227" s="57"/>
    </row>
    <row r="228">
      <c r="H228" s="57"/>
    </row>
    <row r="229">
      <c r="H229" s="57"/>
    </row>
    <row r="230">
      <c r="H230" s="57"/>
    </row>
    <row r="231">
      <c r="H231" s="57"/>
    </row>
    <row r="232">
      <c r="H232" s="57"/>
    </row>
    <row r="233">
      <c r="H233" s="57"/>
    </row>
    <row r="234">
      <c r="H234" s="57"/>
    </row>
    <row r="235">
      <c r="H235" s="57"/>
    </row>
    <row r="236">
      <c r="H236" s="57"/>
    </row>
    <row r="237">
      <c r="H237" s="57"/>
    </row>
    <row r="238">
      <c r="H238" s="57"/>
    </row>
    <row r="239">
      <c r="H239" s="57"/>
    </row>
    <row r="240">
      <c r="H240" s="57"/>
    </row>
    <row r="241">
      <c r="H241" s="57"/>
    </row>
    <row r="242">
      <c r="H242" s="57"/>
    </row>
    <row r="243">
      <c r="H243" s="57"/>
    </row>
    <row r="244">
      <c r="H244" s="57"/>
    </row>
    <row r="245">
      <c r="H245" s="57"/>
    </row>
    <row r="246">
      <c r="H246" s="57"/>
    </row>
    <row r="247">
      <c r="H247" s="57"/>
    </row>
    <row r="248">
      <c r="H248" s="57"/>
    </row>
    <row r="249">
      <c r="H249" s="57"/>
    </row>
    <row r="250">
      <c r="H250" s="57"/>
    </row>
    <row r="251">
      <c r="H251" s="57"/>
    </row>
    <row r="252">
      <c r="H252" s="57"/>
    </row>
    <row r="253">
      <c r="H253" s="57"/>
    </row>
    <row r="254">
      <c r="H254" s="57"/>
    </row>
    <row r="255">
      <c r="H255" s="57"/>
    </row>
    <row r="256">
      <c r="H256" s="57"/>
    </row>
    <row r="257">
      <c r="H257" s="57"/>
    </row>
    <row r="258">
      <c r="H258" s="57"/>
    </row>
    <row r="259">
      <c r="H259" s="57"/>
    </row>
    <row r="260">
      <c r="H260" s="57"/>
    </row>
    <row r="261">
      <c r="H261" s="57"/>
    </row>
    <row r="262">
      <c r="H262" s="57"/>
    </row>
    <row r="263">
      <c r="H263" s="57"/>
    </row>
    <row r="264">
      <c r="H264" s="57"/>
    </row>
    <row r="265">
      <c r="H265" s="57"/>
    </row>
    <row r="266">
      <c r="H266" s="57"/>
    </row>
    <row r="267">
      <c r="H267" s="57"/>
    </row>
    <row r="268">
      <c r="H268" s="57"/>
    </row>
    <row r="269">
      <c r="H269" s="57"/>
    </row>
    <row r="270">
      <c r="H270" s="57"/>
    </row>
    <row r="271">
      <c r="H271" s="57"/>
    </row>
    <row r="272">
      <c r="H272" s="57"/>
    </row>
    <row r="273">
      <c r="H273" s="57"/>
    </row>
    <row r="274">
      <c r="H274" s="57"/>
    </row>
    <row r="275">
      <c r="H275" s="57"/>
    </row>
    <row r="276">
      <c r="H276" s="57"/>
    </row>
    <row r="277">
      <c r="H277" s="57"/>
    </row>
    <row r="278">
      <c r="H278" s="57"/>
    </row>
    <row r="279">
      <c r="H279" s="57"/>
    </row>
    <row r="280">
      <c r="H280" s="57"/>
    </row>
    <row r="281">
      <c r="H281" s="57"/>
    </row>
    <row r="282">
      <c r="H282" s="57"/>
    </row>
    <row r="283">
      <c r="H283" s="57"/>
    </row>
    <row r="284">
      <c r="H284" s="57"/>
    </row>
    <row r="285">
      <c r="H285" s="57"/>
    </row>
    <row r="286">
      <c r="H286" s="57"/>
    </row>
    <row r="287">
      <c r="H287" s="57"/>
    </row>
    <row r="288">
      <c r="H288" s="57"/>
    </row>
    <row r="289">
      <c r="H289" s="57"/>
    </row>
    <row r="290">
      <c r="H290" s="57"/>
    </row>
    <row r="291">
      <c r="H291" s="57"/>
    </row>
    <row r="292">
      <c r="H292" s="57"/>
    </row>
    <row r="293">
      <c r="H293" s="57"/>
    </row>
    <row r="294">
      <c r="H294" s="57"/>
    </row>
    <row r="295">
      <c r="H295" s="57"/>
    </row>
    <row r="296">
      <c r="H296" s="57"/>
    </row>
    <row r="297">
      <c r="H297" s="57"/>
    </row>
    <row r="298">
      <c r="H298" s="57"/>
    </row>
    <row r="299">
      <c r="H299" s="57"/>
    </row>
    <row r="300">
      <c r="H300" s="57"/>
    </row>
    <row r="301">
      <c r="H301" s="57"/>
    </row>
    <row r="302">
      <c r="H302" s="57"/>
    </row>
    <row r="303">
      <c r="H303" s="57"/>
    </row>
    <row r="304">
      <c r="H304" s="57"/>
    </row>
    <row r="305">
      <c r="H305" s="57"/>
    </row>
    <row r="306">
      <c r="H306" s="57"/>
    </row>
    <row r="307">
      <c r="H307" s="57"/>
    </row>
    <row r="308">
      <c r="H308" s="57"/>
    </row>
    <row r="309">
      <c r="H309" s="57"/>
    </row>
    <row r="310">
      <c r="H310" s="57"/>
    </row>
    <row r="311">
      <c r="H311" s="57"/>
    </row>
    <row r="312">
      <c r="H312" s="57"/>
    </row>
    <row r="313">
      <c r="H313" s="57"/>
    </row>
    <row r="314">
      <c r="H314" s="57"/>
    </row>
    <row r="315">
      <c r="H315" s="57"/>
    </row>
    <row r="316">
      <c r="H316" s="57"/>
    </row>
    <row r="317">
      <c r="H317" s="57"/>
    </row>
    <row r="318">
      <c r="H318" s="57"/>
    </row>
    <row r="319">
      <c r="H319" s="57"/>
    </row>
    <row r="320">
      <c r="H320" s="57"/>
    </row>
    <row r="321">
      <c r="H321" s="57"/>
    </row>
    <row r="322">
      <c r="H322" s="57"/>
    </row>
    <row r="323">
      <c r="H323" s="57"/>
    </row>
    <row r="324">
      <c r="H324" s="57"/>
    </row>
    <row r="325">
      <c r="H325" s="57"/>
    </row>
    <row r="326">
      <c r="H326" s="57"/>
    </row>
    <row r="327">
      <c r="H327" s="57"/>
    </row>
    <row r="328">
      <c r="H328" s="57"/>
    </row>
    <row r="329">
      <c r="H329" s="57"/>
    </row>
    <row r="330">
      <c r="H330" s="57"/>
    </row>
    <row r="331">
      <c r="H331" s="57"/>
    </row>
    <row r="332">
      <c r="H332" s="57"/>
    </row>
    <row r="333">
      <c r="H333" s="57"/>
    </row>
    <row r="334">
      <c r="H334" s="57"/>
    </row>
    <row r="335">
      <c r="H335" s="57"/>
    </row>
    <row r="336">
      <c r="H336" s="57"/>
    </row>
    <row r="337">
      <c r="H337" s="57"/>
    </row>
    <row r="338">
      <c r="H338" s="57"/>
    </row>
    <row r="339">
      <c r="H339" s="57"/>
    </row>
    <row r="340">
      <c r="H340" s="57"/>
    </row>
    <row r="341">
      <c r="H341" s="57"/>
    </row>
    <row r="342">
      <c r="H342" s="57"/>
    </row>
    <row r="343">
      <c r="H343" s="57"/>
    </row>
    <row r="344">
      <c r="H344" s="57"/>
    </row>
    <row r="345">
      <c r="H345" s="57"/>
    </row>
    <row r="346">
      <c r="H346" s="57"/>
    </row>
    <row r="347">
      <c r="H347" s="57"/>
    </row>
    <row r="348">
      <c r="H348" s="57"/>
    </row>
    <row r="349">
      <c r="H349" s="57"/>
    </row>
    <row r="350">
      <c r="H350" s="57"/>
    </row>
    <row r="351">
      <c r="H351" s="57"/>
    </row>
    <row r="352">
      <c r="H352" s="57"/>
    </row>
    <row r="353">
      <c r="H353" s="57"/>
    </row>
    <row r="354">
      <c r="H354" s="57"/>
    </row>
    <row r="355">
      <c r="H355" s="57"/>
    </row>
    <row r="356">
      <c r="H356" s="57"/>
    </row>
    <row r="357">
      <c r="H357" s="57"/>
    </row>
    <row r="358">
      <c r="H358" s="57"/>
    </row>
    <row r="359">
      <c r="H359" s="57"/>
    </row>
    <row r="360">
      <c r="H360" s="57"/>
    </row>
    <row r="361">
      <c r="H361" s="57"/>
    </row>
    <row r="362">
      <c r="H362" s="57"/>
    </row>
    <row r="363">
      <c r="H363" s="57"/>
    </row>
    <row r="364">
      <c r="H364" s="57"/>
    </row>
    <row r="365">
      <c r="H365" s="57"/>
    </row>
    <row r="366">
      <c r="H366" s="57"/>
    </row>
    <row r="367">
      <c r="H367" s="57"/>
    </row>
    <row r="368">
      <c r="H368" s="57"/>
    </row>
    <row r="369">
      <c r="H369" s="57"/>
    </row>
    <row r="370">
      <c r="H370" s="57"/>
    </row>
    <row r="371">
      <c r="H371" s="57"/>
    </row>
    <row r="372">
      <c r="H372" s="57"/>
    </row>
    <row r="373">
      <c r="H373" s="57"/>
    </row>
    <row r="374">
      <c r="H374" s="57"/>
    </row>
    <row r="375">
      <c r="H375" s="57"/>
    </row>
    <row r="376">
      <c r="H376" s="57"/>
    </row>
    <row r="377">
      <c r="H377" s="57"/>
    </row>
    <row r="378">
      <c r="H378" s="57"/>
    </row>
    <row r="379">
      <c r="H379" s="57"/>
    </row>
    <row r="380">
      <c r="H380" s="57"/>
    </row>
    <row r="381">
      <c r="H381" s="57"/>
    </row>
    <row r="382">
      <c r="H382" s="57"/>
    </row>
    <row r="383">
      <c r="H383" s="57"/>
    </row>
    <row r="384">
      <c r="H384" s="57"/>
    </row>
    <row r="385">
      <c r="H385" s="57"/>
    </row>
    <row r="386">
      <c r="H386" s="57"/>
    </row>
    <row r="387">
      <c r="H387" s="57"/>
    </row>
    <row r="388">
      <c r="H388" s="57"/>
    </row>
    <row r="389">
      <c r="H389" s="57"/>
    </row>
    <row r="390">
      <c r="H390" s="57"/>
    </row>
    <row r="391">
      <c r="H391" s="57"/>
    </row>
    <row r="392">
      <c r="H392" s="57"/>
    </row>
    <row r="393">
      <c r="H393" s="57"/>
    </row>
    <row r="394">
      <c r="H394" s="57"/>
    </row>
    <row r="395">
      <c r="H395" s="57"/>
    </row>
    <row r="396">
      <c r="H396" s="57"/>
    </row>
    <row r="397">
      <c r="H397" s="57"/>
    </row>
    <row r="398">
      <c r="H398" s="57"/>
    </row>
    <row r="399">
      <c r="H399" s="57"/>
    </row>
    <row r="400">
      <c r="H400" s="57"/>
    </row>
    <row r="401">
      <c r="H401" s="57"/>
    </row>
    <row r="402">
      <c r="H402" s="57"/>
    </row>
    <row r="403">
      <c r="H403" s="57"/>
    </row>
    <row r="404">
      <c r="H404" s="57"/>
    </row>
    <row r="405">
      <c r="H405" s="57"/>
    </row>
    <row r="406">
      <c r="H406" s="57"/>
    </row>
    <row r="407">
      <c r="H407" s="57"/>
    </row>
    <row r="408">
      <c r="H408" s="57"/>
    </row>
    <row r="409">
      <c r="H409" s="57"/>
    </row>
    <row r="410">
      <c r="H410" s="57"/>
    </row>
    <row r="411">
      <c r="H411" s="57"/>
    </row>
    <row r="412">
      <c r="H412" s="57"/>
    </row>
    <row r="413">
      <c r="H413" s="57"/>
    </row>
    <row r="414">
      <c r="H414" s="57"/>
    </row>
    <row r="415">
      <c r="H415" s="57"/>
    </row>
    <row r="416">
      <c r="H416" s="57"/>
    </row>
    <row r="417">
      <c r="H417" s="57"/>
    </row>
    <row r="418">
      <c r="H418" s="57"/>
    </row>
    <row r="419">
      <c r="H419" s="57"/>
    </row>
    <row r="420">
      <c r="H420" s="57"/>
    </row>
    <row r="421">
      <c r="H421" s="57"/>
    </row>
    <row r="422">
      <c r="H422" s="57"/>
    </row>
    <row r="423">
      <c r="H423" s="57"/>
    </row>
    <row r="424">
      <c r="H424" s="57"/>
    </row>
    <row r="425">
      <c r="H425" s="57"/>
    </row>
    <row r="426">
      <c r="H426" s="57"/>
    </row>
    <row r="427">
      <c r="H427" s="57"/>
    </row>
    <row r="428">
      <c r="H428" s="57"/>
    </row>
    <row r="429">
      <c r="H429" s="57"/>
    </row>
    <row r="430">
      <c r="H430" s="57"/>
    </row>
    <row r="431">
      <c r="H431" s="57"/>
    </row>
    <row r="432">
      <c r="H432" s="57"/>
    </row>
    <row r="433">
      <c r="H433" s="57"/>
    </row>
    <row r="434">
      <c r="H434" s="57"/>
    </row>
    <row r="435">
      <c r="H435" s="57"/>
    </row>
    <row r="436">
      <c r="H436" s="57"/>
    </row>
    <row r="437">
      <c r="H437" s="57"/>
    </row>
    <row r="438">
      <c r="H438" s="57"/>
    </row>
    <row r="439">
      <c r="H439" s="57"/>
    </row>
    <row r="440">
      <c r="H440" s="57"/>
    </row>
    <row r="441">
      <c r="H441" s="57"/>
    </row>
    <row r="442">
      <c r="H442" s="57"/>
    </row>
    <row r="443">
      <c r="H443" s="57"/>
    </row>
    <row r="444">
      <c r="H444" s="57"/>
    </row>
    <row r="445">
      <c r="H445" s="57"/>
    </row>
    <row r="446">
      <c r="H446" s="57"/>
    </row>
    <row r="447">
      <c r="H447" s="57"/>
    </row>
    <row r="448">
      <c r="H448" s="57"/>
    </row>
    <row r="449">
      <c r="H449" s="57"/>
    </row>
    <row r="450">
      <c r="H450" s="57"/>
    </row>
    <row r="451">
      <c r="H451" s="57"/>
    </row>
    <row r="452">
      <c r="H452" s="57"/>
    </row>
    <row r="453">
      <c r="H453" s="57"/>
    </row>
    <row r="454">
      <c r="H454" s="57"/>
    </row>
    <row r="455">
      <c r="H455" s="57"/>
    </row>
    <row r="456">
      <c r="H456" s="57"/>
    </row>
    <row r="457">
      <c r="H457" s="57"/>
    </row>
    <row r="458">
      <c r="H458" s="57"/>
    </row>
    <row r="459">
      <c r="H459" s="57"/>
    </row>
    <row r="460">
      <c r="H460" s="57"/>
    </row>
    <row r="461">
      <c r="H461" s="57"/>
    </row>
    <row r="462">
      <c r="H462" s="57"/>
    </row>
    <row r="463">
      <c r="H463" s="57"/>
    </row>
    <row r="464">
      <c r="H464" s="57"/>
    </row>
    <row r="465">
      <c r="H465" s="57"/>
    </row>
    <row r="466">
      <c r="H466" s="57"/>
    </row>
    <row r="467">
      <c r="H467" s="57"/>
    </row>
    <row r="468">
      <c r="H468" s="57"/>
    </row>
    <row r="469">
      <c r="H469" s="57"/>
    </row>
    <row r="470">
      <c r="H470" s="57"/>
    </row>
    <row r="471">
      <c r="H471" s="57"/>
    </row>
    <row r="472">
      <c r="H472" s="57"/>
    </row>
    <row r="473">
      <c r="H473" s="57"/>
    </row>
    <row r="474">
      <c r="H474" s="57"/>
    </row>
    <row r="475">
      <c r="H475" s="57"/>
    </row>
    <row r="476">
      <c r="H476" s="57"/>
    </row>
    <row r="477">
      <c r="H477" s="57"/>
    </row>
    <row r="478">
      <c r="H478" s="57"/>
    </row>
    <row r="479">
      <c r="H479" s="57"/>
    </row>
    <row r="480">
      <c r="H480" s="57"/>
    </row>
    <row r="481">
      <c r="H481" s="57"/>
    </row>
    <row r="482">
      <c r="H482" s="57"/>
    </row>
    <row r="483">
      <c r="H483" s="57"/>
    </row>
    <row r="484">
      <c r="H484" s="57"/>
    </row>
    <row r="485">
      <c r="H485" s="57"/>
    </row>
    <row r="486">
      <c r="H486" s="57"/>
    </row>
    <row r="487">
      <c r="H487" s="57"/>
    </row>
    <row r="488">
      <c r="H488" s="57"/>
    </row>
    <row r="489">
      <c r="H489" s="57"/>
    </row>
    <row r="490">
      <c r="H490" s="57"/>
    </row>
    <row r="491">
      <c r="H491" s="57"/>
    </row>
    <row r="492">
      <c r="H492" s="57"/>
    </row>
    <row r="493">
      <c r="H493" s="57"/>
    </row>
    <row r="494">
      <c r="H494" s="57"/>
    </row>
    <row r="495">
      <c r="H495" s="57"/>
    </row>
    <row r="496">
      <c r="H496" s="57"/>
    </row>
    <row r="497">
      <c r="H497" s="57"/>
    </row>
    <row r="498">
      <c r="H498" s="57"/>
    </row>
    <row r="499">
      <c r="H499" s="57"/>
    </row>
    <row r="500">
      <c r="H500" s="57"/>
    </row>
    <row r="501">
      <c r="H501" s="57"/>
    </row>
    <row r="502">
      <c r="H502" s="57"/>
    </row>
    <row r="503">
      <c r="H503" s="57"/>
    </row>
    <row r="504">
      <c r="H504" s="57"/>
    </row>
    <row r="505">
      <c r="H505" s="57"/>
    </row>
    <row r="506">
      <c r="H506" s="57"/>
    </row>
    <row r="507">
      <c r="H507" s="57"/>
    </row>
    <row r="508">
      <c r="H508" s="57"/>
    </row>
    <row r="509">
      <c r="H509" s="57"/>
    </row>
    <row r="510">
      <c r="H510" s="57"/>
    </row>
    <row r="511">
      <c r="H511" s="57"/>
    </row>
    <row r="512">
      <c r="H512" s="57"/>
    </row>
    <row r="513">
      <c r="H513" s="57"/>
    </row>
    <row r="514">
      <c r="H514" s="57"/>
    </row>
    <row r="515">
      <c r="H515" s="57"/>
    </row>
    <row r="516">
      <c r="H516" s="57"/>
    </row>
    <row r="517">
      <c r="H517" s="57"/>
    </row>
    <row r="518">
      <c r="H518" s="57"/>
    </row>
    <row r="519">
      <c r="H519" s="57"/>
    </row>
    <row r="520">
      <c r="H520" s="57"/>
    </row>
    <row r="521">
      <c r="H521" s="57"/>
    </row>
    <row r="522">
      <c r="H522" s="57"/>
    </row>
    <row r="523">
      <c r="H523" s="57"/>
    </row>
    <row r="524">
      <c r="H524" s="57"/>
    </row>
    <row r="525">
      <c r="H525" s="57"/>
    </row>
    <row r="526">
      <c r="H526" s="57"/>
    </row>
    <row r="527">
      <c r="H527" s="57"/>
    </row>
    <row r="528">
      <c r="H528" s="57"/>
    </row>
    <row r="529">
      <c r="H529" s="57"/>
    </row>
    <row r="530">
      <c r="H530" s="57"/>
    </row>
    <row r="531">
      <c r="H531" s="57"/>
    </row>
    <row r="532">
      <c r="H532" s="57"/>
    </row>
    <row r="533">
      <c r="H533" s="57"/>
    </row>
    <row r="534">
      <c r="H534" s="57"/>
    </row>
    <row r="535">
      <c r="H535" s="57"/>
    </row>
    <row r="536">
      <c r="H536" s="57"/>
    </row>
    <row r="537">
      <c r="H537" s="57"/>
    </row>
    <row r="538">
      <c r="H538" s="57"/>
    </row>
    <row r="539">
      <c r="H539" s="57"/>
    </row>
    <row r="540">
      <c r="H540" s="57"/>
    </row>
    <row r="541">
      <c r="H541" s="57"/>
    </row>
    <row r="542">
      <c r="H542" s="57"/>
    </row>
    <row r="543">
      <c r="H543" s="57"/>
    </row>
    <row r="544">
      <c r="H544" s="57"/>
    </row>
    <row r="545">
      <c r="H545" s="57"/>
    </row>
    <row r="546">
      <c r="H546" s="57"/>
    </row>
    <row r="547">
      <c r="H547" s="57"/>
    </row>
    <row r="548">
      <c r="H548" s="57"/>
    </row>
    <row r="549">
      <c r="H549" s="57"/>
    </row>
    <row r="550">
      <c r="H550" s="57"/>
    </row>
    <row r="551">
      <c r="H551" s="57"/>
    </row>
    <row r="552">
      <c r="H552" s="57"/>
    </row>
    <row r="553">
      <c r="H553" s="57"/>
    </row>
    <row r="554">
      <c r="H554" s="57"/>
    </row>
    <row r="555">
      <c r="H555" s="57"/>
    </row>
    <row r="556">
      <c r="H556" s="57"/>
    </row>
    <row r="557">
      <c r="H557" s="57"/>
    </row>
    <row r="558">
      <c r="H558" s="57"/>
    </row>
    <row r="559">
      <c r="H559" s="57"/>
    </row>
    <row r="560">
      <c r="H560" s="57"/>
    </row>
    <row r="561">
      <c r="H561" s="57"/>
    </row>
    <row r="562">
      <c r="H562" s="57"/>
    </row>
    <row r="563">
      <c r="H563" s="57"/>
    </row>
    <row r="564">
      <c r="H564" s="57"/>
    </row>
    <row r="565">
      <c r="H565" s="57"/>
    </row>
    <row r="566">
      <c r="H566" s="57"/>
    </row>
    <row r="567">
      <c r="H567" s="57"/>
    </row>
    <row r="568">
      <c r="H568" s="57"/>
    </row>
    <row r="569">
      <c r="H569" s="57"/>
    </row>
    <row r="570">
      <c r="H570" s="57"/>
    </row>
    <row r="571">
      <c r="H571" s="57"/>
    </row>
    <row r="572">
      <c r="H572" s="57"/>
    </row>
    <row r="573">
      <c r="H573" s="57"/>
    </row>
    <row r="574">
      <c r="H574" s="57"/>
    </row>
    <row r="575">
      <c r="H575" s="57"/>
    </row>
    <row r="576">
      <c r="H576" s="57"/>
    </row>
    <row r="577">
      <c r="H577" s="57"/>
    </row>
    <row r="578">
      <c r="H578" s="57"/>
    </row>
    <row r="579">
      <c r="H579" s="57"/>
    </row>
    <row r="580">
      <c r="H580" s="57"/>
    </row>
    <row r="581">
      <c r="H581" s="57"/>
    </row>
    <row r="582">
      <c r="H582" s="57"/>
    </row>
    <row r="583">
      <c r="H583" s="57"/>
    </row>
    <row r="584">
      <c r="H584" s="57"/>
    </row>
    <row r="585">
      <c r="H585" s="57"/>
    </row>
    <row r="586">
      <c r="H586" s="57"/>
    </row>
    <row r="587">
      <c r="H587" s="57"/>
    </row>
    <row r="588">
      <c r="H588" s="57"/>
    </row>
    <row r="589">
      <c r="H589" s="57"/>
    </row>
    <row r="590">
      <c r="H590" s="57"/>
    </row>
    <row r="591">
      <c r="H591" s="57"/>
    </row>
    <row r="592">
      <c r="H592" s="57"/>
    </row>
    <row r="593">
      <c r="H593" s="57"/>
    </row>
    <row r="594">
      <c r="H594" s="57"/>
    </row>
    <row r="595">
      <c r="H595" s="57"/>
    </row>
    <row r="596">
      <c r="H596" s="57"/>
    </row>
    <row r="597">
      <c r="H597" s="57"/>
    </row>
    <row r="598">
      <c r="H598" s="57"/>
    </row>
    <row r="599">
      <c r="H599" s="57"/>
    </row>
    <row r="600">
      <c r="H600" s="57"/>
    </row>
    <row r="601">
      <c r="H601" s="57"/>
    </row>
    <row r="602">
      <c r="H602" s="57"/>
    </row>
    <row r="603">
      <c r="H603" s="57"/>
    </row>
    <row r="604">
      <c r="H604" s="57"/>
    </row>
    <row r="605">
      <c r="H605" s="57"/>
    </row>
    <row r="606">
      <c r="H606" s="57"/>
    </row>
    <row r="607">
      <c r="H607" s="57"/>
    </row>
    <row r="608">
      <c r="H608" s="57"/>
    </row>
    <row r="609">
      <c r="H609" s="57"/>
    </row>
    <row r="610">
      <c r="H610" s="57"/>
    </row>
    <row r="611">
      <c r="H611" s="57"/>
    </row>
    <row r="612">
      <c r="H612" s="57"/>
    </row>
    <row r="613">
      <c r="H613" s="57"/>
    </row>
    <row r="614">
      <c r="H614" s="57"/>
    </row>
    <row r="615">
      <c r="H615" s="57"/>
    </row>
    <row r="616">
      <c r="H616" s="57"/>
    </row>
    <row r="617">
      <c r="H617" s="57"/>
    </row>
    <row r="618">
      <c r="H618" s="57"/>
    </row>
    <row r="619">
      <c r="H619" s="57"/>
    </row>
    <row r="620">
      <c r="H620" s="57"/>
    </row>
    <row r="621">
      <c r="H621" s="57"/>
    </row>
    <row r="622">
      <c r="H622" s="57"/>
    </row>
    <row r="623">
      <c r="H623" s="57"/>
    </row>
    <row r="624">
      <c r="H624" s="57"/>
    </row>
    <row r="625">
      <c r="H625" s="57"/>
    </row>
    <row r="626">
      <c r="H626" s="57"/>
    </row>
    <row r="627">
      <c r="H627" s="57"/>
    </row>
    <row r="628">
      <c r="H628" s="57"/>
    </row>
    <row r="629">
      <c r="H629" s="57"/>
    </row>
    <row r="630">
      <c r="H630" s="57"/>
    </row>
    <row r="631">
      <c r="H631" s="57"/>
    </row>
    <row r="632">
      <c r="H632" s="57"/>
    </row>
    <row r="633">
      <c r="H633" s="57"/>
    </row>
    <row r="634">
      <c r="H634" s="57"/>
    </row>
    <row r="635">
      <c r="H635" s="57"/>
    </row>
    <row r="636">
      <c r="H636" s="57"/>
    </row>
    <row r="637">
      <c r="H637" s="57"/>
    </row>
    <row r="638">
      <c r="H638" s="57"/>
    </row>
    <row r="639">
      <c r="H639" s="57"/>
    </row>
    <row r="640">
      <c r="H640" s="57"/>
    </row>
    <row r="641">
      <c r="H641" s="57"/>
    </row>
    <row r="642">
      <c r="H642" s="57"/>
    </row>
    <row r="643">
      <c r="H643" s="57"/>
    </row>
    <row r="644">
      <c r="H644" s="57"/>
    </row>
    <row r="645">
      <c r="H645" s="57"/>
    </row>
    <row r="646">
      <c r="H646" s="57"/>
    </row>
    <row r="647">
      <c r="H647" s="57"/>
    </row>
    <row r="648">
      <c r="H648" s="57"/>
    </row>
    <row r="649">
      <c r="H649" s="57"/>
    </row>
    <row r="650">
      <c r="H650" s="57"/>
    </row>
    <row r="651">
      <c r="H651" s="57"/>
    </row>
    <row r="652">
      <c r="H652" s="57"/>
    </row>
    <row r="653">
      <c r="H653" s="57"/>
    </row>
    <row r="654">
      <c r="H654" s="57"/>
    </row>
    <row r="655">
      <c r="H655" s="57"/>
    </row>
    <row r="656">
      <c r="H656" s="57"/>
    </row>
    <row r="657">
      <c r="H657" s="57"/>
    </row>
    <row r="658">
      <c r="H658" s="57"/>
    </row>
    <row r="659">
      <c r="H659" s="57"/>
    </row>
    <row r="660">
      <c r="H660" s="57"/>
    </row>
    <row r="661">
      <c r="H661" s="57"/>
    </row>
    <row r="662">
      <c r="H662" s="57"/>
    </row>
    <row r="663">
      <c r="H663" s="57"/>
    </row>
    <row r="664">
      <c r="H664" s="57"/>
    </row>
    <row r="665">
      <c r="H665" s="57"/>
    </row>
    <row r="666">
      <c r="H666" s="57"/>
    </row>
    <row r="667">
      <c r="H667" s="57"/>
    </row>
    <row r="668">
      <c r="H668" s="57"/>
    </row>
    <row r="669">
      <c r="H669" s="57"/>
    </row>
    <row r="670">
      <c r="H670" s="57"/>
    </row>
    <row r="671">
      <c r="H671" s="57"/>
    </row>
    <row r="672">
      <c r="H672" s="57"/>
    </row>
    <row r="673">
      <c r="H673" s="57"/>
    </row>
    <row r="674">
      <c r="H674" s="57"/>
    </row>
    <row r="675">
      <c r="H675" s="57"/>
    </row>
    <row r="676">
      <c r="H676" s="57"/>
    </row>
    <row r="677">
      <c r="H677" s="57"/>
    </row>
    <row r="678">
      <c r="H678" s="57"/>
    </row>
    <row r="679">
      <c r="H679" s="57"/>
    </row>
    <row r="680">
      <c r="H680" s="57"/>
    </row>
    <row r="681">
      <c r="H681" s="57"/>
    </row>
    <row r="682">
      <c r="H682" s="57"/>
    </row>
    <row r="683">
      <c r="H683" s="57"/>
    </row>
    <row r="684">
      <c r="H684" s="57"/>
    </row>
    <row r="685">
      <c r="H685" s="57"/>
    </row>
    <row r="686">
      <c r="H686" s="57"/>
    </row>
    <row r="687">
      <c r="H687" s="57"/>
    </row>
    <row r="688">
      <c r="H688" s="57"/>
    </row>
    <row r="689">
      <c r="H689" s="57"/>
    </row>
    <row r="690">
      <c r="H690" s="57"/>
    </row>
    <row r="691">
      <c r="H691" s="57"/>
    </row>
    <row r="692">
      <c r="H692" s="57"/>
    </row>
    <row r="693">
      <c r="H693" s="57"/>
    </row>
    <row r="694">
      <c r="H694" s="57"/>
    </row>
    <row r="695">
      <c r="H695" s="57"/>
    </row>
    <row r="696">
      <c r="H696" s="57"/>
    </row>
    <row r="697">
      <c r="H697" s="57"/>
    </row>
    <row r="698">
      <c r="H698" s="57"/>
    </row>
    <row r="699">
      <c r="H699" s="57"/>
    </row>
    <row r="700">
      <c r="H700" s="57"/>
    </row>
    <row r="701">
      <c r="H701" s="57"/>
    </row>
    <row r="702">
      <c r="H702" s="57"/>
    </row>
    <row r="703">
      <c r="H703" s="57"/>
    </row>
    <row r="704">
      <c r="H704" s="57"/>
    </row>
    <row r="705">
      <c r="H705" s="57"/>
    </row>
    <row r="706">
      <c r="H706" s="57"/>
    </row>
    <row r="707">
      <c r="H707" s="57"/>
    </row>
    <row r="708">
      <c r="H708" s="57"/>
    </row>
    <row r="709">
      <c r="H709" s="57"/>
    </row>
    <row r="710">
      <c r="H710" s="57"/>
    </row>
    <row r="711">
      <c r="H711" s="57"/>
    </row>
    <row r="712">
      <c r="H712" s="57"/>
    </row>
    <row r="713">
      <c r="H713" s="57"/>
    </row>
    <row r="714">
      <c r="H714" s="57"/>
    </row>
    <row r="715">
      <c r="H715" s="57"/>
    </row>
    <row r="716">
      <c r="H716" s="57"/>
    </row>
    <row r="717">
      <c r="H717" s="57"/>
    </row>
    <row r="718">
      <c r="H718" s="57"/>
    </row>
    <row r="719">
      <c r="H719" s="57"/>
    </row>
    <row r="720">
      <c r="H720" s="57"/>
    </row>
    <row r="721">
      <c r="H721" s="57"/>
    </row>
    <row r="722">
      <c r="H722" s="57"/>
    </row>
    <row r="723">
      <c r="H723" s="57"/>
    </row>
    <row r="724">
      <c r="H724" s="57"/>
    </row>
    <row r="725">
      <c r="H725" s="57"/>
    </row>
    <row r="726">
      <c r="H726" s="57"/>
    </row>
    <row r="727">
      <c r="H727" s="57"/>
    </row>
    <row r="728">
      <c r="H728" s="57"/>
    </row>
    <row r="729">
      <c r="H729" s="57"/>
    </row>
    <row r="730">
      <c r="H730" s="57"/>
    </row>
    <row r="731">
      <c r="H731" s="57"/>
    </row>
    <row r="732">
      <c r="H732" s="57"/>
    </row>
    <row r="733">
      <c r="H733" s="57"/>
    </row>
    <row r="734">
      <c r="H734" s="57"/>
    </row>
    <row r="735">
      <c r="H735" s="57"/>
    </row>
    <row r="736">
      <c r="H736" s="57"/>
    </row>
    <row r="737">
      <c r="H737" s="57"/>
    </row>
    <row r="738">
      <c r="H738" s="57"/>
    </row>
    <row r="739">
      <c r="H739" s="57"/>
    </row>
    <row r="740">
      <c r="H740" s="57"/>
    </row>
    <row r="741">
      <c r="H741" s="57"/>
    </row>
    <row r="742">
      <c r="H742" s="57"/>
    </row>
    <row r="743">
      <c r="H743" s="57"/>
    </row>
    <row r="744">
      <c r="H744" s="57"/>
    </row>
    <row r="745">
      <c r="H745" s="57"/>
    </row>
    <row r="746">
      <c r="H746" s="57"/>
    </row>
    <row r="747">
      <c r="H747" s="57"/>
    </row>
    <row r="748">
      <c r="H748" s="57"/>
    </row>
    <row r="749">
      <c r="H749" s="57"/>
    </row>
    <row r="750">
      <c r="H750" s="57"/>
    </row>
    <row r="751">
      <c r="H751" s="57"/>
    </row>
    <row r="752">
      <c r="H752" s="57"/>
    </row>
    <row r="753">
      <c r="H753" s="57"/>
    </row>
    <row r="754">
      <c r="H754" s="57"/>
    </row>
    <row r="755">
      <c r="H755" s="57"/>
    </row>
    <row r="756">
      <c r="H756" s="57"/>
    </row>
    <row r="757">
      <c r="H757" s="57"/>
    </row>
    <row r="758">
      <c r="H758" s="57"/>
    </row>
    <row r="759">
      <c r="H759" s="57"/>
    </row>
    <row r="760">
      <c r="H760" s="57"/>
    </row>
    <row r="761">
      <c r="H761" s="57"/>
    </row>
    <row r="762">
      <c r="H762" s="57"/>
    </row>
    <row r="763">
      <c r="H763" s="57"/>
    </row>
    <row r="764">
      <c r="H764" s="57"/>
    </row>
    <row r="765">
      <c r="H765" s="57"/>
    </row>
    <row r="766">
      <c r="H766" s="57"/>
    </row>
    <row r="767">
      <c r="H767" s="57"/>
    </row>
    <row r="768">
      <c r="H768" s="57"/>
    </row>
    <row r="769">
      <c r="H769" s="57"/>
    </row>
    <row r="770">
      <c r="H770" s="57"/>
    </row>
    <row r="771">
      <c r="H771" s="57"/>
    </row>
    <row r="772">
      <c r="H772" s="57"/>
    </row>
    <row r="773">
      <c r="H773" s="57"/>
    </row>
    <row r="774">
      <c r="H774" s="57"/>
    </row>
    <row r="775">
      <c r="H775" s="57"/>
    </row>
    <row r="776">
      <c r="H776" s="57"/>
    </row>
    <row r="777">
      <c r="H777" s="57"/>
    </row>
    <row r="778">
      <c r="H778" s="57"/>
    </row>
    <row r="779">
      <c r="H779" s="57"/>
    </row>
    <row r="780">
      <c r="H780" s="57"/>
    </row>
    <row r="781">
      <c r="H781" s="57"/>
    </row>
    <row r="782">
      <c r="H782" s="57"/>
    </row>
    <row r="783">
      <c r="H783" s="57"/>
    </row>
    <row r="784">
      <c r="H784" s="57"/>
    </row>
    <row r="785">
      <c r="H785" s="57"/>
    </row>
    <row r="786">
      <c r="H786" s="57"/>
    </row>
    <row r="787">
      <c r="H787" s="57"/>
    </row>
    <row r="788">
      <c r="H788" s="57"/>
    </row>
    <row r="789">
      <c r="H789" s="57"/>
    </row>
    <row r="790">
      <c r="H790" s="57"/>
    </row>
    <row r="791">
      <c r="H791" s="57"/>
    </row>
    <row r="792">
      <c r="H792" s="57"/>
    </row>
    <row r="793">
      <c r="H793" s="57"/>
    </row>
    <row r="794">
      <c r="H794" s="57"/>
    </row>
    <row r="795">
      <c r="H795" s="57"/>
    </row>
    <row r="796">
      <c r="H796" s="57"/>
    </row>
    <row r="797">
      <c r="H797" s="57"/>
    </row>
    <row r="798">
      <c r="H798" s="57"/>
    </row>
    <row r="799">
      <c r="H799" s="57"/>
    </row>
    <row r="800">
      <c r="H800" s="57"/>
    </row>
    <row r="801">
      <c r="H801" s="57"/>
    </row>
    <row r="802">
      <c r="H802" s="57"/>
    </row>
    <row r="803">
      <c r="H803" s="57"/>
    </row>
    <row r="804">
      <c r="H804" s="57"/>
    </row>
    <row r="805">
      <c r="H805" s="57"/>
    </row>
    <row r="806">
      <c r="H806" s="57"/>
    </row>
    <row r="807">
      <c r="H807" s="57"/>
    </row>
    <row r="808">
      <c r="H808" s="57"/>
    </row>
    <row r="809">
      <c r="H809" s="57"/>
    </row>
    <row r="810">
      <c r="H810" s="57"/>
    </row>
    <row r="811">
      <c r="H811" s="57"/>
    </row>
    <row r="812">
      <c r="H812" s="57"/>
    </row>
    <row r="813">
      <c r="H813" s="57"/>
    </row>
    <row r="814">
      <c r="H814" s="57"/>
    </row>
    <row r="815">
      <c r="H815" s="57"/>
    </row>
    <row r="816">
      <c r="H816" s="57"/>
    </row>
    <row r="817">
      <c r="H817" s="57"/>
    </row>
    <row r="818">
      <c r="H818" s="57"/>
    </row>
    <row r="819">
      <c r="H819" s="57"/>
    </row>
    <row r="820">
      <c r="H820" s="57"/>
    </row>
    <row r="821">
      <c r="H821" s="57"/>
    </row>
    <row r="822">
      <c r="H822" s="57"/>
    </row>
    <row r="823">
      <c r="H823" s="57"/>
    </row>
    <row r="824">
      <c r="H824" s="57"/>
    </row>
    <row r="825">
      <c r="H825" s="57"/>
    </row>
    <row r="826">
      <c r="H826" s="57"/>
    </row>
    <row r="827">
      <c r="H827" s="57"/>
    </row>
    <row r="828">
      <c r="H828" s="57"/>
    </row>
    <row r="829">
      <c r="H829" s="57"/>
    </row>
    <row r="830">
      <c r="H830" s="57"/>
    </row>
    <row r="831">
      <c r="H831" s="57"/>
    </row>
    <row r="832">
      <c r="H832" s="57"/>
    </row>
    <row r="833">
      <c r="H833" s="57"/>
    </row>
    <row r="834">
      <c r="H834" s="57"/>
    </row>
    <row r="835">
      <c r="H835" s="57"/>
    </row>
    <row r="836">
      <c r="H836" s="57"/>
    </row>
    <row r="837">
      <c r="H837" s="57"/>
    </row>
    <row r="838">
      <c r="H838" s="57"/>
    </row>
    <row r="839">
      <c r="H839" s="57"/>
    </row>
    <row r="840">
      <c r="H840" s="57"/>
    </row>
    <row r="841">
      <c r="H841" s="57"/>
    </row>
    <row r="842">
      <c r="H842" s="57"/>
    </row>
    <row r="843">
      <c r="H843" s="57"/>
    </row>
    <row r="844">
      <c r="H844" s="57"/>
    </row>
    <row r="845">
      <c r="H845" s="57"/>
    </row>
    <row r="846">
      <c r="H846" s="57"/>
    </row>
    <row r="847">
      <c r="H847" s="57"/>
    </row>
    <row r="848">
      <c r="H848" s="57"/>
    </row>
    <row r="849">
      <c r="H849" s="57"/>
    </row>
    <row r="850">
      <c r="H850" s="57"/>
    </row>
    <row r="851">
      <c r="H851" s="57"/>
    </row>
    <row r="852">
      <c r="H852" s="57"/>
    </row>
    <row r="853">
      <c r="H853" s="57"/>
    </row>
    <row r="854">
      <c r="H854" s="57"/>
    </row>
    <row r="855">
      <c r="H855" s="57"/>
    </row>
    <row r="856">
      <c r="H856" s="57"/>
    </row>
    <row r="857">
      <c r="H857" s="57"/>
    </row>
    <row r="858">
      <c r="H858" s="57"/>
    </row>
    <row r="859">
      <c r="H859" s="57"/>
    </row>
    <row r="860">
      <c r="H860" s="57"/>
    </row>
    <row r="861">
      <c r="H861" s="57"/>
    </row>
    <row r="862">
      <c r="H862" s="57"/>
    </row>
    <row r="863">
      <c r="H863" s="57"/>
    </row>
    <row r="864">
      <c r="H864" s="57"/>
    </row>
    <row r="865">
      <c r="H865" s="57"/>
    </row>
    <row r="866">
      <c r="H866" s="57"/>
    </row>
    <row r="867">
      <c r="H867" s="57"/>
    </row>
    <row r="868">
      <c r="H868" s="57"/>
    </row>
    <row r="869">
      <c r="H869" s="57"/>
    </row>
    <row r="870">
      <c r="H870" s="57"/>
    </row>
    <row r="871">
      <c r="H871" s="57"/>
    </row>
    <row r="872">
      <c r="H872" s="57"/>
    </row>
    <row r="873">
      <c r="H873" s="57"/>
    </row>
    <row r="874">
      <c r="H874" s="57"/>
    </row>
    <row r="875">
      <c r="H875" s="57"/>
    </row>
    <row r="876">
      <c r="H876" s="57"/>
    </row>
    <row r="877">
      <c r="H877" s="57"/>
    </row>
    <row r="878">
      <c r="H878" s="57"/>
    </row>
    <row r="879">
      <c r="H879" s="57"/>
    </row>
    <row r="880">
      <c r="H880" s="57"/>
    </row>
    <row r="881">
      <c r="H881" s="57"/>
    </row>
    <row r="882">
      <c r="H882" s="57"/>
    </row>
    <row r="883">
      <c r="H883" s="57"/>
    </row>
    <row r="884">
      <c r="H884" s="57"/>
    </row>
    <row r="885">
      <c r="H885" s="57"/>
    </row>
    <row r="886">
      <c r="H886" s="57"/>
    </row>
    <row r="887">
      <c r="H887" s="57"/>
    </row>
    <row r="888">
      <c r="H888" s="57"/>
    </row>
    <row r="889">
      <c r="H889" s="57"/>
    </row>
    <row r="890">
      <c r="H890" s="57"/>
    </row>
    <row r="891">
      <c r="H891" s="57"/>
    </row>
    <row r="892">
      <c r="H892" s="57"/>
    </row>
    <row r="893">
      <c r="H893" s="57"/>
    </row>
    <row r="894">
      <c r="H894" s="57"/>
    </row>
    <row r="895">
      <c r="H895" s="57"/>
    </row>
    <row r="896">
      <c r="H896" s="57"/>
    </row>
    <row r="897">
      <c r="H897" s="57"/>
    </row>
    <row r="898">
      <c r="H898" s="57"/>
    </row>
    <row r="899">
      <c r="H899" s="57"/>
    </row>
    <row r="900">
      <c r="H900" s="57"/>
    </row>
    <row r="901">
      <c r="H901" s="57"/>
    </row>
    <row r="902">
      <c r="H902" s="57"/>
    </row>
    <row r="903">
      <c r="H903" s="57"/>
    </row>
    <row r="904">
      <c r="H904" s="57"/>
    </row>
    <row r="905">
      <c r="H905" s="57"/>
    </row>
    <row r="906">
      <c r="H906" s="57"/>
    </row>
    <row r="907">
      <c r="H907" s="57"/>
    </row>
    <row r="908">
      <c r="H908" s="57"/>
    </row>
    <row r="909">
      <c r="H909" s="57"/>
    </row>
    <row r="910">
      <c r="H910" s="57"/>
    </row>
    <row r="911">
      <c r="H911" s="57"/>
    </row>
    <row r="912">
      <c r="H912" s="57"/>
    </row>
    <row r="913">
      <c r="H913" s="57"/>
    </row>
    <row r="914">
      <c r="H914" s="57"/>
    </row>
    <row r="915">
      <c r="H915" s="57"/>
    </row>
    <row r="916">
      <c r="H916" s="57"/>
    </row>
    <row r="917">
      <c r="H917" s="57"/>
    </row>
    <row r="918">
      <c r="H918" s="57"/>
    </row>
    <row r="919">
      <c r="H919" s="57"/>
    </row>
    <row r="920">
      <c r="H920" s="57"/>
    </row>
    <row r="921">
      <c r="H921" s="57"/>
    </row>
    <row r="922">
      <c r="H922" s="57"/>
    </row>
    <row r="923">
      <c r="H923" s="57"/>
    </row>
    <row r="924">
      <c r="H924" s="57"/>
    </row>
    <row r="925">
      <c r="H925" s="57"/>
    </row>
    <row r="926">
      <c r="H926" s="57"/>
    </row>
    <row r="927">
      <c r="H927" s="57"/>
    </row>
    <row r="928">
      <c r="H928" s="57"/>
    </row>
    <row r="929">
      <c r="H929" s="57"/>
    </row>
    <row r="930">
      <c r="H930" s="57"/>
    </row>
    <row r="931">
      <c r="H931" s="57"/>
    </row>
    <row r="932">
      <c r="H932" s="57"/>
    </row>
    <row r="933">
      <c r="H933" s="57"/>
    </row>
    <row r="934">
      <c r="H934" s="57"/>
    </row>
    <row r="935">
      <c r="H935" s="57"/>
    </row>
    <row r="936">
      <c r="H936" s="57"/>
    </row>
    <row r="937">
      <c r="H937" s="57"/>
    </row>
    <row r="938">
      <c r="H938" s="57"/>
    </row>
    <row r="939">
      <c r="H939" s="57"/>
    </row>
    <row r="940">
      <c r="H940" s="57"/>
    </row>
    <row r="941">
      <c r="H941" s="57"/>
    </row>
    <row r="942">
      <c r="H942" s="57"/>
    </row>
    <row r="943">
      <c r="H943" s="57"/>
    </row>
    <row r="944">
      <c r="H944" s="57"/>
    </row>
    <row r="945">
      <c r="H945" s="57"/>
    </row>
    <row r="946">
      <c r="H946" s="57"/>
    </row>
    <row r="947">
      <c r="H947" s="57"/>
    </row>
    <row r="948">
      <c r="H948" s="57"/>
    </row>
    <row r="949">
      <c r="H949" s="57"/>
    </row>
    <row r="950">
      <c r="H950" s="57"/>
    </row>
    <row r="951">
      <c r="H951" s="57"/>
    </row>
    <row r="952">
      <c r="H952" s="57"/>
    </row>
    <row r="953">
      <c r="H953" s="57"/>
    </row>
    <row r="954">
      <c r="H954" s="57"/>
    </row>
    <row r="955">
      <c r="H955" s="57"/>
    </row>
    <row r="956">
      <c r="H956" s="57"/>
    </row>
    <row r="957">
      <c r="H957" s="57"/>
    </row>
    <row r="958">
      <c r="H958" s="57"/>
    </row>
    <row r="959">
      <c r="H959" s="57"/>
    </row>
    <row r="960">
      <c r="H960" s="57"/>
    </row>
    <row r="961">
      <c r="H961" s="57"/>
    </row>
    <row r="962">
      <c r="H962" s="57"/>
    </row>
    <row r="963">
      <c r="H963" s="57"/>
    </row>
    <row r="964">
      <c r="H964" s="57"/>
    </row>
    <row r="965">
      <c r="H965" s="57"/>
    </row>
    <row r="966">
      <c r="H966" s="57"/>
    </row>
    <row r="967">
      <c r="H967" s="57"/>
    </row>
    <row r="968">
      <c r="H968" s="57"/>
    </row>
    <row r="969">
      <c r="H969" s="57"/>
    </row>
    <row r="970">
      <c r="H970" s="57"/>
    </row>
    <row r="971">
      <c r="H971" s="57"/>
    </row>
    <row r="972">
      <c r="H972" s="57"/>
    </row>
    <row r="973">
      <c r="H973" s="57"/>
    </row>
    <row r="974">
      <c r="H974" s="57"/>
    </row>
    <row r="975">
      <c r="H975" s="57"/>
    </row>
    <row r="976">
      <c r="H976" s="57"/>
    </row>
    <row r="977">
      <c r="H977" s="57"/>
    </row>
    <row r="978">
      <c r="H978" s="57"/>
    </row>
    <row r="979">
      <c r="H979" s="57"/>
    </row>
    <row r="980">
      <c r="H980" s="57"/>
    </row>
    <row r="981">
      <c r="H981" s="57"/>
    </row>
    <row r="982">
      <c r="H982" s="57"/>
    </row>
    <row r="983">
      <c r="H983" s="57"/>
    </row>
    <row r="984">
      <c r="H984" s="57"/>
    </row>
    <row r="985">
      <c r="H985" s="57"/>
    </row>
    <row r="986">
      <c r="H986" s="57"/>
    </row>
    <row r="987">
      <c r="H987" s="57"/>
    </row>
    <row r="988">
      <c r="H988" s="57"/>
    </row>
    <row r="989">
      <c r="H989" s="57"/>
    </row>
    <row r="990">
      <c r="H990" s="57"/>
    </row>
    <row r="991">
      <c r="H991" s="57"/>
    </row>
    <row r="992">
      <c r="H992" s="57"/>
    </row>
    <row r="993">
      <c r="H993" s="57"/>
    </row>
    <row r="994">
      <c r="H994" s="57"/>
    </row>
    <row r="995">
      <c r="H995" s="57"/>
    </row>
    <row r="996">
      <c r="H996" s="57"/>
    </row>
    <row r="997">
      <c r="H997" s="57"/>
    </row>
    <row r="998">
      <c r="H998" s="57"/>
    </row>
    <row r="999">
      <c r="H999" s="57"/>
    </row>
    <row r="1000">
      <c r="H1000" s="57"/>
    </row>
    <row r="1001">
      <c r="H1001" s="57"/>
    </row>
    <row r="1002">
      <c r="H1002" s="57"/>
    </row>
    <row r="1003">
      <c r="H1003" s="57"/>
    </row>
    <row r="1004">
      <c r="H1004" s="57"/>
    </row>
  </sheetData>
  <mergeCells count="2">
    <mergeCell ref="B2:F3"/>
    <mergeCell ref="J2:N3"/>
  </mergeCells>
  <drawing r:id="rId1"/>
</worksheet>
</file>