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u9984.MCS\Dropbox\Teaching\USYD Teaching\BUSS7902 S12023\Lecture notes\"/>
    </mc:Choice>
  </mc:AlternateContent>
  <xr:revisionPtr revIDLastSave="0" documentId="8_{BB07A681-DB08-4857-8C29-CFFD5F6845C5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Commission" sheetId="39" r:id="rId1"/>
    <sheet name="Leave" sheetId="40" r:id="rId2"/>
    <sheet name="11.12" sheetId="41" r:id="rId3"/>
    <sheet name="11.24" sheetId="42" r:id="rId4"/>
    <sheet name="11.33" sheetId="43" r:id="rId5"/>
    <sheet name="Store" sheetId="1" r:id="rId6"/>
    <sheet name="Desk 13-3" sheetId="3" r:id="rId7"/>
    <sheet name="Cereals" sheetId="27" r:id="rId8"/>
    <sheet name="Design I " sheetId="4" r:id="rId9"/>
    <sheet name="Design II" sheetId="5" r:id="rId10"/>
    <sheet name="13.56" sheetId="6" r:id="rId11"/>
    <sheet name="13.60" sheetId="3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43" l="1"/>
  <c r="C8" i="43"/>
  <c r="D7" i="43"/>
  <c r="C7" i="43"/>
  <c r="C12" i="43" s="1"/>
  <c r="I5" i="42"/>
  <c r="I7" i="42" s="1"/>
  <c r="I4" i="42"/>
  <c r="I9" i="42"/>
  <c r="C7" i="42"/>
  <c r="C6" i="42"/>
  <c r="C5" i="42"/>
  <c r="C4" i="42"/>
  <c r="C3" i="42"/>
  <c r="F9" i="42"/>
  <c r="F11" i="42" s="1"/>
  <c r="F7" i="42"/>
  <c r="G9" i="41"/>
  <c r="G11" i="41" s="1"/>
  <c r="G8" i="41"/>
  <c r="C12" i="41"/>
  <c r="C14" i="41" s="1"/>
  <c r="C10" i="41"/>
  <c r="C9" i="41"/>
  <c r="C8" i="41"/>
  <c r="C10" i="40"/>
  <c r="C8" i="40"/>
  <c r="C10" i="39"/>
  <c r="C8" i="39"/>
  <c r="F24" i="6"/>
  <c r="F22" i="6"/>
  <c r="F9" i="6"/>
  <c r="F7" i="6"/>
  <c r="F9" i="38"/>
  <c r="F7" i="38"/>
  <c r="D7" i="38"/>
  <c r="C7" i="38"/>
  <c r="C23" i="6"/>
  <c r="C24" i="6" s="1"/>
  <c r="D22" i="6"/>
  <c r="C22" i="6"/>
  <c r="C8" i="6"/>
  <c r="C9" i="6" s="1"/>
  <c r="D7" i="6"/>
  <c r="C7" i="6"/>
  <c r="N7" i="5"/>
  <c r="Q9" i="5" s="1"/>
  <c r="N6" i="5"/>
  <c r="J6" i="4"/>
  <c r="I6" i="4"/>
  <c r="E19" i="4"/>
  <c r="E17" i="4"/>
  <c r="J5" i="4"/>
  <c r="I5" i="4"/>
  <c r="L9" i="4"/>
  <c r="L7" i="4"/>
  <c r="J6" i="27"/>
  <c r="I6" i="27"/>
  <c r="I9" i="27" s="1"/>
  <c r="L9" i="3"/>
  <c r="L7" i="3"/>
  <c r="J6" i="3"/>
  <c r="I6" i="3"/>
  <c r="I9" i="3" s="1"/>
  <c r="L5" i="3" s="1"/>
  <c r="L6" i="3" s="1"/>
  <c r="L8" i="3" s="1"/>
  <c r="K7" i="1"/>
  <c r="J7" i="1"/>
  <c r="J8" i="1" s="1"/>
  <c r="K6" i="1"/>
  <c r="J6" i="1"/>
  <c r="K5" i="1"/>
  <c r="J5" i="1"/>
  <c r="M9" i="1"/>
  <c r="M7" i="1"/>
  <c r="C11" i="43" l="1"/>
  <c r="I11" i="42"/>
  <c r="I10" i="42"/>
  <c r="F10" i="42"/>
  <c r="G13" i="41"/>
  <c r="G12" i="41"/>
  <c r="C13" i="41"/>
  <c r="C12" i="40"/>
  <c r="C11" i="40"/>
  <c r="D15" i="39"/>
  <c r="C11" i="39"/>
  <c r="D14" i="39" s="1"/>
  <c r="C15" i="39"/>
  <c r="C12" i="39"/>
  <c r="C14" i="39" s="1"/>
  <c r="C8" i="38"/>
  <c r="F20" i="6"/>
  <c r="F21" i="6" s="1"/>
  <c r="F23" i="6" s="1"/>
  <c r="F5" i="6"/>
  <c r="F6" i="6" s="1"/>
  <c r="F8" i="6" s="1"/>
  <c r="Q7" i="5"/>
  <c r="N8" i="5"/>
  <c r="Q5" i="5" s="1"/>
  <c r="Q6" i="5" s="1"/>
  <c r="Q8" i="5" s="1"/>
  <c r="I9" i="4"/>
  <c r="L5" i="4" s="1"/>
  <c r="L6" i="4" s="1"/>
  <c r="L8" i="4" s="1"/>
  <c r="I8" i="4"/>
  <c r="L5" i="27"/>
  <c r="I8" i="27"/>
  <c r="I8" i="3"/>
  <c r="M5" i="1"/>
  <c r="M6" i="1" s="1"/>
  <c r="M8" i="1" s="1"/>
  <c r="F5" i="38" l="1"/>
  <c r="F6" i="38" s="1"/>
  <c r="F8" i="38" s="1"/>
  <c r="L9" i="27"/>
  <c r="L7" i="27"/>
  <c r="L6" i="27"/>
  <c r="L8" i="27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" i="5"/>
</calcChain>
</file>

<file path=xl/sharedStrings.xml><?xml version="1.0" encoding="utf-8"?>
<sst xmlns="http://schemas.openxmlformats.org/spreadsheetml/2006/main" count="309" uniqueCount="107">
  <si>
    <t>Mt Gravatt</t>
  </si>
  <si>
    <t>Logan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</si>
  <si>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</si>
  <si>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</si>
  <si>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</si>
  <si>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</si>
  <si>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</si>
  <si>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</si>
  <si>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</si>
  <si>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</si>
  <si>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</si>
  <si>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</si>
  <si>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Consumers</t>
  </si>
  <si>
    <t>Non-consumers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</si>
  <si>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</si>
  <si>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</si>
  <si>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</si>
  <si>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</si>
  <si>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</si>
  <si>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</si>
  <si>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</si>
  <si>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</si>
  <si>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</si>
  <si>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</si>
  <si>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</si>
  <si>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</si>
  <si>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</si>
  <si>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</si>
  <si>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</si>
  <si>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</si>
  <si>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</si>
  <si>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</si>
  <si>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</si>
  <si>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Design-A</t>
  </si>
  <si>
    <t>Design-B</t>
  </si>
  <si>
    <t>t-Test: Two-Sample Assuming Equal Variances</t>
  </si>
  <si>
    <t>Pooled Variance</t>
  </si>
  <si>
    <t>New-Design</t>
  </si>
  <si>
    <t>Existing-Design</t>
  </si>
  <si>
    <t>Car</t>
  </si>
  <si>
    <t>XD</t>
  </si>
  <si>
    <t>t-Test: Paired Two Sample for Means</t>
  </si>
  <si>
    <t>Pearson Correlation</t>
  </si>
  <si>
    <t>SSK-6</t>
  </si>
  <si>
    <t>SSK-7</t>
  </si>
  <si>
    <t>Logan City</t>
  </si>
  <si>
    <t>Ipswich</t>
  </si>
  <si>
    <t>t-Test: Two-Sample Assuming Unequal Variances</t>
  </si>
  <si>
    <t>Standard error</t>
  </si>
  <si>
    <r>
      <t xml:space="preserve">Level of signficance, </t>
    </r>
    <r>
      <rPr>
        <sz val="11"/>
        <rFont val="Symbol"/>
        <family val="1"/>
        <charset val="2"/>
      </rPr>
      <t>a</t>
    </r>
  </si>
  <si>
    <r>
      <t xml:space="preserve">Test statistic </t>
    </r>
    <r>
      <rPr>
        <i/>
        <sz val="11"/>
        <rFont val="Calibri"/>
        <family val="2"/>
        <scheme val="minor"/>
      </rPr>
      <t>z</t>
    </r>
  </si>
  <si>
    <r>
      <t xml:space="preserve">Statistical test for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Symbol"/>
        <family val="1"/>
        <charset val="2"/>
      </rPr>
      <t>1</t>
    </r>
    <r>
      <rPr>
        <b/>
        <sz val="11"/>
        <color rgb="FFFF0000"/>
        <rFont val="Symbol"/>
        <family val="1"/>
        <charset val="2"/>
      </rPr>
      <t xml:space="preserve"> - m</t>
    </r>
    <r>
      <rPr>
        <b/>
        <vertAlign val="subscript"/>
        <sz val="11"/>
        <color rgb="FFFF0000"/>
        <rFont val="Symbol"/>
        <family val="1"/>
        <charset val="2"/>
      </rPr>
      <t>2</t>
    </r>
    <r>
      <rPr>
        <b/>
        <sz val="11"/>
        <color rgb="FFFF0000"/>
        <rFont val="Symbol"/>
        <family val="1"/>
        <charset val="2"/>
      </rPr>
      <t xml:space="preserve"> = </t>
    </r>
    <r>
      <rPr>
        <b/>
        <sz val="11"/>
        <color rgb="FFFF0000"/>
        <rFont val="Calibri"/>
        <family val="2"/>
        <scheme val="minor"/>
      </rPr>
      <t>d</t>
    </r>
    <r>
      <rPr>
        <b/>
        <sz val="11"/>
        <color rgb="FFFF0000"/>
        <rFont val="Symbol"/>
        <family val="1"/>
        <charset val="2"/>
      </rPr>
      <t xml:space="preserve"> </t>
    </r>
    <r>
      <rPr>
        <b/>
        <sz val="11"/>
        <color rgb="FFFF0000"/>
        <rFont val="Calibri"/>
        <family val="2"/>
        <scheme val="minor"/>
      </rPr>
      <t>(known variances)</t>
    </r>
  </si>
  <si>
    <t>Sample 1</t>
  </si>
  <si>
    <t>Sample 2</t>
  </si>
  <si>
    <t>Sample means</t>
  </si>
  <si>
    <t>Population standard deviations</t>
  </si>
  <si>
    <t xml:space="preserve">Sample sizes </t>
  </si>
  <si>
    <r>
      <t xml:space="preserve">Hypothesized difference, </t>
    </r>
    <r>
      <rPr>
        <sz val="11"/>
        <rFont val="Symbol"/>
        <family val="1"/>
        <charset val="2"/>
      </rPr>
      <t>m</t>
    </r>
    <r>
      <rPr>
        <sz val="11"/>
        <rFont val="Calibri"/>
        <family val="2"/>
        <scheme val="minor"/>
      </rPr>
      <t xml:space="preserve">1 - </t>
    </r>
    <r>
      <rPr>
        <sz val="11"/>
        <rFont val="Symbol"/>
        <family val="1"/>
        <charset val="2"/>
      </rPr>
      <t>m</t>
    </r>
    <r>
      <rPr>
        <sz val="11"/>
        <rFont val="Calibri"/>
        <family val="2"/>
        <scheme val="minor"/>
      </rPr>
      <t>2 = d</t>
    </r>
  </si>
  <si>
    <r>
      <t xml:space="preserve">Statistical test for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= d (unknown but equal variances, Independent samples)</t>
    </r>
  </si>
  <si>
    <r>
      <t xml:space="preserve">Test statistic </t>
    </r>
    <r>
      <rPr>
        <i/>
        <sz val="11"/>
        <rFont val="Calibri"/>
        <family val="2"/>
        <scheme val="minor"/>
      </rPr>
      <t>t</t>
    </r>
  </si>
  <si>
    <t>Sample standard deviations</t>
  </si>
  <si>
    <t>Pooled estimate of variance</t>
  </si>
  <si>
    <r>
      <t xml:space="preserve">Statistical test for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= d (unknown and unequal variances, Independent samples)</t>
    </r>
  </si>
  <si>
    <t>Degrees of freedom</t>
  </si>
  <si>
    <r>
      <t xml:space="preserve">Hypothesized difference, </t>
    </r>
    <r>
      <rPr>
        <sz val="11"/>
        <rFont val="Symbol"/>
        <family val="1"/>
        <charset val="2"/>
      </rPr>
      <t>m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- </t>
    </r>
    <r>
      <rPr>
        <sz val="11"/>
        <rFont val="Symbol"/>
        <family val="1"/>
        <charset val="2"/>
      </rPr>
      <t>m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= d</t>
    </r>
  </si>
  <si>
    <t>SD (New)</t>
  </si>
  <si>
    <t>SD (Existing)</t>
  </si>
  <si>
    <r>
      <t xml:space="preserve">Statistical test for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= d (Dependent samples)</t>
    </r>
  </si>
  <si>
    <t>Sample standard deviation of difference</t>
  </si>
  <si>
    <t>Sample size</t>
  </si>
  <si>
    <r>
      <t>Statistical test for p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- p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= d where d = 0</t>
    </r>
  </si>
  <si>
    <t>Number of successes</t>
  </si>
  <si>
    <t>Sample sizes</t>
  </si>
  <si>
    <t>Sample proportions</t>
  </si>
  <si>
    <t>Pooled proportion</t>
  </si>
  <si>
    <t>Hypothesized difference, p1 - p2 = 0</t>
  </si>
  <si>
    <r>
      <t>Statistical test for p</t>
    </r>
    <r>
      <rPr>
        <b/>
        <vertAlign val="subscript"/>
        <sz val="11"/>
        <color rgb="FFFF0000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 xml:space="preserve"> - p</t>
    </r>
    <r>
      <rPr>
        <b/>
        <vertAlign val="sub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= d where d </t>
    </r>
    <r>
      <rPr>
        <b/>
        <sz val="11"/>
        <color rgb="FFFF0000"/>
        <rFont val="Symbol MT"/>
        <family val="1"/>
        <charset val="2"/>
      </rPr>
      <t>¹</t>
    </r>
    <r>
      <rPr>
        <b/>
        <sz val="11"/>
        <color rgb="FFFF0000"/>
        <rFont val="Calibri"/>
        <family val="2"/>
        <scheme val="minor"/>
      </rPr>
      <t xml:space="preserve"> 0</t>
    </r>
  </si>
  <si>
    <t>Hypothesized difference, d</t>
  </si>
  <si>
    <r>
      <t xml:space="preserve">CI for population mean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1</t>
    </r>
    <r>
      <rPr>
        <b/>
        <sz val="11"/>
        <color rgb="FFFF0000"/>
        <rFont val="Calibri"/>
        <family val="2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2</t>
    </r>
    <r>
      <rPr>
        <b/>
        <sz val="11"/>
        <color rgb="FFFF0000"/>
        <rFont val="Calibri"/>
        <family val="2"/>
        <scheme val="minor"/>
      </rPr>
      <t xml:space="preserve"> (known variance)</t>
    </r>
  </si>
  <si>
    <r>
      <t xml:space="preserve">Population standard deviations,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i</t>
    </r>
  </si>
  <si>
    <r>
      <t>Sample sizes, n</t>
    </r>
    <r>
      <rPr>
        <vertAlign val="subscript"/>
        <sz val="11"/>
        <color theme="1"/>
        <rFont val="Calibri"/>
        <family val="2"/>
        <scheme val="minor"/>
      </rPr>
      <t>i</t>
    </r>
  </si>
  <si>
    <r>
      <t>Confidence level. 1-</t>
    </r>
    <r>
      <rPr>
        <sz val="11"/>
        <rFont val="Symbol"/>
        <family val="1"/>
        <charset val="2"/>
      </rPr>
      <t>a</t>
    </r>
  </si>
  <si>
    <r>
      <t>Critical value, z</t>
    </r>
    <r>
      <rPr>
        <vertAlign val="subscript"/>
        <sz val="11"/>
        <rFont val="Symbol"/>
        <family val="1"/>
        <charset val="2"/>
      </rPr>
      <t>a</t>
    </r>
    <r>
      <rPr>
        <vertAlign val="subscript"/>
        <sz val="11"/>
        <rFont val="Calibri Light"/>
        <family val="2"/>
      </rPr>
      <t>/2</t>
    </r>
  </si>
  <si>
    <t>Lower confidence limit</t>
  </si>
  <si>
    <t xml:space="preserve">Upper confidence limit </t>
  </si>
  <si>
    <r>
      <t xml:space="preserve">Note: CI for </t>
    </r>
    <r>
      <rPr>
        <sz val="11"/>
        <color rgb="FFC00000"/>
        <rFont val="Symbol"/>
        <family val="1"/>
        <charset val="2"/>
      </rPr>
      <t>m</t>
    </r>
    <r>
      <rPr>
        <vertAlign val="sub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 xml:space="preserve"> - </t>
    </r>
    <r>
      <rPr>
        <sz val="11"/>
        <color rgb="FFC00000"/>
        <rFont val="Symbol"/>
        <family val="1"/>
        <charset val="2"/>
      </rPr>
      <t>m</t>
    </r>
    <r>
      <rPr>
        <vertAlign val="subscript"/>
        <sz val="11"/>
        <color rgb="FFC00000"/>
        <rFont val="Calibri"/>
        <family val="2"/>
        <scheme val="minor"/>
      </rPr>
      <t>1</t>
    </r>
    <r>
      <rPr>
        <sz val="11"/>
        <color rgb="FFC00000"/>
        <rFont val="Calibri"/>
        <family val="2"/>
      </rPr>
      <t xml:space="preserve"> is </t>
    </r>
    <r>
      <rPr>
        <sz val="11"/>
        <color rgb="FFC00000"/>
        <rFont val="Calibri"/>
        <family val="2"/>
        <scheme val="minor"/>
      </rPr>
      <t>(LCL, UCL)</t>
    </r>
  </si>
  <si>
    <t>Check:</t>
  </si>
  <si>
    <t>Female</t>
  </si>
  <si>
    <t>Male</t>
  </si>
  <si>
    <r>
      <t xml:space="preserve">CI for population mean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1</t>
    </r>
    <r>
      <rPr>
        <b/>
        <sz val="11"/>
        <color rgb="FFFF0000"/>
        <rFont val="Calibri"/>
        <family val="2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2</t>
    </r>
    <r>
      <rPr>
        <b/>
        <sz val="11"/>
        <color rgb="FFFF0000"/>
        <rFont val="Calibri"/>
        <family val="2"/>
        <scheme val="minor"/>
      </rPr>
      <t xml:space="preserve"> (unknown but equal variances)</t>
    </r>
  </si>
  <si>
    <r>
      <t>Sample standard deviations, s</t>
    </r>
    <r>
      <rPr>
        <vertAlign val="subscript"/>
        <sz val="11"/>
        <color theme="1"/>
        <rFont val="Calibri"/>
        <family val="2"/>
        <scheme val="minor"/>
      </rPr>
      <t>i</t>
    </r>
  </si>
  <si>
    <r>
      <t>Pooled estimate of variance, s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</si>
  <si>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Confidence level, 1-</t>
    </r>
    <r>
      <rPr>
        <sz val="11"/>
        <rFont val="Symbol"/>
        <family val="1"/>
        <charset val="2"/>
      </rPr>
      <t>a</t>
    </r>
  </si>
  <si>
    <r>
      <t>Critical value, t</t>
    </r>
    <r>
      <rPr>
        <vertAlign val="subscript"/>
        <sz val="11"/>
        <rFont val="Symbol"/>
        <family val="1"/>
        <charset val="2"/>
      </rPr>
      <t>a</t>
    </r>
    <r>
      <rPr>
        <vertAlign val="subscript"/>
        <sz val="11"/>
        <rFont val="Calibri Light"/>
        <family val="2"/>
      </rPr>
      <t>/2</t>
    </r>
  </si>
  <si>
    <r>
      <t xml:space="preserve">CI for population mean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1</t>
    </r>
    <r>
      <rPr>
        <b/>
        <sz val="11"/>
        <color rgb="FFFF0000"/>
        <rFont val="Calibri"/>
        <family val="2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2</t>
    </r>
    <r>
      <rPr>
        <b/>
        <sz val="11"/>
        <color rgb="FFFF0000"/>
        <rFont val="Calibri"/>
        <family val="2"/>
        <scheme val="minor"/>
      </rPr>
      <t xml:space="preserve"> (unknown and unequal variances)</t>
    </r>
  </si>
  <si>
    <t>Degrees of freedom, df</t>
  </si>
  <si>
    <r>
      <t xml:space="preserve">CI for population mean </t>
    </r>
    <r>
      <rPr>
        <b/>
        <sz val="11"/>
        <color rgb="FFFF0000"/>
        <rFont val="Symbol"/>
        <family val="1"/>
        <charset val="2"/>
      </rPr>
      <t>m</t>
    </r>
    <r>
      <rPr>
        <b/>
        <sz val="11"/>
        <color rgb="FFFF0000"/>
        <rFont val="Calibri"/>
        <family val="2"/>
        <scheme val="minor"/>
      </rPr>
      <t xml:space="preserve"> (unknown variance)</t>
    </r>
  </si>
  <si>
    <t>Sample mean</t>
  </si>
  <si>
    <t>Sample standard deviation, s</t>
  </si>
  <si>
    <t>Sample size, n</t>
  </si>
  <si>
    <t>x</t>
  </si>
  <si>
    <t>y</t>
  </si>
  <si>
    <t>x-y</t>
  </si>
  <si>
    <t>Or</t>
  </si>
  <si>
    <r>
      <t>CI for population mean p</t>
    </r>
    <r>
      <rPr>
        <b/>
        <vertAlign val="subscript"/>
        <sz val="11"/>
        <color rgb="FFFF0000"/>
        <rFont val="Calibri"/>
        <family val="2"/>
      </rPr>
      <t>1</t>
    </r>
    <r>
      <rPr>
        <b/>
        <sz val="11"/>
        <color rgb="FFFF0000"/>
        <rFont val="Calibri"/>
        <family val="2"/>
      </rPr>
      <t xml:space="preserve"> - p</t>
    </r>
    <r>
      <rPr>
        <b/>
        <vertAlign val="subscript"/>
        <sz val="11"/>
        <color rgb="FFFF0000"/>
        <rFont val="Calibri"/>
        <family val="2"/>
      </rPr>
      <t>2</t>
    </r>
  </si>
  <si>
    <t>Number of success, xi</t>
  </si>
  <si>
    <r>
      <t>Critical value, z</t>
    </r>
    <r>
      <rPr>
        <vertAlign val="subscript"/>
        <sz val="11"/>
        <rFont val="Calibri Light"/>
        <family val="2"/>
      </rPr>
      <t>a/2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</si>
</sst>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Symbol"/>
      <family val="1"/>
      <charset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vertAlign val="subscript"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vertAlign val="subscript"/>
      <sz val="11"/>
      <color rgb="FFFF0000"/>
      <name val="Symbol"/>
      <family val="1"/>
      <charset val="2"/>
    </font>
    <font>
      <b/>
      <sz val="11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Symbol MT"/>
      <family val="1"/>
      <charset val="2"/>
    </font>
    <font>
      <b/>
      <vertAlign val="subscript"/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Symbol"/>
      <family val="1"/>
      <charset val="2"/>
    </font>
    <font>
      <vertAlign val="subscript"/>
      <sz val="11"/>
      <name val="Calibri Light"/>
      <family val="2"/>
    </font>
    <font>
      <sz val="11"/>
      <color rgb="FFC00000"/>
      <name val="Symbol"/>
      <family val="1"/>
      <charset val="2"/>
    </font>
    <font>
      <vertAlign val="subscript"/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0" xfId="0" applyNumberFormat="1" applyFill="1"/>
    <xf numFmtId="0" fontId="0" fillId="2" borderId="0" xfId="0" applyFill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6" xfId="0" applyFont="1" applyBorder="1"/>
    <xf numFmtId="0" fontId="0" fillId="2" borderId="6" xfId="0" applyFill="1" applyBorder="1" applyAlignment="1">
      <alignment horizontal="center"/>
    </xf>
    <xf numFmtId="0" fontId="7" fillId="0" borderId="6" xfId="0" applyFont="1" applyBorder="1" applyAlignment="1">
      <alignment vertical="center"/>
    </xf>
    <xf numFmtId="164" fontId="11" fillId="0" borderId="6" xfId="0" applyNumberFormat="1" applyFont="1" applyBorder="1" applyAlignment="1">
      <alignment horizontal="right"/>
    </xf>
    <xf numFmtId="0" fontId="7" fillId="0" borderId="0" xfId="0" applyFont="1"/>
    <xf numFmtId="164" fontId="11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7" fillId="2" borderId="6" xfId="0" applyFont="1" applyFill="1" applyBorder="1" applyAlignment="1">
      <alignment horizontal="center"/>
    </xf>
    <xf numFmtId="2" fontId="7" fillId="2" borderId="6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6" xfId="0" applyBorder="1"/>
    <xf numFmtId="165" fontId="7" fillId="2" borderId="6" xfId="0" applyNumberFormat="1" applyFon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3" borderId="6" xfId="0" applyNumberFormat="1" applyFont="1" applyFill="1" applyBorder="1" applyAlignment="1">
      <alignment horizontal="center"/>
    </xf>
    <xf numFmtId="164" fontId="11" fillId="3" borderId="6" xfId="0" applyNumberFormat="1" applyFont="1" applyFill="1" applyBorder="1" applyAlignment="1">
      <alignment horizontal="right"/>
    </xf>
    <xf numFmtId="164" fontId="7" fillId="3" borderId="6" xfId="0" applyNumberFormat="1" applyFont="1" applyFill="1" applyBorder="1" applyAlignment="1">
      <alignment horizontal="right"/>
    </xf>
    <xf numFmtId="164" fontId="7" fillId="3" borderId="6" xfId="0" applyNumberFormat="1" applyFont="1" applyFill="1" applyBorder="1" applyAlignment="1">
      <alignment horizontal="center"/>
    </xf>
    <xf numFmtId="165" fontId="7" fillId="3" borderId="6" xfId="0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2" fontId="7" fillId="3" borderId="6" xfId="0" applyNumberFormat="1" applyFont="1" applyFill="1" applyBorder="1" applyAlignment="1">
      <alignment horizontal="right"/>
    </xf>
    <xf numFmtId="0" fontId="0" fillId="0" borderId="8" xfId="0" applyBorder="1"/>
    <xf numFmtId="164" fontId="0" fillId="4" borderId="6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11" fillId="4" borderId="6" xfId="0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/>
    </xf>
    <xf numFmtId="2" fontId="15" fillId="0" borderId="0" xfId="0" applyNumberFormat="1" applyFont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164" fontId="11" fillId="4" borderId="6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1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11" fillId="4" borderId="6" xfId="0" applyNumberFormat="1" applyFon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8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5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E51-3412-42F8-BC57-FC1A0FC54E02}">
  <dimension ref="B1:D18"/>
  <sheetViews>
    <sheetView workbookViewId="0">
      <selection activeCell="F9" sqref="F9"/>
    </sheetView>
  </sheetViews>
  <sheetFormatPr defaultRowHeight="13.2" x14ac:dyDescent="0.25"/>
  <cols>
    <col min="2" max="2" width="32.21875" customWidth="1"/>
    <col min="3" max="4" width="16.44140625" customWidth="1"/>
  </cols>
  <sheetData>
    <row r="1" spans="2:4" ht="15" customHeight="1" x14ac:dyDescent="0.25"/>
    <row r="2" spans="2:4" ht="15" customHeight="1" x14ac:dyDescent="0.35">
      <c r="B2" s="78" t="s">
        <v>78</v>
      </c>
      <c r="C2" s="79"/>
      <c r="D2" s="80"/>
    </row>
    <row r="3" spans="2:4" ht="15" customHeight="1" x14ac:dyDescent="0.25"/>
    <row r="4" spans="2:4" ht="15" customHeight="1" x14ac:dyDescent="0.25">
      <c r="C4" s="65" t="s">
        <v>87</v>
      </c>
      <c r="D4" s="65" t="s">
        <v>88</v>
      </c>
    </row>
    <row r="5" spans="2:4" ht="15" customHeight="1" x14ac:dyDescent="0.25">
      <c r="B5" s="53" t="s">
        <v>54</v>
      </c>
      <c r="C5" s="26">
        <v>33000</v>
      </c>
      <c r="D5" s="26">
        <v>30250</v>
      </c>
    </row>
    <row r="6" spans="2:4" ht="15" customHeight="1" x14ac:dyDescent="0.35">
      <c r="B6" s="40" t="s">
        <v>79</v>
      </c>
      <c r="C6" s="26">
        <v>7000</v>
      </c>
      <c r="D6" s="26">
        <v>7000</v>
      </c>
    </row>
    <row r="7" spans="2:4" ht="15" customHeight="1" x14ac:dyDescent="0.35">
      <c r="B7" s="40" t="s">
        <v>80</v>
      </c>
      <c r="C7" s="26">
        <v>60</v>
      </c>
      <c r="D7" s="26">
        <v>100</v>
      </c>
    </row>
    <row r="8" spans="2:4" ht="15" customHeight="1" x14ac:dyDescent="0.25">
      <c r="B8" s="40" t="s">
        <v>48</v>
      </c>
      <c r="C8" s="54">
        <f>SQRT(C6^2/C7+D6^2/D7)</f>
        <v>1143.0952132988164</v>
      </c>
      <c r="D8" s="55"/>
    </row>
    <row r="9" spans="2:4" ht="15" customHeight="1" x14ac:dyDescent="0.25">
      <c r="B9" s="56" t="s">
        <v>81</v>
      </c>
      <c r="C9" s="57">
        <v>0.95</v>
      </c>
      <c r="D9" s="58"/>
    </row>
    <row r="10" spans="2:4" ht="15" customHeight="1" x14ac:dyDescent="0.25">
      <c r="B10" s="56" t="s">
        <v>82</v>
      </c>
      <c r="C10" s="59">
        <f>_xlfn.NORM.INV(1-(1-C9)/2,0,1)</f>
        <v>1.9599639845400536</v>
      </c>
      <c r="D10" s="60"/>
    </row>
    <row r="11" spans="2:4" ht="15" customHeight="1" x14ac:dyDescent="0.3">
      <c r="B11" s="56" t="s">
        <v>83</v>
      </c>
      <c r="C11" s="61">
        <f>(C5-D5)-C10*C8</f>
        <v>509.57455103418943</v>
      </c>
      <c r="D11" s="55"/>
    </row>
    <row r="12" spans="2:4" ht="15" customHeight="1" x14ac:dyDescent="0.3">
      <c r="B12" s="56" t="s">
        <v>84</v>
      </c>
      <c r="C12" s="61">
        <f>(C5-D5)+C10*C8</f>
        <v>4990.4254489658106</v>
      </c>
      <c r="D12" s="55"/>
    </row>
    <row r="13" spans="2:4" ht="15" customHeight="1" x14ac:dyDescent="0.25">
      <c r="B13" s="62"/>
      <c r="C13" s="55"/>
      <c r="D13" s="55"/>
    </row>
    <row r="14" spans="2:4" ht="15" customHeight="1" x14ac:dyDescent="0.3">
      <c r="B14" s="63" t="s">
        <v>85</v>
      </c>
      <c r="C14" s="66">
        <f>-C12</f>
        <v>-4990.4254489658106</v>
      </c>
      <c r="D14" s="66">
        <f>-C11</f>
        <v>-509.57455103418943</v>
      </c>
    </row>
    <row r="15" spans="2:4" ht="15" customHeight="1" x14ac:dyDescent="0.25">
      <c r="B15" s="64" t="s">
        <v>86</v>
      </c>
      <c r="C15" s="31">
        <f>D5-C5-C10*C8</f>
        <v>-4990.4254489658106</v>
      </c>
      <c r="D15" s="31">
        <f>D5-C5+C10*C8</f>
        <v>-509.57455103418943</v>
      </c>
    </row>
    <row r="16" spans="2:4" ht="15" customHeight="1" x14ac:dyDescent="0.25"/>
    <row r="17" ht="15" customHeight="1" x14ac:dyDescent="0.25"/>
    <row r="18" ht="15" customHeight="1" x14ac:dyDescent="0.25"/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3C05-C612-4518-AF05-5B5BCB3F101F}">
  <dimension ref="B1:D15"/>
  <sheetViews>
    <sheetView workbookViewId="0">
      <selection sqref="A1:XFD15"/>
    </sheetView>
  </sheetViews>
  <sheetFormatPr defaultRowHeight="13.2" x14ac:dyDescent="0.25"/>
  <cols>
    <col min="2" max="2" width="32.21875" customWidth="1"/>
    <col min="3" max="4" width="16.44140625" customWidth="1"/>
  </cols>
  <sheetData>
    <row r="1" spans="2:4" ht="15" customHeight="1" x14ac:dyDescent="0.25"/>
    <row r="2" spans="2:4" ht="15" customHeight="1" x14ac:dyDescent="0.35">
      <c r="B2" s="78" t="s">
        <v>78</v>
      </c>
      <c r="C2" s="79"/>
      <c r="D2" s="80"/>
    </row>
    <row r="3" spans="2:4" ht="15" customHeight="1" x14ac:dyDescent="0.25"/>
    <row r="4" spans="2:4" ht="15" customHeight="1" x14ac:dyDescent="0.25">
      <c r="C4" s="43" t="s">
        <v>52</v>
      </c>
      <c r="D4" s="43" t="s">
        <v>53</v>
      </c>
    </row>
    <row r="5" spans="2:4" ht="15" customHeight="1" x14ac:dyDescent="0.25">
      <c r="B5" s="53" t="s">
        <v>54</v>
      </c>
      <c r="C5" s="26">
        <v>73</v>
      </c>
      <c r="D5" s="26">
        <v>62</v>
      </c>
    </row>
    <row r="6" spans="2:4" ht="15" customHeight="1" x14ac:dyDescent="0.35">
      <c r="B6" s="40" t="s">
        <v>79</v>
      </c>
      <c r="C6" s="26">
        <v>6</v>
      </c>
      <c r="D6" s="26">
        <v>6</v>
      </c>
    </row>
    <row r="7" spans="2:4" ht="15" customHeight="1" x14ac:dyDescent="0.35">
      <c r="B7" s="40" t="s">
        <v>80</v>
      </c>
      <c r="C7" s="26">
        <v>36</v>
      </c>
      <c r="D7" s="26">
        <v>36</v>
      </c>
    </row>
    <row r="8" spans="2:4" ht="15" customHeight="1" x14ac:dyDescent="0.25">
      <c r="B8" s="40" t="s">
        <v>48</v>
      </c>
      <c r="C8" s="54">
        <f>SQRT(C6^2/C7+D6^2/D7)</f>
        <v>1.4142135623730951</v>
      </c>
      <c r="D8" s="55"/>
    </row>
    <row r="9" spans="2:4" ht="15" customHeight="1" x14ac:dyDescent="0.25">
      <c r="B9" s="56" t="s">
        <v>81</v>
      </c>
      <c r="C9" s="57">
        <v>0.99</v>
      </c>
      <c r="D9" s="58"/>
    </row>
    <row r="10" spans="2:4" ht="15" customHeight="1" x14ac:dyDescent="0.25">
      <c r="B10" s="56" t="s">
        <v>82</v>
      </c>
      <c r="C10" s="67">
        <f>_xlfn.NORM.INV(1-(1-C9)/2,0,1)</f>
        <v>2.5758293035488999</v>
      </c>
      <c r="D10" s="60"/>
    </row>
    <row r="11" spans="2:4" ht="15" customHeight="1" x14ac:dyDescent="0.3">
      <c r="B11" s="56" t="s">
        <v>83</v>
      </c>
      <c r="C11" s="61">
        <f>(C5-D5)-C10*C8</f>
        <v>7.3572272645631021</v>
      </c>
      <c r="D11" s="55"/>
    </row>
    <row r="12" spans="2:4" ht="15" customHeight="1" x14ac:dyDescent="0.3">
      <c r="B12" s="56" t="s">
        <v>84</v>
      </c>
      <c r="C12" s="61">
        <f>(C5-D5)+C10*C8</f>
        <v>14.642772735436898</v>
      </c>
      <c r="D12" s="55"/>
    </row>
    <row r="13" spans="2:4" ht="15" customHeight="1" x14ac:dyDescent="0.25"/>
    <row r="14" spans="2:4" ht="15" customHeight="1" x14ac:dyDescent="0.25"/>
    <row r="15" spans="2:4" ht="15" customHeight="1" x14ac:dyDescent="0.25"/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19B4-55A8-4A1F-BB5D-1E32D7ECB58A}">
  <dimension ref="B1:H17"/>
  <sheetViews>
    <sheetView workbookViewId="0">
      <selection activeCell="H16" sqref="H16"/>
    </sheetView>
  </sheetViews>
  <sheetFormatPr defaultRowHeight="13.2" x14ac:dyDescent="0.25"/>
  <cols>
    <col min="2" max="2" width="32.21875" customWidth="1"/>
    <col min="3" max="4" width="16.44140625" customWidth="1"/>
    <col min="6" max="6" width="32.21875" customWidth="1"/>
    <col min="7" max="8" width="16.44140625" customWidth="1"/>
  </cols>
  <sheetData>
    <row r="1" spans="2:8" ht="15" customHeight="1" x14ac:dyDescent="0.25"/>
    <row r="2" spans="2:8" ht="15" customHeight="1" x14ac:dyDescent="0.35">
      <c r="B2" s="78" t="s">
        <v>89</v>
      </c>
      <c r="C2" s="79"/>
      <c r="D2" s="80"/>
      <c r="F2" s="81" t="s">
        <v>94</v>
      </c>
      <c r="G2" s="82"/>
      <c r="H2" s="83"/>
    </row>
    <row r="3" spans="2:8" ht="15" customHeight="1" x14ac:dyDescent="0.3">
      <c r="F3" s="71"/>
      <c r="G3" s="72"/>
    </row>
    <row r="4" spans="2:8" ht="15" customHeight="1" x14ac:dyDescent="0.25">
      <c r="C4" s="43" t="s">
        <v>52</v>
      </c>
      <c r="D4" s="43" t="s">
        <v>53</v>
      </c>
      <c r="G4" s="43" t="s">
        <v>52</v>
      </c>
      <c r="H4" s="43" t="s">
        <v>53</v>
      </c>
    </row>
    <row r="5" spans="2:8" ht="15" customHeight="1" x14ac:dyDescent="0.25">
      <c r="B5" s="40" t="s">
        <v>54</v>
      </c>
      <c r="C5" s="26">
        <v>1.48</v>
      </c>
      <c r="D5" s="26">
        <v>1.23</v>
      </c>
      <c r="F5" s="40" t="s">
        <v>54</v>
      </c>
      <c r="G5" s="73">
        <v>1.48</v>
      </c>
      <c r="H5" s="73">
        <v>1.23</v>
      </c>
    </row>
    <row r="6" spans="2:8" ht="15" customHeight="1" x14ac:dyDescent="0.35">
      <c r="B6" s="40" t="s">
        <v>90</v>
      </c>
      <c r="C6" s="26">
        <v>0.18</v>
      </c>
      <c r="D6" s="26">
        <v>0.14000000000000001</v>
      </c>
      <c r="F6" s="40" t="s">
        <v>90</v>
      </c>
      <c r="G6" s="26">
        <v>0.18</v>
      </c>
      <c r="H6" s="26">
        <v>0.14000000000000001</v>
      </c>
    </row>
    <row r="7" spans="2:8" ht="15" customHeight="1" x14ac:dyDescent="0.35">
      <c r="B7" s="40" t="s">
        <v>80</v>
      </c>
      <c r="C7" s="26">
        <v>15</v>
      </c>
      <c r="D7" s="26">
        <v>15</v>
      </c>
      <c r="F7" s="40" t="s">
        <v>80</v>
      </c>
      <c r="G7" s="26">
        <v>15</v>
      </c>
      <c r="H7" s="26">
        <v>15</v>
      </c>
    </row>
    <row r="8" spans="2:8" ht="15" customHeight="1" x14ac:dyDescent="0.35">
      <c r="B8" s="40" t="s">
        <v>91</v>
      </c>
      <c r="C8" s="54">
        <f>((C7-1)*C6^2+(D7-1)*D6^2)/(C7+D7-2)</f>
        <v>2.5999999999999999E-2</v>
      </c>
      <c r="D8" s="31"/>
      <c r="F8" s="40" t="s">
        <v>48</v>
      </c>
      <c r="G8" s="54">
        <f>SQRT(G6^2/G7+H6^2/H7)</f>
        <v>5.8878405775518984E-2</v>
      </c>
    </row>
    <row r="9" spans="2:8" ht="15" customHeight="1" x14ac:dyDescent="0.25">
      <c r="B9" s="40" t="s">
        <v>63</v>
      </c>
      <c r="C9" s="68">
        <f>C7+D7-2</f>
        <v>28</v>
      </c>
      <c r="D9" s="31"/>
      <c r="F9" s="40" t="s">
        <v>95</v>
      </c>
      <c r="G9" s="74">
        <f>(G6^2/G7+H6^2/H7)^2/((G6^2/G7)^2/(G7-1)+(H6^2/H7)^2/(H7-1))</f>
        <v>26.400357063155546</v>
      </c>
    </row>
    <row r="10" spans="2:8" ht="15" customHeight="1" x14ac:dyDescent="0.25">
      <c r="B10" s="40" t="s">
        <v>48</v>
      </c>
      <c r="C10" s="54">
        <f>SQRT(C8*(1/C7+1/D7))</f>
        <v>5.8878405775518977E-2</v>
      </c>
      <c r="D10" s="31"/>
      <c r="F10" s="56" t="s">
        <v>81</v>
      </c>
      <c r="G10" s="69">
        <v>0.9</v>
      </c>
    </row>
    <row r="11" spans="2:8" ht="15" customHeight="1" x14ac:dyDescent="0.25">
      <c r="B11" s="56" t="s">
        <v>92</v>
      </c>
      <c r="C11" s="69">
        <v>0.9</v>
      </c>
      <c r="D11" s="58"/>
      <c r="F11" s="56" t="s">
        <v>93</v>
      </c>
      <c r="G11" s="59">
        <f>_xlfn.T.INV(1-(1-G10)/2,G9)</f>
        <v>1.7056179197592722</v>
      </c>
    </row>
    <row r="12" spans="2:8" ht="15" customHeight="1" x14ac:dyDescent="0.3">
      <c r="B12" s="56" t="s">
        <v>93</v>
      </c>
      <c r="C12" s="59">
        <f>_xlfn.T.INV(1-(1-C11)/2,C9)</f>
        <v>1.7011309342659309</v>
      </c>
      <c r="D12" s="60"/>
      <c r="F12" s="56" t="s">
        <v>83</v>
      </c>
      <c r="G12" s="70">
        <f>(G5-H5)-G11*G8</f>
        <v>0.14957593602241698</v>
      </c>
    </row>
    <row r="13" spans="2:8" ht="15" customHeight="1" x14ac:dyDescent="0.3">
      <c r="B13" s="56" t="s">
        <v>83</v>
      </c>
      <c r="C13" s="70">
        <f>(C5-D5)-C12*C10</f>
        <v>0.14984012257500282</v>
      </c>
      <c r="D13" s="31"/>
      <c r="F13" s="56" t="s">
        <v>84</v>
      </c>
      <c r="G13" s="70">
        <f>(G5-H5)+G11*G8</f>
        <v>0.35042406397758302</v>
      </c>
    </row>
    <row r="14" spans="2:8" ht="15" customHeight="1" x14ac:dyDescent="0.3">
      <c r="B14" s="56" t="s">
        <v>84</v>
      </c>
      <c r="C14" s="70">
        <f>(C5-D5)+C12*C10</f>
        <v>0.35015987742499721</v>
      </c>
      <c r="D14" s="31"/>
    </row>
    <row r="15" spans="2:8" ht="15" customHeight="1" x14ac:dyDescent="0.25"/>
    <row r="16" spans="2:8" ht="15" customHeight="1" x14ac:dyDescent="0.25"/>
    <row r="17" ht="15" customHeight="1" x14ac:dyDescent="0.25"/>
  </sheetData>
  <mergeCells count="2">
    <mergeCell ref="B2:D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64B2-BFDB-451F-B8CD-37EA5F395764}">
  <dimension ref="A2:I11"/>
  <sheetViews>
    <sheetView topLeftCell="B1" workbookViewId="0">
      <selection activeCell="I6" sqref="I6"/>
    </sheetView>
  </sheetViews>
  <sheetFormatPr defaultRowHeight="13.2" x14ac:dyDescent="0.25"/>
  <cols>
    <col min="5" max="5" width="32.21875" customWidth="1"/>
    <col min="6" max="6" width="11.109375" customWidth="1"/>
    <col min="8" max="8" width="32.21875" customWidth="1"/>
    <col min="9" max="9" width="11.109375" customWidth="1"/>
  </cols>
  <sheetData>
    <row r="2" spans="1:9" ht="14.4" x14ac:dyDescent="0.3">
      <c r="A2" s="19" t="s">
        <v>100</v>
      </c>
      <c r="B2" s="19" t="s">
        <v>101</v>
      </c>
      <c r="C2" s="19" t="s">
        <v>102</v>
      </c>
      <c r="E2" s="78" t="s">
        <v>96</v>
      </c>
      <c r="F2" s="80"/>
      <c r="G2" s="19" t="s">
        <v>103</v>
      </c>
      <c r="H2" s="78" t="s">
        <v>96</v>
      </c>
      <c r="I2" s="80"/>
    </row>
    <row r="3" spans="1:9" x14ac:dyDescent="0.25">
      <c r="A3" s="1">
        <v>20</v>
      </c>
      <c r="B3" s="1">
        <v>17</v>
      </c>
      <c r="C3" s="1">
        <f>A3-B3</f>
        <v>3</v>
      </c>
      <c r="F3" s="1"/>
      <c r="I3" s="1"/>
    </row>
    <row r="4" spans="1:9" ht="14.4" x14ac:dyDescent="0.25">
      <c r="A4" s="1">
        <v>23</v>
      </c>
      <c r="B4" s="1">
        <v>16</v>
      </c>
      <c r="C4" s="1">
        <f t="shared" ref="C4:C7" si="0">A4-B4</f>
        <v>7</v>
      </c>
      <c r="E4" s="56" t="s">
        <v>97</v>
      </c>
      <c r="F4" s="57">
        <v>3.8</v>
      </c>
      <c r="H4" s="56" t="s">
        <v>97</v>
      </c>
      <c r="I4" s="76">
        <f>AVERAGE(C3:C7)</f>
        <v>3.8</v>
      </c>
    </row>
    <row r="5" spans="1:9" ht="14.4" x14ac:dyDescent="0.25">
      <c r="A5" s="1">
        <v>15</v>
      </c>
      <c r="B5" s="1">
        <v>9</v>
      </c>
      <c r="C5" s="1">
        <f t="shared" si="0"/>
        <v>6</v>
      </c>
      <c r="E5" s="56" t="s">
        <v>98</v>
      </c>
      <c r="F5" s="57">
        <v>3.11</v>
      </c>
      <c r="H5" s="56" t="s">
        <v>98</v>
      </c>
      <c r="I5" s="76">
        <f>_xlfn.STDEV.S(C3:C7)</f>
        <v>3.1144823004794873</v>
      </c>
    </row>
    <row r="6" spans="1:9" ht="14.4" x14ac:dyDescent="0.25">
      <c r="A6" s="1">
        <v>18</v>
      </c>
      <c r="B6" s="1">
        <v>19</v>
      </c>
      <c r="C6" s="1">
        <f t="shared" si="0"/>
        <v>-1</v>
      </c>
      <c r="E6" s="56" t="s">
        <v>99</v>
      </c>
      <c r="F6" s="57">
        <v>5</v>
      </c>
      <c r="H6" s="56" t="s">
        <v>99</v>
      </c>
      <c r="I6" s="57">
        <v>5</v>
      </c>
    </row>
    <row r="7" spans="1:9" ht="14.4" x14ac:dyDescent="0.25">
      <c r="A7" s="1">
        <v>19</v>
      </c>
      <c r="B7" s="1">
        <v>15</v>
      </c>
      <c r="C7" s="1">
        <f t="shared" si="0"/>
        <v>4</v>
      </c>
      <c r="E7" s="56" t="s">
        <v>48</v>
      </c>
      <c r="F7" s="67">
        <f>F5/SQRT(F6)</f>
        <v>1.3908342820048691</v>
      </c>
      <c r="H7" s="56" t="s">
        <v>48</v>
      </c>
      <c r="I7" s="67">
        <f>I5/SQRT(I6)</f>
        <v>1.3928388277184118</v>
      </c>
    </row>
    <row r="8" spans="1:9" ht="14.4" x14ac:dyDescent="0.25">
      <c r="E8" s="56" t="s">
        <v>92</v>
      </c>
      <c r="F8" s="57">
        <v>0.95</v>
      </c>
      <c r="H8" s="56" t="s">
        <v>92</v>
      </c>
      <c r="I8" s="57">
        <v>0.95</v>
      </c>
    </row>
    <row r="9" spans="1:9" ht="16.2" x14ac:dyDescent="0.25">
      <c r="E9" s="56" t="s">
        <v>93</v>
      </c>
      <c r="F9" s="59">
        <f>_xlfn.T.INV(1-(1-F8)/2,F6-1)</f>
        <v>2.776445105197793</v>
      </c>
      <c r="H9" s="56" t="s">
        <v>93</v>
      </c>
      <c r="I9" s="59">
        <f>_xlfn.T.INV(1-(1-I8)/2,I6-1)</f>
        <v>2.776445105197793</v>
      </c>
    </row>
    <row r="10" spans="1:9" ht="14.4" x14ac:dyDescent="0.25">
      <c r="E10" s="56" t="s">
        <v>83</v>
      </c>
      <c r="F10" s="75">
        <f>F4-F9*F7</f>
        <v>-6.1575034413706042E-2</v>
      </c>
      <c r="H10" s="56" t="s">
        <v>83</v>
      </c>
      <c r="I10" s="75">
        <f>I4-I9*I7</f>
        <v>-6.7140545548216579E-2</v>
      </c>
    </row>
    <row r="11" spans="1:9" ht="14.4" x14ac:dyDescent="0.25">
      <c r="E11" s="56" t="s">
        <v>84</v>
      </c>
      <c r="F11" s="75">
        <f>F4+F9*F7</f>
        <v>7.6615750344137057</v>
      </c>
      <c r="H11" s="56" t="s">
        <v>84</v>
      </c>
      <c r="I11" s="75">
        <f>I4+I9*I7</f>
        <v>7.6671405455482162</v>
      </c>
    </row>
  </sheetData>
  <mergeCells count="2">
    <mergeCell ref="E2:F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6DFC-31F7-48E8-9DEF-1046DF01728B}">
  <dimension ref="B1:D13"/>
  <sheetViews>
    <sheetView workbookViewId="0">
      <selection activeCell="F8" sqref="F8"/>
    </sheetView>
  </sheetViews>
  <sheetFormatPr defaultRowHeight="13.2" x14ac:dyDescent="0.25"/>
  <cols>
    <col min="2" max="2" width="32.21875" customWidth="1"/>
    <col min="3" max="4" width="16.44140625" customWidth="1"/>
  </cols>
  <sheetData>
    <row r="1" spans="2:4" ht="15" customHeight="1" x14ac:dyDescent="0.25"/>
    <row r="2" spans="2:4" ht="15" customHeight="1" x14ac:dyDescent="0.35">
      <c r="B2" s="78" t="s">
        <v>104</v>
      </c>
      <c r="C2" s="79"/>
      <c r="D2" s="83"/>
    </row>
    <row r="3" spans="2:4" ht="15" customHeight="1" x14ac:dyDescent="0.25"/>
    <row r="4" spans="2:4" ht="15" customHeight="1" x14ac:dyDescent="0.25">
      <c r="C4" s="77" t="s">
        <v>52</v>
      </c>
      <c r="D4" s="77" t="s">
        <v>53</v>
      </c>
    </row>
    <row r="5" spans="2:4" ht="15" customHeight="1" x14ac:dyDescent="0.25">
      <c r="B5" s="40" t="s">
        <v>105</v>
      </c>
      <c r="C5" s="26">
        <v>50</v>
      </c>
      <c r="D5" s="26">
        <v>35</v>
      </c>
    </row>
    <row r="6" spans="2:4" ht="15" customHeight="1" x14ac:dyDescent="0.35">
      <c r="B6" s="40" t="s">
        <v>80</v>
      </c>
      <c r="C6" s="26">
        <v>200</v>
      </c>
      <c r="D6" s="26">
        <v>100</v>
      </c>
    </row>
    <row r="7" spans="2:4" ht="15" customHeight="1" x14ac:dyDescent="0.25">
      <c r="B7" s="40" t="s">
        <v>73</v>
      </c>
      <c r="C7" s="39">
        <f>C5/C6</f>
        <v>0.25</v>
      </c>
      <c r="D7" s="39">
        <f>D5/D6</f>
        <v>0.35</v>
      </c>
    </row>
    <row r="8" spans="2:4" ht="15" customHeight="1" x14ac:dyDescent="0.25">
      <c r="B8" s="40" t="s">
        <v>48</v>
      </c>
      <c r="C8" s="54">
        <f>SQRT(C7*(1-C7)/C6+D7*(1-D7)/D6)</f>
        <v>5.6678920243773169E-2</v>
      </c>
    </row>
    <row r="9" spans="2:4" ht="15" customHeight="1" x14ac:dyDescent="0.25">
      <c r="B9" s="56" t="s">
        <v>81</v>
      </c>
      <c r="C9" s="57">
        <v>0.95</v>
      </c>
    </row>
    <row r="10" spans="2:4" ht="15" customHeight="1" x14ac:dyDescent="0.25">
      <c r="B10" s="56" t="s">
        <v>106</v>
      </c>
      <c r="C10" s="59">
        <f>_xlfn.NORM.INV(1-(1-C9)/2,0,1)</f>
        <v>1.9599639845400536</v>
      </c>
    </row>
    <row r="11" spans="2:4" ht="15" customHeight="1" x14ac:dyDescent="0.3">
      <c r="B11" s="56" t="s">
        <v>83</v>
      </c>
      <c r="C11" s="70">
        <f>(C7-D7)-C10*C8</f>
        <v>-0.21108864236041353</v>
      </c>
    </row>
    <row r="12" spans="2:4" ht="15" customHeight="1" x14ac:dyDescent="0.3">
      <c r="B12" s="56" t="s">
        <v>84</v>
      </c>
      <c r="C12" s="70">
        <f>(C7-D7)+C10*C8</f>
        <v>1.1088642360413584E-2</v>
      </c>
    </row>
    <row r="13" spans="2:4" ht="15" customHeight="1" x14ac:dyDescent="0.25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J1" workbookViewId="0">
      <selection activeCell="O1" sqref="O1"/>
    </sheetView>
  </sheetViews>
  <sheetFormatPr defaultRowHeight="13.2" x14ac:dyDescent="0.25"/>
  <cols>
    <col min="1" max="1" width="10.6640625" style="1" customWidth="1"/>
    <col min="2" max="3" width="10.5546875" customWidth="1"/>
    <col min="4" max="4" width="5.5546875" customWidth="1"/>
    <col min="5" max="5" width="25.77734375" customWidth="1"/>
    <col min="6" max="7" width="10.5546875" customWidth="1"/>
    <col min="8" max="8" width="5.5546875" customWidth="1"/>
    <col min="9" max="9" width="37.5546875" customWidth="1"/>
    <col min="10" max="11" width="13.88671875" bestFit="1" customWidth="1"/>
    <col min="12" max="12" width="16.44140625" customWidth="1"/>
    <col min="13" max="13" width="9.33203125" bestFit="1" customWidth="1"/>
    <col min="14" max="14" width="15.5546875" customWidth="1"/>
    <col min="15" max="17" width="10.5546875" customWidth="1"/>
    <col min="18" max="18" width="5.5546875" customWidth="1"/>
    <col min="19" max="19" width="25.5546875" customWidth="1"/>
    <col min="20" max="21" width="10.5546875" customWidth="1"/>
  </cols>
  <sheetData>
    <row r="1" spans="1:21" ht="13.8" thickBot="1" x14ac:dyDescent="0.3">
      <c r="A1" s="18" t="s">
        <v>44</v>
      </c>
      <c r="B1" s="17" t="s">
        <v>45</v>
      </c>
      <c r="C1" s="17" t="s">
        <v>46</v>
      </c>
      <c r="E1" s="19"/>
      <c r="F1" s="1"/>
      <c r="O1" s="18" t="s">
        <v>43</v>
      </c>
      <c r="P1" s="17" t="s">
        <v>0</v>
      </c>
      <c r="Q1" s="17" t="s">
        <v>1</v>
      </c>
    </row>
    <row r="2" spans="1:21" ht="16.8" thickBot="1" x14ac:dyDescent="0.4">
      <c r="A2"/>
      <c r="B2" s="1">
        <v>55840</v>
      </c>
      <c r="C2" s="1">
        <v>44360</v>
      </c>
      <c r="E2" t="s">
        <v>2</v>
      </c>
      <c r="I2" s="84" t="s">
        <v>51</v>
      </c>
      <c r="J2" s="85"/>
      <c r="K2" s="85"/>
      <c r="L2" s="85"/>
      <c r="M2" s="86"/>
      <c r="P2" s="1">
        <v>48750</v>
      </c>
      <c r="Q2" s="1">
        <v>44780</v>
      </c>
      <c r="S2" t="s">
        <v>2</v>
      </c>
    </row>
    <row r="3" spans="1:21" ht="15" thickBot="1" x14ac:dyDescent="0.35">
      <c r="A3"/>
      <c r="B3" s="1">
        <v>53840</v>
      </c>
      <c r="C3" s="1">
        <v>44460</v>
      </c>
      <c r="I3" s="29"/>
      <c r="J3" s="29"/>
      <c r="K3" s="29"/>
      <c r="L3" s="29"/>
      <c r="M3" s="29"/>
      <c r="P3" s="1">
        <v>46750</v>
      </c>
      <c r="Q3" s="1">
        <v>44880</v>
      </c>
    </row>
    <row r="4" spans="1:21" ht="14.4" x14ac:dyDescent="0.3">
      <c r="A4"/>
      <c r="B4" s="1">
        <v>53940</v>
      </c>
      <c r="C4" s="1">
        <v>43460</v>
      </c>
      <c r="E4" s="4"/>
      <c r="F4" s="4" t="s">
        <v>45</v>
      </c>
      <c r="G4" s="4" t="s">
        <v>46</v>
      </c>
      <c r="H4" s="33"/>
      <c r="I4" s="34"/>
      <c r="J4" s="25" t="s">
        <v>52</v>
      </c>
      <c r="K4" s="25" t="s">
        <v>53</v>
      </c>
      <c r="P4" s="1">
        <v>46850</v>
      </c>
      <c r="Q4" s="1">
        <v>43880</v>
      </c>
      <c r="S4" s="4"/>
      <c r="T4" s="4" t="s">
        <v>0</v>
      </c>
      <c r="U4" s="4" t="s">
        <v>1</v>
      </c>
    </row>
    <row r="5" spans="1:21" ht="14.4" x14ac:dyDescent="0.3">
      <c r="A5"/>
      <c r="B5" s="1">
        <v>52940</v>
      </c>
      <c r="C5" s="1">
        <v>44810</v>
      </c>
      <c r="E5" t="s">
        <v>3</v>
      </c>
      <c r="F5" s="8">
        <v>54180</v>
      </c>
      <c r="G5" s="8">
        <v>45340</v>
      </c>
      <c r="I5" s="25" t="s">
        <v>54</v>
      </c>
      <c r="J5" s="35">
        <f>F5</f>
        <v>54180</v>
      </c>
      <c r="K5" s="26">
        <f>G5</f>
        <v>45340</v>
      </c>
      <c r="L5" s="25" t="s">
        <v>50</v>
      </c>
      <c r="M5" s="48">
        <f>(J5-K5-J9)/J8</f>
        <v>9.6373849230857918</v>
      </c>
      <c r="P5" s="1">
        <v>45850</v>
      </c>
      <c r="Q5" s="1">
        <v>45230</v>
      </c>
      <c r="S5" t="s">
        <v>3</v>
      </c>
      <c r="T5" s="8">
        <v>47090</v>
      </c>
      <c r="U5" s="8">
        <v>45760</v>
      </c>
    </row>
    <row r="6" spans="1:21" ht="14.4" x14ac:dyDescent="0.3">
      <c r="A6"/>
      <c r="B6" s="1">
        <v>54290</v>
      </c>
      <c r="C6" s="1">
        <v>44260</v>
      </c>
      <c r="E6" t="s">
        <v>4</v>
      </c>
      <c r="F6">
        <v>28783225</v>
      </c>
      <c r="G6">
        <v>55353600</v>
      </c>
      <c r="I6" s="25" t="s">
        <v>55</v>
      </c>
      <c r="J6" s="35">
        <f>SQRT(F6)</f>
        <v>5365</v>
      </c>
      <c r="K6" s="26">
        <f>SQRT(G6)</f>
        <v>7440</v>
      </c>
      <c r="L6" s="25" t="s">
        <v>8</v>
      </c>
      <c r="M6" s="47">
        <f>1-_xlfn.NORM.DIST(ABS(M5),0,1,1)</f>
        <v>0</v>
      </c>
      <c r="P6" s="1">
        <v>47200</v>
      </c>
      <c r="Q6" s="1">
        <v>44680</v>
      </c>
      <c r="S6" t="s">
        <v>4</v>
      </c>
      <c r="T6">
        <v>22467600</v>
      </c>
      <c r="U6">
        <v>28783225</v>
      </c>
    </row>
    <row r="7" spans="1:21" ht="14.4" x14ac:dyDescent="0.3">
      <c r="A7"/>
      <c r="B7" s="1">
        <v>53740</v>
      </c>
      <c r="C7" s="1">
        <v>44810</v>
      </c>
      <c r="E7" t="s">
        <v>5</v>
      </c>
      <c r="F7">
        <v>100</v>
      </c>
      <c r="G7">
        <v>100</v>
      </c>
      <c r="I7" s="25" t="s">
        <v>56</v>
      </c>
      <c r="J7" s="35">
        <f>F7</f>
        <v>100</v>
      </c>
      <c r="K7" s="35">
        <f>G7</f>
        <v>100</v>
      </c>
      <c r="L7" s="25" t="s">
        <v>9</v>
      </c>
      <c r="M7" s="48">
        <f>_xlfn.NORM.INV(1-J10,0,1)</f>
        <v>1.6448536269514715</v>
      </c>
      <c r="P7" s="1">
        <v>46650</v>
      </c>
      <c r="Q7" s="1">
        <v>45230</v>
      </c>
      <c r="S7" t="s">
        <v>5</v>
      </c>
      <c r="T7">
        <v>100</v>
      </c>
      <c r="U7">
        <v>100</v>
      </c>
    </row>
    <row r="8" spans="1:21" ht="14.4" x14ac:dyDescent="0.3">
      <c r="A8"/>
      <c r="B8" s="1">
        <v>54290</v>
      </c>
      <c r="C8" s="1">
        <v>45010</v>
      </c>
      <c r="E8" t="s">
        <v>6</v>
      </c>
      <c r="F8">
        <v>0</v>
      </c>
      <c r="I8" s="25" t="s">
        <v>48</v>
      </c>
      <c r="J8" s="46">
        <f>SQRT(J6^2/J7+K6^2/K7)</f>
        <v>917.26127684537084</v>
      </c>
      <c r="K8" s="37"/>
      <c r="L8" s="25" t="s">
        <v>10</v>
      </c>
      <c r="M8" s="47">
        <f>2*M6</f>
        <v>0</v>
      </c>
      <c r="P8" s="1">
        <v>47200</v>
      </c>
      <c r="Q8" s="1">
        <v>45430</v>
      </c>
      <c r="S8" t="s">
        <v>6</v>
      </c>
      <c r="T8">
        <v>0</v>
      </c>
    </row>
    <row r="9" spans="1:21" ht="14.4" x14ac:dyDescent="0.3">
      <c r="A9"/>
      <c r="B9" s="1">
        <v>54490</v>
      </c>
      <c r="C9" s="1">
        <v>45010</v>
      </c>
      <c r="E9" t="s">
        <v>7</v>
      </c>
      <c r="F9" s="7">
        <v>9.6373849230857918</v>
      </c>
      <c r="I9" s="25" t="s">
        <v>57</v>
      </c>
      <c r="J9" s="35">
        <v>0</v>
      </c>
      <c r="K9" s="25"/>
      <c r="L9" s="25" t="s">
        <v>11</v>
      </c>
      <c r="M9" s="48">
        <f>_xlfn.NORM.INV(1-J10/2,0,1)</f>
        <v>1.9599639845400536</v>
      </c>
      <c r="P9" s="1">
        <v>47400</v>
      </c>
      <c r="Q9" s="1">
        <v>45430</v>
      </c>
      <c r="S9" t="s">
        <v>7</v>
      </c>
      <c r="T9" s="7">
        <v>1.8578096337053247</v>
      </c>
    </row>
    <row r="10" spans="1:21" ht="14.4" x14ac:dyDescent="0.3">
      <c r="A10"/>
      <c r="B10" s="1">
        <v>54490</v>
      </c>
      <c r="C10" s="1">
        <v>47360</v>
      </c>
      <c r="E10" t="s">
        <v>8</v>
      </c>
      <c r="F10" s="20">
        <v>0</v>
      </c>
      <c r="I10" s="25" t="s">
        <v>49</v>
      </c>
      <c r="J10" s="36">
        <v>0.05</v>
      </c>
      <c r="K10" s="25"/>
      <c r="L10" s="25"/>
      <c r="M10" s="28"/>
      <c r="P10" s="1">
        <v>47400</v>
      </c>
      <c r="Q10" s="1">
        <v>47780</v>
      </c>
      <c r="S10" t="s">
        <v>8</v>
      </c>
      <c r="T10" s="7">
        <v>3.1598026293151005E-2</v>
      </c>
    </row>
    <row r="11" spans="1:21" x14ac:dyDescent="0.25">
      <c r="A11"/>
      <c r="B11" s="1">
        <v>56840</v>
      </c>
      <c r="C11" s="1">
        <v>46360</v>
      </c>
      <c r="E11" t="s">
        <v>9</v>
      </c>
      <c r="F11" s="5">
        <v>1.6448536269514715</v>
      </c>
      <c r="P11" s="1">
        <v>49750</v>
      </c>
      <c r="Q11" s="1">
        <v>46780</v>
      </c>
      <c r="S11" t="s">
        <v>9</v>
      </c>
      <c r="T11" s="5">
        <v>1.6448536269514724</v>
      </c>
    </row>
    <row r="12" spans="1:21" x14ac:dyDescent="0.25">
      <c r="A12"/>
      <c r="B12" s="1">
        <v>55840</v>
      </c>
      <c r="C12" s="1">
        <v>44560</v>
      </c>
      <c r="E12" t="s">
        <v>10</v>
      </c>
      <c r="F12" s="20">
        <v>0</v>
      </c>
      <c r="P12" s="1">
        <v>48750</v>
      </c>
      <c r="Q12" s="1">
        <v>44980</v>
      </c>
      <c r="S12" t="s">
        <v>10</v>
      </c>
      <c r="T12" s="5">
        <v>6.319605258630201E-2</v>
      </c>
    </row>
    <row r="13" spans="1:21" ht="13.8" thickBot="1" x14ac:dyDescent="0.3">
      <c r="A13"/>
      <c r="B13" s="1">
        <v>54040</v>
      </c>
      <c r="C13" s="1">
        <v>44660</v>
      </c>
      <c r="E13" s="3" t="s">
        <v>11</v>
      </c>
      <c r="F13" s="6">
        <v>1.9599639845400536</v>
      </c>
      <c r="G13" s="3"/>
      <c r="P13" s="1">
        <v>46950</v>
      </c>
      <c r="Q13" s="1">
        <v>45080</v>
      </c>
      <c r="S13" s="3" t="s">
        <v>11</v>
      </c>
      <c r="T13" s="6">
        <v>1.959963984540054</v>
      </c>
      <c r="U13" s="3"/>
    </row>
    <row r="14" spans="1:21" x14ac:dyDescent="0.25">
      <c r="A14"/>
      <c r="B14" s="1">
        <v>54140</v>
      </c>
      <c r="C14" s="1">
        <v>43660</v>
      </c>
      <c r="E14" s="1"/>
      <c r="F14" s="1"/>
      <c r="P14" s="1">
        <v>47050</v>
      </c>
      <c r="Q14" s="1">
        <v>44080</v>
      </c>
    </row>
    <row r="15" spans="1:21" x14ac:dyDescent="0.25">
      <c r="A15"/>
      <c r="B15" s="1">
        <v>53140</v>
      </c>
      <c r="C15" s="1">
        <v>45010</v>
      </c>
      <c r="E15" s="1"/>
      <c r="F15" s="1"/>
      <c r="P15" s="1">
        <v>46050</v>
      </c>
      <c r="Q15" s="1">
        <v>45430</v>
      </c>
    </row>
    <row r="16" spans="1:21" x14ac:dyDescent="0.25">
      <c r="A16"/>
      <c r="B16" s="1">
        <v>54490</v>
      </c>
      <c r="C16" s="1">
        <v>44460</v>
      </c>
      <c r="E16" s="1"/>
      <c r="F16" s="1"/>
      <c r="P16" s="1">
        <v>47400</v>
      </c>
      <c r="Q16" s="1">
        <v>44880</v>
      </c>
      <c r="S16" s="1"/>
      <c r="T16" s="1"/>
    </row>
    <row r="17" spans="1:23" x14ac:dyDescent="0.25">
      <c r="A17"/>
      <c r="B17" s="1">
        <v>53940</v>
      </c>
      <c r="C17" s="1">
        <v>45010</v>
      </c>
      <c r="E17" s="1"/>
      <c r="F17" s="1"/>
      <c r="P17" s="1">
        <v>46850</v>
      </c>
      <c r="Q17" s="1">
        <v>45430</v>
      </c>
      <c r="S17" s="1"/>
      <c r="T17" s="1"/>
    </row>
    <row r="18" spans="1:23" ht="14.4" x14ac:dyDescent="0.3">
      <c r="A18"/>
      <c r="B18" s="1">
        <v>54490</v>
      </c>
      <c r="C18" s="1">
        <v>45210</v>
      </c>
      <c r="E18" s="29"/>
      <c r="F18" s="1"/>
      <c r="N18" s="29"/>
      <c r="O18" s="30"/>
      <c r="P18" s="1">
        <v>47400</v>
      </c>
      <c r="Q18" s="1">
        <v>45630</v>
      </c>
      <c r="S18" s="29"/>
      <c r="T18" s="1"/>
      <c r="V18" s="29"/>
      <c r="W18" s="30"/>
    </row>
    <row r="19" spans="1:23" ht="14.4" x14ac:dyDescent="0.3">
      <c r="A19"/>
      <c r="B19" s="1">
        <v>54690</v>
      </c>
      <c r="C19" s="1">
        <v>45210</v>
      </c>
      <c r="E19" s="29"/>
      <c r="F19" s="1"/>
      <c r="N19" s="29"/>
      <c r="O19" s="30"/>
      <c r="P19" s="1">
        <v>47600</v>
      </c>
      <c r="Q19" s="1">
        <v>45630</v>
      </c>
      <c r="S19" s="29"/>
      <c r="T19" s="1"/>
      <c r="V19" s="29"/>
      <c r="W19" s="30"/>
    </row>
    <row r="20" spans="1:23" ht="14.4" x14ac:dyDescent="0.3">
      <c r="A20"/>
      <c r="B20" s="1">
        <v>54690</v>
      </c>
      <c r="C20" s="1">
        <v>47560</v>
      </c>
      <c r="E20" s="29"/>
      <c r="F20" s="1"/>
      <c r="N20" s="29"/>
      <c r="O20" s="30"/>
      <c r="P20" s="1">
        <v>47600</v>
      </c>
      <c r="Q20" s="1">
        <v>47980</v>
      </c>
      <c r="S20" s="29"/>
      <c r="T20" s="1"/>
      <c r="V20" s="29"/>
      <c r="W20" s="30"/>
    </row>
    <row r="21" spans="1:23" ht="14.4" x14ac:dyDescent="0.3">
      <c r="A21"/>
      <c r="B21" s="1">
        <v>57040</v>
      </c>
      <c r="C21" s="1">
        <v>46560</v>
      </c>
      <c r="E21" s="29"/>
      <c r="F21" s="31"/>
      <c r="N21" s="29"/>
      <c r="O21" s="30"/>
      <c r="P21" s="1">
        <v>49950</v>
      </c>
      <c r="Q21" s="1">
        <v>46980</v>
      </c>
      <c r="S21" s="29"/>
      <c r="T21" s="31"/>
      <c r="V21" s="29"/>
      <c r="W21" s="30"/>
    </row>
    <row r="22" spans="1:23" ht="14.4" x14ac:dyDescent="0.3">
      <c r="A22"/>
      <c r="B22" s="1">
        <v>56040</v>
      </c>
      <c r="C22" s="1">
        <v>44060</v>
      </c>
      <c r="E22" s="32"/>
      <c r="F22" s="1"/>
      <c r="N22" s="29"/>
      <c r="O22" s="30"/>
      <c r="P22" s="1">
        <v>48950</v>
      </c>
      <c r="Q22" s="1">
        <v>44480</v>
      </c>
      <c r="S22" s="32"/>
      <c r="T22" s="1"/>
      <c r="V22" s="29"/>
      <c r="W22" s="30"/>
    </row>
    <row r="23" spans="1:23" ht="14.4" x14ac:dyDescent="0.3">
      <c r="A23"/>
      <c r="B23" s="1">
        <v>53540</v>
      </c>
      <c r="C23" s="1">
        <v>44160</v>
      </c>
      <c r="E23" s="29"/>
      <c r="F23" s="1"/>
      <c r="N23" s="29"/>
      <c r="O23" s="30"/>
      <c r="P23" s="1">
        <v>46450</v>
      </c>
      <c r="Q23" s="1">
        <v>44580</v>
      </c>
      <c r="S23" s="29"/>
      <c r="T23" s="1"/>
      <c r="V23" s="29"/>
      <c r="W23" s="30"/>
    </row>
    <row r="24" spans="1:23" x14ac:dyDescent="0.25">
      <c r="A24"/>
      <c r="B24" s="1">
        <v>53640</v>
      </c>
      <c r="C24" s="1">
        <v>43160</v>
      </c>
      <c r="E24" s="1"/>
      <c r="F24" s="1"/>
      <c r="P24" s="1">
        <v>46550</v>
      </c>
      <c r="Q24" s="1">
        <v>43580</v>
      </c>
    </row>
    <row r="25" spans="1:23" x14ac:dyDescent="0.25">
      <c r="A25"/>
      <c r="B25" s="1">
        <v>52640</v>
      </c>
      <c r="C25" s="1">
        <v>44510</v>
      </c>
      <c r="E25" s="1"/>
      <c r="F25" s="1"/>
      <c r="P25" s="1">
        <v>45550</v>
      </c>
      <c r="Q25" s="1">
        <v>44930</v>
      </c>
    </row>
    <row r="26" spans="1:23" x14ac:dyDescent="0.25">
      <c r="A26"/>
      <c r="B26" s="1">
        <v>53990</v>
      </c>
      <c r="C26" s="1">
        <v>43960</v>
      </c>
      <c r="E26" s="1"/>
      <c r="F26" s="1"/>
      <c r="P26" s="1">
        <v>46900</v>
      </c>
      <c r="Q26" s="1">
        <v>44380</v>
      </c>
    </row>
    <row r="27" spans="1:23" x14ac:dyDescent="0.25">
      <c r="A27"/>
      <c r="B27" s="1">
        <v>53440</v>
      </c>
      <c r="C27" s="1">
        <v>44510</v>
      </c>
      <c r="E27" s="1"/>
      <c r="F27" s="1"/>
      <c r="P27" s="1">
        <v>46350</v>
      </c>
      <c r="Q27" s="1">
        <v>44930</v>
      </c>
    </row>
    <row r="28" spans="1:23" x14ac:dyDescent="0.25">
      <c r="A28"/>
      <c r="B28" s="1">
        <v>53990</v>
      </c>
      <c r="C28" s="1">
        <v>44710</v>
      </c>
      <c r="E28" s="1"/>
      <c r="F28" s="1"/>
      <c r="P28" s="1">
        <v>46900</v>
      </c>
      <c r="Q28" s="1">
        <v>45130</v>
      </c>
    </row>
    <row r="29" spans="1:23" x14ac:dyDescent="0.25">
      <c r="A29"/>
      <c r="B29" s="1">
        <v>54190</v>
      </c>
      <c r="C29" s="1">
        <v>44710</v>
      </c>
      <c r="E29" s="1"/>
      <c r="F29" s="1"/>
      <c r="P29" s="1">
        <v>47100</v>
      </c>
      <c r="Q29" s="1">
        <v>45130</v>
      </c>
    </row>
    <row r="30" spans="1:23" x14ac:dyDescent="0.25">
      <c r="A30"/>
      <c r="B30" s="1">
        <v>54190</v>
      </c>
      <c r="C30" s="1">
        <v>47060</v>
      </c>
      <c r="E30" s="1"/>
      <c r="F30" s="1"/>
      <c r="P30" s="1">
        <v>47100</v>
      </c>
      <c r="Q30" s="1">
        <v>47480</v>
      </c>
    </row>
    <row r="31" spans="1:23" x14ac:dyDescent="0.25">
      <c r="A31"/>
      <c r="B31" s="1">
        <v>56540</v>
      </c>
      <c r="C31" s="1">
        <v>46060</v>
      </c>
      <c r="E31" s="1"/>
      <c r="F31" s="1"/>
      <c r="P31" s="1">
        <v>49450</v>
      </c>
      <c r="Q31" s="1">
        <v>46480</v>
      </c>
    </row>
    <row r="32" spans="1:23" x14ac:dyDescent="0.25">
      <c r="A32"/>
      <c r="B32" s="1">
        <v>55540</v>
      </c>
      <c r="C32" s="1">
        <v>44260</v>
      </c>
      <c r="E32" s="1"/>
      <c r="F32" s="1"/>
      <c r="P32" s="1">
        <v>48450</v>
      </c>
      <c r="Q32" s="1">
        <v>44680</v>
      </c>
    </row>
    <row r="33" spans="1:17" x14ac:dyDescent="0.25">
      <c r="A33"/>
      <c r="B33" s="1">
        <v>53740</v>
      </c>
      <c r="C33" s="1">
        <v>44360</v>
      </c>
      <c r="E33" s="1"/>
      <c r="F33" s="1"/>
      <c r="P33" s="1">
        <v>46650</v>
      </c>
      <c r="Q33" s="1">
        <v>44780</v>
      </c>
    </row>
    <row r="34" spans="1:17" x14ac:dyDescent="0.25">
      <c r="A34"/>
      <c r="B34" s="1">
        <v>53840</v>
      </c>
      <c r="C34" s="1">
        <v>43360</v>
      </c>
      <c r="E34" s="1"/>
      <c r="F34" s="1"/>
      <c r="P34" s="1">
        <v>46750</v>
      </c>
      <c r="Q34" s="1">
        <v>43780</v>
      </c>
    </row>
    <row r="35" spans="1:17" x14ac:dyDescent="0.25">
      <c r="A35"/>
      <c r="B35" s="1">
        <v>52840</v>
      </c>
      <c r="C35" s="1">
        <v>44710</v>
      </c>
      <c r="E35" s="1"/>
      <c r="F35" s="1"/>
      <c r="P35" s="1">
        <v>45750</v>
      </c>
      <c r="Q35" s="1">
        <v>45130</v>
      </c>
    </row>
    <row r="36" spans="1:17" x14ac:dyDescent="0.25">
      <c r="A36"/>
      <c r="B36" s="1">
        <v>54190</v>
      </c>
      <c r="C36" s="1">
        <v>44160</v>
      </c>
      <c r="E36" s="1"/>
      <c r="F36" s="1"/>
      <c r="P36" s="1">
        <v>47100</v>
      </c>
      <c r="Q36" s="1">
        <v>44580</v>
      </c>
    </row>
    <row r="37" spans="1:17" x14ac:dyDescent="0.25">
      <c r="A37"/>
      <c r="B37" s="1">
        <v>53640</v>
      </c>
      <c r="C37" s="1">
        <v>44710</v>
      </c>
      <c r="E37" s="1"/>
      <c r="F37" s="1"/>
      <c r="P37" s="1">
        <v>46550</v>
      </c>
      <c r="Q37" s="1">
        <v>45130</v>
      </c>
    </row>
    <row r="38" spans="1:17" x14ac:dyDescent="0.25">
      <c r="A38"/>
      <c r="B38" s="1">
        <v>55190</v>
      </c>
      <c r="C38" s="1">
        <v>44910</v>
      </c>
      <c r="E38" s="1"/>
      <c r="F38" s="1"/>
      <c r="P38" s="1">
        <v>48100</v>
      </c>
      <c r="Q38" s="1">
        <v>45330</v>
      </c>
    </row>
    <row r="39" spans="1:17" x14ac:dyDescent="0.25">
      <c r="A39"/>
      <c r="B39" s="1">
        <v>53390</v>
      </c>
      <c r="C39" s="1">
        <v>44910</v>
      </c>
      <c r="E39" s="1"/>
      <c r="F39" s="1"/>
      <c r="P39" s="1">
        <v>46300</v>
      </c>
      <c r="Q39" s="1">
        <v>45330</v>
      </c>
    </row>
    <row r="40" spans="1:17" x14ac:dyDescent="0.25">
      <c r="A40"/>
      <c r="B40" s="1">
        <v>53490</v>
      </c>
      <c r="C40" s="1">
        <v>47260</v>
      </c>
      <c r="E40" s="1"/>
      <c r="F40" s="1"/>
      <c r="P40" s="1">
        <v>46400</v>
      </c>
      <c r="Q40" s="1">
        <v>47680</v>
      </c>
    </row>
    <row r="41" spans="1:17" x14ac:dyDescent="0.25">
      <c r="A41"/>
      <c r="B41" s="1">
        <v>52490</v>
      </c>
      <c r="C41" s="1">
        <v>46260</v>
      </c>
      <c r="E41" s="1"/>
      <c r="F41" s="1"/>
      <c r="P41" s="1">
        <v>45400</v>
      </c>
      <c r="Q41" s="1">
        <v>46680</v>
      </c>
    </row>
    <row r="42" spans="1:17" x14ac:dyDescent="0.25">
      <c r="A42"/>
      <c r="B42" s="1">
        <v>53840</v>
      </c>
      <c r="C42" s="1">
        <v>44260</v>
      </c>
      <c r="E42" s="1"/>
      <c r="F42" s="1"/>
      <c r="P42" s="1">
        <v>46750</v>
      </c>
      <c r="Q42" s="1">
        <v>44680</v>
      </c>
    </row>
    <row r="43" spans="1:17" x14ac:dyDescent="0.25">
      <c r="A43"/>
      <c r="B43" s="1">
        <v>53290</v>
      </c>
      <c r="C43" s="1">
        <v>44360</v>
      </c>
      <c r="E43" s="1"/>
      <c r="F43" s="1"/>
      <c r="P43" s="1">
        <v>46200</v>
      </c>
      <c r="Q43" s="1">
        <v>44780</v>
      </c>
    </row>
    <row r="44" spans="1:17" x14ac:dyDescent="0.25">
      <c r="A44"/>
      <c r="B44" s="1">
        <v>53840</v>
      </c>
      <c r="C44" s="1">
        <v>43360</v>
      </c>
      <c r="E44" s="1"/>
      <c r="F44" s="1"/>
      <c r="P44" s="1">
        <v>46750</v>
      </c>
      <c r="Q44" s="1">
        <v>43780</v>
      </c>
    </row>
    <row r="45" spans="1:17" x14ac:dyDescent="0.25">
      <c r="A45"/>
      <c r="B45" s="1">
        <v>54040</v>
      </c>
      <c r="C45" s="1">
        <v>44710</v>
      </c>
      <c r="E45" s="1"/>
      <c r="F45" s="1"/>
      <c r="P45" s="1">
        <v>46950</v>
      </c>
      <c r="Q45" s="1">
        <v>45130</v>
      </c>
    </row>
    <row r="46" spans="1:17" x14ac:dyDescent="0.25">
      <c r="A46"/>
      <c r="B46" s="1">
        <v>54040</v>
      </c>
      <c r="C46" s="1">
        <v>44160</v>
      </c>
      <c r="E46" s="1"/>
      <c r="F46" s="1"/>
      <c r="P46" s="1">
        <v>46950</v>
      </c>
      <c r="Q46" s="1">
        <v>44580</v>
      </c>
    </row>
    <row r="47" spans="1:17" x14ac:dyDescent="0.25">
      <c r="A47"/>
      <c r="B47" s="1">
        <v>56390</v>
      </c>
      <c r="C47" s="1">
        <v>44710</v>
      </c>
      <c r="E47" s="1"/>
      <c r="F47" s="1"/>
      <c r="P47" s="1">
        <v>49300</v>
      </c>
      <c r="Q47" s="1">
        <v>45130</v>
      </c>
    </row>
    <row r="48" spans="1:17" x14ac:dyDescent="0.25">
      <c r="A48"/>
      <c r="B48" s="1">
        <v>55390</v>
      </c>
      <c r="C48" s="1">
        <v>44910</v>
      </c>
      <c r="E48" s="1"/>
      <c r="F48" s="1"/>
      <c r="P48" s="1">
        <v>48300</v>
      </c>
      <c r="Q48" s="1">
        <v>45330</v>
      </c>
    </row>
    <row r="49" spans="1:17" x14ac:dyDescent="0.25">
      <c r="A49"/>
      <c r="B49" s="1">
        <v>53390</v>
      </c>
      <c r="C49" s="1">
        <v>44910</v>
      </c>
      <c r="E49" s="1"/>
      <c r="F49" s="1"/>
      <c r="P49" s="1">
        <v>46300</v>
      </c>
      <c r="Q49" s="1">
        <v>45330</v>
      </c>
    </row>
    <row r="50" spans="1:17" x14ac:dyDescent="0.25">
      <c r="A50"/>
      <c r="B50" s="1">
        <v>53490</v>
      </c>
      <c r="C50" s="1">
        <v>47260</v>
      </c>
      <c r="E50" s="1"/>
      <c r="F50" s="1"/>
      <c r="P50" s="1">
        <v>46400</v>
      </c>
      <c r="Q50" s="1">
        <v>47680</v>
      </c>
    </row>
    <row r="51" spans="1:17" x14ac:dyDescent="0.25">
      <c r="A51"/>
      <c r="B51" s="1">
        <v>52490</v>
      </c>
      <c r="C51" s="1">
        <v>46260</v>
      </c>
      <c r="E51" s="1"/>
      <c r="F51" s="1"/>
      <c r="P51" s="1">
        <v>45400</v>
      </c>
      <c r="Q51" s="1">
        <v>46680</v>
      </c>
    </row>
    <row r="52" spans="1:17" x14ac:dyDescent="0.25">
      <c r="A52"/>
      <c r="B52" s="1">
        <v>53840</v>
      </c>
      <c r="C52" s="1">
        <v>44460</v>
      </c>
      <c r="E52" s="1"/>
      <c r="F52" s="1"/>
      <c r="P52" s="1">
        <v>46750</v>
      </c>
      <c r="Q52" s="1">
        <v>44880</v>
      </c>
    </row>
    <row r="53" spans="1:17" x14ac:dyDescent="0.25">
      <c r="A53"/>
      <c r="B53" s="1">
        <v>53290</v>
      </c>
      <c r="C53" s="1">
        <v>44560</v>
      </c>
      <c r="E53" s="1"/>
      <c r="F53" s="1"/>
      <c r="P53" s="1">
        <v>46200</v>
      </c>
      <c r="Q53" s="1">
        <v>44980</v>
      </c>
    </row>
    <row r="54" spans="1:17" x14ac:dyDescent="0.25">
      <c r="A54"/>
      <c r="B54" s="1">
        <v>53840</v>
      </c>
      <c r="C54" s="1">
        <v>43560</v>
      </c>
      <c r="E54" s="1"/>
      <c r="F54" s="1"/>
      <c r="P54" s="1">
        <v>46750</v>
      </c>
      <c r="Q54" s="1">
        <v>43980</v>
      </c>
    </row>
    <row r="55" spans="1:17" x14ac:dyDescent="0.25">
      <c r="A55"/>
      <c r="B55" s="1">
        <v>54040</v>
      </c>
      <c r="C55" s="1">
        <v>44910</v>
      </c>
      <c r="E55" s="1"/>
      <c r="F55" s="1"/>
      <c r="P55" s="1">
        <v>46950</v>
      </c>
      <c r="Q55" s="1">
        <v>45330</v>
      </c>
    </row>
    <row r="56" spans="1:17" x14ac:dyDescent="0.25">
      <c r="A56"/>
      <c r="B56" s="1">
        <v>54040</v>
      </c>
      <c r="C56" s="1">
        <v>65360</v>
      </c>
      <c r="E56" s="1"/>
      <c r="F56" s="1"/>
      <c r="P56" s="1">
        <v>46950</v>
      </c>
      <c r="Q56" s="1">
        <v>65780</v>
      </c>
    </row>
    <row r="57" spans="1:17" x14ac:dyDescent="0.25">
      <c r="A57"/>
      <c r="B57" s="1">
        <v>56390</v>
      </c>
      <c r="C57" s="1">
        <v>44910</v>
      </c>
      <c r="E57" s="1"/>
      <c r="F57" s="1"/>
      <c r="P57" s="1">
        <v>49300</v>
      </c>
      <c r="Q57" s="1">
        <v>45330</v>
      </c>
    </row>
    <row r="58" spans="1:17" x14ac:dyDescent="0.25">
      <c r="B58" s="1">
        <v>55390</v>
      </c>
      <c r="C58" s="1">
        <v>45110</v>
      </c>
      <c r="E58" s="1"/>
      <c r="F58" s="1"/>
    </row>
    <row r="59" spans="1:17" x14ac:dyDescent="0.25">
      <c r="B59" s="1">
        <v>53590</v>
      </c>
      <c r="C59" s="1">
        <v>45110</v>
      </c>
      <c r="E59" s="1"/>
      <c r="F59" s="1"/>
    </row>
    <row r="60" spans="1:17" x14ac:dyDescent="0.25">
      <c r="B60" s="1">
        <v>53690</v>
      </c>
      <c r="C60" s="1">
        <v>32460</v>
      </c>
      <c r="E60" s="1"/>
      <c r="F60" s="1"/>
    </row>
    <row r="61" spans="1:17" x14ac:dyDescent="0.25">
      <c r="B61" s="1">
        <v>52690</v>
      </c>
      <c r="C61" s="1">
        <v>46460</v>
      </c>
      <c r="E61" s="1"/>
      <c r="F61" s="1"/>
    </row>
    <row r="62" spans="1:17" x14ac:dyDescent="0.25">
      <c r="B62" s="1">
        <v>54040</v>
      </c>
      <c r="C62" s="1">
        <v>43960</v>
      </c>
      <c r="E62" s="1"/>
      <c r="F62" s="1"/>
    </row>
    <row r="63" spans="1:17" x14ac:dyDescent="0.25">
      <c r="B63" s="1">
        <v>53770</v>
      </c>
      <c r="C63" s="1">
        <v>44060</v>
      </c>
      <c r="E63" s="1"/>
      <c r="F63" s="1"/>
    </row>
    <row r="64" spans="1:17" x14ac:dyDescent="0.25">
      <c r="B64" s="1">
        <v>53870</v>
      </c>
      <c r="C64" s="1">
        <v>43060</v>
      </c>
      <c r="E64" s="1"/>
      <c r="F64" s="1"/>
    </row>
    <row r="65" spans="2:6" x14ac:dyDescent="0.25">
      <c r="B65" s="1">
        <v>52870</v>
      </c>
      <c r="C65" s="1">
        <v>44410</v>
      </c>
      <c r="E65" s="1"/>
      <c r="F65" s="1"/>
    </row>
    <row r="66" spans="2:6" x14ac:dyDescent="0.25">
      <c r="B66" s="1">
        <v>54220</v>
      </c>
      <c r="C66" s="1">
        <v>43860</v>
      </c>
      <c r="E66" s="1"/>
      <c r="F66" s="1"/>
    </row>
    <row r="67" spans="2:6" x14ac:dyDescent="0.25">
      <c r="B67" s="1">
        <v>53670</v>
      </c>
      <c r="C67" s="1">
        <v>44410</v>
      </c>
      <c r="E67" s="1"/>
      <c r="F67" s="1"/>
    </row>
    <row r="68" spans="2:6" x14ac:dyDescent="0.25">
      <c r="B68" s="1">
        <v>54220</v>
      </c>
      <c r="C68" s="1">
        <v>44610</v>
      </c>
      <c r="E68" s="1"/>
      <c r="F68" s="1"/>
    </row>
    <row r="69" spans="2:6" x14ac:dyDescent="0.25">
      <c r="B69" s="1">
        <v>54420</v>
      </c>
      <c r="C69" s="1">
        <v>44610</v>
      </c>
      <c r="E69" s="1"/>
      <c r="F69" s="1"/>
    </row>
    <row r="70" spans="2:6" x14ac:dyDescent="0.25">
      <c r="B70" s="1">
        <v>54090</v>
      </c>
      <c r="C70" s="1">
        <v>46960</v>
      </c>
      <c r="E70" s="1"/>
      <c r="F70" s="1"/>
    </row>
    <row r="71" spans="2:6" x14ac:dyDescent="0.25">
      <c r="B71" s="1">
        <v>56440</v>
      </c>
      <c r="C71" s="1">
        <v>45960</v>
      </c>
      <c r="E71" s="1"/>
      <c r="F71" s="1"/>
    </row>
    <row r="72" spans="2:6" x14ac:dyDescent="0.25">
      <c r="B72" s="1">
        <v>55440</v>
      </c>
      <c r="C72" s="1">
        <v>44160</v>
      </c>
      <c r="E72" s="1"/>
      <c r="F72" s="1"/>
    </row>
    <row r="73" spans="2:6" x14ac:dyDescent="0.25">
      <c r="B73" s="1">
        <v>53640</v>
      </c>
      <c r="C73" s="1">
        <v>44260</v>
      </c>
      <c r="E73" s="1"/>
      <c r="F73" s="1"/>
    </row>
    <row r="74" spans="2:6" x14ac:dyDescent="0.25">
      <c r="B74" s="1">
        <v>53740</v>
      </c>
      <c r="C74" s="1">
        <v>43260</v>
      </c>
      <c r="E74" s="1"/>
      <c r="F74" s="1"/>
    </row>
    <row r="75" spans="2:6" x14ac:dyDescent="0.25">
      <c r="B75" s="1">
        <v>52740</v>
      </c>
      <c r="C75" s="1">
        <v>44610</v>
      </c>
      <c r="E75" s="1"/>
      <c r="F75" s="1"/>
    </row>
    <row r="76" spans="2:6" x14ac:dyDescent="0.25">
      <c r="B76" s="1">
        <v>54090</v>
      </c>
      <c r="C76" s="1">
        <v>44060</v>
      </c>
      <c r="E76" s="1"/>
      <c r="F76" s="1"/>
    </row>
    <row r="77" spans="2:6" x14ac:dyDescent="0.25">
      <c r="B77" s="1">
        <v>53540</v>
      </c>
      <c r="C77" s="1">
        <v>44610</v>
      </c>
      <c r="E77" s="1"/>
      <c r="F77" s="1"/>
    </row>
    <row r="78" spans="2:6" x14ac:dyDescent="0.25">
      <c r="B78" s="1">
        <v>54090</v>
      </c>
      <c r="C78" s="1">
        <v>44810</v>
      </c>
      <c r="E78" s="1"/>
      <c r="F78" s="1"/>
    </row>
    <row r="79" spans="2:6" x14ac:dyDescent="0.25">
      <c r="B79" s="1">
        <v>54290</v>
      </c>
      <c r="C79" s="1">
        <v>45310</v>
      </c>
      <c r="E79" s="1"/>
      <c r="F79" s="1"/>
    </row>
    <row r="80" spans="2:6" x14ac:dyDescent="0.25">
      <c r="B80" s="1">
        <v>54290</v>
      </c>
      <c r="C80" s="1">
        <v>47160</v>
      </c>
      <c r="E80" s="1"/>
      <c r="F80" s="1"/>
    </row>
    <row r="81" spans="2:6" x14ac:dyDescent="0.25">
      <c r="B81" s="1">
        <v>36640</v>
      </c>
      <c r="C81" s="1">
        <v>47560</v>
      </c>
      <c r="E81" s="1"/>
      <c r="F81" s="1"/>
    </row>
    <row r="82" spans="2:6" x14ac:dyDescent="0.25">
      <c r="B82" s="1">
        <v>55640</v>
      </c>
      <c r="C82" s="1">
        <v>47960</v>
      </c>
      <c r="E82" s="1"/>
      <c r="F82" s="1"/>
    </row>
    <row r="83" spans="2:6" x14ac:dyDescent="0.25">
      <c r="B83" s="1">
        <v>73140</v>
      </c>
      <c r="C83" s="1">
        <v>47860</v>
      </c>
      <c r="E83" s="1"/>
      <c r="F83" s="1"/>
    </row>
    <row r="84" spans="2:6" x14ac:dyDescent="0.25">
      <c r="B84" s="1">
        <v>53240</v>
      </c>
      <c r="C84" s="1">
        <v>48560</v>
      </c>
      <c r="E84" s="1"/>
      <c r="F84" s="1"/>
    </row>
    <row r="85" spans="2:6" x14ac:dyDescent="0.25">
      <c r="B85" s="1">
        <v>72240</v>
      </c>
      <c r="C85" s="1">
        <v>49060</v>
      </c>
      <c r="E85" s="1"/>
      <c r="F85" s="1"/>
    </row>
    <row r="86" spans="2:6" x14ac:dyDescent="0.25">
      <c r="B86" s="1">
        <v>73590</v>
      </c>
      <c r="C86" s="1">
        <v>49160</v>
      </c>
      <c r="E86" s="1"/>
      <c r="F86" s="1"/>
    </row>
    <row r="87" spans="2:6" x14ac:dyDescent="0.25">
      <c r="B87" s="1">
        <v>53040</v>
      </c>
      <c r="C87" s="1">
        <v>49560</v>
      </c>
      <c r="E87" s="1"/>
      <c r="F87" s="1"/>
    </row>
    <row r="88" spans="2:6" x14ac:dyDescent="0.25">
      <c r="B88" s="1">
        <v>63835</v>
      </c>
      <c r="C88" s="1">
        <v>39960</v>
      </c>
      <c r="E88" s="1"/>
      <c r="F88" s="1"/>
    </row>
    <row r="89" spans="2:6" x14ac:dyDescent="0.25">
      <c r="B89" s="1">
        <v>54035</v>
      </c>
      <c r="C89" s="1">
        <v>51160</v>
      </c>
      <c r="E89" s="1"/>
      <c r="F89" s="1"/>
    </row>
    <row r="90" spans="2:6" x14ac:dyDescent="0.25">
      <c r="B90" s="1">
        <v>54035</v>
      </c>
      <c r="C90" s="1">
        <v>47160</v>
      </c>
      <c r="E90" s="1"/>
      <c r="F90" s="1"/>
    </row>
    <row r="91" spans="2:6" x14ac:dyDescent="0.25">
      <c r="B91" s="1">
        <v>56385</v>
      </c>
      <c r="C91" s="1">
        <v>46560</v>
      </c>
      <c r="E91" s="1"/>
      <c r="F91" s="1"/>
    </row>
    <row r="92" spans="2:6" x14ac:dyDescent="0.25">
      <c r="B92" s="1">
        <v>55385</v>
      </c>
      <c r="C92" s="1">
        <v>44760</v>
      </c>
      <c r="E92" s="1"/>
      <c r="F92" s="1"/>
    </row>
    <row r="93" spans="2:6" x14ac:dyDescent="0.25">
      <c r="B93" s="1">
        <v>53585</v>
      </c>
      <c r="C93" s="1">
        <v>44860</v>
      </c>
      <c r="E93" s="1"/>
      <c r="F93" s="1"/>
    </row>
    <row r="94" spans="2:6" x14ac:dyDescent="0.25">
      <c r="B94" s="1">
        <v>53685</v>
      </c>
      <c r="C94" s="1">
        <v>43860</v>
      </c>
      <c r="E94" s="1"/>
      <c r="F94" s="1"/>
    </row>
    <row r="95" spans="2:6" x14ac:dyDescent="0.25">
      <c r="B95" s="1">
        <v>42685</v>
      </c>
      <c r="C95" s="1">
        <v>45210</v>
      </c>
      <c r="E95" s="1"/>
      <c r="F95" s="1"/>
    </row>
    <row r="96" spans="2:6" x14ac:dyDescent="0.25">
      <c r="B96" s="1">
        <v>34035</v>
      </c>
      <c r="C96" s="1">
        <v>23660</v>
      </c>
      <c r="E96" s="1"/>
      <c r="F96" s="1"/>
    </row>
    <row r="97" spans="2:6" x14ac:dyDescent="0.25">
      <c r="B97" s="1">
        <v>53485</v>
      </c>
      <c r="C97" s="1">
        <v>45210</v>
      </c>
      <c r="E97" s="1"/>
      <c r="F97" s="1"/>
    </row>
    <row r="98" spans="2:6" x14ac:dyDescent="0.25">
      <c r="B98" s="1">
        <v>54035</v>
      </c>
      <c r="C98" s="1">
        <v>55410</v>
      </c>
      <c r="E98" s="1"/>
      <c r="F98" s="1"/>
    </row>
    <row r="99" spans="2:6" x14ac:dyDescent="0.25">
      <c r="B99" s="1">
        <v>54235</v>
      </c>
      <c r="C99" s="1">
        <v>60410</v>
      </c>
      <c r="E99" s="1"/>
      <c r="F99" s="1"/>
    </row>
    <row r="100" spans="2:6" x14ac:dyDescent="0.25">
      <c r="B100" s="1">
        <v>54235</v>
      </c>
      <c r="C100" s="1">
        <v>47760</v>
      </c>
      <c r="E100" s="1"/>
      <c r="F100" s="1"/>
    </row>
    <row r="101" spans="2:6" x14ac:dyDescent="0.25">
      <c r="B101" s="1">
        <v>36595</v>
      </c>
      <c r="C101" s="1">
        <v>46760</v>
      </c>
      <c r="E101" s="1"/>
      <c r="F101" s="1"/>
    </row>
  </sheetData>
  <mergeCells count="1">
    <mergeCell ref="I2:M2"/>
  </mergeCells>
  <pageMargins left="0.75" right="0.75" top="1" bottom="1" header="0.5" footer="0.5"/>
  <pageSetup paperSize="9" orientation="portrait" verticalDpi="2" r:id="rId1"/>
  <headerFooter alignWithMargins="0"/>
  <ignoredErrors>
    <ignoredError sqref="J6:K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D4" workbookViewId="0">
      <selection activeCell="H20" sqref="H19:H20"/>
    </sheetView>
  </sheetViews>
  <sheetFormatPr defaultRowHeight="13.2" x14ac:dyDescent="0.25"/>
  <cols>
    <col min="1" max="2" width="10.6640625" style="1" customWidth="1"/>
    <col min="4" max="4" width="25.6640625" customWidth="1"/>
    <col min="5" max="6" width="10.6640625" customWidth="1"/>
    <col min="8" max="8" width="37.5546875" customWidth="1"/>
    <col min="9" max="10" width="13.88671875" bestFit="1" customWidth="1"/>
    <col min="11" max="11" width="16.44140625" customWidth="1"/>
    <col min="12" max="12" width="9.33203125" bestFit="1" customWidth="1"/>
  </cols>
  <sheetData>
    <row r="1" spans="1:12" ht="13.8" thickBot="1" x14ac:dyDescent="0.3">
      <c r="A1" s="23" t="s">
        <v>33</v>
      </c>
      <c r="B1" s="23" t="s">
        <v>34</v>
      </c>
    </row>
    <row r="2" spans="1:12" ht="16.2" thickBot="1" x14ac:dyDescent="0.4">
      <c r="A2" s="10">
        <v>6.8</v>
      </c>
      <c r="B2" s="10">
        <v>5.2</v>
      </c>
      <c r="D2" t="s">
        <v>35</v>
      </c>
      <c r="H2" s="84" t="s">
        <v>58</v>
      </c>
      <c r="I2" s="85"/>
      <c r="J2" s="85"/>
      <c r="K2" s="85"/>
      <c r="L2" s="86"/>
    </row>
    <row r="3" spans="1:12" ht="13.8" thickBot="1" x14ac:dyDescent="0.3">
      <c r="A3" s="10">
        <v>5</v>
      </c>
      <c r="B3" s="10">
        <v>6.7</v>
      </c>
    </row>
    <row r="4" spans="1:12" ht="14.4" x14ac:dyDescent="0.3">
      <c r="A4" s="10">
        <v>7.9</v>
      </c>
      <c r="B4" s="10">
        <v>5.7</v>
      </c>
      <c r="D4" s="4"/>
      <c r="E4" s="4" t="s">
        <v>33</v>
      </c>
      <c r="F4" s="4" t="s">
        <v>34</v>
      </c>
      <c r="H4" s="34"/>
      <c r="I4" s="25" t="s">
        <v>52</v>
      </c>
      <c r="J4" s="25" t="s">
        <v>53</v>
      </c>
    </row>
    <row r="5" spans="1:12" ht="14.4" x14ac:dyDescent="0.3">
      <c r="A5" s="10">
        <v>5.2</v>
      </c>
      <c r="B5" s="10">
        <v>6.6</v>
      </c>
      <c r="D5" t="s">
        <v>3</v>
      </c>
      <c r="E5">
        <v>6.2879999999999985</v>
      </c>
      <c r="F5">
        <v>6.016</v>
      </c>
      <c r="H5" s="25" t="s">
        <v>54</v>
      </c>
      <c r="I5" s="35">
        <v>6.2880000000000003</v>
      </c>
      <c r="J5" s="26">
        <v>6.016</v>
      </c>
      <c r="K5" s="27" t="s">
        <v>59</v>
      </c>
      <c r="L5" s="48">
        <f>(I5-J5-I10)/I9</f>
        <v>0.92731823212478659</v>
      </c>
    </row>
    <row r="6" spans="1:12" ht="14.4" x14ac:dyDescent="0.3">
      <c r="A6" s="10">
        <v>7.6</v>
      </c>
      <c r="B6" s="10">
        <v>8.5</v>
      </c>
      <c r="D6" t="s">
        <v>26</v>
      </c>
      <c r="E6" s="5">
        <v>0.84776666666668155</v>
      </c>
      <c r="F6" s="5">
        <v>1.3030666666666519</v>
      </c>
      <c r="H6" s="25" t="s">
        <v>60</v>
      </c>
      <c r="I6" s="38">
        <f>SQRT(0.8478)</f>
        <v>0.92076055519336841</v>
      </c>
      <c r="J6" s="39">
        <f>SQRT(1.3031)</f>
        <v>1.1415340555585716</v>
      </c>
      <c r="K6" s="25" t="s">
        <v>29</v>
      </c>
      <c r="L6" s="47">
        <f>1-_xlfn.T.DIST(ABS(L5),(I7+J7-2),1)</f>
        <v>0.17920043544026754</v>
      </c>
    </row>
    <row r="7" spans="1:12" ht="14.4" x14ac:dyDescent="0.3">
      <c r="A7" s="10">
        <v>5</v>
      </c>
      <c r="B7" s="10">
        <v>6.5</v>
      </c>
      <c r="D7" t="s">
        <v>5</v>
      </c>
      <c r="E7">
        <v>25</v>
      </c>
      <c r="F7">
        <v>25</v>
      </c>
      <c r="H7" s="25" t="s">
        <v>56</v>
      </c>
      <c r="I7" s="35">
        <v>25</v>
      </c>
      <c r="J7" s="35">
        <v>25</v>
      </c>
      <c r="K7" s="25" t="s">
        <v>30</v>
      </c>
      <c r="L7" s="48">
        <f>_xlfn.T.INV(1-I11,I7+J7-2)</f>
        <v>1.6772241961243386</v>
      </c>
    </row>
    <row r="8" spans="1:12" ht="14.4" x14ac:dyDescent="0.3">
      <c r="A8" s="10">
        <v>5.9</v>
      </c>
      <c r="B8" s="10">
        <v>5.9</v>
      </c>
      <c r="D8" t="s">
        <v>36</v>
      </c>
      <c r="E8" s="7">
        <v>1.0754166666666667</v>
      </c>
      <c r="H8" s="25" t="s">
        <v>61</v>
      </c>
      <c r="I8" s="49">
        <f>((I7-1)*I6^2+(J7-1)*J6^2)/(I7+J7-2)</f>
        <v>1.07545</v>
      </c>
      <c r="J8" s="37"/>
      <c r="K8" s="25" t="s">
        <v>31</v>
      </c>
      <c r="L8" s="47">
        <f>2*L6</f>
        <v>0.35840087088053507</v>
      </c>
    </row>
    <row r="9" spans="1:12" ht="14.4" x14ac:dyDescent="0.3">
      <c r="A9" s="10">
        <v>5.2</v>
      </c>
      <c r="B9" s="10">
        <v>6.7</v>
      </c>
      <c r="D9" t="s">
        <v>6</v>
      </c>
      <c r="E9">
        <v>0</v>
      </c>
      <c r="H9" s="25" t="s">
        <v>48</v>
      </c>
      <c r="I9" s="49">
        <f>SQRT(I6^2/I7+J6^2/J7)</f>
        <v>0.293318939040765</v>
      </c>
      <c r="J9" s="37"/>
      <c r="K9" s="25" t="s">
        <v>32</v>
      </c>
      <c r="L9" s="48">
        <f>_xlfn.T.INV(1-I11/2,I7+J7-2)</f>
        <v>2.0106347576242314</v>
      </c>
    </row>
    <row r="10" spans="1:12" ht="14.4" x14ac:dyDescent="0.3">
      <c r="A10" s="10">
        <v>6.5</v>
      </c>
      <c r="B10" s="10">
        <v>6.6</v>
      </c>
      <c r="D10" t="s">
        <v>27</v>
      </c>
      <c r="E10">
        <v>48</v>
      </c>
      <c r="H10" s="25" t="s">
        <v>57</v>
      </c>
      <c r="I10" s="35">
        <v>0</v>
      </c>
      <c r="J10" s="25"/>
      <c r="K10" s="40"/>
      <c r="L10" s="40"/>
    </row>
    <row r="11" spans="1:12" ht="14.4" x14ac:dyDescent="0.3">
      <c r="A11" s="10">
        <v>7.4</v>
      </c>
      <c r="B11" s="10">
        <v>4.2</v>
      </c>
      <c r="D11" t="s">
        <v>28</v>
      </c>
      <c r="E11" s="7">
        <v>0.92733260346994151</v>
      </c>
      <c r="H11" s="25" t="s">
        <v>49</v>
      </c>
      <c r="I11" s="36">
        <v>0.05</v>
      </c>
      <c r="J11" s="25"/>
      <c r="K11" s="40"/>
      <c r="L11" s="40"/>
    </row>
    <row r="12" spans="1:12" x14ac:dyDescent="0.25">
      <c r="A12" s="10">
        <v>6.1</v>
      </c>
      <c r="B12" s="10">
        <v>4.2</v>
      </c>
      <c r="D12" t="s">
        <v>29</v>
      </c>
      <c r="E12" s="5">
        <v>0.179196743945986</v>
      </c>
    </row>
    <row r="13" spans="1:12" x14ac:dyDescent="0.25">
      <c r="A13" s="10">
        <v>6.2</v>
      </c>
      <c r="B13" s="10">
        <v>4.5</v>
      </c>
      <c r="D13" t="s">
        <v>30</v>
      </c>
      <c r="E13" s="5">
        <v>1.6772241966028223</v>
      </c>
    </row>
    <row r="14" spans="1:12" x14ac:dyDescent="0.25">
      <c r="A14" s="10">
        <v>7.1</v>
      </c>
      <c r="B14" s="10">
        <v>5.3</v>
      </c>
      <c r="D14" t="s">
        <v>31</v>
      </c>
      <c r="E14" s="7">
        <v>0.35839348789197201</v>
      </c>
    </row>
    <row r="15" spans="1:12" ht="13.8" thickBot="1" x14ac:dyDescent="0.3">
      <c r="A15" s="10">
        <v>4.5999999999999996</v>
      </c>
      <c r="B15" s="10">
        <v>7.9</v>
      </c>
      <c r="D15" s="3" t="s">
        <v>32</v>
      </c>
      <c r="E15" s="6">
        <v>2.0106347219262766</v>
      </c>
      <c r="F15" s="3"/>
    </row>
    <row r="16" spans="1:12" x14ac:dyDescent="0.25">
      <c r="A16" s="10">
        <v>6</v>
      </c>
      <c r="B16" s="10">
        <v>7</v>
      </c>
    </row>
    <row r="17" spans="1:2" x14ac:dyDescent="0.25">
      <c r="A17" s="10">
        <v>7.1</v>
      </c>
      <c r="B17" s="10">
        <v>5.9</v>
      </c>
    </row>
    <row r="18" spans="1:2" x14ac:dyDescent="0.25">
      <c r="A18" s="10">
        <v>6.1</v>
      </c>
      <c r="B18" s="10">
        <v>7.1</v>
      </c>
    </row>
    <row r="19" spans="1:2" x14ac:dyDescent="0.25">
      <c r="A19" s="10">
        <v>5</v>
      </c>
      <c r="B19" s="10">
        <v>5.8</v>
      </c>
    </row>
    <row r="20" spans="1:2" x14ac:dyDescent="0.25">
      <c r="A20" s="10">
        <v>6.3</v>
      </c>
      <c r="B20" s="10">
        <v>7</v>
      </c>
    </row>
    <row r="21" spans="1:2" x14ac:dyDescent="0.25">
      <c r="A21" s="10">
        <v>7</v>
      </c>
      <c r="B21" s="10">
        <v>5.7</v>
      </c>
    </row>
    <row r="22" spans="1:2" x14ac:dyDescent="0.25">
      <c r="A22" s="10">
        <v>6.4</v>
      </c>
      <c r="B22" s="10">
        <v>5.9</v>
      </c>
    </row>
    <row r="23" spans="1:2" x14ac:dyDescent="0.25">
      <c r="A23" s="10">
        <v>6.1</v>
      </c>
      <c r="B23" s="10">
        <v>4.9000000000000004</v>
      </c>
    </row>
    <row r="24" spans="1:2" x14ac:dyDescent="0.25">
      <c r="A24" s="10">
        <v>6.6</v>
      </c>
      <c r="B24" s="10">
        <v>5.3</v>
      </c>
    </row>
    <row r="25" spans="1:2" x14ac:dyDescent="0.25">
      <c r="A25" s="10">
        <v>7.7</v>
      </c>
      <c r="B25" s="10">
        <v>4.2</v>
      </c>
    </row>
    <row r="26" spans="1:2" x14ac:dyDescent="0.25">
      <c r="A26" s="10">
        <v>6.4</v>
      </c>
      <c r="B26" s="10">
        <v>7.1</v>
      </c>
    </row>
  </sheetData>
  <mergeCells count="1">
    <mergeCell ref="H2:L2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D1" workbookViewId="0">
      <selection activeCell="J18" sqref="J18"/>
    </sheetView>
  </sheetViews>
  <sheetFormatPr defaultRowHeight="13.2" x14ac:dyDescent="0.25"/>
  <cols>
    <col min="1" max="1" width="13.21875" style="1" customWidth="1"/>
    <col min="2" max="2" width="14.5546875" style="1" customWidth="1"/>
    <col min="4" max="4" width="27.21875" customWidth="1"/>
    <col min="5" max="6" width="13.5546875" customWidth="1"/>
    <col min="8" max="8" width="37.5546875" customWidth="1"/>
    <col min="9" max="10" width="13.88671875" bestFit="1" customWidth="1"/>
    <col min="11" max="11" width="16.44140625" customWidth="1"/>
    <col min="12" max="12" width="9.33203125" bestFit="1" customWidth="1"/>
  </cols>
  <sheetData>
    <row r="1" spans="1:12" ht="13.8" thickBot="1" x14ac:dyDescent="0.3">
      <c r="A1" s="17" t="s">
        <v>12</v>
      </c>
      <c r="B1" s="17" t="s">
        <v>13</v>
      </c>
    </row>
    <row r="2" spans="1:12" ht="16.2" thickBot="1" x14ac:dyDescent="0.4">
      <c r="A2" s="1">
        <v>2560</v>
      </c>
      <c r="B2" s="1">
        <v>2008</v>
      </c>
      <c r="D2" t="s">
        <v>47</v>
      </c>
      <c r="H2" s="84" t="s">
        <v>62</v>
      </c>
      <c r="I2" s="85"/>
      <c r="J2" s="85"/>
      <c r="K2" s="85"/>
      <c r="L2" s="86"/>
    </row>
    <row r="3" spans="1:12" ht="13.8" thickBot="1" x14ac:dyDescent="0.3">
      <c r="A3" s="1">
        <v>2420</v>
      </c>
      <c r="B3" s="1">
        <v>2812</v>
      </c>
      <c r="H3" s="16"/>
      <c r="I3" s="16"/>
      <c r="J3" s="16"/>
      <c r="K3" s="16"/>
      <c r="L3" s="16"/>
    </row>
    <row r="4" spans="1:12" ht="14.4" x14ac:dyDescent="0.3">
      <c r="A4" s="1">
        <v>2116</v>
      </c>
      <c r="B4" s="1">
        <v>2940</v>
      </c>
      <c r="D4" s="4"/>
      <c r="E4" s="4" t="s">
        <v>12</v>
      </c>
      <c r="F4" s="4" t="s">
        <v>13</v>
      </c>
      <c r="H4" s="34"/>
      <c r="I4" s="37" t="s">
        <v>52</v>
      </c>
      <c r="J4" s="37" t="s">
        <v>53</v>
      </c>
    </row>
    <row r="5" spans="1:12" ht="14.4" x14ac:dyDescent="0.3">
      <c r="A5" s="1">
        <v>2364</v>
      </c>
      <c r="B5" s="1">
        <v>2828</v>
      </c>
      <c r="D5" t="s">
        <v>3</v>
      </c>
      <c r="E5">
        <v>2383.1999999999998</v>
      </c>
      <c r="F5">
        <v>2644.4</v>
      </c>
      <c r="H5" s="25" t="s">
        <v>54</v>
      </c>
      <c r="I5" s="35">
        <v>2383.1999999999998</v>
      </c>
      <c r="J5" s="26">
        <v>2644.4</v>
      </c>
      <c r="K5" s="27" t="s">
        <v>59</v>
      </c>
      <c r="L5" s="48">
        <f>(I5-J5-I10)/I9</f>
        <v>-2.3143317789278477</v>
      </c>
    </row>
    <row r="6" spans="1:12" ht="14.4" x14ac:dyDescent="0.3">
      <c r="A6" s="1">
        <v>2384</v>
      </c>
      <c r="B6" s="1">
        <v>2092</v>
      </c>
      <c r="D6" t="s">
        <v>26</v>
      </c>
      <c r="E6" s="21">
        <v>20376.177777777779</v>
      </c>
      <c r="F6" s="21">
        <v>214004.0421052638</v>
      </c>
      <c r="H6" s="25" t="s">
        <v>60</v>
      </c>
      <c r="I6" s="41">
        <f>SQRT(20376.18)</f>
        <v>142.74515753607895</v>
      </c>
      <c r="J6" s="42">
        <f>SQRT(214004.04)</f>
        <v>462.60570683898834</v>
      </c>
      <c r="K6" s="25" t="s">
        <v>29</v>
      </c>
      <c r="L6" s="47">
        <f>1-_xlfn.T.DIST(ABS(L5),I8,1)</f>
        <v>1.4576434688799211E-2</v>
      </c>
    </row>
    <row r="7" spans="1:12" ht="14.4" x14ac:dyDescent="0.3">
      <c r="A7" s="1">
        <v>2256</v>
      </c>
      <c r="B7" s="1">
        <v>2136</v>
      </c>
      <c r="D7" t="s">
        <v>5</v>
      </c>
      <c r="E7">
        <v>10</v>
      </c>
      <c r="F7">
        <v>20</v>
      </c>
      <c r="H7" s="25" t="s">
        <v>56</v>
      </c>
      <c r="I7" s="35">
        <v>10</v>
      </c>
      <c r="J7" s="35">
        <v>20</v>
      </c>
      <c r="K7" s="25" t="s">
        <v>30</v>
      </c>
      <c r="L7" s="48">
        <f>_xlfn.T.INV(1-I11,I8)</f>
        <v>1.7081407612518986</v>
      </c>
    </row>
    <row r="8" spans="1:12" ht="14.4" x14ac:dyDescent="0.3">
      <c r="A8" s="1">
        <v>2460</v>
      </c>
      <c r="B8" s="1">
        <v>3072</v>
      </c>
      <c r="D8" t="s">
        <v>6</v>
      </c>
      <c r="E8">
        <v>0</v>
      </c>
      <c r="H8" s="25" t="s">
        <v>63</v>
      </c>
      <c r="I8" s="46">
        <f>I9^4/(I6^4/(I7^2*(I7-1))+J6^4/(J7^2*(J7-1)))</f>
        <v>25.01057657289839</v>
      </c>
      <c r="J8" s="37"/>
      <c r="K8" s="25" t="s">
        <v>31</v>
      </c>
      <c r="L8" s="47">
        <f>2*L6</f>
        <v>2.9152869377598423E-2</v>
      </c>
    </row>
    <row r="9" spans="1:12" ht="14.4" x14ac:dyDescent="0.3">
      <c r="A9" s="1">
        <v>2240</v>
      </c>
      <c r="B9" s="1">
        <v>2504</v>
      </c>
      <c r="D9" t="s">
        <v>27</v>
      </c>
      <c r="E9">
        <v>25</v>
      </c>
      <c r="H9" s="25" t="s">
        <v>48</v>
      </c>
      <c r="I9" s="50">
        <f>SQRT(I6^2/I7+J6^2/J7)</f>
        <v>112.8619510729812</v>
      </c>
      <c r="J9" s="37"/>
      <c r="K9" s="25" t="s">
        <v>32</v>
      </c>
      <c r="L9" s="48">
        <f>_xlfn.T.INV(1-I11/2,I8)</f>
        <v>2.0595385527532977</v>
      </c>
    </row>
    <row r="10" spans="1:12" ht="15.6" x14ac:dyDescent="0.35">
      <c r="A10" s="1">
        <v>2540</v>
      </c>
      <c r="B10" s="1">
        <v>2480</v>
      </c>
      <c r="D10" t="s">
        <v>28</v>
      </c>
      <c r="E10" s="7">
        <v>-2.3143317895529787</v>
      </c>
      <c r="H10" s="25" t="s">
        <v>64</v>
      </c>
      <c r="I10" s="35">
        <v>0</v>
      </c>
      <c r="J10" s="25"/>
      <c r="K10" s="40"/>
      <c r="L10" s="40"/>
    </row>
    <row r="11" spans="1:12" ht="14.4" x14ac:dyDescent="0.3">
      <c r="A11" s="1">
        <v>2492</v>
      </c>
      <c r="B11" s="1">
        <v>2356</v>
      </c>
      <c r="D11" t="s">
        <v>29</v>
      </c>
      <c r="E11" s="7">
        <v>1.457643435235032E-2</v>
      </c>
      <c r="H11" s="25" t="s">
        <v>49</v>
      </c>
      <c r="I11" s="36">
        <v>0.05</v>
      </c>
      <c r="J11" s="25"/>
      <c r="K11" s="40"/>
      <c r="L11" s="40"/>
    </row>
    <row r="12" spans="1:12" x14ac:dyDescent="0.25">
      <c r="B12" s="1">
        <v>2944</v>
      </c>
      <c r="D12" t="s">
        <v>30</v>
      </c>
      <c r="E12" s="5">
        <v>1.7081407612518986</v>
      </c>
    </row>
    <row r="13" spans="1:12" x14ac:dyDescent="0.25">
      <c r="B13" s="1">
        <v>2260</v>
      </c>
      <c r="D13" t="s">
        <v>31</v>
      </c>
      <c r="E13" s="5">
        <v>2.915286870470064E-2</v>
      </c>
    </row>
    <row r="14" spans="1:12" ht="13.8" thickBot="1" x14ac:dyDescent="0.3">
      <c r="B14" s="1">
        <v>2744</v>
      </c>
      <c r="D14" s="3" t="s">
        <v>32</v>
      </c>
      <c r="E14" s="6">
        <v>2.0595385527532977</v>
      </c>
      <c r="F14" s="3"/>
    </row>
    <row r="15" spans="1:12" x14ac:dyDescent="0.25">
      <c r="B15" s="1">
        <v>2116</v>
      </c>
    </row>
    <row r="16" spans="1:12" x14ac:dyDescent="0.25">
      <c r="B16" s="1">
        <v>2528</v>
      </c>
    </row>
    <row r="17" spans="2:2" x14ac:dyDescent="0.25">
      <c r="B17" s="1">
        <v>3804</v>
      </c>
    </row>
    <row r="18" spans="2:2" x14ac:dyDescent="0.25">
      <c r="B18" s="1">
        <v>2976</v>
      </c>
    </row>
    <row r="19" spans="2:2" x14ac:dyDescent="0.25">
      <c r="B19" s="1">
        <v>2528</v>
      </c>
    </row>
    <row r="20" spans="2:2" x14ac:dyDescent="0.25">
      <c r="B20" s="1">
        <v>2372</v>
      </c>
    </row>
    <row r="21" spans="2:2" x14ac:dyDescent="0.25">
      <c r="B21" s="1">
        <v>3388</v>
      </c>
    </row>
  </sheetData>
  <mergeCells count="1"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opLeftCell="C1" workbookViewId="0">
      <selection activeCell="J16" sqref="J16"/>
    </sheetView>
  </sheetViews>
  <sheetFormatPr defaultRowHeight="13.2" x14ac:dyDescent="0.25"/>
  <cols>
    <col min="1" max="3" width="10.6640625" style="1" customWidth="1"/>
    <col min="4" max="4" width="25.6640625" customWidth="1"/>
    <col min="5" max="5" width="10.6640625" customWidth="1"/>
    <col min="6" max="6" width="14.5546875" customWidth="1"/>
    <col min="7" max="7" width="10.6640625" customWidth="1"/>
    <col min="8" max="8" width="37.5546875" customWidth="1"/>
    <col min="9" max="10" width="13.88671875" bestFit="1" customWidth="1"/>
    <col min="11" max="11" width="16.44140625" customWidth="1"/>
    <col min="12" max="12" width="9.33203125" bestFit="1" customWidth="1"/>
  </cols>
  <sheetData>
    <row r="1" spans="1:12" s="11" customFormat="1" ht="27" thickBot="1" x14ac:dyDescent="0.3">
      <c r="A1" s="22" t="s">
        <v>37</v>
      </c>
      <c r="B1" s="22" t="s">
        <v>38</v>
      </c>
      <c r="C1" s="12"/>
    </row>
    <row r="2" spans="1:12" ht="16.2" thickBot="1" x14ac:dyDescent="0.4">
      <c r="A2" s="1">
        <v>70</v>
      </c>
      <c r="B2" s="1">
        <v>47</v>
      </c>
      <c r="D2" t="s">
        <v>35</v>
      </c>
      <c r="H2" s="84" t="s">
        <v>58</v>
      </c>
      <c r="I2" s="85"/>
      <c r="J2" s="85"/>
      <c r="K2" s="85"/>
      <c r="L2" s="86"/>
    </row>
    <row r="3" spans="1:12" ht="13.8" thickBot="1" x14ac:dyDescent="0.3">
      <c r="A3" s="1">
        <v>83</v>
      </c>
      <c r="B3" s="1">
        <v>65</v>
      </c>
    </row>
    <row r="4" spans="1:12" ht="14.4" x14ac:dyDescent="0.3">
      <c r="A4" s="1">
        <v>78</v>
      </c>
      <c r="B4" s="1">
        <v>59</v>
      </c>
      <c r="D4" s="4"/>
      <c r="E4" s="4" t="s">
        <v>37</v>
      </c>
      <c r="F4" s="4" t="s">
        <v>38</v>
      </c>
      <c r="H4" s="34"/>
      <c r="I4" s="25" t="s">
        <v>52</v>
      </c>
      <c r="J4" s="25" t="s">
        <v>53</v>
      </c>
    </row>
    <row r="5" spans="1:12" ht="14.4" x14ac:dyDescent="0.3">
      <c r="A5" s="1">
        <v>46</v>
      </c>
      <c r="B5" s="1">
        <v>61</v>
      </c>
      <c r="D5" t="s">
        <v>3</v>
      </c>
      <c r="E5">
        <v>73.599999999999994</v>
      </c>
      <c r="F5">
        <v>69.2</v>
      </c>
      <c r="H5" s="25" t="s">
        <v>54</v>
      </c>
      <c r="I5" s="35">
        <f>E5</f>
        <v>73.599999999999994</v>
      </c>
      <c r="J5" s="26">
        <f>F5</f>
        <v>69.2</v>
      </c>
      <c r="K5" s="27" t="s">
        <v>59</v>
      </c>
      <c r="L5" s="48">
        <f>(I5-J5-I10)/I9</f>
        <v>0.9074474837427563</v>
      </c>
    </row>
    <row r="6" spans="1:12" ht="14.4" x14ac:dyDescent="0.3">
      <c r="A6" s="1">
        <v>74</v>
      </c>
      <c r="B6" s="1">
        <v>75</v>
      </c>
      <c r="D6" t="s">
        <v>26</v>
      </c>
      <c r="E6" s="21">
        <v>243.41052631578964</v>
      </c>
      <c r="F6">
        <v>226.79999999999984</v>
      </c>
      <c r="H6" s="25" t="s">
        <v>60</v>
      </c>
      <c r="I6" s="38">
        <f>E17</f>
        <v>15.601619349150576</v>
      </c>
      <c r="J6" s="39">
        <f>E19</f>
        <v>15.059880477613355</v>
      </c>
      <c r="K6" s="25" t="s">
        <v>29</v>
      </c>
      <c r="L6" s="47">
        <f>1-_xlfn.T.DIST(ABS(L5),(I7+J7-2),1)</f>
        <v>0.18494457485911497</v>
      </c>
    </row>
    <row r="7" spans="1:12" ht="14.4" x14ac:dyDescent="0.3">
      <c r="A7" s="1">
        <v>56</v>
      </c>
      <c r="B7" s="1">
        <v>65</v>
      </c>
      <c r="D7" t="s">
        <v>5</v>
      </c>
      <c r="E7">
        <v>20</v>
      </c>
      <c r="F7">
        <v>20</v>
      </c>
      <c r="H7" s="25" t="s">
        <v>56</v>
      </c>
      <c r="I7" s="35">
        <v>20</v>
      </c>
      <c r="J7" s="35">
        <v>20</v>
      </c>
      <c r="K7" s="25" t="s">
        <v>30</v>
      </c>
      <c r="L7" s="48">
        <f>_xlfn.T.INV(1-I11,I7+J7-2)</f>
        <v>1.685954460166736</v>
      </c>
    </row>
    <row r="8" spans="1:12" ht="14.4" x14ac:dyDescent="0.3">
      <c r="A8" s="1">
        <v>74</v>
      </c>
      <c r="B8" s="1">
        <v>73</v>
      </c>
      <c r="D8" t="s">
        <v>36</v>
      </c>
      <c r="E8" s="21">
        <v>235.10526315789474</v>
      </c>
      <c r="H8" s="25" t="s">
        <v>61</v>
      </c>
      <c r="I8" s="49">
        <f>((I7-1)*I6^2+(J7-1)*J6^2)/(I7+J7-2)</f>
        <v>235.10526315789474</v>
      </c>
      <c r="J8" s="37"/>
      <c r="K8" s="25" t="s">
        <v>31</v>
      </c>
      <c r="L8" s="47">
        <f>2*L6</f>
        <v>0.36988914971822995</v>
      </c>
    </row>
    <row r="9" spans="1:12" ht="14.4" x14ac:dyDescent="0.3">
      <c r="A9" s="1">
        <v>52</v>
      </c>
      <c r="B9" s="1">
        <v>85</v>
      </c>
      <c r="D9" t="s">
        <v>6</v>
      </c>
      <c r="E9">
        <v>0</v>
      </c>
      <c r="H9" s="25" t="s">
        <v>48</v>
      </c>
      <c r="I9" s="49">
        <f>SQRT(I6^2/I7+J6^2/J7)</f>
        <v>4.8487654424388769</v>
      </c>
      <c r="J9" s="37"/>
      <c r="K9" s="25" t="s">
        <v>32</v>
      </c>
      <c r="L9" s="48">
        <f>_xlfn.T.INV(1-I11/2,I7+J7-2)</f>
        <v>2.0243941639119702</v>
      </c>
    </row>
    <row r="10" spans="1:12" ht="14.4" x14ac:dyDescent="0.3">
      <c r="A10" s="1">
        <v>99</v>
      </c>
      <c r="B10" s="1">
        <v>97</v>
      </c>
      <c r="D10" t="s">
        <v>27</v>
      </c>
      <c r="E10">
        <v>38</v>
      </c>
      <c r="H10" s="25" t="s">
        <v>57</v>
      </c>
      <c r="I10" s="35">
        <v>0</v>
      </c>
      <c r="J10" s="25"/>
      <c r="K10" s="40"/>
      <c r="L10" s="40"/>
    </row>
    <row r="11" spans="1:12" ht="14.4" x14ac:dyDescent="0.3">
      <c r="A11" s="1">
        <v>57</v>
      </c>
      <c r="B11" s="1">
        <v>84</v>
      </c>
      <c r="D11" t="s">
        <v>28</v>
      </c>
      <c r="E11" s="5">
        <v>0.9074474837427563</v>
      </c>
      <c r="H11" s="25" t="s">
        <v>49</v>
      </c>
      <c r="I11" s="36">
        <v>0.05</v>
      </c>
      <c r="J11" s="25"/>
      <c r="K11" s="40"/>
      <c r="L11" s="40"/>
    </row>
    <row r="12" spans="1:12" x14ac:dyDescent="0.25">
      <c r="A12" s="1">
        <v>77</v>
      </c>
      <c r="B12" s="1">
        <v>72</v>
      </c>
      <c r="D12" t="s">
        <v>29</v>
      </c>
      <c r="E12" s="7">
        <v>0.18494457491383881</v>
      </c>
    </row>
    <row r="13" spans="1:12" x14ac:dyDescent="0.25">
      <c r="A13" s="1">
        <v>84</v>
      </c>
      <c r="B13" s="1">
        <v>39</v>
      </c>
      <c r="D13" t="s">
        <v>30</v>
      </c>
      <c r="E13" s="5">
        <v>1.6859544606360437</v>
      </c>
    </row>
    <row r="14" spans="1:12" x14ac:dyDescent="0.25">
      <c r="A14" s="1">
        <v>72</v>
      </c>
      <c r="B14" s="1">
        <v>72</v>
      </c>
      <c r="D14" t="s">
        <v>31</v>
      </c>
      <c r="E14" s="5">
        <v>0.36988914982767762</v>
      </c>
    </row>
    <row r="15" spans="1:12" ht="13.8" thickBot="1" x14ac:dyDescent="0.3">
      <c r="A15" s="1">
        <v>98</v>
      </c>
      <c r="B15" s="1">
        <v>91</v>
      </c>
      <c r="D15" s="3" t="s">
        <v>32</v>
      </c>
      <c r="E15" s="6">
        <v>2.0243941467155704</v>
      </c>
      <c r="F15" s="3"/>
    </row>
    <row r="16" spans="1:12" x14ac:dyDescent="0.25">
      <c r="A16" s="1">
        <v>81</v>
      </c>
      <c r="B16" s="1">
        <v>64</v>
      </c>
    </row>
    <row r="17" spans="1:5" x14ac:dyDescent="0.25">
      <c r="A17" s="1">
        <v>63</v>
      </c>
      <c r="B17" s="1">
        <v>63</v>
      </c>
      <c r="D17" s="16" t="s">
        <v>65</v>
      </c>
      <c r="E17" s="5">
        <f>_xlfn.STDEV.S(A2:A21)</f>
        <v>15.601619349150576</v>
      </c>
    </row>
    <row r="18" spans="1:5" x14ac:dyDescent="0.25">
      <c r="A18" s="1">
        <v>88</v>
      </c>
      <c r="B18" s="1">
        <v>79</v>
      </c>
      <c r="E18" s="5"/>
    </row>
    <row r="19" spans="1:5" x14ac:dyDescent="0.25">
      <c r="A19" s="1">
        <v>69</v>
      </c>
      <c r="B19" s="1">
        <v>74</v>
      </c>
      <c r="D19" s="16" t="s">
        <v>66</v>
      </c>
      <c r="E19" s="5">
        <f>_xlfn.STDEV.S(B2:B21)</f>
        <v>15.059880477613355</v>
      </c>
    </row>
    <row r="20" spans="1:5" x14ac:dyDescent="0.25">
      <c r="A20" s="1">
        <v>54</v>
      </c>
      <c r="B20" s="1">
        <v>76</v>
      </c>
    </row>
    <row r="21" spans="1:5" x14ac:dyDescent="0.25">
      <c r="A21" s="1">
        <v>97</v>
      </c>
      <c r="B21" s="1">
        <v>43</v>
      </c>
    </row>
  </sheetData>
  <mergeCells count="1"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topLeftCell="I1" workbookViewId="0">
      <selection activeCell="O19" sqref="O19"/>
    </sheetView>
  </sheetViews>
  <sheetFormatPr defaultRowHeight="13.2" x14ac:dyDescent="0.25"/>
  <cols>
    <col min="1" max="3" width="10.6640625" style="1" customWidth="1"/>
    <col min="4" max="4" width="8.77734375" style="1"/>
    <col min="6" max="6" width="18.6640625" customWidth="1"/>
    <col min="9" max="9" width="25.6640625" customWidth="1"/>
    <col min="10" max="10" width="8.6640625" customWidth="1"/>
    <col min="11" max="11" width="13.6640625" customWidth="1"/>
    <col min="12" max="12" width="8.6640625" customWidth="1"/>
    <col min="13" max="13" width="37.5546875" customWidth="1"/>
    <col min="14" max="15" width="13.88671875" bestFit="1" customWidth="1"/>
    <col min="16" max="16" width="16.44140625" customWidth="1"/>
    <col min="17" max="17" width="9.33203125" bestFit="1" customWidth="1"/>
  </cols>
  <sheetData>
    <row r="1" spans="1:17" ht="27" thickBot="1" x14ac:dyDescent="0.3">
      <c r="A1" s="22" t="s">
        <v>39</v>
      </c>
      <c r="B1" s="22" t="s">
        <v>37</v>
      </c>
      <c r="C1" s="22" t="s">
        <v>38</v>
      </c>
      <c r="D1" s="17" t="s">
        <v>40</v>
      </c>
    </row>
    <row r="2" spans="1:17" ht="16.2" thickBot="1" x14ac:dyDescent="0.4">
      <c r="A2" s="1">
        <v>1</v>
      </c>
      <c r="B2" s="1">
        <v>65</v>
      </c>
      <c r="C2" s="1">
        <v>56</v>
      </c>
      <c r="D2" s="1">
        <f>B2-C2</f>
        <v>9</v>
      </c>
      <c r="F2" s="13" t="s">
        <v>40</v>
      </c>
      <c r="G2" s="13"/>
      <c r="I2" t="s">
        <v>41</v>
      </c>
      <c r="M2" s="84" t="s">
        <v>67</v>
      </c>
      <c r="N2" s="85"/>
      <c r="O2" s="85"/>
      <c r="P2" s="85"/>
      <c r="Q2" s="86"/>
    </row>
    <row r="3" spans="1:17" ht="13.8" thickBot="1" x14ac:dyDescent="0.3">
      <c r="A3" s="1">
        <v>2</v>
      </c>
      <c r="B3" s="1">
        <v>72</v>
      </c>
      <c r="C3" s="1">
        <v>58</v>
      </c>
      <c r="D3" s="1">
        <f t="shared" ref="D3:D21" si="0">B3-C3</f>
        <v>14</v>
      </c>
      <c r="M3" s="16"/>
      <c r="N3" s="16"/>
      <c r="O3" s="16"/>
      <c r="P3" s="16"/>
      <c r="Q3" s="16"/>
    </row>
    <row r="4" spans="1:17" ht="14.4" x14ac:dyDescent="0.3">
      <c r="A4" s="1">
        <v>3</v>
      </c>
      <c r="B4" s="1">
        <v>110</v>
      </c>
      <c r="C4" s="1">
        <v>97</v>
      </c>
      <c r="D4" s="1">
        <f t="shared" si="0"/>
        <v>13</v>
      </c>
      <c r="F4" t="s">
        <v>3</v>
      </c>
      <c r="G4">
        <v>4.55</v>
      </c>
      <c r="I4" s="4"/>
      <c r="J4" s="15" t="s">
        <v>37</v>
      </c>
      <c r="K4" s="14" t="s">
        <v>38</v>
      </c>
      <c r="L4" s="24"/>
      <c r="M4" s="34"/>
      <c r="N4" s="25" t="s">
        <v>52</v>
      </c>
      <c r="O4" s="25" t="s">
        <v>53</v>
      </c>
    </row>
    <row r="5" spans="1:17" ht="14.4" x14ac:dyDescent="0.3">
      <c r="A5" s="1">
        <v>4</v>
      </c>
      <c r="B5" s="1">
        <v>70</v>
      </c>
      <c r="C5" s="1">
        <v>64</v>
      </c>
      <c r="D5" s="1">
        <f t="shared" si="0"/>
        <v>6</v>
      </c>
      <c r="F5" t="s">
        <v>14</v>
      </c>
      <c r="G5" s="5">
        <v>1.6148570084978844</v>
      </c>
      <c r="I5" t="s">
        <v>3</v>
      </c>
      <c r="J5">
        <v>81.7</v>
      </c>
      <c r="K5">
        <v>77.150000000000006</v>
      </c>
      <c r="M5" s="25" t="s">
        <v>54</v>
      </c>
      <c r="N5" s="35">
        <v>81.7</v>
      </c>
      <c r="O5" s="26">
        <v>77.150000000000006</v>
      </c>
      <c r="P5" s="27" t="s">
        <v>59</v>
      </c>
      <c r="Q5" s="48">
        <f>(N5-O5-N9)/N8</f>
        <v>1.5790871802153978</v>
      </c>
    </row>
    <row r="6" spans="1:17" ht="14.4" x14ac:dyDescent="0.3">
      <c r="A6" s="1">
        <v>5</v>
      </c>
      <c r="B6" s="1">
        <v>90</v>
      </c>
      <c r="C6" s="1">
        <v>87</v>
      </c>
      <c r="D6" s="1">
        <f t="shared" si="0"/>
        <v>3</v>
      </c>
      <c r="F6" t="s">
        <v>15</v>
      </c>
      <c r="G6">
        <v>4.5</v>
      </c>
      <c r="I6" t="s">
        <v>26</v>
      </c>
      <c r="J6" s="9">
        <v>244.01052631579009</v>
      </c>
      <c r="K6" s="9">
        <v>318.76578947368438</v>
      </c>
      <c r="L6" s="9"/>
      <c r="M6" s="25" t="s">
        <v>68</v>
      </c>
      <c r="N6" s="38">
        <f>G8</f>
        <v>7.2218600898864507</v>
      </c>
      <c r="O6" s="43"/>
      <c r="P6" s="25" t="s">
        <v>29</v>
      </c>
      <c r="Q6" s="47">
        <f>1-_xlfn.T.DIST(ABS(Q5),N7-1,1)</f>
        <v>6.5410176747412563E-2</v>
      </c>
    </row>
    <row r="7" spans="1:17" ht="14.4" x14ac:dyDescent="0.3">
      <c r="A7" s="1">
        <v>6</v>
      </c>
      <c r="B7" s="1">
        <v>95</v>
      </c>
      <c r="C7" s="1">
        <v>83</v>
      </c>
      <c r="D7" s="1">
        <f t="shared" si="0"/>
        <v>12</v>
      </c>
      <c r="F7" t="s">
        <v>16</v>
      </c>
      <c r="G7">
        <v>4</v>
      </c>
      <c r="I7" t="s">
        <v>5</v>
      </c>
      <c r="J7">
        <v>20</v>
      </c>
      <c r="K7">
        <v>20</v>
      </c>
      <c r="M7" s="25" t="s">
        <v>69</v>
      </c>
      <c r="N7" s="35">
        <f>G16</f>
        <v>20</v>
      </c>
      <c r="O7" s="37"/>
      <c r="P7" s="25" t="s">
        <v>30</v>
      </c>
      <c r="Q7" s="48">
        <f>_xlfn.T.INV(1-N10,N7-1)</f>
        <v>1.7291328115213698</v>
      </c>
    </row>
    <row r="8" spans="1:17" ht="14.4" x14ac:dyDescent="0.3">
      <c r="A8" s="1">
        <v>7</v>
      </c>
      <c r="B8" s="1">
        <v>69</v>
      </c>
      <c r="C8" s="1">
        <v>58</v>
      </c>
      <c r="D8" s="1">
        <f t="shared" si="0"/>
        <v>11</v>
      </c>
      <c r="F8" t="s">
        <v>17</v>
      </c>
      <c r="G8" s="5">
        <v>7.2218600898864507</v>
      </c>
      <c r="I8" t="s">
        <v>42</v>
      </c>
      <c r="J8" s="9">
        <v>0.91543726430989192</v>
      </c>
      <c r="M8" s="25" t="s">
        <v>48</v>
      </c>
      <c r="N8" s="46">
        <f>N6/SQRT(N7)</f>
        <v>1.6148570084978844</v>
      </c>
      <c r="O8" s="37"/>
      <c r="P8" s="25" t="s">
        <v>31</v>
      </c>
      <c r="Q8" s="47">
        <f>2*Q6</f>
        <v>0.13082035349482513</v>
      </c>
    </row>
    <row r="9" spans="1:17" ht="14.4" x14ac:dyDescent="0.3">
      <c r="A9" s="1">
        <v>8</v>
      </c>
      <c r="B9" s="1">
        <v>70</v>
      </c>
      <c r="C9" s="1">
        <v>57</v>
      </c>
      <c r="D9" s="1">
        <f t="shared" si="0"/>
        <v>13</v>
      </c>
      <c r="F9" t="s">
        <v>18</v>
      </c>
      <c r="G9" s="5">
        <v>52.155263157894737</v>
      </c>
      <c r="I9" t="s">
        <v>6</v>
      </c>
      <c r="J9">
        <v>0</v>
      </c>
      <c r="M9" s="25" t="s">
        <v>57</v>
      </c>
      <c r="N9" s="44">
        <v>2</v>
      </c>
      <c r="O9" s="25"/>
      <c r="P9" s="25" t="s">
        <v>32</v>
      </c>
      <c r="Q9" s="48">
        <f>_xlfn.T.INV(1-N10/2,N7-1)</f>
        <v>2.0930240544083087</v>
      </c>
    </row>
    <row r="10" spans="1:17" ht="14.4" x14ac:dyDescent="0.3">
      <c r="A10" s="1">
        <v>9</v>
      </c>
      <c r="B10" s="1">
        <v>82</v>
      </c>
      <c r="C10" s="1">
        <v>78</v>
      </c>
      <c r="D10" s="1">
        <f t="shared" si="0"/>
        <v>4</v>
      </c>
      <c r="F10" t="s">
        <v>19</v>
      </c>
      <c r="G10" s="5">
        <v>-0.17382332742604145</v>
      </c>
      <c r="I10" t="s">
        <v>27</v>
      </c>
      <c r="J10">
        <v>19</v>
      </c>
      <c r="M10" s="25" t="s">
        <v>49</v>
      </c>
      <c r="N10" s="36">
        <v>0.05</v>
      </c>
      <c r="O10" s="25"/>
      <c r="P10" s="40"/>
      <c r="Q10" s="40"/>
    </row>
    <row r="11" spans="1:17" x14ac:dyDescent="0.25">
      <c r="A11" s="1">
        <v>10</v>
      </c>
      <c r="B11" s="1">
        <v>70</v>
      </c>
      <c r="C11" s="1">
        <v>74</v>
      </c>
      <c r="D11" s="1">
        <f t="shared" si="0"/>
        <v>-4</v>
      </c>
      <c r="F11" t="s">
        <v>20</v>
      </c>
      <c r="G11" s="5">
        <v>-0.67093530165877158</v>
      </c>
      <c r="I11" t="s">
        <v>28</v>
      </c>
      <c r="J11" s="5">
        <v>2.8175869294039484</v>
      </c>
    </row>
    <row r="12" spans="1:17" x14ac:dyDescent="0.25">
      <c r="A12" s="1">
        <v>11</v>
      </c>
      <c r="B12" s="1">
        <v>108</v>
      </c>
      <c r="C12" s="1">
        <v>106</v>
      </c>
      <c r="D12" s="1">
        <f t="shared" si="0"/>
        <v>2</v>
      </c>
      <c r="F12" t="s">
        <v>21</v>
      </c>
      <c r="G12">
        <v>26</v>
      </c>
      <c r="I12" t="s">
        <v>29</v>
      </c>
      <c r="J12" s="7">
        <v>5.496977543160521E-3</v>
      </c>
    </row>
    <row r="13" spans="1:17" x14ac:dyDescent="0.25">
      <c r="A13" s="1">
        <v>12</v>
      </c>
      <c r="B13" s="1">
        <v>98</v>
      </c>
      <c r="C13" s="1">
        <v>94</v>
      </c>
      <c r="D13" s="1">
        <f t="shared" si="0"/>
        <v>4</v>
      </c>
      <c r="F13" t="s">
        <v>22</v>
      </c>
      <c r="G13">
        <v>-12</v>
      </c>
      <c r="I13" t="s">
        <v>30</v>
      </c>
      <c r="J13" s="5">
        <v>1.7291327924721895</v>
      </c>
    </row>
    <row r="14" spans="1:17" x14ac:dyDescent="0.25">
      <c r="A14" s="1">
        <v>13</v>
      </c>
      <c r="B14" s="1">
        <v>91</v>
      </c>
      <c r="C14" s="1">
        <v>86</v>
      </c>
      <c r="D14" s="1">
        <f t="shared" si="0"/>
        <v>5</v>
      </c>
      <c r="F14" t="s">
        <v>23</v>
      </c>
      <c r="G14">
        <v>14</v>
      </c>
      <c r="I14" t="s">
        <v>31</v>
      </c>
      <c r="J14" s="5">
        <v>1.0993955086321042E-2</v>
      </c>
    </row>
    <row r="15" spans="1:17" ht="13.8" thickBot="1" x14ac:dyDescent="0.3">
      <c r="A15" s="1">
        <v>14</v>
      </c>
      <c r="B15" s="1">
        <v>92</v>
      </c>
      <c r="C15" s="1">
        <v>98</v>
      </c>
      <c r="D15" s="1">
        <f t="shared" si="0"/>
        <v>-6</v>
      </c>
      <c r="F15" t="s">
        <v>24</v>
      </c>
      <c r="G15">
        <v>91</v>
      </c>
      <c r="I15" s="3" t="s">
        <v>32</v>
      </c>
      <c r="J15" s="6">
        <v>2.0930240498548649</v>
      </c>
      <c r="K15" s="3"/>
    </row>
    <row r="16" spans="1:17" ht="13.8" thickBot="1" x14ac:dyDescent="0.3">
      <c r="A16" s="1">
        <v>15</v>
      </c>
      <c r="B16" s="1">
        <v>94</v>
      </c>
      <c r="C16" s="1">
        <v>106</v>
      </c>
      <c r="D16" s="1">
        <f t="shared" si="0"/>
        <v>-12</v>
      </c>
      <c r="F16" s="3" t="s">
        <v>25</v>
      </c>
      <c r="G16" s="3">
        <v>20</v>
      </c>
    </row>
    <row r="17" spans="1:4" x14ac:dyDescent="0.25">
      <c r="A17" s="1">
        <v>16</v>
      </c>
      <c r="B17" s="1">
        <v>70</v>
      </c>
      <c r="C17" s="1">
        <v>66</v>
      </c>
      <c r="D17" s="1">
        <f t="shared" si="0"/>
        <v>4</v>
      </c>
    </row>
    <row r="18" spans="1:4" x14ac:dyDescent="0.25">
      <c r="A18" s="1">
        <v>17</v>
      </c>
      <c r="B18" s="1">
        <v>75</v>
      </c>
      <c r="C18" s="1">
        <v>66</v>
      </c>
      <c r="D18" s="1">
        <f t="shared" si="0"/>
        <v>9</v>
      </c>
    </row>
    <row r="19" spans="1:4" x14ac:dyDescent="0.25">
      <c r="A19" s="1">
        <v>18</v>
      </c>
      <c r="B19" s="1">
        <v>48</v>
      </c>
      <c r="C19" s="1">
        <v>49</v>
      </c>
      <c r="D19" s="1">
        <f t="shared" si="0"/>
        <v>-1</v>
      </c>
    </row>
    <row r="20" spans="1:4" x14ac:dyDescent="0.25">
      <c r="A20" s="1">
        <v>19</v>
      </c>
      <c r="B20" s="1">
        <v>79</v>
      </c>
      <c r="C20" s="1">
        <v>69</v>
      </c>
      <c r="D20" s="1">
        <f t="shared" si="0"/>
        <v>10</v>
      </c>
    </row>
    <row r="21" spans="1:4" x14ac:dyDescent="0.25">
      <c r="A21" s="1">
        <v>20</v>
      </c>
      <c r="B21" s="1">
        <v>86</v>
      </c>
      <c r="C21" s="1">
        <v>91</v>
      </c>
      <c r="D21" s="1">
        <f t="shared" si="0"/>
        <v>-5</v>
      </c>
    </row>
  </sheetData>
  <mergeCells count="1">
    <mergeCell ref="M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400"/>
  <sheetViews>
    <sheetView tabSelected="1" topLeftCell="A19" zoomScale="80" zoomScaleNormal="80" workbookViewId="0">
      <selection activeCell="F34" sqref="F34"/>
    </sheetView>
  </sheetViews>
  <sheetFormatPr defaultRowHeight="13.2" x14ac:dyDescent="0.25"/>
  <cols>
    <col min="1" max="1" width="5.5546875" customWidth="1"/>
    <col min="2" max="2" width="37.5546875" customWidth="1"/>
    <col min="3" max="4" width="13.88671875" bestFit="1" customWidth="1"/>
    <col min="5" max="5" width="16.44140625" customWidth="1"/>
    <col min="6" max="6" width="9.33203125" bestFit="1" customWidth="1"/>
  </cols>
  <sheetData>
    <row r="1" spans="2:10" ht="13.8" thickBot="1" x14ac:dyDescent="0.3">
      <c r="B1" s="2"/>
      <c r="C1" s="2"/>
      <c r="D1" s="2"/>
    </row>
    <row r="2" spans="2:10" ht="16.2" thickBot="1" x14ac:dyDescent="0.4">
      <c r="B2" s="84" t="s">
        <v>70</v>
      </c>
      <c r="C2" s="85"/>
      <c r="D2" s="85"/>
      <c r="E2" s="85"/>
      <c r="F2" s="86"/>
    </row>
    <row r="4" spans="2:10" ht="14.4" x14ac:dyDescent="0.3">
      <c r="B4" s="29"/>
      <c r="C4" s="45" t="s">
        <v>52</v>
      </c>
      <c r="D4" s="45" t="s">
        <v>53</v>
      </c>
    </row>
    <row r="5" spans="2:10" ht="14.4" x14ac:dyDescent="0.3">
      <c r="B5" s="25" t="s">
        <v>71</v>
      </c>
      <c r="C5" s="37">
        <v>45</v>
      </c>
      <c r="D5" s="37">
        <v>40</v>
      </c>
      <c r="E5" s="25" t="s">
        <v>50</v>
      </c>
      <c r="F5" s="52">
        <f>(C7-D7)/C9</f>
        <v>0.71519853985215143</v>
      </c>
    </row>
    <row r="6" spans="2:10" ht="14.4" x14ac:dyDescent="0.3">
      <c r="B6" s="25" t="s">
        <v>72</v>
      </c>
      <c r="C6" s="26">
        <v>100</v>
      </c>
      <c r="D6" s="26">
        <v>100</v>
      </c>
      <c r="E6" s="25" t="s">
        <v>8</v>
      </c>
      <c r="F6" s="47">
        <f>1-_xlfn.NORM.DIST(ABS(F5),0,1,1)</f>
        <v>0.23724318558566959</v>
      </c>
    </row>
    <row r="7" spans="2:10" ht="14.4" x14ac:dyDescent="0.3">
      <c r="B7" s="25" t="s">
        <v>73</v>
      </c>
      <c r="C7" s="39">
        <f>C5/C6</f>
        <v>0.45</v>
      </c>
      <c r="D7" s="39">
        <f>D5/D6</f>
        <v>0.4</v>
      </c>
      <c r="E7" s="25" t="s">
        <v>9</v>
      </c>
      <c r="F7" s="48">
        <f>_xlfn.NORM.INV(1-C11,0,1)</f>
        <v>1.6448536269514715</v>
      </c>
    </row>
    <row r="8" spans="2:10" ht="14.4" x14ac:dyDescent="0.3">
      <c r="B8" s="25" t="s">
        <v>74</v>
      </c>
      <c r="C8" s="51">
        <f>(C5+D5)/(C6+D6)</f>
        <v>0.42499999999999999</v>
      </c>
      <c r="D8" s="43"/>
      <c r="E8" s="25" t="s">
        <v>10</v>
      </c>
      <c r="F8" s="47">
        <f>2*F6</f>
        <v>0.47448637117133918</v>
      </c>
    </row>
    <row r="9" spans="2:10" ht="14.4" x14ac:dyDescent="0.3">
      <c r="B9" s="25" t="s">
        <v>48</v>
      </c>
      <c r="C9" s="51">
        <f>SQRT(C8*(1-C8)*(1/C6+1/D6))</f>
        <v>6.9910657270547807E-2</v>
      </c>
      <c r="D9" s="43"/>
      <c r="E9" s="25" t="s">
        <v>11</v>
      </c>
      <c r="F9" s="48">
        <f>_xlfn.NORM.INV(1-C11/2,0,1)</f>
        <v>1.9599639845400536</v>
      </c>
    </row>
    <row r="10" spans="2:10" ht="14.4" x14ac:dyDescent="0.3">
      <c r="B10" s="25" t="s">
        <v>75</v>
      </c>
      <c r="C10" s="43">
        <v>0</v>
      </c>
      <c r="D10" s="43"/>
      <c r="E10" s="40"/>
      <c r="F10" s="40"/>
    </row>
    <row r="11" spans="2:10" ht="14.4" x14ac:dyDescent="0.3">
      <c r="B11" s="25" t="s">
        <v>49</v>
      </c>
      <c r="C11" s="35">
        <v>0.05</v>
      </c>
      <c r="D11" s="25"/>
      <c r="E11" s="40"/>
      <c r="F11" s="40"/>
    </row>
    <row r="12" spans="2:10" x14ac:dyDescent="0.25">
      <c r="C12" s="1"/>
      <c r="D12" s="1"/>
    </row>
    <row r="13" spans="2:10" x14ac:dyDescent="0.25">
      <c r="C13" s="1"/>
      <c r="D13" s="1"/>
      <c r="J13" s="16"/>
    </row>
    <row r="14" spans="2:10" x14ac:dyDescent="0.25">
      <c r="C14" s="1"/>
      <c r="D14" s="1"/>
    </row>
    <row r="15" spans="2:10" x14ac:dyDescent="0.25">
      <c r="C15" s="1"/>
      <c r="D15" s="1"/>
    </row>
    <row r="16" spans="2:10" ht="13.8" thickBot="1" x14ac:dyDescent="0.3">
      <c r="C16" s="1"/>
      <c r="D16" s="1"/>
    </row>
    <row r="17" spans="2:6" ht="16.2" thickBot="1" x14ac:dyDescent="0.4">
      <c r="B17" s="84" t="s">
        <v>70</v>
      </c>
      <c r="C17" s="85"/>
      <c r="D17" s="85"/>
      <c r="E17" s="85"/>
      <c r="F17" s="86"/>
    </row>
    <row r="19" spans="2:6" ht="14.4" x14ac:dyDescent="0.3">
      <c r="B19" s="29"/>
      <c r="C19" s="45" t="s">
        <v>52</v>
      </c>
      <c r="D19" s="45" t="s">
        <v>53</v>
      </c>
    </row>
    <row r="20" spans="2:6" ht="14.4" x14ac:dyDescent="0.3">
      <c r="B20" s="25" t="s">
        <v>71</v>
      </c>
      <c r="C20" s="37">
        <v>180</v>
      </c>
      <c r="D20" s="37">
        <v>160</v>
      </c>
      <c r="E20" s="25" t="s">
        <v>50</v>
      </c>
      <c r="F20" s="52">
        <f>(C22-D22)/C24</f>
        <v>1.4303970797043029</v>
      </c>
    </row>
    <row r="21" spans="2:6" ht="14.4" x14ac:dyDescent="0.3">
      <c r="B21" s="25" t="s">
        <v>72</v>
      </c>
      <c r="C21" s="26">
        <v>400</v>
      </c>
      <c r="D21" s="26">
        <v>400</v>
      </c>
      <c r="E21" s="25" t="s">
        <v>8</v>
      </c>
      <c r="F21" s="47">
        <f>1-_xlfn.NORM.DIST(ABS(F20),0,1,1)</f>
        <v>7.6301542968764013E-2</v>
      </c>
    </row>
    <row r="22" spans="2:6" ht="14.4" x14ac:dyDescent="0.3">
      <c r="B22" s="25" t="s">
        <v>73</v>
      </c>
      <c r="C22" s="39">
        <f>C20/C21</f>
        <v>0.45</v>
      </c>
      <c r="D22" s="39">
        <f>D20/D21</f>
        <v>0.4</v>
      </c>
      <c r="E22" s="25" t="s">
        <v>9</v>
      </c>
      <c r="F22" s="48">
        <f>_xlfn.NORM.INV(1-C25,0,1)</f>
        <v>1.6448536269514715</v>
      </c>
    </row>
    <row r="23" spans="2:6" ht="14.4" x14ac:dyDescent="0.3">
      <c r="B23" s="25" t="s">
        <v>74</v>
      </c>
      <c r="C23" s="51">
        <f>(C20+D20)/(C21+D21)</f>
        <v>0.42499999999999999</v>
      </c>
      <c r="D23" s="43"/>
      <c r="E23" s="25" t="s">
        <v>10</v>
      </c>
      <c r="F23" s="47">
        <f>2*F21</f>
        <v>0.15260308593752803</v>
      </c>
    </row>
    <row r="24" spans="2:6" ht="14.4" x14ac:dyDescent="0.3">
      <c r="B24" s="25" t="s">
        <v>48</v>
      </c>
      <c r="C24" s="51">
        <f>SQRT(C23*(1-C23)*(1/C21+1/D21))</f>
        <v>3.4955328635273904E-2</v>
      </c>
      <c r="D24" s="43"/>
      <c r="E24" s="25" t="s">
        <v>11</v>
      </c>
      <c r="F24" s="48">
        <f>_xlfn.NORM.INV(1-C25/2,0,1)</f>
        <v>1.9599639845400536</v>
      </c>
    </row>
    <row r="25" spans="2:6" ht="14.4" x14ac:dyDescent="0.3">
      <c r="B25" s="25" t="s">
        <v>49</v>
      </c>
      <c r="C25" s="35">
        <v>0.05</v>
      </c>
      <c r="D25" s="25"/>
      <c r="E25" s="40"/>
      <c r="F25" s="40"/>
    </row>
    <row r="26" spans="2:6" x14ac:dyDescent="0.25">
      <c r="C26" s="1"/>
      <c r="D26" s="1"/>
    </row>
    <row r="27" spans="2:6" x14ac:dyDescent="0.25">
      <c r="C27" s="1"/>
      <c r="D27" s="1"/>
    </row>
    <row r="28" spans="2:6" x14ac:dyDescent="0.25">
      <c r="C28" s="1"/>
      <c r="D28" s="1"/>
    </row>
    <row r="29" spans="2:6" x14ac:dyDescent="0.25">
      <c r="C29" s="1"/>
      <c r="D29" s="1"/>
    </row>
    <row r="30" spans="2:6" x14ac:dyDescent="0.25">
      <c r="C30" s="1"/>
      <c r="D30" s="1"/>
    </row>
    <row r="31" spans="2:6" x14ac:dyDescent="0.25">
      <c r="C31" s="1"/>
      <c r="D31" s="1"/>
    </row>
    <row r="32" spans="2:6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</sheetData>
  <mergeCells count="2">
    <mergeCell ref="B2:F2"/>
    <mergeCell ref="B17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workbookViewId="0">
      <selection activeCell="B16" sqref="B16"/>
    </sheetView>
  </sheetViews>
  <sheetFormatPr defaultRowHeight="13.2" x14ac:dyDescent="0.25"/>
  <cols>
    <col min="1" max="1" width="5.5546875" customWidth="1"/>
    <col min="2" max="2" width="37.5546875" customWidth="1"/>
    <col min="3" max="4" width="13.88671875" bestFit="1" customWidth="1"/>
    <col min="5" max="5" width="16.44140625" customWidth="1"/>
    <col min="6" max="6" width="9.33203125" bestFit="1" customWidth="1"/>
  </cols>
  <sheetData>
    <row r="2" spans="1:6" ht="15.6" x14ac:dyDescent="0.35">
      <c r="A2" s="16"/>
      <c r="B2" s="78" t="s">
        <v>76</v>
      </c>
      <c r="C2" s="79"/>
      <c r="D2" s="79"/>
      <c r="E2" s="79"/>
      <c r="F2" s="80"/>
    </row>
    <row r="4" spans="1:6" ht="14.4" x14ac:dyDescent="0.3">
      <c r="C4" s="45" t="s">
        <v>52</v>
      </c>
      <c r="D4" s="45" t="s">
        <v>53</v>
      </c>
    </row>
    <row r="5" spans="1:6" ht="14.4" x14ac:dyDescent="0.3">
      <c r="B5" s="25" t="s">
        <v>71</v>
      </c>
      <c r="C5" s="37">
        <v>80</v>
      </c>
      <c r="D5" s="37">
        <v>10</v>
      </c>
      <c r="E5" s="25" t="s">
        <v>50</v>
      </c>
      <c r="F5" s="52">
        <f>(C7-D7-C9)/C8</f>
        <v>3.5553799855702346</v>
      </c>
    </row>
    <row r="6" spans="1:6" ht="14.4" x14ac:dyDescent="0.3">
      <c r="B6" s="25" t="s">
        <v>72</v>
      </c>
      <c r="C6" s="26">
        <v>500</v>
      </c>
      <c r="D6" s="26">
        <v>200</v>
      </c>
      <c r="E6" s="25" t="s">
        <v>8</v>
      </c>
      <c r="F6" s="47">
        <f>1-_xlfn.NORM.DIST(ABS(F5),0,1,1)</f>
        <v>1.8871660194941242E-4</v>
      </c>
    </row>
    <row r="7" spans="1:6" ht="14.4" x14ac:dyDescent="0.3">
      <c r="B7" s="25" t="s">
        <v>73</v>
      </c>
      <c r="C7" s="39">
        <f>C5/C6</f>
        <v>0.16</v>
      </c>
      <c r="D7" s="39">
        <f>D5/D6</f>
        <v>0.05</v>
      </c>
      <c r="E7" s="25" t="s">
        <v>9</v>
      </c>
      <c r="F7" s="48">
        <f>_xlfn.NORM.INV(1-C10,0,1)</f>
        <v>1.6448536269514715</v>
      </c>
    </row>
    <row r="8" spans="1:6" ht="14.4" x14ac:dyDescent="0.3">
      <c r="B8" s="25" t="s">
        <v>48</v>
      </c>
      <c r="C8" s="51">
        <f>SQRT(C7*(1-C7)/C6+D7*(1-D7)/D6)</f>
        <v>2.2501111083677625E-2</v>
      </c>
      <c r="D8" s="43"/>
      <c r="E8" s="25" t="s">
        <v>10</v>
      </c>
      <c r="F8" s="47">
        <f>2*F6</f>
        <v>3.7743320389882484E-4</v>
      </c>
    </row>
    <row r="9" spans="1:6" ht="14.4" x14ac:dyDescent="0.3">
      <c r="B9" s="25" t="s">
        <v>77</v>
      </c>
      <c r="C9" s="26">
        <v>0.03</v>
      </c>
      <c r="D9" s="43"/>
      <c r="E9" s="25" t="s">
        <v>11</v>
      </c>
      <c r="F9" s="48">
        <f>_xlfn.NORM.INV(1-C10/2,0,1)</f>
        <v>1.9599639845400536</v>
      </c>
    </row>
    <row r="10" spans="1:6" ht="14.4" x14ac:dyDescent="0.3">
      <c r="B10" s="25" t="s">
        <v>49</v>
      </c>
      <c r="C10" s="35">
        <v>0.05</v>
      </c>
      <c r="D10" s="25"/>
      <c r="E10" s="40"/>
      <c r="F10" s="40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Commission</vt:lpstr>
      <vt:lpstr>Leave</vt:lpstr>
      <vt:lpstr>11.12</vt:lpstr>
      <vt:lpstr>11.24</vt:lpstr>
      <vt:lpstr>11.33</vt:lpstr>
      <vt:lpstr>Store</vt:lpstr>
      <vt:lpstr>Desk 13-3</vt:lpstr>
      <vt:lpstr>Cereals</vt:lpstr>
      <vt:lpstr>Design I </vt:lpstr>
      <vt:lpstr>Design II</vt:lpstr>
      <vt:lpstr>13.56</vt:lpstr>
      <vt:lpstr>13.60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Claire Liu</cp:lastModifiedBy>
  <dcterms:created xsi:type="dcterms:W3CDTF">1999-08-27T14:46:19Z</dcterms:created>
  <dcterms:modified xsi:type="dcterms:W3CDTF">2023-03-30T06:27:53Z</dcterms:modified>
</cp:coreProperties>
</file>