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48e618546fa2d1/Área de Trabalho/Projetos/PAC/Gestão 2020/Competição/"/>
    </mc:Choice>
  </mc:AlternateContent>
  <xr:revisionPtr revIDLastSave="130" documentId="8_{254C0F94-ADDA-4ABE-877A-0AA1E7B07B81}" xr6:coauthVersionLast="47" xr6:coauthVersionMax="47" xr10:uidLastSave="{99DC178C-D088-4969-8313-1EB9B6547DEE}"/>
  <bookViews>
    <workbookView xWindow="-120" yWindow="-120" windowWidth="20730" windowHeight="11160" xr2:uid="{9CD770DC-A5AC-49BB-9B84-2C1F570C30E1}"/>
  </bookViews>
  <sheets>
    <sheet name="PAC" sheetId="1" r:id="rId1"/>
    <sheet name="&quot;Finais&quot;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H124" i="1"/>
  <c r="H109" i="1"/>
  <c r="H94" i="1"/>
  <c r="H79" i="1"/>
  <c r="G124" i="1"/>
  <c r="C133" i="1"/>
  <c r="C132" i="1"/>
  <c r="C117" i="1"/>
  <c r="C102" i="1"/>
  <c r="C87" i="1"/>
  <c r="C59" i="1"/>
  <c r="C44" i="1"/>
  <c r="C29" i="1"/>
  <c r="C12" i="1"/>
  <c r="R4" i="2"/>
  <c r="Q4" i="2"/>
  <c r="P4" i="2"/>
  <c r="O4" i="2"/>
  <c r="N4" i="2"/>
  <c r="M4" i="2"/>
  <c r="R3" i="2"/>
  <c r="Q3" i="2"/>
  <c r="P3" i="2"/>
  <c r="O3" i="2"/>
  <c r="N3" i="2"/>
  <c r="Q9" i="2"/>
  <c r="M3" i="2"/>
  <c r="T9" i="2"/>
  <c r="S9" i="2"/>
  <c r="R9" i="2"/>
  <c r="P9" i="2"/>
  <c r="N9" i="2"/>
  <c r="M9" i="2"/>
  <c r="O9" i="2" l="1"/>
  <c r="I3" i="2"/>
  <c r="H3" i="2"/>
  <c r="G3" i="2"/>
  <c r="F4" i="2"/>
  <c r="F3" i="2"/>
  <c r="E3" i="2"/>
  <c r="D3" i="2"/>
  <c r="C3" i="2"/>
  <c r="B3" i="2"/>
  <c r="I4" i="2"/>
  <c r="H4" i="2"/>
  <c r="G4" i="2"/>
  <c r="E4" i="2"/>
  <c r="D4" i="2"/>
  <c r="C4" i="2"/>
  <c r="B4" i="2"/>
  <c r="F8" i="2"/>
  <c r="E8" i="2"/>
  <c r="D8" i="2"/>
  <c r="C8" i="2"/>
  <c r="B8" i="2"/>
  <c r="G8" i="2"/>
  <c r="I8" i="2"/>
  <c r="H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D9" i="2" s="1"/>
  <c r="C5" i="2"/>
  <c r="B5" i="2"/>
  <c r="G9" i="2" l="1"/>
  <c r="B9" i="2"/>
  <c r="C9" i="2"/>
  <c r="E9" i="2"/>
  <c r="F9" i="2"/>
  <c r="H9" i="2"/>
  <c r="I9" i="2"/>
  <c r="D60" i="1"/>
  <c r="D73" i="1"/>
  <c r="D88" i="1"/>
  <c r="D103" i="1"/>
  <c r="D118" i="1"/>
  <c r="D133" i="1"/>
  <c r="D45" i="1"/>
  <c r="D30" i="1"/>
  <c r="C125" i="1" l="1"/>
  <c r="C126" i="1"/>
  <c r="C127" i="1"/>
  <c r="C128" i="1"/>
  <c r="C129" i="1"/>
  <c r="C130" i="1"/>
  <c r="C110" i="1"/>
  <c r="C111" i="1"/>
  <c r="C112" i="1"/>
  <c r="C113" i="1"/>
  <c r="C114" i="1"/>
  <c r="C115" i="1"/>
  <c r="C95" i="1"/>
  <c r="C96" i="1"/>
  <c r="C97" i="1"/>
  <c r="C98" i="1"/>
  <c r="C99" i="1"/>
  <c r="C100" i="1"/>
  <c r="C80" i="1"/>
  <c r="C81" i="1"/>
  <c r="C82" i="1"/>
  <c r="C83" i="1"/>
  <c r="C84" i="1"/>
  <c r="C85" i="1"/>
  <c r="C67" i="1"/>
  <c r="C68" i="1"/>
  <c r="C69" i="1"/>
  <c r="C52" i="1"/>
  <c r="C53" i="1"/>
  <c r="C54" i="1"/>
  <c r="C55" i="1"/>
  <c r="C56" i="1"/>
  <c r="C57" i="1"/>
  <c r="C37" i="1"/>
  <c r="C38" i="1"/>
  <c r="C39" i="1"/>
  <c r="C40" i="1"/>
  <c r="C41" i="1"/>
  <c r="C42" i="1"/>
  <c r="C22" i="1"/>
  <c r="C23" i="1"/>
  <c r="C24" i="1"/>
  <c r="C25" i="1"/>
  <c r="C26" i="1"/>
  <c r="C27" i="1"/>
  <c r="C10" i="1"/>
  <c r="C9" i="1"/>
  <c r="C7" i="1"/>
  <c r="C5" i="1"/>
  <c r="C4" i="1"/>
  <c r="G4" i="1" l="1"/>
  <c r="B133" i="1"/>
  <c r="C131" i="1"/>
  <c r="C124" i="1"/>
  <c r="C116" i="1"/>
  <c r="C109" i="1"/>
  <c r="B118" i="1"/>
  <c r="C101" i="1"/>
  <c r="C94" i="1"/>
  <c r="B103" i="1"/>
  <c r="C86" i="1"/>
  <c r="C79" i="1"/>
  <c r="B88" i="1"/>
  <c r="B73" i="1"/>
  <c r="C70" i="1"/>
  <c r="C71" i="1"/>
  <c r="C72" i="1"/>
  <c r="C66" i="1"/>
  <c r="C58" i="1"/>
  <c r="C51" i="1"/>
  <c r="C43" i="1"/>
  <c r="C36" i="1"/>
  <c r="C28" i="1"/>
  <c r="C21" i="1"/>
  <c r="C11" i="1"/>
  <c r="C8" i="1"/>
  <c r="C6" i="1"/>
  <c r="C13" i="1" s="1"/>
  <c r="H4" i="1" s="1"/>
  <c r="B60" i="1"/>
  <c r="B45" i="1"/>
  <c r="B30" i="1"/>
  <c r="B13" i="1"/>
  <c r="C118" i="1" l="1"/>
  <c r="G109" i="1"/>
  <c r="G21" i="1"/>
  <c r="C30" i="1"/>
  <c r="H21" i="1" s="1"/>
  <c r="G36" i="1"/>
  <c r="C45" i="1"/>
  <c r="H36" i="1" s="1"/>
  <c r="G51" i="1"/>
  <c r="C60" i="1"/>
  <c r="G79" i="1"/>
  <c r="C88" i="1"/>
  <c r="C103" i="1"/>
  <c r="G94" i="1"/>
  <c r="G66" i="1"/>
  <c r="H51" i="1"/>
  <c r="C73" i="1"/>
  <c r="H66" i="1" s="1"/>
  <c r="I109" i="1" l="1"/>
  <c r="J109" i="1" s="1"/>
  <c r="I94" i="1"/>
  <c r="J94" i="1" s="1"/>
  <c r="I21" i="1"/>
  <c r="J21" i="1" s="1"/>
  <c r="I4" i="1"/>
  <c r="J4" i="1" s="1"/>
  <c r="I124" i="1"/>
  <c r="J124" i="1" s="1"/>
  <c r="I66" i="1"/>
  <c r="J66" i="1" s="1"/>
  <c r="I51" i="1"/>
  <c r="J51" i="1" s="1"/>
  <c r="I79" i="1"/>
  <c r="J79" i="1" s="1"/>
  <c r="I36" i="1"/>
  <c r="J36" i="1" s="1"/>
</calcChain>
</file>

<file path=xl/sharedStrings.xml><?xml version="1.0" encoding="utf-8"?>
<sst xmlns="http://schemas.openxmlformats.org/spreadsheetml/2006/main" count="214" uniqueCount="42">
  <si>
    <t>Análise de desempenho</t>
  </si>
  <si>
    <t>Meta de pontuação</t>
  </si>
  <si>
    <t>Competição</t>
  </si>
  <si>
    <t>Pontuação</t>
  </si>
  <si>
    <t xml:space="preserve"> %</t>
  </si>
  <si>
    <t>Crescimento</t>
  </si>
  <si>
    <t>Percentual base</t>
  </si>
  <si>
    <t xml:space="preserve">Meta </t>
  </si>
  <si>
    <t>Pontos</t>
  </si>
  <si>
    <t>Soma</t>
  </si>
  <si>
    <t>N16</t>
  </si>
  <si>
    <t>R16</t>
  </si>
  <si>
    <t>N17</t>
  </si>
  <si>
    <t>R17</t>
  </si>
  <si>
    <t>N18</t>
  </si>
  <si>
    <t>N19</t>
  </si>
  <si>
    <t>R19</t>
  </si>
  <si>
    <t>N20</t>
  </si>
  <si>
    <t>R20</t>
  </si>
  <si>
    <t>Média</t>
  </si>
  <si>
    <t>Análise de resultado (power)</t>
  </si>
  <si>
    <t>Colocação</t>
  </si>
  <si>
    <t>Análise de resultado (eletro)</t>
  </si>
  <si>
    <t>Análise de resultado (freio)</t>
  </si>
  <si>
    <t>30º</t>
  </si>
  <si>
    <t>Análise de resultado (design)</t>
  </si>
  <si>
    <t>Análise de resultado (susp)</t>
  </si>
  <si>
    <t>Análise de resultado (vendas)</t>
  </si>
  <si>
    <t>5º</t>
  </si>
  <si>
    <t>Análise de resultado (cálculo)</t>
  </si>
  <si>
    <t>Análise de resultado (gestão)</t>
  </si>
  <si>
    <t xml:space="preserve">Apresentações de projeto </t>
  </si>
  <si>
    <t xml:space="preserve">Finais de projeto </t>
  </si>
  <si>
    <t xml:space="preserve">Primeiro </t>
  </si>
  <si>
    <t>Segundo</t>
  </si>
  <si>
    <t>Terceiro</t>
  </si>
  <si>
    <t>Quarto</t>
  </si>
  <si>
    <t>Quinto</t>
  </si>
  <si>
    <t>Sexto</t>
  </si>
  <si>
    <t>Sétimo</t>
  </si>
  <si>
    <t>Oitavo</t>
  </si>
  <si>
    <t>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</si>
</sst>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&quot;º&quot;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5050"/>
        </patternFill>
      </fill>
    </dxf>
    <dxf>
      <font>
        <b/>
        <i val="0"/>
        <color theme="1"/>
      </font>
      <fill>
        <patternFill>
          <bgColor rgb="FFFF5050"/>
        </patternFill>
      </fill>
    </dxf>
    <dxf>
      <font>
        <b/>
        <i val="0"/>
        <color theme="1"/>
      </font>
      <fill>
        <patternFill>
          <bgColor rgb="FFFF5050"/>
        </patternFill>
      </fill>
    </dxf>
    <dxf>
      <font>
        <b/>
        <i val="0"/>
        <color theme="1"/>
      </font>
      <fill>
        <patternFill>
          <bgColor rgb="FFFF5050"/>
        </patternFill>
      </fill>
    </dxf>
    <dxf>
      <font>
        <b/>
        <i val="0"/>
        <color theme="1"/>
      </font>
      <fill>
        <patternFill>
          <bgColor rgb="FFFF5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5050"/>
        </patternFill>
      </fill>
    </dxf>
    <dxf>
      <font>
        <b/>
        <i val="0"/>
        <color theme="1"/>
      </font>
      <fill>
        <patternFill>
          <bgColor rgb="FFFF5050"/>
        </patternFill>
      </fill>
    </dxf>
    <dxf>
      <font>
        <b/>
        <i val="0"/>
        <color theme="1"/>
      </font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ofino Personal" panose="00000500000000000000" pitchFamily="50" charset="0"/>
                <a:ea typeface="+mn-ea"/>
                <a:cs typeface="+mn-cs"/>
              </a:defRPr>
            </a:pPr>
            <a:r>
              <a:rPr lang="en-US" baseline="0">
                <a:latin typeface="Tofino Personal" panose="00000500000000000000" pitchFamily="50" charset="0"/>
              </a:rPr>
              <a:t>Desempenho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ofino Personal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PAC!$A$4:$A$12</c:f>
              <c:strCache>
                <c:ptCount val="9"/>
                <c:pt idx="0">
                  <c:v>N16</c:v>
                </c:pt>
                <c:pt idx="1">
                  <c:v>R16</c:v>
                </c:pt>
                <c:pt idx="2">
                  <c:v>N17</c:v>
                </c:pt>
                <c:pt idx="3">
                  <c:v>R17</c:v>
                </c:pt>
                <c:pt idx="4">
                  <c:v>N18</c:v>
                </c:pt>
                <c:pt idx="5">
                  <c:v>N19</c:v>
                </c:pt>
                <c:pt idx="6">
                  <c:v>R19</c:v>
                </c:pt>
                <c:pt idx="7">
                  <c:v>N20</c:v>
                </c:pt>
                <c:pt idx="8">
                  <c:v>R20</c:v>
                </c:pt>
              </c:strCache>
            </c:strRef>
          </c:cat>
          <c:val>
            <c:numRef>
              <c:f>PAC!$C$4:$C$12</c:f>
              <c:numCache>
                <c:formatCode>0.00</c:formatCode>
                <c:ptCount val="9"/>
                <c:pt idx="0">
                  <c:v>45.06</c:v>
                </c:pt>
                <c:pt idx="1">
                  <c:v>60.051515151515147</c:v>
                </c:pt>
                <c:pt idx="2">
                  <c:v>60.626666666666665</c:v>
                </c:pt>
                <c:pt idx="3">
                  <c:v>70.923999999999992</c:v>
                </c:pt>
                <c:pt idx="4">
                  <c:v>64.51111111111112</c:v>
                </c:pt>
                <c:pt idx="5">
                  <c:v>64</c:v>
                </c:pt>
                <c:pt idx="6">
                  <c:v>70</c:v>
                </c:pt>
                <c:pt idx="7">
                  <c:v>64.688888888888883</c:v>
                </c:pt>
                <c:pt idx="8">
                  <c:v>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F-4030-9C71-CBF7BA37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339456"/>
        <c:axId val="575340440"/>
      </c:lineChart>
      <c:catAx>
        <c:axId val="5753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40440"/>
        <c:crosses val="autoZero"/>
        <c:auto val="1"/>
        <c:lblAlgn val="ctr"/>
        <c:lblOffset val="100"/>
        <c:noMultiLvlLbl val="0"/>
      </c:catAx>
      <c:valAx>
        <c:axId val="575340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587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ofino Personal" panose="00000500000000000000" pitchFamily="50" charset="0"/>
                <a:ea typeface="+mn-ea"/>
                <a:cs typeface="+mn-cs"/>
              </a:defRPr>
            </a:pPr>
            <a:r>
              <a:rPr lang="pt-BR" baseline="0">
                <a:latin typeface="Tofino Personal" panose="00000500000000000000" pitchFamily="50" charset="0"/>
              </a:rPr>
              <a:t>Powertrain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ofino Personal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PAC!$A$21:$A$29</c:f>
              <c:strCache>
                <c:ptCount val="9"/>
                <c:pt idx="0">
                  <c:v>N16</c:v>
                </c:pt>
                <c:pt idx="1">
                  <c:v>R16</c:v>
                </c:pt>
                <c:pt idx="2">
                  <c:v>N17</c:v>
                </c:pt>
                <c:pt idx="3">
                  <c:v>R17</c:v>
                </c:pt>
                <c:pt idx="4">
                  <c:v>N18</c:v>
                </c:pt>
                <c:pt idx="5">
                  <c:v>N19</c:v>
                </c:pt>
                <c:pt idx="6">
                  <c:v>R19</c:v>
                </c:pt>
                <c:pt idx="7">
                  <c:v>N20</c:v>
                </c:pt>
                <c:pt idx="8">
                  <c:v>R20</c:v>
                </c:pt>
              </c:strCache>
            </c:strRef>
          </c:cat>
          <c:val>
            <c:numRef>
              <c:f>PAC!$B$21:$B$29</c:f>
              <c:numCache>
                <c:formatCode>0.00</c:formatCode>
                <c:ptCount val="9"/>
                <c:pt idx="0">
                  <c:v>7.25</c:v>
                </c:pt>
                <c:pt idx="1">
                  <c:v>6.25</c:v>
                </c:pt>
                <c:pt idx="2">
                  <c:v>7.85</c:v>
                </c:pt>
                <c:pt idx="3">
                  <c:v>7.8</c:v>
                </c:pt>
                <c:pt idx="4">
                  <c:v>8.4499999999999993</c:v>
                </c:pt>
                <c:pt idx="5">
                  <c:v>7.75</c:v>
                </c:pt>
                <c:pt idx="6">
                  <c:v>6.25</c:v>
                </c:pt>
                <c:pt idx="7">
                  <c:v>5.25</c:v>
                </c:pt>
                <c:pt idx="8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D-48B6-8516-9C72C8E53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334208"/>
        <c:axId val="575325352"/>
      </c:lineChart>
      <c:catAx>
        <c:axId val="5753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5352"/>
        <c:crosses val="autoZero"/>
        <c:auto val="1"/>
        <c:lblAlgn val="ctr"/>
        <c:lblOffset val="100"/>
        <c:noMultiLvlLbl val="0"/>
      </c:catAx>
      <c:valAx>
        <c:axId val="5753253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587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ofino Personal" panose="00000500000000000000" pitchFamily="50" charset="0"/>
                <a:ea typeface="+mn-ea"/>
                <a:cs typeface="+mn-cs"/>
              </a:defRPr>
            </a:pPr>
            <a:r>
              <a:rPr lang="pt-BR" baseline="0">
                <a:latin typeface="Tofino Personal" panose="00000500000000000000" pitchFamily="50" charset="0"/>
              </a:rPr>
              <a:t>Eletrônica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ofino Personal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PAC!$A$36:$A$44</c:f>
              <c:strCache>
                <c:ptCount val="9"/>
                <c:pt idx="0">
                  <c:v>N16</c:v>
                </c:pt>
                <c:pt idx="1">
                  <c:v>R16</c:v>
                </c:pt>
                <c:pt idx="2">
                  <c:v>N17</c:v>
                </c:pt>
                <c:pt idx="3">
                  <c:v>R17</c:v>
                </c:pt>
                <c:pt idx="4">
                  <c:v>N18</c:v>
                </c:pt>
                <c:pt idx="5">
                  <c:v>N19</c:v>
                </c:pt>
                <c:pt idx="6">
                  <c:v>R19</c:v>
                </c:pt>
                <c:pt idx="7">
                  <c:v>N20</c:v>
                </c:pt>
                <c:pt idx="8">
                  <c:v>R20</c:v>
                </c:pt>
              </c:strCache>
            </c:strRef>
          </c:cat>
          <c:val>
            <c:numRef>
              <c:f>PAC!$B$36:$B$44</c:f>
              <c:numCache>
                <c:formatCode>0.00</c:formatCode>
                <c:ptCount val="9"/>
                <c:pt idx="0">
                  <c:v>2.95</c:v>
                </c:pt>
                <c:pt idx="1">
                  <c:v>3.4</c:v>
                </c:pt>
                <c:pt idx="2">
                  <c:v>5.9</c:v>
                </c:pt>
                <c:pt idx="3">
                  <c:v>5.6</c:v>
                </c:pt>
                <c:pt idx="4">
                  <c:v>3.9</c:v>
                </c:pt>
                <c:pt idx="5">
                  <c:v>8.2899999999999991</c:v>
                </c:pt>
                <c:pt idx="6">
                  <c:v>8</c:v>
                </c:pt>
                <c:pt idx="7">
                  <c:v>7.25</c:v>
                </c:pt>
                <c:pt idx="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E-444A-914F-B7B4C254D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50256"/>
        <c:axId val="575550912"/>
      </c:lineChart>
      <c:catAx>
        <c:axId val="5755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0912"/>
        <c:crosses val="autoZero"/>
        <c:auto val="1"/>
        <c:lblAlgn val="ctr"/>
        <c:lblOffset val="100"/>
        <c:noMultiLvlLbl val="0"/>
      </c:catAx>
      <c:valAx>
        <c:axId val="5755509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587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ofino Personal" panose="00000500000000000000" pitchFamily="50" charset="0"/>
                <a:ea typeface="+mn-ea"/>
                <a:cs typeface="+mn-cs"/>
              </a:defRPr>
            </a:pPr>
            <a:r>
              <a:rPr lang="pt-BR" baseline="0">
                <a:latin typeface="Tofino Personal" panose="00000500000000000000" pitchFamily="50" charset="0"/>
              </a:rPr>
              <a:t>Freios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ofino Personal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PAC!$A$51:$A$59</c:f>
              <c:strCache>
                <c:ptCount val="9"/>
                <c:pt idx="0">
                  <c:v>N16</c:v>
                </c:pt>
                <c:pt idx="1">
                  <c:v>R16</c:v>
                </c:pt>
                <c:pt idx="2">
                  <c:v>N17</c:v>
                </c:pt>
                <c:pt idx="3">
                  <c:v>R17</c:v>
                </c:pt>
                <c:pt idx="4">
                  <c:v>N18</c:v>
                </c:pt>
                <c:pt idx="5">
                  <c:v>N19</c:v>
                </c:pt>
                <c:pt idx="6">
                  <c:v>R19</c:v>
                </c:pt>
                <c:pt idx="7">
                  <c:v>N20</c:v>
                </c:pt>
                <c:pt idx="8">
                  <c:v>R20</c:v>
                </c:pt>
              </c:strCache>
            </c:strRef>
          </c:cat>
          <c:val>
            <c:numRef>
              <c:f>PAC!$B$51:$B$59</c:f>
              <c:numCache>
                <c:formatCode>0.00</c:formatCode>
                <c:ptCount val="9"/>
                <c:pt idx="0">
                  <c:v>3.8</c:v>
                </c:pt>
                <c:pt idx="1">
                  <c:v>5.07</c:v>
                </c:pt>
                <c:pt idx="2">
                  <c:v>3.85</c:v>
                </c:pt>
                <c:pt idx="3">
                  <c:v>6.6</c:v>
                </c:pt>
                <c:pt idx="4">
                  <c:v>5.41</c:v>
                </c:pt>
                <c:pt idx="5">
                  <c:v>3.83</c:v>
                </c:pt>
                <c:pt idx="6">
                  <c:v>6.25</c:v>
                </c:pt>
                <c:pt idx="7">
                  <c:v>4.75</c:v>
                </c:pt>
                <c:pt idx="8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0-462A-833F-FE6D8EFD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56168"/>
        <c:axId val="611744992"/>
      </c:lineChart>
      <c:catAx>
        <c:axId val="22145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44992"/>
        <c:crosses val="autoZero"/>
        <c:auto val="1"/>
        <c:lblAlgn val="ctr"/>
        <c:lblOffset val="100"/>
        <c:noMultiLvlLbl val="0"/>
      </c:catAx>
      <c:valAx>
        <c:axId val="611744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5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587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ofino Personal" panose="00000500000000000000" pitchFamily="50" charset="0"/>
                <a:ea typeface="+mn-ea"/>
                <a:cs typeface="+mn-cs"/>
              </a:defRPr>
            </a:pPr>
            <a:r>
              <a:rPr lang="pt-BR" baseline="0">
                <a:latin typeface="Tofino Personal" panose="00000500000000000000" pitchFamily="50" charset="0"/>
              </a:rPr>
              <a:t>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ofino Personal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PAC!$A$66:$A$72</c:f>
              <c:strCache>
                <c:ptCount val="7"/>
                <c:pt idx="0">
                  <c:v>N16</c:v>
                </c:pt>
                <c:pt idx="1">
                  <c:v>R16</c:v>
                </c:pt>
                <c:pt idx="2">
                  <c:v>N17</c:v>
                </c:pt>
                <c:pt idx="3">
                  <c:v>R17</c:v>
                </c:pt>
                <c:pt idx="4">
                  <c:v>N18</c:v>
                </c:pt>
                <c:pt idx="5">
                  <c:v>N19</c:v>
                </c:pt>
                <c:pt idx="6">
                  <c:v>N20</c:v>
                </c:pt>
              </c:strCache>
            </c:strRef>
          </c:cat>
          <c:val>
            <c:numRef>
              <c:f>PAC!$B$66:$B$72</c:f>
              <c:numCache>
                <c:formatCode>0.00</c:formatCode>
                <c:ptCount val="7"/>
                <c:pt idx="0">
                  <c:v>6.15</c:v>
                </c:pt>
                <c:pt idx="1">
                  <c:v>7.52</c:v>
                </c:pt>
                <c:pt idx="2">
                  <c:v>7.9</c:v>
                </c:pt>
                <c:pt idx="3">
                  <c:v>7.45</c:v>
                </c:pt>
                <c:pt idx="4">
                  <c:v>8.4</c:v>
                </c:pt>
                <c:pt idx="5">
                  <c:v>6.08</c:v>
                </c:pt>
                <c:pt idx="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3-4A18-8928-69C9D16F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332240"/>
        <c:axId val="575326992"/>
      </c:lineChart>
      <c:catAx>
        <c:axId val="5753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6992"/>
        <c:crosses val="autoZero"/>
        <c:auto val="1"/>
        <c:lblAlgn val="ctr"/>
        <c:lblOffset val="100"/>
        <c:noMultiLvlLbl val="0"/>
      </c:catAx>
      <c:valAx>
        <c:axId val="575326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587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ofino Personal" panose="00000500000000000000" pitchFamily="50" charset="0"/>
                <a:ea typeface="+mn-ea"/>
                <a:cs typeface="+mn-cs"/>
              </a:defRPr>
            </a:pPr>
            <a:r>
              <a:rPr lang="pt-BR" baseline="0">
                <a:latin typeface="Tofino Personal" panose="00000500000000000000" pitchFamily="50" charset="0"/>
              </a:rPr>
              <a:t>Suspensão e direção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ofino Personal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PAC!$A$79:$A$87</c:f>
              <c:strCache>
                <c:ptCount val="9"/>
                <c:pt idx="0">
                  <c:v>N16</c:v>
                </c:pt>
                <c:pt idx="1">
                  <c:v>R16</c:v>
                </c:pt>
                <c:pt idx="2">
                  <c:v>N17</c:v>
                </c:pt>
                <c:pt idx="3">
                  <c:v>R17</c:v>
                </c:pt>
                <c:pt idx="4">
                  <c:v>N18</c:v>
                </c:pt>
                <c:pt idx="5">
                  <c:v>N19</c:v>
                </c:pt>
                <c:pt idx="6">
                  <c:v>R19</c:v>
                </c:pt>
                <c:pt idx="7">
                  <c:v>N20</c:v>
                </c:pt>
                <c:pt idx="8">
                  <c:v>R20</c:v>
                </c:pt>
              </c:strCache>
            </c:strRef>
          </c:cat>
          <c:val>
            <c:numRef>
              <c:f>PAC!$B$79:$B$87</c:f>
              <c:numCache>
                <c:formatCode>0.00</c:formatCode>
                <c:ptCount val="9"/>
                <c:pt idx="0">
                  <c:v>2.2999999999999998</c:v>
                </c:pt>
                <c:pt idx="1">
                  <c:v>2</c:v>
                </c:pt>
                <c:pt idx="2">
                  <c:v>6.6</c:v>
                </c:pt>
                <c:pt idx="3">
                  <c:v>5.57</c:v>
                </c:pt>
                <c:pt idx="4">
                  <c:v>4.55</c:v>
                </c:pt>
                <c:pt idx="5">
                  <c:v>8.25</c:v>
                </c:pt>
                <c:pt idx="6">
                  <c:v>6.25</c:v>
                </c:pt>
                <c:pt idx="7">
                  <c:v>6.25</c:v>
                </c:pt>
                <c:pt idx="8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A-45D3-9922-185157CC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328632"/>
        <c:axId val="575329616"/>
      </c:lineChart>
      <c:catAx>
        <c:axId val="57532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9616"/>
        <c:crosses val="autoZero"/>
        <c:auto val="1"/>
        <c:lblAlgn val="ctr"/>
        <c:lblOffset val="100"/>
        <c:noMultiLvlLbl val="0"/>
      </c:catAx>
      <c:valAx>
        <c:axId val="5753296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587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ofino Personal" panose="00000500000000000000" pitchFamily="50" charset="0"/>
                <a:ea typeface="+mn-ea"/>
                <a:cs typeface="+mn-cs"/>
              </a:defRPr>
            </a:pPr>
            <a:r>
              <a:rPr lang="pt-BR" baseline="0">
                <a:latin typeface="Tofino Personal" panose="00000500000000000000" pitchFamily="50" charset="0"/>
              </a:rPr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ofino Personal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PAC!$A$94:$A$102</c:f>
              <c:strCache>
                <c:ptCount val="9"/>
                <c:pt idx="0">
                  <c:v>N16</c:v>
                </c:pt>
                <c:pt idx="1">
                  <c:v>R16</c:v>
                </c:pt>
                <c:pt idx="2">
                  <c:v>N17</c:v>
                </c:pt>
                <c:pt idx="3">
                  <c:v>R17</c:v>
                </c:pt>
                <c:pt idx="4">
                  <c:v>N18</c:v>
                </c:pt>
                <c:pt idx="5">
                  <c:v>N19</c:v>
                </c:pt>
                <c:pt idx="6">
                  <c:v>R19</c:v>
                </c:pt>
                <c:pt idx="7">
                  <c:v>N20</c:v>
                </c:pt>
                <c:pt idx="8">
                  <c:v>R20</c:v>
                </c:pt>
              </c:strCache>
            </c:strRef>
          </c:cat>
          <c:val>
            <c:numRef>
              <c:f>PAC!$B$94:$B$102</c:f>
              <c:numCache>
                <c:formatCode>0.00</c:formatCode>
                <c:ptCount val="9"/>
                <c:pt idx="0">
                  <c:v>4.72</c:v>
                </c:pt>
                <c:pt idx="1">
                  <c:v>7.6</c:v>
                </c:pt>
                <c:pt idx="2">
                  <c:v>6.05</c:v>
                </c:pt>
                <c:pt idx="3">
                  <c:v>8</c:v>
                </c:pt>
                <c:pt idx="4">
                  <c:v>7.65</c:v>
                </c:pt>
                <c:pt idx="5">
                  <c:v>6.5</c:v>
                </c:pt>
                <c:pt idx="6">
                  <c:v>10</c:v>
                </c:pt>
                <c:pt idx="7">
                  <c:v>7.75</c:v>
                </c:pt>
                <c:pt idx="8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D-4F08-921C-A70DC445E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48368"/>
        <c:axId val="606146728"/>
      </c:lineChart>
      <c:catAx>
        <c:axId val="6061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46728"/>
        <c:crosses val="autoZero"/>
        <c:auto val="1"/>
        <c:lblAlgn val="ctr"/>
        <c:lblOffset val="100"/>
        <c:noMultiLvlLbl val="0"/>
      </c:catAx>
      <c:valAx>
        <c:axId val="6061467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587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off"/>
                <a:ea typeface="+mn-ea"/>
                <a:cs typeface="+mn-cs"/>
              </a:defRPr>
            </a:pPr>
            <a:r>
              <a:rPr lang="pt-BR" baseline="0">
                <a:latin typeface="Tofino Personal" panose="00000500000000000000" pitchFamily="50" charset="0"/>
              </a:rPr>
              <a:t>Cálculo</a:t>
            </a:r>
            <a:r>
              <a:rPr lang="pt-BR" baseline="0">
                <a:latin typeface="Toff"/>
              </a:rPr>
              <a:t> </a:t>
            </a:r>
            <a:r>
              <a:rPr lang="pt-BR" baseline="0">
                <a:latin typeface="Tofino Personal" panose="00000500000000000000" pitchFamily="50" charset="0"/>
              </a:rPr>
              <a:t>estrutural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off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PAC!$A$109:$A$117</c:f>
              <c:strCache>
                <c:ptCount val="9"/>
                <c:pt idx="0">
                  <c:v>N16</c:v>
                </c:pt>
                <c:pt idx="1">
                  <c:v>R16</c:v>
                </c:pt>
                <c:pt idx="2">
                  <c:v>N17</c:v>
                </c:pt>
                <c:pt idx="3">
                  <c:v>R17</c:v>
                </c:pt>
                <c:pt idx="4">
                  <c:v>N18</c:v>
                </c:pt>
                <c:pt idx="5">
                  <c:v>N19</c:v>
                </c:pt>
                <c:pt idx="6">
                  <c:v>R19</c:v>
                </c:pt>
                <c:pt idx="7">
                  <c:v>N20</c:v>
                </c:pt>
                <c:pt idx="8">
                  <c:v>R20</c:v>
                </c:pt>
              </c:strCache>
            </c:strRef>
          </c:cat>
          <c:val>
            <c:numRef>
              <c:f>PAC!$B$109:$B$117</c:f>
              <c:numCache>
                <c:formatCode>0.00</c:formatCode>
                <c:ptCount val="9"/>
                <c:pt idx="0">
                  <c:v>5.4</c:v>
                </c:pt>
                <c:pt idx="1">
                  <c:v>6.7</c:v>
                </c:pt>
                <c:pt idx="2">
                  <c:v>2.9</c:v>
                </c:pt>
                <c:pt idx="3">
                  <c:v>8.1300000000000008</c:v>
                </c:pt>
                <c:pt idx="4">
                  <c:v>6</c:v>
                </c:pt>
                <c:pt idx="5">
                  <c:v>4.33</c:v>
                </c:pt>
                <c:pt idx="6">
                  <c:v>6</c:v>
                </c:pt>
                <c:pt idx="7">
                  <c:v>7.25</c:v>
                </c:pt>
                <c:pt idx="8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4-4083-A4E0-333DD338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96032"/>
        <c:axId val="569394720"/>
      </c:lineChart>
      <c:catAx>
        <c:axId val="5693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4720"/>
        <c:crosses val="autoZero"/>
        <c:auto val="1"/>
        <c:lblAlgn val="ctr"/>
        <c:lblOffset val="100"/>
        <c:noMultiLvlLbl val="0"/>
      </c:catAx>
      <c:valAx>
        <c:axId val="5693947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587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ofino Personal" panose="00000500000000000000" pitchFamily="50" charset="0"/>
                <a:ea typeface="+mn-ea"/>
                <a:cs typeface="+mn-cs"/>
              </a:defRPr>
            </a:pPr>
            <a:r>
              <a:rPr lang="pt-BR" baseline="0">
                <a:latin typeface="Tofino Personal" panose="00000500000000000000" pitchFamily="50" charset="0"/>
              </a:rPr>
              <a:t>Gestão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ofino Personal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PAC!$A$124:$A$132</c:f>
              <c:strCache>
                <c:ptCount val="9"/>
                <c:pt idx="0">
                  <c:v>N16</c:v>
                </c:pt>
                <c:pt idx="1">
                  <c:v>R16</c:v>
                </c:pt>
                <c:pt idx="2">
                  <c:v>N17</c:v>
                </c:pt>
                <c:pt idx="3">
                  <c:v>R17</c:v>
                </c:pt>
                <c:pt idx="4">
                  <c:v>N18</c:v>
                </c:pt>
                <c:pt idx="5">
                  <c:v>N19</c:v>
                </c:pt>
                <c:pt idx="6">
                  <c:v>R19</c:v>
                </c:pt>
                <c:pt idx="7">
                  <c:v>N20</c:v>
                </c:pt>
                <c:pt idx="8">
                  <c:v>R20</c:v>
                </c:pt>
              </c:strCache>
            </c:strRef>
          </c:cat>
          <c:val>
            <c:numRef>
              <c:f>PAC!$B$124:$B$132</c:f>
              <c:numCache>
                <c:formatCode>0.00</c:formatCode>
                <c:ptCount val="9"/>
                <c:pt idx="0">
                  <c:v>3.48</c:v>
                </c:pt>
                <c:pt idx="1">
                  <c:v>9.5</c:v>
                </c:pt>
                <c:pt idx="2">
                  <c:v>7.45</c:v>
                </c:pt>
                <c:pt idx="3">
                  <c:v>7.6</c:v>
                </c:pt>
                <c:pt idx="4">
                  <c:v>7.25</c:v>
                </c:pt>
                <c:pt idx="5">
                  <c:v>6.17</c:v>
                </c:pt>
                <c:pt idx="6">
                  <c:v>5.5</c:v>
                </c:pt>
                <c:pt idx="7">
                  <c:v>8.75</c:v>
                </c:pt>
                <c:pt idx="8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3-445E-ABE8-89D260BCA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796000"/>
        <c:axId val="612796656"/>
      </c:lineChart>
      <c:catAx>
        <c:axId val="6127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96656"/>
        <c:crosses val="autoZero"/>
        <c:auto val="1"/>
        <c:lblAlgn val="ctr"/>
        <c:lblOffset val="100"/>
        <c:noMultiLvlLbl val="0"/>
      </c:catAx>
      <c:valAx>
        <c:axId val="6127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587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0</xdr:row>
      <xdr:rowOff>0</xdr:rowOff>
    </xdr:from>
    <xdr:to>
      <xdr:col>20</xdr:col>
      <xdr:colOff>190500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D5153B-F67B-4589-9375-981675D88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14</xdr:row>
      <xdr:rowOff>128587</xdr:rowOff>
    </xdr:from>
    <xdr:to>
      <xdr:col>20</xdr:col>
      <xdr:colOff>180975</xdr:colOff>
      <xdr:row>29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819FD3-3A89-4C87-9D1F-8214C12BAE30}"/>
            </a:ext>
            <a:ext uri="{147F2762-F138-4A5C-976F-8EAC2B608ADB}">
              <a16:predDERef xmlns:a16="http://schemas.microsoft.com/office/drawing/2014/main" pred="{29D5153B-F67B-4589-9375-981675D88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29</xdr:row>
      <xdr:rowOff>61912</xdr:rowOff>
    </xdr:from>
    <xdr:to>
      <xdr:col>20</xdr:col>
      <xdr:colOff>180975</xdr:colOff>
      <xdr:row>44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1EFCBD-FBD6-4009-87FE-08AB6D21EA22}"/>
            </a:ext>
            <a:ext uri="{147F2762-F138-4A5C-976F-8EAC2B608ADB}">
              <a16:predDERef xmlns:a16="http://schemas.microsoft.com/office/drawing/2014/main" pred="{E6819FD3-3A89-4C87-9D1F-8214C12BA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46</xdr:row>
      <xdr:rowOff>23812</xdr:rowOff>
    </xdr:from>
    <xdr:to>
      <xdr:col>20</xdr:col>
      <xdr:colOff>171450</xdr:colOff>
      <xdr:row>61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3971B31-A6BF-4CDF-B7D9-826DB0413BEF}"/>
            </a:ext>
            <a:ext uri="{147F2762-F138-4A5C-976F-8EAC2B608ADB}">
              <a16:predDERef xmlns:a16="http://schemas.microsoft.com/office/drawing/2014/main" pred="{CD1EFCBD-FBD6-4009-87FE-08AB6D21E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466725</xdr:colOff>
      <xdr:row>62</xdr:row>
      <xdr:rowOff>4762</xdr:rowOff>
    </xdr:from>
    <xdr:to>
      <xdr:col>20</xdr:col>
      <xdr:colOff>161925</xdr:colOff>
      <xdr:row>76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BD7EF2D-B0F4-4EE5-BDAA-4128D66CE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476250</xdr:colOff>
      <xdr:row>76</xdr:row>
      <xdr:rowOff>128587</xdr:rowOff>
    </xdr:from>
    <xdr:to>
      <xdr:col>20</xdr:col>
      <xdr:colOff>171450</xdr:colOff>
      <xdr:row>92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9C6A7B-B67D-405B-B55B-FDF07AFAF557}"/>
            </a:ext>
            <a:ext uri="{147F2762-F138-4A5C-976F-8EAC2B608ADB}">
              <a16:predDERef xmlns:a16="http://schemas.microsoft.com/office/drawing/2014/main" pred="{3BD7EF2D-B0F4-4EE5-BDAA-4128D66CE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476250</xdr:colOff>
      <xdr:row>92</xdr:row>
      <xdr:rowOff>42862</xdr:rowOff>
    </xdr:from>
    <xdr:to>
      <xdr:col>20</xdr:col>
      <xdr:colOff>171450</xdr:colOff>
      <xdr:row>107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330B2D0-C2D1-4446-B149-0D6E16B0A9A9}"/>
            </a:ext>
            <a:ext uri="{147F2762-F138-4A5C-976F-8EAC2B608ADB}">
              <a16:predDERef xmlns:a16="http://schemas.microsoft.com/office/drawing/2014/main" pred="{2F9C6A7B-B67D-405B-B55B-FDF07AFA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476250</xdr:colOff>
      <xdr:row>107</xdr:row>
      <xdr:rowOff>157162</xdr:rowOff>
    </xdr:from>
    <xdr:to>
      <xdr:col>20</xdr:col>
      <xdr:colOff>171450</xdr:colOff>
      <xdr:row>123</xdr:row>
      <xdr:rowOff>42862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D056218-9A3B-4230-91AF-E89525805FE0}"/>
            </a:ext>
            <a:ext uri="{147F2762-F138-4A5C-976F-8EAC2B608ADB}">
              <a16:predDERef xmlns:a16="http://schemas.microsoft.com/office/drawing/2014/main" pred="{0330B2D0-C2D1-4446-B149-0D6E16B0A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466725</xdr:colOff>
      <xdr:row>123</xdr:row>
      <xdr:rowOff>71437</xdr:rowOff>
    </xdr:from>
    <xdr:to>
      <xdr:col>20</xdr:col>
      <xdr:colOff>161925</xdr:colOff>
      <xdr:row>137</xdr:row>
      <xdr:rowOff>147637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6D8E027-FC32-4E88-851D-17AA9A49E9BC}"/>
            </a:ext>
            <a:ext uri="{147F2762-F138-4A5C-976F-8EAC2B608ADB}">
              <a16:predDERef xmlns:a16="http://schemas.microsoft.com/office/drawing/2014/main" pred="{2D056218-9A3B-4230-91AF-E89525805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D5B3-E70E-4257-9A1B-76DC549765E5}">
  <dimension ref="A1:K133"/>
  <sheetViews>
    <sheetView showGridLines="0" tabSelected="1" topLeftCell="F1" workbookViewId="0">
      <selection activeCell="L13" sqref="L13"/>
    </sheetView>
  </sheetViews>
  <sheetFormatPr defaultRowHeight="15"/>
  <cols>
    <col min="1" max="1" width="12" customWidth="1"/>
    <col min="2" max="2" width="11.7109375" customWidth="1"/>
    <col min="3" max="4" width="11.85546875" customWidth="1"/>
    <col min="7" max="7" width="12.140625" bestFit="1" customWidth="1"/>
    <col min="8" max="8" width="15.28515625" bestFit="1" customWidth="1"/>
  </cols>
  <sheetData>
    <row r="1" spans="1:11" ht="18.75" customHeight="1">
      <c r="A1" s="9" t="s">
        <v>0</v>
      </c>
      <c r="B1" s="10"/>
      <c r="C1" s="11"/>
      <c r="E1" s="4"/>
      <c r="F1" s="4"/>
      <c r="G1" s="15" t="s">
        <v>1</v>
      </c>
      <c r="H1" s="15"/>
      <c r="I1" s="15"/>
      <c r="J1" s="15"/>
      <c r="K1" s="15"/>
    </row>
    <row r="2" spans="1:11" ht="18.75" customHeight="1">
      <c r="A2" s="12"/>
      <c r="B2" s="13"/>
      <c r="C2" s="14"/>
      <c r="E2" s="4"/>
      <c r="F2" s="4"/>
      <c r="G2" s="15"/>
      <c r="H2" s="15"/>
      <c r="I2" s="15"/>
      <c r="J2" s="15"/>
      <c r="K2" s="15"/>
    </row>
    <row r="3" spans="1:11">
      <c r="A3" s="7" t="s">
        <v>2</v>
      </c>
      <c r="B3" s="7" t="s">
        <v>3</v>
      </c>
      <c r="C3" s="7" t="s">
        <v>4</v>
      </c>
      <c r="E3" s="4"/>
      <c r="F3" s="4"/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</row>
    <row r="4" spans="1:11">
      <c r="A4" s="1" t="s">
        <v>10</v>
      </c>
      <c r="B4" s="1">
        <v>67.59</v>
      </c>
      <c r="C4" s="1">
        <f>(B4/150)*100</f>
        <v>45.06</v>
      </c>
      <c r="E4" s="4"/>
      <c r="F4" s="4"/>
      <c r="G4" s="2">
        <f>IF((C12-C4)/8&lt;0,"0",(C12-C4)/8)</f>
        <v>3.1050000000000004</v>
      </c>
      <c r="H4" s="3">
        <f>(C12*1.5+C13*1)/2.5</f>
        <v>67.262763636363644</v>
      </c>
      <c r="I4" s="3">
        <f>H4+G4</f>
        <v>70.367763636363648</v>
      </c>
      <c r="J4" s="2">
        <f>(I4*180/100)</f>
        <v>126.66197454545456</v>
      </c>
      <c r="K4" s="1">
        <f>(SUM(J22,J37,J52,J67,J80,J94,J110,J125)/8)*18</f>
        <v>127.56043750000001</v>
      </c>
    </row>
    <row r="5" spans="1:11">
      <c r="A5" s="1" t="s">
        <v>11</v>
      </c>
      <c r="B5" s="1">
        <v>198.17</v>
      </c>
      <c r="C5" s="1">
        <f>(B5/330)*100</f>
        <v>60.051515151515147</v>
      </c>
      <c r="E5" s="4"/>
      <c r="F5" s="4"/>
      <c r="G5" s="4"/>
      <c r="H5" s="4"/>
      <c r="I5" s="4"/>
      <c r="J5" s="4"/>
      <c r="K5" s="4"/>
    </row>
    <row r="6" spans="1:11">
      <c r="A6" s="1" t="s">
        <v>12</v>
      </c>
      <c r="B6" s="1">
        <v>90.94</v>
      </c>
      <c r="C6" s="1">
        <f t="shared" ref="C6" si="0">(B6/150)*100</f>
        <v>60.626666666666665</v>
      </c>
      <c r="E6" s="4"/>
      <c r="F6" s="4"/>
      <c r="G6" s="4"/>
      <c r="H6" s="4"/>
      <c r="I6" s="4"/>
      <c r="J6" s="4"/>
      <c r="K6" s="4"/>
    </row>
    <row r="7" spans="1:11">
      <c r="A7" s="1" t="s">
        <v>13</v>
      </c>
      <c r="B7" s="1">
        <v>177.31</v>
      </c>
      <c r="C7" s="1">
        <f>(B7/250)*100</f>
        <v>70.923999999999992</v>
      </c>
      <c r="E7" s="4"/>
      <c r="F7" s="4"/>
      <c r="G7" s="4"/>
      <c r="H7" s="4"/>
      <c r="I7" s="4"/>
      <c r="J7" s="4"/>
      <c r="K7" s="4"/>
    </row>
    <row r="8" spans="1:11">
      <c r="A8" s="1" t="s">
        <v>14</v>
      </c>
      <c r="B8" s="1">
        <v>116.12</v>
      </c>
      <c r="C8" s="1">
        <f>(B8/180)*100</f>
        <v>64.51111111111112</v>
      </c>
      <c r="E8" s="4"/>
      <c r="F8" s="4"/>
      <c r="G8" s="4"/>
      <c r="H8" s="4"/>
      <c r="I8" s="4"/>
      <c r="J8" s="4"/>
      <c r="K8" s="4"/>
    </row>
    <row r="9" spans="1:11">
      <c r="A9" s="1" t="s">
        <v>15</v>
      </c>
      <c r="B9" s="1">
        <v>115.2</v>
      </c>
      <c r="C9" s="1">
        <f>(B9/180)*100</f>
        <v>64</v>
      </c>
      <c r="E9" s="4"/>
      <c r="F9" s="4"/>
      <c r="G9" s="4"/>
      <c r="H9" s="4"/>
      <c r="I9" s="4"/>
      <c r="J9" s="4"/>
      <c r="K9" s="4"/>
    </row>
    <row r="10" spans="1:11">
      <c r="A10" s="1" t="s">
        <v>16</v>
      </c>
      <c r="B10" s="1">
        <v>189</v>
      </c>
      <c r="C10" s="1">
        <f>(B10/270)*100</f>
        <v>70</v>
      </c>
      <c r="E10" s="4"/>
      <c r="F10" s="4"/>
      <c r="G10" s="4"/>
      <c r="H10" s="4"/>
      <c r="I10" s="4"/>
      <c r="J10" s="4"/>
      <c r="K10" s="4"/>
    </row>
    <row r="11" spans="1:11">
      <c r="A11" s="1" t="s">
        <v>17</v>
      </c>
      <c r="B11" s="1">
        <v>116.44</v>
      </c>
      <c r="C11" s="1">
        <f>(B11/180)*100</f>
        <v>64.688888888888883</v>
      </c>
      <c r="E11" s="4"/>
      <c r="F11" s="4"/>
      <c r="G11" s="4"/>
      <c r="H11" s="4"/>
      <c r="I11" s="4"/>
      <c r="J11" s="4"/>
      <c r="K11" s="4"/>
    </row>
    <row r="12" spans="1:11">
      <c r="A12" s="1" t="s">
        <v>18</v>
      </c>
      <c r="B12" s="1">
        <v>34.950000000000003</v>
      </c>
      <c r="C12" s="1">
        <f>(B12/50)*100</f>
        <v>69.900000000000006</v>
      </c>
      <c r="E12" s="4"/>
      <c r="F12" s="4"/>
      <c r="G12" s="4"/>
      <c r="H12" s="4"/>
      <c r="I12" s="4"/>
      <c r="J12" s="4"/>
      <c r="K12" s="4"/>
    </row>
    <row r="13" spans="1:11">
      <c r="A13" s="1" t="s">
        <v>19</v>
      </c>
      <c r="B13" s="1">
        <f>AVERAGE(B4:B11)</f>
        <v>133.84625</v>
      </c>
      <c r="C13" s="1">
        <f>AVERAGE(C4:C12)</f>
        <v>63.306909090909095</v>
      </c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15" t="s">
        <v>20</v>
      </c>
      <c r="B18" s="15"/>
      <c r="C18" s="15"/>
      <c r="D18" s="15"/>
      <c r="E18" s="4"/>
      <c r="F18" s="4"/>
      <c r="G18" s="15" t="s">
        <v>1</v>
      </c>
      <c r="H18" s="15"/>
      <c r="I18" s="15"/>
      <c r="J18" s="15"/>
      <c r="K18" s="4"/>
    </row>
    <row r="19" spans="1:11">
      <c r="A19" s="15"/>
      <c r="B19" s="15"/>
      <c r="C19" s="15"/>
      <c r="D19" s="15"/>
      <c r="E19" s="4"/>
      <c r="F19" s="4"/>
      <c r="G19" s="15"/>
      <c r="H19" s="15"/>
      <c r="I19" s="15"/>
      <c r="J19" s="15"/>
      <c r="K19" s="4"/>
    </row>
    <row r="20" spans="1:11" ht="15" customHeight="1">
      <c r="A20" s="5" t="s">
        <v>2</v>
      </c>
      <c r="B20" s="5" t="s">
        <v>3</v>
      </c>
      <c r="C20" s="5" t="s">
        <v>4</v>
      </c>
      <c r="D20" s="5" t="s">
        <v>21</v>
      </c>
      <c r="E20" s="4"/>
      <c r="F20" s="4"/>
      <c r="G20" s="6" t="s">
        <v>5</v>
      </c>
      <c r="H20" s="6" t="s">
        <v>6</v>
      </c>
      <c r="I20" s="6" t="s">
        <v>7</v>
      </c>
      <c r="J20" s="6" t="s">
        <v>8</v>
      </c>
      <c r="K20" s="4"/>
    </row>
    <row r="21" spans="1:11" ht="15" customHeight="1">
      <c r="A21" s="1" t="s">
        <v>10</v>
      </c>
      <c r="B21" s="1">
        <v>7.25</v>
      </c>
      <c r="C21" s="1">
        <f>(B21/10)*100</f>
        <v>72.5</v>
      </c>
      <c r="D21" s="8">
        <v>12</v>
      </c>
      <c r="E21" s="4"/>
      <c r="F21" s="4"/>
      <c r="G21" s="2" t="str">
        <f>IF((C29-C21)/8&lt;0,"0",(C29-C21)/8)</f>
        <v>0</v>
      </c>
      <c r="H21" s="3">
        <f>(C29*1.5+C30*1)/2.5</f>
        <v>69.604444444444439</v>
      </c>
      <c r="I21" s="3">
        <f>H21+G21</f>
        <v>69.604444444444439</v>
      </c>
      <c r="J21" s="2">
        <f>(I21/100)*10</f>
        <v>6.9604444444444438</v>
      </c>
      <c r="K21" s="4"/>
    </row>
    <row r="22" spans="1:11" ht="15" customHeight="1">
      <c r="A22" s="1" t="s">
        <v>11</v>
      </c>
      <c r="B22" s="1">
        <v>6.25</v>
      </c>
      <c r="C22" s="1">
        <f t="shared" ref="C22:C27" si="1">(B22/10)*100</f>
        <v>62.5</v>
      </c>
      <c r="D22" s="8">
        <v>7</v>
      </c>
      <c r="E22" s="4"/>
      <c r="F22" s="4"/>
      <c r="G22" s="4"/>
      <c r="H22" s="4"/>
      <c r="I22" s="4"/>
      <c r="J22" s="2">
        <v>7</v>
      </c>
      <c r="K22" s="4"/>
    </row>
    <row r="23" spans="1:11" ht="15" customHeight="1">
      <c r="A23" s="1" t="s">
        <v>12</v>
      </c>
      <c r="B23" s="1">
        <v>7.85</v>
      </c>
      <c r="C23" s="1">
        <f t="shared" si="1"/>
        <v>78.499999999999986</v>
      </c>
      <c r="D23" s="8">
        <v>9</v>
      </c>
      <c r="E23" s="4"/>
      <c r="F23" s="4"/>
      <c r="G23" s="4"/>
      <c r="H23" s="4"/>
      <c r="I23" s="4"/>
      <c r="J23" s="4"/>
      <c r="K23" s="4"/>
    </row>
    <row r="24" spans="1:11" ht="15" customHeight="1">
      <c r="A24" s="1" t="s">
        <v>13</v>
      </c>
      <c r="B24" s="1">
        <v>7.8</v>
      </c>
      <c r="C24" s="1">
        <f t="shared" si="1"/>
        <v>78</v>
      </c>
      <c r="D24" s="8">
        <v>3</v>
      </c>
      <c r="E24" s="4"/>
      <c r="F24" s="4"/>
      <c r="G24" s="4"/>
      <c r="H24" s="4"/>
      <c r="I24" s="4"/>
      <c r="J24" s="4"/>
      <c r="K24" s="4"/>
    </row>
    <row r="25" spans="1:11" ht="15" customHeight="1">
      <c r="A25" s="1" t="s">
        <v>14</v>
      </c>
      <c r="B25" s="1">
        <v>8.4499999999999993</v>
      </c>
      <c r="C25" s="1">
        <f t="shared" si="1"/>
        <v>84.5</v>
      </c>
      <c r="D25" s="8">
        <v>7</v>
      </c>
      <c r="E25" s="4"/>
      <c r="F25" s="4"/>
      <c r="G25" s="4"/>
      <c r="H25" s="4"/>
      <c r="I25" s="4"/>
      <c r="J25" s="4"/>
      <c r="K25" s="4"/>
    </row>
    <row r="26" spans="1:11">
      <c r="A26" s="1" t="s">
        <v>15</v>
      </c>
      <c r="B26" s="1">
        <v>7.75</v>
      </c>
      <c r="C26" s="1">
        <f t="shared" si="1"/>
        <v>77.5</v>
      </c>
      <c r="D26" s="8">
        <v>8</v>
      </c>
      <c r="E26" s="4"/>
      <c r="F26" s="4"/>
      <c r="G26" s="4"/>
      <c r="H26" s="4"/>
      <c r="I26" s="4"/>
      <c r="J26" s="4"/>
      <c r="K26" s="4"/>
    </row>
    <row r="27" spans="1:11">
      <c r="A27" s="1" t="s">
        <v>16</v>
      </c>
      <c r="B27" s="1">
        <v>6.25</v>
      </c>
      <c r="C27" s="1">
        <f t="shared" si="1"/>
        <v>62.5</v>
      </c>
      <c r="D27" s="8">
        <v>5</v>
      </c>
      <c r="E27" s="4"/>
      <c r="F27" s="4"/>
      <c r="G27" s="4"/>
      <c r="H27" s="4"/>
      <c r="I27" s="4"/>
      <c r="J27" s="4"/>
      <c r="K27" s="4"/>
    </row>
    <row r="28" spans="1:11">
      <c r="A28" s="1" t="s">
        <v>17</v>
      </c>
      <c r="B28" s="1">
        <v>5.25</v>
      </c>
      <c r="C28" s="1">
        <f t="shared" ref="C28:C29" si="2">(B28/10)*100</f>
        <v>52.5</v>
      </c>
      <c r="D28" s="8">
        <v>11</v>
      </c>
      <c r="E28" s="4"/>
      <c r="F28" s="4"/>
      <c r="G28" s="4"/>
      <c r="H28" s="4"/>
      <c r="I28" s="4"/>
      <c r="J28" s="4"/>
      <c r="K28" s="4"/>
    </row>
    <row r="29" spans="1:11">
      <c r="A29" s="1" t="s">
        <v>18</v>
      </c>
      <c r="B29" s="1">
        <v>6.88</v>
      </c>
      <c r="C29" s="1">
        <f t="shared" si="2"/>
        <v>68.8</v>
      </c>
      <c r="D29" s="8">
        <v>4</v>
      </c>
      <c r="E29" s="4"/>
      <c r="F29" s="4"/>
      <c r="G29" s="4"/>
      <c r="H29" s="4"/>
      <c r="I29" s="4"/>
      <c r="J29" s="4"/>
      <c r="K29" s="4"/>
    </row>
    <row r="30" spans="1:11">
      <c r="A30" s="1" t="s">
        <v>19</v>
      </c>
      <c r="B30" s="1">
        <f>AVERAGE(B21:B28)</f>
        <v>7.1062500000000002</v>
      </c>
      <c r="C30" s="1">
        <f>AVERAGE(C21:C29)</f>
        <v>70.811111111111103</v>
      </c>
      <c r="D30" s="8">
        <f>AVERAGE(D21:D28)</f>
        <v>7.75</v>
      </c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15" t="s">
        <v>22</v>
      </c>
      <c r="B33" s="15"/>
      <c r="C33" s="15"/>
      <c r="D33" s="15"/>
      <c r="E33" s="4"/>
      <c r="F33" s="4"/>
      <c r="G33" s="9" t="s">
        <v>1</v>
      </c>
      <c r="H33" s="10"/>
      <c r="I33" s="10"/>
      <c r="J33" s="11"/>
      <c r="K33" s="4"/>
    </row>
    <row r="34" spans="1:11">
      <c r="A34" s="15"/>
      <c r="B34" s="15"/>
      <c r="C34" s="15"/>
      <c r="D34" s="15"/>
      <c r="E34" s="4"/>
      <c r="F34" s="4"/>
      <c r="G34" s="12"/>
      <c r="H34" s="13"/>
      <c r="I34" s="13"/>
      <c r="J34" s="14"/>
      <c r="K34" s="4"/>
    </row>
    <row r="35" spans="1:11">
      <c r="A35" s="5" t="s">
        <v>2</v>
      </c>
      <c r="B35" s="5" t="s">
        <v>3</v>
      </c>
      <c r="C35" s="5" t="s">
        <v>4</v>
      </c>
      <c r="D35" s="5" t="s">
        <v>21</v>
      </c>
      <c r="E35" s="4"/>
      <c r="F35" s="4"/>
      <c r="G35" s="6" t="s">
        <v>5</v>
      </c>
      <c r="H35" s="6" t="s">
        <v>6</v>
      </c>
      <c r="I35" s="6" t="s">
        <v>7</v>
      </c>
      <c r="J35" s="6" t="s">
        <v>8</v>
      </c>
      <c r="K35" s="4"/>
    </row>
    <row r="36" spans="1:11">
      <c r="A36" s="1" t="s">
        <v>10</v>
      </c>
      <c r="B36" s="1">
        <v>2.95</v>
      </c>
      <c r="C36" s="1">
        <f>(B36/10)*100</f>
        <v>29.500000000000004</v>
      </c>
      <c r="D36" s="8">
        <v>46</v>
      </c>
      <c r="E36" s="4"/>
      <c r="F36" s="4"/>
      <c r="G36" s="2">
        <f>IF((C44-C36)/8&lt;0,"0",(C44-C36)/8)</f>
        <v>6.9375</v>
      </c>
      <c r="H36" s="3">
        <f>(C44*1.5+C45*1)/2.5</f>
        <v>74.906666666666666</v>
      </c>
      <c r="I36" s="3">
        <f>H36+G36</f>
        <v>81.844166666666666</v>
      </c>
      <c r="J36" s="2">
        <f>(I36/100)*10</f>
        <v>8.1844166666666656</v>
      </c>
      <c r="K36" s="4"/>
    </row>
    <row r="37" spans="1:11">
      <c r="A37" s="1" t="s">
        <v>11</v>
      </c>
      <c r="B37" s="1">
        <v>3.4</v>
      </c>
      <c r="C37" s="1">
        <f t="shared" ref="C37:C42" si="3">(B37/10)*100</f>
        <v>34</v>
      </c>
      <c r="D37" s="8">
        <v>18</v>
      </c>
      <c r="E37" s="4"/>
      <c r="F37" s="4"/>
      <c r="G37" s="4"/>
      <c r="H37" s="4"/>
      <c r="I37" s="4"/>
      <c r="J37" s="2">
        <v>8.5</v>
      </c>
      <c r="K37" s="4"/>
    </row>
    <row r="38" spans="1:11">
      <c r="A38" s="1" t="s">
        <v>12</v>
      </c>
      <c r="B38" s="1">
        <v>5.9</v>
      </c>
      <c r="C38" s="1">
        <f t="shared" si="3"/>
        <v>59.000000000000007</v>
      </c>
      <c r="D38" s="8">
        <v>28</v>
      </c>
      <c r="E38" s="4"/>
      <c r="F38" s="4"/>
      <c r="G38" s="4"/>
      <c r="H38" s="4"/>
      <c r="I38" s="4"/>
      <c r="J38" s="4"/>
      <c r="K38" s="4"/>
    </row>
    <row r="39" spans="1:11">
      <c r="A39" s="1" t="s">
        <v>13</v>
      </c>
      <c r="B39" s="1">
        <v>5.6</v>
      </c>
      <c r="C39" s="1">
        <f t="shared" si="3"/>
        <v>55.999999999999993</v>
      </c>
      <c r="D39" s="8">
        <v>9</v>
      </c>
      <c r="E39" s="4"/>
      <c r="F39" s="4"/>
      <c r="G39" s="4"/>
      <c r="H39" s="4"/>
      <c r="I39" s="4"/>
      <c r="J39" s="4"/>
      <c r="K39" s="4"/>
    </row>
    <row r="40" spans="1:11">
      <c r="A40" s="1" t="s">
        <v>14</v>
      </c>
      <c r="B40" s="1">
        <v>3.9</v>
      </c>
      <c r="C40" s="1">
        <f t="shared" si="3"/>
        <v>39</v>
      </c>
      <c r="D40" s="8">
        <v>28</v>
      </c>
      <c r="E40" s="4"/>
      <c r="F40" s="4"/>
      <c r="G40" s="4"/>
      <c r="H40" s="4"/>
      <c r="I40" s="4"/>
      <c r="J40" s="4"/>
      <c r="K40" s="4"/>
    </row>
    <row r="41" spans="1:11">
      <c r="A41" s="1" t="s">
        <v>15</v>
      </c>
      <c r="B41" s="1">
        <v>8.2899999999999991</v>
      </c>
      <c r="C41" s="1">
        <f t="shared" si="3"/>
        <v>82.899999999999991</v>
      </c>
      <c r="D41" s="8">
        <v>5</v>
      </c>
      <c r="E41" s="4"/>
      <c r="F41" s="4"/>
      <c r="G41" s="4"/>
      <c r="H41" s="4"/>
      <c r="I41" s="4"/>
      <c r="J41" s="4"/>
      <c r="K41" s="4"/>
    </row>
    <row r="42" spans="1:11">
      <c r="A42" s="1" t="s">
        <v>16</v>
      </c>
      <c r="B42" s="1">
        <v>8</v>
      </c>
      <c r="C42" s="1">
        <f t="shared" si="3"/>
        <v>80</v>
      </c>
      <c r="D42" s="8">
        <v>6</v>
      </c>
      <c r="E42" s="4"/>
      <c r="F42" s="4"/>
      <c r="G42" s="4"/>
      <c r="H42" s="4"/>
      <c r="I42" s="4"/>
      <c r="J42" s="4"/>
      <c r="K42" s="4"/>
    </row>
    <row r="43" spans="1:11">
      <c r="A43" s="1" t="s">
        <v>17</v>
      </c>
      <c r="B43" s="1">
        <v>7.25</v>
      </c>
      <c r="C43" s="1">
        <f t="shared" ref="C43:C44" si="4">(B43/10)*100</f>
        <v>72.5</v>
      </c>
      <c r="D43" s="8">
        <v>8</v>
      </c>
      <c r="E43" s="4"/>
      <c r="F43" s="4"/>
      <c r="G43" s="4"/>
      <c r="H43" s="4"/>
      <c r="I43" s="4"/>
      <c r="J43" s="4"/>
      <c r="K43" s="4"/>
    </row>
    <row r="44" spans="1:11">
      <c r="A44" s="1" t="s">
        <v>18</v>
      </c>
      <c r="B44" s="1">
        <v>8.5</v>
      </c>
      <c r="C44" s="1">
        <f t="shared" si="4"/>
        <v>85</v>
      </c>
      <c r="D44" s="8">
        <v>2</v>
      </c>
      <c r="E44" s="4"/>
      <c r="F44" s="4"/>
      <c r="G44" s="4"/>
      <c r="H44" s="4"/>
      <c r="I44" s="4"/>
      <c r="J44" s="4"/>
      <c r="K44" s="4"/>
    </row>
    <row r="45" spans="1:11">
      <c r="A45" s="1" t="s">
        <v>19</v>
      </c>
      <c r="B45" s="1">
        <f>AVERAGE(B36:B43)</f>
        <v>5.6612499999999999</v>
      </c>
      <c r="C45" s="1">
        <f>AVERAGE(C36:C44)</f>
        <v>59.766666666666666</v>
      </c>
      <c r="D45" s="8">
        <f>AVERAGE(D36:D43)</f>
        <v>18.5</v>
      </c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15" t="s">
        <v>23</v>
      </c>
      <c r="B48" s="15"/>
      <c r="C48" s="15"/>
      <c r="D48" s="15"/>
      <c r="E48" s="4"/>
      <c r="F48" s="4"/>
      <c r="G48" s="9" t="s">
        <v>1</v>
      </c>
      <c r="H48" s="10"/>
      <c r="I48" s="10"/>
      <c r="J48" s="11"/>
      <c r="K48" s="4"/>
    </row>
    <row r="49" spans="1:11">
      <c r="A49" s="15"/>
      <c r="B49" s="15"/>
      <c r="C49" s="15"/>
      <c r="D49" s="15"/>
      <c r="E49" s="4"/>
      <c r="F49" s="4"/>
      <c r="G49" s="12"/>
      <c r="H49" s="13"/>
      <c r="I49" s="13"/>
      <c r="J49" s="14"/>
      <c r="K49" s="4"/>
    </row>
    <row r="50" spans="1:11">
      <c r="A50" s="5" t="s">
        <v>2</v>
      </c>
      <c r="B50" s="5" t="s">
        <v>3</v>
      </c>
      <c r="C50" s="5" t="s">
        <v>4</v>
      </c>
      <c r="D50" s="5" t="s">
        <v>21</v>
      </c>
      <c r="E50" s="4"/>
      <c r="F50" s="4"/>
      <c r="G50" s="6" t="s">
        <v>5</v>
      </c>
      <c r="H50" s="6" t="s">
        <v>6</v>
      </c>
      <c r="I50" s="6" t="s">
        <v>7</v>
      </c>
      <c r="J50" s="6" t="s">
        <v>8</v>
      </c>
      <c r="K50" s="4"/>
    </row>
    <row r="51" spans="1:11">
      <c r="A51" s="1" t="s">
        <v>10</v>
      </c>
      <c r="B51" s="1">
        <v>3.8</v>
      </c>
      <c r="C51" s="1">
        <f>(B51/10)*100</f>
        <v>38</v>
      </c>
      <c r="D51" s="8">
        <v>32</v>
      </c>
      <c r="E51" s="4"/>
      <c r="F51" s="4"/>
      <c r="G51" s="2">
        <f>IF((C59-C51)/8&lt;0,"0",(C59-C51)/8)</f>
        <v>3.8499999999999996</v>
      </c>
      <c r="H51" s="3">
        <f>(C59*1.5+C60*1)/2.5</f>
        <v>61.919999999999995</v>
      </c>
      <c r="I51" s="3">
        <f>H51+G51</f>
        <v>65.77</v>
      </c>
      <c r="J51" s="2">
        <f>(I51/100)*10</f>
        <v>6.577</v>
      </c>
      <c r="K51" s="4"/>
    </row>
    <row r="52" spans="1:11">
      <c r="A52" s="1" t="s">
        <v>11</v>
      </c>
      <c r="B52" s="1">
        <v>5.07</v>
      </c>
      <c r="C52" s="1">
        <f t="shared" ref="C52:C57" si="5">(B52/10)*100</f>
        <v>50.7</v>
      </c>
      <c r="D52" s="8">
        <v>12</v>
      </c>
      <c r="E52" s="4"/>
      <c r="F52" s="4"/>
      <c r="G52" s="4"/>
      <c r="H52" s="4"/>
      <c r="I52" s="4"/>
      <c r="J52" s="2">
        <v>6.5</v>
      </c>
      <c r="K52" s="4"/>
    </row>
    <row r="53" spans="1:11">
      <c r="A53" s="1" t="s">
        <v>12</v>
      </c>
      <c r="B53" s="1">
        <v>3.85</v>
      </c>
      <c r="C53" s="1">
        <f t="shared" si="5"/>
        <v>38.5</v>
      </c>
      <c r="D53" s="8">
        <v>27</v>
      </c>
      <c r="E53" s="4"/>
      <c r="F53" s="4"/>
      <c r="G53" s="4"/>
      <c r="H53" s="4"/>
      <c r="I53" s="4"/>
      <c r="J53" s="4"/>
      <c r="K53" s="4"/>
    </row>
    <row r="54" spans="1:11">
      <c r="A54" s="1" t="s">
        <v>13</v>
      </c>
      <c r="B54" s="1">
        <v>6.6</v>
      </c>
      <c r="C54" s="1">
        <f t="shared" si="5"/>
        <v>65.999999999999986</v>
      </c>
      <c r="D54" s="8">
        <v>3</v>
      </c>
      <c r="E54" s="4"/>
      <c r="F54" s="4"/>
      <c r="G54" s="4"/>
      <c r="H54" s="4"/>
      <c r="I54" s="4"/>
      <c r="J54" s="4"/>
      <c r="K54" s="4"/>
    </row>
    <row r="55" spans="1:11">
      <c r="A55" s="1" t="s">
        <v>14</v>
      </c>
      <c r="B55" s="1">
        <v>5.41</v>
      </c>
      <c r="C55" s="1">
        <f t="shared" si="5"/>
        <v>54.1</v>
      </c>
      <c r="D55" s="8">
        <v>12</v>
      </c>
      <c r="E55" s="4"/>
      <c r="F55" s="4"/>
      <c r="G55" s="4"/>
      <c r="H55" s="4"/>
      <c r="I55" s="4"/>
      <c r="J55" s="4"/>
      <c r="K55" s="4"/>
    </row>
    <row r="56" spans="1:11">
      <c r="A56" s="1" t="s">
        <v>15</v>
      </c>
      <c r="B56" s="1">
        <v>3.83</v>
      </c>
      <c r="C56" s="1">
        <f t="shared" si="5"/>
        <v>38.299999999999997</v>
      </c>
      <c r="D56" s="8" t="s">
        <v>24</v>
      </c>
      <c r="E56" s="4"/>
      <c r="F56" s="4"/>
      <c r="G56" s="4"/>
      <c r="H56" s="4"/>
      <c r="I56" s="4"/>
      <c r="J56" s="4"/>
      <c r="K56" s="4"/>
    </row>
    <row r="57" spans="1:11">
      <c r="A57" s="1" t="s">
        <v>16</v>
      </c>
      <c r="B57" s="1">
        <v>6.25</v>
      </c>
      <c r="C57" s="1">
        <f t="shared" si="5"/>
        <v>62.5</v>
      </c>
      <c r="D57" s="8">
        <v>5</v>
      </c>
      <c r="E57" s="4"/>
      <c r="F57" s="4"/>
      <c r="G57" s="4"/>
      <c r="H57" s="4"/>
      <c r="I57" s="4"/>
      <c r="J57" s="4"/>
      <c r="K57" s="4"/>
    </row>
    <row r="58" spans="1:11">
      <c r="A58" s="1" t="s">
        <v>17</v>
      </c>
      <c r="B58" s="1">
        <v>4.75</v>
      </c>
      <c r="C58" s="1">
        <f t="shared" ref="C58:C59" si="6">(B58/10)*100</f>
        <v>47.5</v>
      </c>
      <c r="D58" s="8">
        <v>21</v>
      </c>
      <c r="E58" s="4"/>
      <c r="F58" s="4"/>
      <c r="G58" s="4"/>
      <c r="H58" s="4"/>
      <c r="I58" s="4"/>
      <c r="J58" s="4"/>
      <c r="K58" s="4"/>
    </row>
    <row r="59" spans="1:11">
      <c r="A59" s="1" t="s">
        <v>18</v>
      </c>
      <c r="B59" s="1">
        <v>6.88</v>
      </c>
      <c r="C59" s="1">
        <f t="shared" si="6"/>
        <v>68.8</v>
      </c>
      <c r="D59" s="8">
        <v>4</v>
      </c>
      <c r="E59" s="4"/>
      <c r="F59" s="4"/>
      <c r="G59" s="4"/>
      <c r="H59" s="4"/>
      <c r="I59" s="4"/>
      <c r="J59" s="4"/>
      <c r="K59" s="4"/>
    </row>
    <row r="60" spans="1:11">
      <c r="A60" s="1" t="s">
        <v>19</v>
      </c>
      <c r="B60" s="1">
        <f>AVERAGE(B51:B58)</f>
        <v>4.9450000000000003</v>
      </c>
      <c r="C60" s="1">
        <f>AVERAGE(C51:C59)</f>
        <v>51.599999999999994</v>
      </c>
      <c r="D60" s="8">
        <f>AVERAGE(D51:D58)</f>
        <v>16</v>
      </c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15" t="s">
        <v>25</v>
      </c>
      <c r="B63" s="15"/>
      <c r="C63" s="15"/>
      <c r="D63" s="15"/>
      <c r="E63" s="4"/>
      <c r="F63" s="4"/>
      <c r="G63" s="9" t="s">
        <v>1</v>
      </c>
      <c r="H63" s="10"/>
      <c r="I63" s="10"/>
      <c r="J63" s="11"/>
      <c r="K63" s="4"/>
    </row>
    <row r="64" spans="1:11">
      <c r="A64" s="15"/>
      <c r="B64" s="15"/>
      <c r="C64" s="15"/>
      <c r="D64" s="15"/>
      <c r="E64" s="4"/>
      <c r="F64" s="4"/>
      <c r="G64" s="12"/>
      <c r="H64" s="13"/>
      <c r="I64" s="13"/>
      <c r="J64" s="14"/>
      <c r="K64" s="4"/>
    </row>
    <row r="65" spans="1:11">
      <c r="A65" s="5" t="s">
        <v>2</v>
      </c>
      <c r="B65" s="5" t="s">
        <v>3</v>
      </c>
      <c r="C65" s="5" t="s">
        <v>4</v>
      </c>
      <c r="D65" s="5" t="s">
        <v>21</v>
      </c>
      <c r="E65" s="4"/>
      <c r="F65" s="4"/>
      <c r="G65" s="6" t="s">
        <v>5</v>
      </c>
      <c r="H65" s="6" t="s">
        <v>6</v>
      </c>
      <c r="I65" s="6" t="s">
        <v>7</v>
      </c>
      <c r="J65" s="6" t="s">
        <v>8</v>
      </c>
      <c r="K65" s="4"/>
    </row>
    <row r="66" spans="1:11">
      <c r="A66" s="1" t="s">
        <v>10</v>
      </c>
      <c r="B66" s="1">
        <v>6.15</v>
      </c>
      <c r="C66" s="1">
        <f>(B66/10)*100</f>
        <v>61.5</v>
      </c>
      <c r="D66" s="8">
        <v>22</v>
      </c>
      <c r="E66" s="4"/>
      <c r="F66" s="4"/>
      <c r="G66" s="2" t="str">
        <f>IF((C72-C66)/7&lt;0,"0",(C72-C66)/7)</f>
        <v>0</v>
      </c>
      <c r="H66" s="3">
        <f>(C72*1.5+C73*1)/2.5</f>
        <v>54.428571428571423</v>
      </c>
      <c r="I66" s="3">
        <f>H66+G66</f>
        <v>54.428571428571423</v>
      </c>
      <c r="J66" s="2">
        <f>(I66/100)*10</f>
        <v>5.4428571428571431</v>
      </c>
      <c r="K66" s="4"/>
    </row>
    <row r="67" spans="1:11">
      <c r="A67" s="1" t="s">
        <v>11</v>
      </c>
      <c r="B67" s="1">
        <v>7.52</v>
      </c>
      <c r="C67" s="1">
        <f t="shared" ref="C67:C69" si="7">(B67/10)*100</f>
        <v>75.2</v>
      </c>
      <c r="D67" s="8">
        <v>6</v>
      </c>
      <c r="E67" s="4"/>
      <c r="F67" s="4"/>
      <c r="G67" s="4"/>
      <c r="H67" s="4"/>
      <c r="I67" s="4"/>
      <c r="J67" s="2">
        <v>5.5</v>
      </c>
      <c r="K67" s="4"/>
    </row>
    <row r="68" spans="1:11">
      <c r="A68" s="1" t="s">
        <v>12</v>
      </c>
      <c r="B68" s="1">
        <v>7.9</v>
      </c>
      <c r="C68" s="1">
        <f t="shared" si="7"/>
        <v>79</v>
      </c>
      <c r="D68" s="8">
        <v>17</v>
      </c>
      <c r="E68" s="4"/>
      <c r="F68" s="4"/>
      <c r="G68" s="4"/>
      <c r="H68" s="4"/>
      <c r="I68" s="4"/>
      <c r="J68" s="4"/>
      <c r="K68" s="4"/>
    </row>
    <row r="69" spans="1:11">
      <c r="A69" s="1" t="s">
        <v>13</v>
      </c>
      <c r="B69" s="1">
        <v>7.45</v>
      </c>
      <c r="C69" s="1">
        <f t="shared" si="7"/>
        <v>74.5</v>
      </c>
      <c r="D69" s="8">
        <v>2</v>
      </c>
      <c r="E69" s="4"/>
      <c r="F69" s="4"/>
      <c r="G69" s="4"/>
      <c r="H69" s="4"/>
      <c r="I69" s="4"/>
      <c r="J69" s="4"/>
      <c r="K69" s="4"/>
    </row>
    <row r="70" spans="1:11">
      <c r="A70" s="1" t="s">
        <v>14</v>
      </c>
      <c r="B70" s="1">
        <v>8.4</v>
      </c>
      <c r="C70" s="1">
        <f t="shared" ref="C70:C72" si="8">(B70/10)*100</f>
        <v>84.000000000000014</v>
      </c>
      <c r="D70" s="8">
        <v>3</v>
      </c>
      <c r="E70" s="4"/>
      <c r="F70" s="4"/>
      <c r="G70" s="4"/>
      <c r="H70" s="4"/>
      <c r="I70" s="4"/>
      <c r="J70" s="4"/>
      <c r="K70" s="4"/>
    </row>
    <row r="71" spans="1:11">
      <c r="A71" s="1" t="s">
        <v>15</v>
      </c>
      <c r="B71" s="1">
        <v>6.08</v>
      </c>
      <c r="C71" s="1">
        <f t="shared" si="8"/>
        <v>60.8</v>
      </c>
      <c r="D71" s="8">
        <v>19</v>
      </c>
      <c r="E71" s="4"/>
      <c r="F71" s="4"/>
      <c r="G71" s="4"/>
      <c r="H71" s="4"/>
      <c r="I71" s="4"/>
      <c r="J71" s="4"/>
      <c r="K71" s="4"/>
    </row>
    <row r="72" spans="1:11">
      <c r="A72" s="1" t="s">
        <v>17</v>
      </c>
      <c r="B72" s="1">
        <v>4.5</v>
      </c>
      <c r="C72" s="1">
        <f t="shared" si="8"/>
        <v>45</v>
      </c>
      <c r="D72" s="8">
        <v>15</v>
      </c>
      <c r="E72" s="4"/>
      <c r="F72" s="4"/>
      <c r="G72" s="4"/>
      <c r="H72" s="4"/>
      <c r="I72" s="4"/>
      <c r="J72" s="4"/>
      <c r="K72" s="4"/>
    </row>
    <row r="73" spans="1:11">
      <c r="A73" s="1" t="s">
        <v>19</v>
      </c>
      <c r="B73" s="1">
        <f>AVERAGE(B66:B72)</f>
        <v>6.8571428571428568</v>
      </c>
      <c r="C73" s="1">
        <f>AVERAGE(C66:C72)</f>
        <v>68.571428571428569</v>
      </c>
      <c r="D73" s="8">
        <f>AVERAGE(D66:D72)</f>
        <v>12</v>
      </c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15" t="s">
        <v>26</v>
      </c>
      <c r="B76" s="15"/>
      <c r="C76" s="15"/>
      <c r="D76" s="15"/>
      <c r="E76" s="4"/>
      <c r="F76" s="4"/>
      <c r="G76" s="9" t="s">
        <v>1</v>
      </c>
      <c r="H76" s="10"/>
      <c r="I76" s="10"/>
      <c r="J76" s="11"/>
      <c r="K76" s="4"/>
    </row>
    <row r="77" spans="1:11">
      <c r="A77" s="15"/>
      <c r="B77" s="15"/>
      <c r="C77" s="15"/>
      <c r="D77" s="15"/>
      <c r="E77" s="4"/>
      <c r="F77" s="4"/>
      <c r="G77" s="12"/>
      <c r="H77" s="13"/>
      <c r="I77" s="13"/>
      <c r="J77" s="14"/>
      <c r="K77" s="4"/>
    </row>
    <row r="78" spans="1:11">
      <c r="A78" s="5" t="s">
        <v>2</v>
      </c>
      <c r="B78" s="5" t="s">
        <v>3</v>
      </c>
      <c r="C78" s="5" t="s">
        <v>4</v>
      </c>
      <c r="D78" s="5" t="s">
        <v>21</v>
      </c>
      <c r="E78" s="4"/>
      <c r="F78" s="4"/>
      <c r="G78" s="6" t="s">
        <v>5</v>
      </c>
      <c r="H78" s="6" t="s">
        <v>6</v>
      </c>
      <c r="I78" s="6" t="s">
        <v>7</v>
      </c>
      <c r="J78" s="6" t="s">
        <v>8</v>
      </c>
      <c r="K78" s="4"/>
    </row>
    <row r="79" spans="1:11">
      <c r="A79" s="1" t="s">
        <v>10</v>
      </c>
      <c r="B79" s="1">
        <v>2.2999999999999998</v>
      </c>
      <c r="C79" s="1">
        <f>(B79/10)*100</f>
        <v>23</v>
      </c>
      <c r="D79" s="8">
        <v>39</v>
      </c>
      <c r="E79" s="4"/>
      <c r="F79" s="4"/>
      <c r="G79" s="2">
        <f>IF((C87-C79)/8&lt;0,"0",(C87-C79)/8)</f>
        <v>4.4749999999999996</v>
      </c>
      <c r="H79" s="3">
        <f>(C87*1.5+C88*1)/2.5</f>
        <v>56.457777777777778</v>
      </c>
      <c r="I79" s="3">
        <f>H79+G79</f>
        <v>60.93277777777778</v>
      </c>
      <c r="J79" s="2">
        <f>(I79/100)*10</f>
        <v>6.0932777777777778</v>
      </c>
      <c r="K79" s="4"/>
    </row>
    <row r="80" spans="1:11">
      <c r="A80" s="1" t="s">
        <v>11</v>
      </c>
      <c r="B80" s="1">
        <v>2</v>
      </c>
      <c r="C80" s="1">
        <f t="shared" ref="C80:C85" si="9">(B80/10)*100</f>
        <v>20</v>
      </c>
      <c r="D80" s="8">
        <v>19</v>
      </c>
      <c r="E80" s="4"/>
      <c r="F80" s="4"/>
      <c r="G80" s="4"/>
      <c r="H80" s="4"/>
      <c r="I80" s="4"/>
      <c r="J80" s="2">
        <v>6.5</v>
      </c>
      <c r="K80" s="4"/>
    </row>
    <row r="81" spans="1:11">
      <c r="A81" s="1" t="s">
        <v>12</v>
      </c>
      <c r="B81" s="1">
        <v>6.6</v>
      </c>
      <c r="C81" s="1">
        <f t="shared" si="9"/>
        <v>65.999999999999986</v>
      </c>
      <c r="D81" s="8">
        <v>22</v>
      </c>
      <c r="E81" s="4"/>
      <c r="F81" s="4"/>
      <c r="G81" s="4"/>
      <c r="H81" s="4"/>
      <c r="I81" s="4"/>
      <c r="J81" s="4"/>
      <c r="K81" s="4"/>
    </row>
    <row r="82" spans="1:11">
      <c r="A82" s="1" t="s">
        <v>13</v>
      </c>
      <c r="B82" s="1">
        <v>5.57</v>
      </c>
      <c r="C82" s="1">
        <f t="shared" si="9"/>
        <v>55.7</v>
      </c>
      <c r="D82" s="8">
        <v>8</v>
      </c>
      <c r="E82" s="4"/>
      <c r="F82" s="4"/>
      <c r="G82" s="4"/>
      <c r="H82" s="4"/>
      <c r="I82" s="4"/>
      <c r="J82" s="4"/>
      <c r="K82" s="4"/>
    </row>
    <row r="83" spans="1:11">
      <c r="A83" s="1" t="s">
        <v>14</v>
      </c>
      <c r="B83" s="1">
        <v>4.55</v>
      </c>
      <c r="C83" s="1">
        <f t="shared" si="9"/>
        <v>45.499999999999993</v>
      </c>
      <c r="D83" s="8">
        <v>24</v>
      </c>
      <c r="E83" s="4"/>
      <c r="F83" s="4"/>
      <c r="G83" s="4"/>
      <c r="H83" s="4"/>
      <c r="I83" s="4"/>
      <c r="J83" s="4"/>
      <c r="K83" s="4"/>
    </row>
    <row r="84" spans="1:11">
      <c r="A84" s="1" t="s">
        <v>15</v>
      </c>
      <c r="B84" s="1">
        <v>8.25</v>
      </c>
      <c r="C84" s="1">
        <f t="shared" si="9"/>
        <v>82.5</v>
      </c>
      <c r="D84" s="8">
        <v>5</v>
      </c>
      <c r="E84" s="4"/>
      <c r="F84" s="4"/>
      <c r="G84" s="4"/>
      <c r="H84" s="4"/>
      <c r="I84" s="4"/>
      <c r="J84" s="4"/>
      <c r="K84" s="4"/>
    </row>
    <row r="85" spans="1:11">
      <c r="A85" s="1" t="s">
        <v>16</v>
      </c>
      <c r="B85" s="1">
        <v>6.25</v>
      </c>
      <c r="C85" s="1">
        <f t="shared" si="9"/>
        <v>62.5</v>
      </c>
      <c r="D85" s="8">
        <v>5</v>
      </c>
      <c r="E85" s="4"/>
      <c r="F85" s="4"/>
      <c r="G85" s="4"/>
      <c r="H85" s="4"/>
      <c r="I85" s="4"/>
      <c r="J85" s="4"/>
      <c r="K85" s="4"/>
    </row>
    <row r="86" spans="1:11">
      <c r="A86" s="1" t="s">
        <v>17</v>
      </c>
      <c r="B86" s="1">
        <v>6.25</v>
      </c>
      <c r="C86" s="1">
        <f t="shared" ref="C86:C87" si="10">(B86/10)*100</f>
        <v>62.5</v>
      </c>
      <c r="D86" s="8">
        <v>7</v>
      </c>
      <c r="E86" s="4"/>
      <c r="F86" s="4"/>
      <c r="G86" s="4"/>
      <c r="H86" s="4"/>
      <c r="I86" s="4"/>
      <c r="J86" s="4"/>
      <c r="K86" s="4"/>
    </row>
    <row r="87" spans="1:11">
      <c r="A87" s="1" t="s">
        <v>18</v>
      </c>
      <c r="B87" s="1">
        <v>5.88</v>
      </c>
      <c r="C87" s="1">
        <f t="shared" si="10"/>
        <v>58.8</v>
      </c>
      <c r="D87" s="8">
        <v>3</v>
      </c>
      <c r="E87" s="4"/>
      <c r="F87" s="4"/>
      <c r="G87" s="4"/>
      <c r="H87" s="4"/>
      <c r="I87" s="4"/>
      <c r="J87" s="4"/>
      <c r="K87" s="4"/>
    </row>
    <row r="88" spans="1:11">
      <c r="A88" s="1" t="s">
        <v>19</v>
      </c>
      <c r="B88" s="1">
        <f>AVERAGE(B79:B86)</f>
        <v>5.2212499999999995</v>
      </c>
      <c r="C88" s="1">
        <f>AVERAGE(C79:C87)</f>
        <v>52.944444444444443</v>
      </c>
      <c r="D88" s="8">
        <f>AVERAGE(D79:D86)</f>
        <v>16.125</v>
      </c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15" t="s">
        <v>27</v>
      </c>
      <c r="B91" s="15"/>
      <c r="C91" s="15"/>
      <c r="D91" s="15"/>
      <c r="E91" s="4"/>
      <c r="F91" s="4"/>
      <c r="G91" s="9" t="s">
        <v>1</v>
      </c>
      <c r="H91" s="10"/>
      <c r="I91" s="10"/>
      <c r="J91" s="11"/>
      <c r="K91" s="4"/>
    </row>
    <row r="92" spans="1:11">
      <c r="A92" s="15"/>
      <c r="B92" s="15"/>
      <c r="C92" s="15"/>
      <c r="D92" s="15"/>
      <c r="E92" s="4"/>
      <c r="F92" s="4"/>
      <c r="G92" s="12"/>
      <c r="H92" s="13"/>
      <c r="I92" s="13"/>
      <c r="J92" s="14"/>
      <c r="K92" s="4"/>
    </row>
    <row r="93" spans="1:11">
      <c r="A93" s="5" t="s">
        <v>2</v>
      </c>
      <c r="B93" s="5" t="s">
        <v>3</v>
      </c>
      <c r="C93" s="5" t="s">
        <v>4</v>
      </c>
      <c r="D93" s="5" t="s">
        <v>21</v>
      </c>
      <c r="E93" s="4"/>
      <c r="F93" s="4"/>
      <c r="G93" s="6" t="s">
        <v>5</v>
      </c>
      <c r="H93" s="6" t="s">
        <v>6</v>
      </c>
      <c r="I93" s="6" t="s">
        <v>7</v>
      </c>
      <c r="J93" s="6" t="s">
        <v>8</v>
      </c>
      <c r="K93" s="4"/>
    </row>
    <row r="94" spans="1:11">
      <c r="A94" s="1" t="s">
        <v>10</v>
      </c>
      <c r="B94" s="1">
        <v>4.72</v>
      </c>
      <c r="C94" s="1">
        <f>(B94/10)*100</f>
        <v>47.199999999999996</v>
      </c>
      <c r="D94" s="8">
        <v>24</v>
      </c>
      <c r="E94" s="4"/>
      <c r="F94" s="4"/>
      <c r="G94" s="2">
        <f>IF((C102-C94)/8&lt;0,"0",(C102-C94)/8)</f>
        <v>2.5375000000000005</v>
      </c>
      <c r="H94" s="3">
        <f>(C102*1.5+C103*1)/2.5</f>
        <v>69.39777777777779</v>
      </c>
      <c r="I94" s="3">
        <f>H94+G94</f>
        <v>71.935277777777785</v>
      </c>
      <c r="J94" s="2">
        <f>(I94/100)*10</f>
        <v>7.1935277777777786</v>
      </c>
      <c r="K94" s="4"/>
    </row>
    <row r="95" spans="1:11">
      <c r="A95" s="1" t="s">
        <v>11</v>
      </c>
      <c r="B95" s="1">
        <v>7.6</v>
      </c>
      <c r="C95" s="1">
        <f t="shared" ref="C95:C100" si="11">(B95/10)*100</f>
        <v>76</v>
      </c>
      <c r="D95" s="8">
        <v>5</v>
      </c>
      <c r="E95" s="4"/>
      <c r="F95" s="4"/>
      <c r="G95" s="4"/>
      <c r="H95" s="4"/>
      <c r="I95" s="4"/>
      <c r="J95" s="2">
        <v>7.75</v>
      </c>
      <c r="K95" s="4"/>
    </row>
    <row r="96" spans="1:11">
      <c r="A96" s="1" t="s">
        <v>12</v>
      </c>
      <c r="B96" s="1">
        <v>6.05</v>
      </c>
      <c r="C96" s="1">
        <f t="shared" si="11"/>
        <v>60.5</v>
      </c>
      <c r="D96" s="8">
        <v>11</v>
      </c>
      <c r="E96" s="4"/>
      <c r="F96" s="4"/>
      <c r="G96" s="4"/>
      <c r="H96" s="4"/>
      <c r="I96" s="4"/>
      <c r="J96" s="4"/>
      <c r="K96" s="4"/>
    </row>
    <row r="97" spans="1:11">
      <c r="A97" s="1" t="s">
        <v>13</v>
      </c>
      <c r="B97" s="1">
        <v>8</v>
      </c>
      <c r="C97" s="1">
        <f t="shared" si="11"/>
        <v>80</v>
      </c>
      <c r="D97" s="8">
        <v>2</v>
      </c>
      <c r="E97" s="4"/>
      <c r="F97" s="4"/>
      <c r="G97" s="4"/>
      <c r="H97" s="4"/>
      <c r="I97" s="4"/>
      <c r="J97" s="4"/>
      <c r="K97" s="4"/>
    </row>
    <row r="98" spans="1:11">
      <c r="A98" s="1" t="s">
        <v>14</v>
      </c>
      <c r="B98" s="1">
        <v>7.65</v>
      </c>
      <c r="C98" s="1">
        <f t="shared" si="11"/>
        <v>76.5</v>
      </c>
      <c r="D98" s="8">
        <v>7</v>
      </c>
      <c r="E98" s="4"/>
      <c r="F98" s="4"/>
      <c r="G98" s="4"/>
      <c r="H98" s="4"/>
      <c r="I98" s="4"/>
      <c r="J98" s="4"/>
      <c r="K98" s="4"/>
    </row>
    <row r="99" spans="1:11">
      <c r="A99" s="1" t="s">
        <v>15</v>
      </c>
      <c r="B99" s="1">
        <v>6.5</v>
      </c>
      <c r="C99" s="1">
        <f t="shared" si="11"/>
        <v>65</v>
      </c>
      <c r="D99" s="8">
        <v>4</v>
      </c>
      <c r="E99" s="4"/>
      <c r="F99" s="4"/>
      <c r="G99" s="4"/>
      <c r="H99" s="4"/>
      <c r="I99" s="4"/>
      <c r="J99" s="4"/>
      <c r="K99" s="4"/>
    </row>
    <row r="100" spans="1:11">
      <c r="A100" s="1" t="s">
        <v>16</v>
      </c>
      <c r="B100" s="1">
        <v>10</v>
      </c>
      <c r="C100" s="1">
        <f t="shared" si="11"/>
        <v>100</v>
      </c>
      <c r="D100" s="8">
        <v>1</v>
      </c>
      <c r="E100" s="4"/>
      <c r="F100" s="4"/>
      <c r="G100" s="4"/>
      <c r="H100" s="4"/>
      <c r="I100" s="4"/>
      <c r="J100" s="4"/>
      <c r="K100" s="4"/>
    </row>
    <row r="101" spans="1:11">
      <c r="A101" s="1" t="s">
        <v>17</v>
      </c>
      <c r="B101" s="1">
        <v>7.75</v>
      </c>
      <c r="C101" s="1">
        <f t="shared" ref="C101:C102" si="12">(B101/10)*100</f>
        <v>77.5</v>
      </c>
      <c r="D101" s="8">
        <v>5</v>
      </c>
      <c r="E101" s="4"/>
      <c r="F101" s="4"/>
      <c r="G101" s="4"/>
      <c r="H101" s="4"/>
      <c r="I101" s="4"/>
      <c r="J101" s="4"/>
      <c r="K101" s="4"/>
    </row>
    <row r="102" spans="1:11">
      <c r="A102" s="1" t="s">
        <v>18</v>
      </c>
      <c r="B102" s="1">
        <v>6.75</v>
      </c>
      <c r="C102" s="1">
        <f t="shared" si="12"/>
        <v>67.5</v>
      </c>
      <c r="D102" s="8" t="s">
        <v>28</v>
      </c>
      <c r="E102" s="4"/>
      <c r="F102" s="4"/>
      <c r="G102" s="4"/>
      <c r="H102" s="4"/>
      <c r="I102" s="4"/>
      <c r="J102" s="4"/>
      <c r="K102" s="4"/>
    </row>
    <row r="103" spans="1:11">
      <c r="A103" s="1" t="s">
        <v>19</v>
      </c>
      <c r="B103" s="1">
        <f>AVERAGE(B94:B101)</f>
        <v>7.2837500000000004</v>
      </c>
      <c r="C103" s="1">
        <f>AVERAGE(C94:C102)</f>
        <v>72.244444444444454</v>
      </c>
      <c r="D103" s="8">
        <f>AVERAGE(D94:D101)</f>
        <v>7.375</v>
      </c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15" t="s">
        <v>29</v>
      </c>
      <c r="B106" s="15"/>
      <c r="C106" s="15"/>
      <c r="D106" s="15"/>
      <c r="E106" s="4"/>
      <c r="F106" s="4"/>
      <c r="G106" s="9" t="s">
        <v>1</v>
      </c>
      <c r="H106" s="10"/>
      <c r="I106" s="10"/>
      <c r="J106" s="11"/>
      <c r="K106" s="4"/>
    </row>
    <row r="107" spans="1:11">
      <c r="A107" s="15"/>
      <c r="B107" s="15"/>
      <c r="C107" s="15"/>
      <c r="D107" s="15"/>
      <c r="E107" s="4"/>
      <c r="F107" s="4"/>
      <c r="G107" s="12"/>
      <c r="H107" s="13"/>
      <c r="I107" s="13"/>
      <c r="J107" s="14"/>
      <c r="K107" s="4"/>
    </row>
    <row r="108" spans="1:11">
      <c r="A108" s="5" t="s">
        <v>2</v>
      </c>
      <c r="B108" s="5" t="s">
        <v>3</v>
      </c>
      <c r="C108" s="5" t="s">
        <v>4</v>
      </c>
      <c r="D108" s="5" t="s">
        <v>21</v>
      </c>
      <c r="E108" s="4"/>
      <c r="F108" s="4"/>
      <c r="G108" s="6" t="s">
        <v>5</v>
      </c>
      <c r="H108" s="6" t="s">
        <v>6</v>
      </c>
      <c r="I108" s="6" t="s">
        <v>7</v>
      </c>
      <c r="J108" s="6" t="s">
        <v>8</v>
      </c>
      <c r="K108" s="4"/>
    </row>
    <row r="109" spans="1:11">
      <c r="A109" s="1" t="s">
        <v>10</v>
      </c>
      <c r="B109" s="1">
        <v>5.4</v>
      </c>
      <c r="C109" s="1">
        <f>(B109/10)*100</f>
        <v>54</v>
      </c>
      <c r="D109" s="8">
        <v>20</v>
      </c>
      <c r="E109" s="4"/>
      <c r="F109" s="4"/>
      <c r="G109" s="2">
        <f>IF((C117-C109)/8&lt;0,"0",(C117-C109)/8)</f>
        <v>0.28749999999999964</v>
      </c>
      <c r="H109" s="3">
        <f>(C117*1.5+C118*1)/2.5</f>
        <v>57.042222222222222</v>
      </c>
      <c r="I109" s="3">
        <f>H109+G109</f>
        <v>57.329722222222223</v>
      </c>
      <c r="J109" s="2">
        <f>(I109/100)*10</f>
        <v>5.7329722222222221</v>
      </c>
      <c r="K109" s="4"/>
    </row>
    <row r="110" spans="1:11">
      <c r="A110" s="1" t="s">
        <v>11</v>
      </c>
      <c r="B110" s="1">
        <v>6.7</v>
      </c>
      <c r="C110" s="1">
        <f t="shared" ref="C110:C115" si="13">(B110/10)*100</f>
        <v>67</v>
      </c>
      <c r="D110" s="8">
        <v>7</v>
      </c>
      <c r="E110" s="4"/>
      <c r="F110" s="4"/>
      <c r="G110" s="4"/>
      <c r="H110" s="4"/>
      <c r="I110" s="4"/>
      <c r="J110" s="2">
        <v>7</v>
      </c>
      <c r="K110" s="4"/>
    </row>
    <row r="111" spans="1:11">
      <c r="A111" s="1" t="s">
        <v>12</v>
      </c>
      <c r="B111" s="1">
        <v>2.9</v>
      </c>
      <c r="C111" s="1">
        <f t="shared" si="13"/>
        <v>28.999999999999996</v>
      </c>
      <c r="D111" s="8">
        <v>47</v>
      </c>
      <c r="E111" s="4"/>
      <c r="F111" s="4"/>
      <c r="G111" s="4"/>
      <c r="H111" s="4"/>
      <c r="I111" s="4"/>
      <c r="J111" s="4"/>
      <c r="K111" s="4"/>
    </row>
    <row r="112" spans="1:11">
      <c r="A112" s="1" t="s">
        <v>13</v>
      </c>
      <c r="B112" s="1">
        <v>8.1300000000000008</v>
      </c>
      <c r="C112" s="1">
        <f t="shared" si="13"/>
        <v>81.300000000000011</v>
      </c>
      <c r="D112" s="8">
        <v>6</v>
      </c>
      <c r="E112" s="4"/>
      <c r="F112" s="4"/>
      <c r="G112" s="4"/>
      <c r="H112" s="4"/>
      <c r="I112" s="4"/>
      <c r="J112" s="4"/>
      <c r="K112" s="4"/>
    </row>
    <row r="113" spans="1:11">
      <c r="A113" s="1" t="s">
        <v>14</v>
      </c>
      <c r="B113" s="1">
        <v>6</v>
      </c>
      <c r="C113" s="1">
        <f t="shared" si="13"/>
        <v>60</v>
      </c>
      <c r="D113" s="8">
        <v>14</v>
      </c>
      <c r="E113" s="4"/>
      <c r="F113" s="4"/>
      <c r="G113" s="4"/>
      <c r="H113" s="4"/>
      <c r="I113" s="4"/>
      <c r="J113" s="4"/>
      <c r="K113" s="4"/>
    </row>
    <row r="114" spans="1:11">
      <c r="A114" s="1" t="s">
        <v>15</v>
      </c>
      <c r="B114" s="1">
        <v>4.33</v>
      </c>
      <c r="C114" s="1">
        <f t="shared" si="13"/>
        <v>43.3</v>
      </c>
      <c r="D114" s="8">
        <v>16</v>
      </c>
      <c r="E114" s="4"/>
      <c r="F114" s="4"/>
      <c r="G114" s="4"/>
      <c r="H114" s="4"/>
      <c r="I114" s="4"/>
      <c r="J114" s="4"/>
      <c r="K114" s="4"/>
    </row>
    <row r="115" spans="1:11">
      <c r="A115" s="1" t="s">
        <v>16</v>
      </c>
      <c r="B115" s="1">
        <v>6</v>
      </c>
      <c r="C115" s="1">
        <f t="shared" si="13"/>
        <v>60</v>
      </c>
      <c r="D115" s="8">
        <v>6</v>
      </c>
      <c r="E115" s="4"/>
      <c r="F115" s="4"/>
      <c r="G115" s="4"/>
      <c r="H115" s="4"/>
      <c r="I115" s="4"/>
      <c r="J115" s="4"/>
      <c r="K115" s="4"/>
    </row>
    <row r="116" spans="1:11">
      <c r="A116" s="1" t="s">
        <v>17</v>
      </c>
      <c r="B116" s="1">
        <v>7.25</v>
      </c>
      <c r="C116" s="1">
        <f t="shared" ref="C116:C117" si="14">(B116/10)*100</f>
        <v>72.5</v>
      </c>
      <c r="D116" s="8">
        <v>6</v>
      </c>
      <c r="E116" s="4"/>
      <c r="F116" s="4"/>
      <c r="G116" s="4"/>
      <c r="H116" s="4"/>
      <c r="I116" s="4"/>
      <c r="J116" s="4"/>
      <c r="K116" s="4"/>
    </row>
    <row r="117" spans="1:11">
      <c r="A117" s="1" t="s">
        <v>18</v>
      </c>
      <c r="B117" s="1">
        <v>5.63</v>
      </c>
      <c r="C117" s="1">
        <f t="shared" si="14"/>
        <v>56.3</v>
      </c>
      <c r="D117" s="8">
        <v>8</v>
      </c>
      <c r="E117" s="4"/>
      <c r="F117" s="4"/>
      <c r="G117" s="4"/>
      <c r="H117" s="4"/>
      <c r="I117" s="4"/>
      <c r="J117" s="4"/>
      <c r="K117" s="4"/>
    </row>
    <row r="118" spans="1:11">
      <c r="A118" s="1" t="s">
        <v>19</v>
      </c>
      <c r="B118" s="1">
        <f>AVERAGE(B109:B116)</f>
        <v>5.8387500000000001</v>
      </c>
      <c r="C118" s="1">
        <f>AVERAGE(C109:C117)</f>
        <v>58.155555555555551</v>
      </c>
      <c r="D118" s="8">
        <f>AVERAGE(D109:D116)</f>
        <v>15.25</v>
      </c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15" t="s">
        <v>30</v>
      </c>
      <c r="B121" s="15"/>
      <c r="C121" s="15"/>
      <c r="D121" s="15"/>
      <c r="E121" s="4"/>
      <c r="F121" s="4"/>
      <c r="G121" s="9" t="s">
        <v>1</v>
      </c>
      <c r="H121" s="10"/>
      <c r="I121" s="10"/>
      <c r="J121" s="11"/>
      <c r="K121" s="4"/>
    </row>
    <row r="122" spans="1:11">
      <c r="A122" s="15"/>
      <c r="B122" s="15"/>
      <c r="C122" s="15"/>
      <c r="D122" s="15"/>
      <c r="E122" s="4"/>
      <c r="F122" s="4"/>
      <c r="G122" s="12"/>
      <c r="H122" s="13"/>
      <c r="I122" s="13"/>
      <c r="J122" s="14"/>
      <c r="K122" s="4"/>
    </row>
    <row r="123" spans="1:11">
      <c r="A123" s="5" t="s">
        <v>2</v>
      </c>
      <c r="B123" s="5" t="s">
        <v>3</v>
      </c>
      <c r="C123" s="5" t="s">
        <v>4</v>
      </c>
      <c r="D123" s="5" t="s">
        <v>21</v>
      </c>
      <c r="E123" s="4"/>
      <c r="F123" s="4"/>
      <c r="G123" s="6" t="s">
        <v>5</v>
      </c>
      <c r="H123" s="6" t="s">
        <v>6</v>
      </c>
      <c r="I123" s="6" t="s">
        <v>7</v>
      </c>
      <c r="J123" s="6" t="s">
        <v>8</v>
      </c>
      <c r="K123" s="4"/>
    </row>
    <row r="124" spans="1:11">
      <c r="A124" s="1" t="s">
        <v>10</v>
      </c>
      <c r="B124" s="1">
        <v>3.48</v>
      </c>
      <c r="C124" s="1">
        <f>(B124/10)*100</f>
        <v>34.799999999999997</v>
      </c>
      <c r="D124" s="8">
        <v>27</v>
      </c>
      <c r="E124" s="4"/>
      <c r="F124" s="4"/>
      <c r="G124" s="2">
        <f>IF((C132-C124)/8&lt;0,"0",(C132-C124)/8)</f>
        <v>6.0375000000000014</v>
      </c>
      <c r="H124" s="3">
        <f>(C132*1.5+C133*1)/2.5</f>
        <v>78.308888888888902</v>
      </c>
      <c r="I124" s="3">
        <f>H124+G124</f>
        <v>84.346388888888896</v>
      </c>
      <c r="J124" s="2">
        <f>(I124/100)*10</f>
        <v>8.434638888888891</v>
      </c>
      <c r="K124" s="4"/>
    </row>
    <row r="125" spans="1:11">
      <c r="A125" s="1" t="s">
        <v>11</v>
      </c>
      <c r="B125" s="1">
        <v>9.5</v>
      </c>
      <c r="C125" s="1">
        <f t="shared" ref="C125:C130" si="15">(B125/10)*100</f>
        <v>95</v>
      </c>
      <c r="D125" s="8">
        <v>1</v>
      </c>
      <c r="E125" s="4"/>
      <c r="F125" s="4"/>
      <c r="G125" s="4"/>
      <c r="H125" s="4"/>
      <c r="I125" s="4"/>
      <c r="J125" s="2">
        <v>8.5</v>
      </c>
      <c r="K125" s="4"/>
    </row>
    <row r="126" spans="1:11">
      <c r="A126" s="1" t="s">
        <v>12</v>
      </c>
      <c r="B126" s="1">
        <v>7.45</v>
      </c>
      <c r="C126" s="1">
        <f t="shared" si="15"/>
        <v>74.5</v>
      </c>
      <c r="D126" s="8">
        <v>8</v>
      </c>
      <c r="E126" s="4"/>
      <c r="F126" s="4"/>
      <c r="G126" s="4"/>
      <c r="H126" s="4"/>
      <c r="I126" s="4"/>
      <c r="J126" s="4"/>
      <c r="K126" s="4"/>
    </row>
    <row r="127" spans="1:11">
      <c r="A127" s="1" t="s">
        <v>13</v>
      </c>
      <c r="B127" s="1">
        <v>7.6</v>
      </c>
      <c r="C127" s="1">
        <f t="shared" si="15"/>
        <v>76</v>
      </c>
      <c r="D127" s="8">
        <v>3</v>
      </c>
      <c r="E127" s="4"/>
      <c r="F127" s="4"/>
      <c r="G127" s="4"/>
      <c r="H127" s="4"/>
      <c r="I127" s="4"/>
      <c r="J127" s="4"/>
      <c r="K127" s="4"/>
    </row>
    <row r="128" spans="1:11">
      <c r="A128" s="1" t="s">
        <v>14</v>
      </c>
      <c r="B128" s="1">
        <v>7.25</v>
      </c>
      <c r="C128" s="1">
        <f t="shared" si="15"/>
        <v>72.5</v>
      </c>
      <c r="D128" s="8">
        <v>2</v>
      </c>
      <c r="E128" s="4"/>
      <c r="F128" s="4"/>
      <c r="G128" s="4"/>
      <c r="H128" s="4"/>
      <c r="I128" s="4"/>
      <c r="J128" s="4"/>
      <c r="K128" s="4"/>
    </row>
    <row r="129" spans="1:11">
      <c r="A129" s="1" t="s">
        <v>15</v>
      </c>
      <c r="B129" s="1">
        <v>6.17</v>
      </c>
      <c r="C129" s="1">
        <f t="shared" si="15"/>
        <v>61.7</v>
      </c>
      <c r="D129" s="8">
        <v>6</v>
      </c>
      <c r="E129" s="4"/>
      <c r="F129" s="4"/>
      <c r="G129" s="4"/>
      <c r="H129" s="4"/>
      <c r="I129" s="4"/>
      <c r="J129" s="4"/>
      <c r="K129" s="4"/>
    </row>
    <row r="130" spans="1:11">
      <c r="A130" s="1" t="s">
        <v>16</v>
      </c>
      <c r="B130" s="1">
        <v>5.5</v>
      </c>
      <c r="C130" s="1">
        <f t="shared" si="15"/>
        <v>55.000000000000007</v>
      </c>
      <c r="D130" s="8">
        <v>11</v>
      </c>
      <c r="E130" s="4"/>
      <c r="F130" s="4"/>
      <c r="G130" s="4"/>
      <c r="H130" s="4"/>
      <c r="I130" s="4"/>
      <c r="J130" s="4"/>
      <c r="K130" s="4"/>
    </row>
    <row r="131" spans="1:11">
      <c r="A131" s="1" t="s">
        <v>17</v>
      </c>
      <c r="B131" s="1">
        <v>8.75</v>
      </c>
      <c r="C131" s="1">
        <f t="shared" ref="C131:C132" si="16">(B131/10)*100</f>
        <v>87.5</v>
      </c>
      <c r="D131" s="8">
        <v>2</v>
      </c>
      <c r="E131" s="4"/>
      <c r="F131" s="4"/>
      <c r="G131" s="4"/>
      <c r="H131" s="4"/>
      <c r="I131" s="4"/>
      <c r="J131" s="4"/>
      <c r="K131" s="4"/>
    </row>
    <row r="132" spans="1:11">
      <c r="A132" s="1" t="s">
        <v>18</v>
      </c>
      <c r="B132" s="1">
        <v>8.31</v>
      </c>
      <c r="C132" s="1">
        <f t="shared" si="16"/>
        <v>83.100000000000009</v>
      </c>
      <c r="D132" s="8">
        <v>3</v>
      </c>
      <c r="E132" s="4"/>
      <c r="F132" s="4"/>
      <c r="G132" s="4"/>
      <c r="H132" s="4"/>
      <c r="I132" s="4"/>
      <c r="J132" s="4"/>
      <c r="K132" s="4"/>
    </row>
    <row r="133" spans="1:11">
      <c r="A133" s="1" t="s">
        <v>19</v>
      </c>
      <c r="B133" s="1">
        <f>AVERAGE(B124:B131)</f>
        <v>6.9625000000000004</v>
      </c>
      <c r="C133" s="1">
        <f>AVERAGE(C124:C132)</f>
        <v>71.12222222222222</v>
      </c>
      <c r="D133" s="8">
        <f>AVERAGE(D124:D131)</f>
        <v>7.5</v>
      </c>
    </row>
  </sheetData>
  <mergeCells count="18">
    <mergeCell ref="G91:J92"/>
    <mergeCell ref="G106:J107"/>
    <mergeCell ref="G121:J122"/>
    <mergeCell ref="A91:D92"/>
    <mergeCell ref="A106:D107"/>
    <mergeCell ref="A121:D122"/>
    <mergeCell ref="G48:J49"/>
    <mergeCell ref="G63:J64"/>
    <mergeCell ref="G76:J77"/>
    <mergeCell ref="A48:D49"/>
    <mergeCell ref="A63:D64"/>
    <mergeCell ref="A76:D77"/>
    <mergeCell ref="A1:C2"/>
    <mergeCell ref="G1:K2"/>
    <mergeCell ref="G18:J19"/>
    <mergeCell ref="G33:J34"/>
    <mergeCell ref="A18:D19"/>
    <mergeCell ref="A33:D34"/>
  </mergeCells>
  <conditionalFormatting sqref="D21:D29">
    <cfRule type="top10" dxfId="15" priority="30" rank="1"/>
  </conditionalFormatting>
  <conditionalFormatting sqref="D36:D44">
    <cfRule type="top10" dxfId="14" priority="28" rank="1"/>
  </conditionalFormatting>
  <conditionalFormatting sqref="D51:D59">
    <cfRule type="top10" dxfId="13" priority="26" rank="1"/>
  </conditionalFormatting>
  <conditionalFormatting sqref="D66:D72">
    <cfRule type="top10" dxfId="12" priority="23" bottom="1" rank="1"/>
    <cfRule type="top10" dxfId="11" priority="24" rank="1"/>
  </conditionalFormatting>
  <conditionalFormatting sqref="D79:D87">
    <cfRule type="top10" dxfId="10" priority="22" rank="1"/>
  </conditionalFormatting>
  <conditionalFormatting sqref="D94:D102">
    <cfRule type="top10" dxfId="9" priority="20" rank="1"/>
  </conditionalFormatting>
  <conditionalFormatting sqref="D109:D117">
    <cfRule type="top10" dxfId="8" priority="18" rank="1"/>
  </conditionalFormatting>
  <conditionalFormatting sqref="D124:D132">
    <cfRule type="top10" dxfId="7" priority="16" rank="1"/>
  </conditionalFormatting>
  <conditionalFormatting sqref="D36:D44">
    <cfRule type="top10" dxfId="6" priority="27" bottom="1" rank="1"/>
  </conditionalFormatting>
  <conditionalFormatting sqref="D21:D29">
    <cfRule type="top10" dxfId="5" priority="29" bottom="1" rank="1"/>
  </conditionalFormatting>
  <conditionalFormatting sqref="D51:D59">
    <cfRule type="top10" dxfId="4" priority="25" bottom="1" rank="1"/>
  </conditionalFormatting>
  <conditionalFormatting sqref="D79:D87">
    <cfRule type="top10" dxfId="3" priority="21" bottom="1" rank="1"/>
  </conditionalFormatting>
  <conditionalFormatting sqref="D94:D102">
    <cfRule type="top10" dxfId="2" priority="19" bottom="1" rank="1"/>
  </conditionalFormatting>
  <conditionalFormatting sqref="D109:D117">
    <cfRule type="top10" dxfId="1" priority="17" bottom="1" rank="1"/>
  </conditionalFormatting>
  <conditionalFormatting sqref="D124:D132">
    <cfRule type="top10" dxfId="0" priority="15" bottom="1" rank="1"/>
  </conditionalFormatting>
  <pageMargins left="0.511811024" right="0.511811024" top="0.78740157499999996" bottom="0.78740157499999996" header="0.31496062000000002" footer="0.31496062000000002"/>
  <ignoredErrors>
    <ignoredError sqref="C10 C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F1CA-8F82-40B9-8736-BEA5D07ED5F3}">
  <dimension ref="A1:T9"/>
  <sheetViews>
    <sheetView showGridLines="0" workbookViewId="0">
      <selection activeCell="R8" sqref="R8"/>
    </sheetView>
  </sheetViews>
  <sheetFormatPr defaultRowHeight="15"/>
  <cols>
    <col min="1" max="1" width="9.85546875" bestFit="1" customWidth="1"/>
    <col min="2" max="2" width="9.140625" bestFit="1" customWidth="1"/>
    <col min="3" max="3" width="8.7109375" bestFit="1" customWidth="1"/>
    <col min="4" max="4" width="8.28515625" bestFit="1" customWidth="1"/>
    <col min="5" max="6" width="7.140625" bestFit="1" customWidth="1"/>
    <col min="7" max="7" width="6" bestFit="1" customWidth="1"/>
    <col min="8" max="8" width="7.28515625" bestFit="1" customWidth="1"/>
    <col min="9" max="9" width="6.85546875" bestFit="1" customWidth="1"/>
  </cols>
  <sheetData>
    <row r="1" spans="1:20" ht="18.75">
      <c r="A1" s="16" t="s">
        <v>31</v>
      </c>
      <c r="B1" s="16"/>
      <c r="C1" s="16"/>
      <c r="D1" s="16"/>
      <c r="E1" s="16"/>
      <c r="F1" s="16"/>
      <c r="G1" s="16"/>
      <c r="H1" s="16"/>
      <c r="I1" s="16"/>
      <c r="L1" s="16" t="s">
        <v>32</v>
      </c>
      <c r="M1" s="16"/>
      <c r="N1" s="16"/>
      <c r="O1" s="16"/>
      <c r="P1" s="16"/>
      <c r="Q1" s="16"/>
      <c r="R1" s="16"/>
      <c r="S1" s="16"/>
      <c r="T1" s="16"/>
    </row>
    <row r="2" spans="1:20">
      <c r="A2" s="5" t="s">
        <v>21</v>
      </c>
      <c r="B2" s="5" t="s">
        <v>33</v>
      </c>
      <c r="C2" s="5" t="s">
        <v>34</v>
      </c>
      <c r="D2" s="5" t="s">
        <v>35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L2" s="5" t="s">
        <v>21</v>
      </c>
      <c r="M2" s="5" t="s">
        <v>33</v>
      </c>
      <c r="N2" s="5" t="s">
        <v>34</v>
      </c>
      <c r="O2" s="5" t="s">
        <v>35</v>
      </c>
      <c r="P2" s="5" t="s">
        <v>36</v>
      </c>
      <c r="Q2" s="5" t="s">
        <v>37</v>
      </c>
      <c r="R2" s="5" t="s">
        <v>38</v>
      </c>
      <c r="S2" s="5" t="s">
        <v>39</v>
      </c>
      <c r="T2" s="5" t="s">
        <v>40</v>
      </c>
    </row>
    <row r="3" spans="1:20">
      <c r="A3" s="1" t="s">
        <v>41</v>
      </c>
      <c r="B3" s="1">
        <f>126.64/15</f>
        <v>8.4426666666666659</v>
      </c>
      <c r="C3" s="1">
        <f>123.96/15</f>
        <v>8.2639999999999993</v>
      </c>
      <c r="D3" s="1">
        <f>118.29/15</f>
        <v>7.8860000000000001</v>
      </c>
      <c r="E3" s="1">
        <f>114.43/15</f>
        <v>7.6286666666666667</v>
      </c>
      <c r="F3" s="1">
        <f>111.75/15</f>
        <v>7.45</v>
      </c>
      <c r="G3" s="1">
        <f>109.39/15</f>
        <v>7.2926666666666664</v>
      </c>
      <c r="H3" s="1">
        <f>105.64/15</f>
        <v>7.0426666666666664</v>
      </c>
      <c r="I3" s="1">
        <f>103.82/15</f>
        <v>6.9213333333333331</v>
      </c>
      <c r="L3" s="1" t="s">
        <v>41</v>
      </c>
      <c r="M3" s="1">
        <f>25.91/3</f>
        <v>8.6366666666666667</v>
      </c>
      <c r="N3" s="1">
        <f>24.04/3</f>
        <v>8.0133333333333336</v>
      </c>
      <c r="O3" s="1">
        <f>20.27/3</f>
        <v>6.7566666666666668</v>
      </c>
      <c r="P3" s="1">
        <f>19.86/3</f>
        <v>6.62</v>
      </c>
      <c r="Q3" s="1">
        <f>18.41/3</f>
        <v>6.1366666666666667</v>
      </c>
      <c r="R3" s="1">
        <f>17.55/3</f>
        <v>5.8500000000000005</v>
      </c>
      <c r="S3" s="1"/>
      <c r="T3" s="1"/>
    </row>
    <row r="4" spans="1:20">
      <c r="A4" s="1" t="s">
        <v>10</v>
      </c>
      <c r="B4" s="1">
        <f>112.97/15</f>
        <v>7.5313333333333334</v>
      </c>
      <c r="C4" s="1">
        <f>109.52/15</f>
        <v>7.301333333333333</v>
      </c>
      <c r="D4" s="1">
        <f>108/15</f>
        <v>7.2</v>
      </c>
      <c r="E4" s="1">
        <f>107.01/15</f>
        <v>7.1340000000000003</v>
      </c>
      <c r="F4" s="1">
        <f>105.11/15</f>
        <v>7.0073333333333334</v>
      </c>
      <c r="G4" s="1">
        <f>103.82/15</f>
        <v>6.9213333333333331</v>
      </c>
      <c r="H4" s="1">
        <f>101.08/15</f>
        <v>6.7386666666666661</v>
      </c>
      <c r="I4" s="1">
        <f>97.46/15</f>
        <v>6.4973333333333327</v>
      </c>
      <c r="L4" s="1" t="s">
        <v>10</v>
      </c>
      <c r="M4" s="1">
        <f>19.43/3</f>
        <v>6.4766666666666666</v>
      </c>
      <c r="N4" s="1">
        <f>18.45/3</f>
        <v>6.1499999999999995</v>
      </c>
      <c r="O4" s="1">
        <f>16.26/3</f>
        <v>5.4200000000000008</v>
      </c>
      <c r="P4" s="1">
        <f>16.22/3</f>
        <v>5.4066666666666663</v>
      </c>
      <c r="Q4" s="1">
        <f>15.96/3</f>
        <v>5.32</v>
      </c>
      <c r="R4" s="1">
        <f>14.49/3</f>
        <v>4.83</v>
      </c>
      <c r="S4" s="1"/>
      <c r="T4" s="1"/>
    </row>
    <row r="5" spans="1:20">
      <c r="A5" s="1" t="s">
        <v>12</v>
      </c>
      <c r="B5" s="1">
        <f>125.57/15</f>
        <v>8.3713333333333324</v>
      </c>
      <c r="C5" s="1">
        <f>123.53/15</f>
        <v>8.2353333333333332</v>
      </c>
      <c r="D5" s="1">
        <f>120.09/15</f>
        <v>8.0060000000000002</v>
      </c>
      <c r="E5" s="1">
        <f>119.64/15</f>
        <v>7.976</v>
      </c>
      <c r="F5" s="1">
        <f>117.28/15</f>
        <v>7.8186666666666671</v>
      </c>
      <c r="G5" s="1">
        <f>108.88/15</f>
        <v>7.2586666666666666</v>
      </c>
      <c r="H5" s="1">
        <f>108.47/15</f>
        <v>7.2313333333333336</v>
      </c>
      <c r="I5" s="1">
        <f>105.64/15</f>
        <v>7.0426666666666664</v>
      </c>
      <c r="L5" s="1" t="s">
        <v>12</v>
      </c>
      <c r="M5" s="1">
        <v>7.53</v>
      </c>
      <c r="N5" s="1">
        <v>7.14</v>
      </c>
      <c r="O5" s="1">
        <v>6.9</v>
      </c>
      <c r="P5" s="1">
        <v>6.46</v>
      </c>
      <c r="Q5" s="1">
        <v>6.26</v>
      </c>
      <c r="R5" s="1">
        <v>6.09</v>
      </c>
      <c r="S5" s="1"/>
      <c r="T5" s="1"/>
    </row>
    <row r="6" spans="1:20">
      <c r="A6" s="1" t="s">
        <v>14</v>
      </c>
      <c r="B6" s="1">
        <f>147.17/18</f>
        <v>8.1761111111111102</v>
      </c>
      <c r="C6" s="1">
        <f>(7.2+8.3+6.71+6.9+8.2+8.2+7.8+7.2)/8</f>
        <v>7.5637500000000006</v>
      </c>
      <c r="D6" s="1">
        <f>(8.2+8+6.64+7.7+7.2+8.8+6.4+4.7)/8</f>
        <v>7.205000000000001</v>
      </c>
      <c r="E6" s="1">
        <f>(9.65+2.6+8.36+6.5+7.95+6.95+9.15+5.85)/8</f>
        <v>7.1262500000000006</v>
      </c>
      <c r="F6" s="1">
        <f>(8.7+4.5+7.7+8.9+7.35+7.3+7.7+4.45)/8</f>
        <v>7.0750000000000002</v>
      </c>
      <c r="G6" s="1">
        <f>(8.1+8.3+7.7+7.8+5.8+9+5+4.75)/8</f>
        <v>7.0562499999999995</v>
      </c>
      <c r="H6" s="1">
        <f>(8.8+4.4+5.17+8.4+7.55+7.3+8.2+4.65)/8</f>
        <v>6.808749999999999</v>
      </c>
      <c r="I6" s="1">
        <f>(9.35+3.4+8.39+5.6+8.8+6.3+7.6+4)/8</f>
        <v>6.6800000000000006</v>
      </c>
      <c r="L6" s="1" t="s">
        <v>14</v>
      </c>
      <c r="M6" s="1">
        <v>7.97</v>
      </c>
      <c r="N6" s="1">
        <v>6.72</v>
      </c>
      <c r="O6" s="1">
        <v>6.72</v>
      </c>
      <c r="P6" s="1">
        <v>6.47</v>
      </c>
      <c r="Q6" s="1">
        <v>6.4</v>
      </c>
      <c r="R6" s="1">
        <v>6.39</v>
      </c>
      <c r="S6" s="1">
        <v>6.09</v>
      </c>
      <c r="T6" s="1">
        <v>5.78</v>
      </c>
    </row>
    <row r="7" spans="1:20">
      <c r="A7" s="1" t="s">
        <v>15</v>
      </c>
      <c r="B7" s="1">
        <f>(8.04+8.54+8.17+9.04+9.21+8.04+7.46+7)/8</f>
        <v>8.1875</v>
      </c>
      <c r="C7" s="1">
        <f>(8.38+7.75+9.04+9+7.88+6.04+7.67+3.71)/8</f>
        <v>7.4337500000000007</v>
      </c>
      <c r="D7" s="1">
        <f>(8.88+4+6.63+8.75+7.5+5.92+8.67+5.63)/8</f>
        <v>6.9975000000000014</v>
      </c>
      <c r="E7" s="1">
        <f>(6.67+8.63+8.33+6.38+8.29+4.67+7.42+5.25)/8</f>
        <v>6.9550000000000001</v>
      </c>
      <c r="F7" s="1">
        <f>(8.17+7.5+4.21+7.33+6.08+8.54+5.54+7)/8</f>
        <v>6.7962499999999997</v>
      </c>
      <c r="G7" s="1">
        <f>(6.79+6.54+7.92+7.5+7.17+6.63+3.21+6.92)/8</f>
        <v>6.5850000000000009</v>
      </c>
      <c r="H7" s="1">
        <f>(7.75+8.29+3.83+6.08+8.25+6.5+4.33+6.17)/8</f>
        <v>6.3999999999999995</v>
      </c>
      <c r="I7" s="1">
        <f>(7.67+2.21+8.04+7.25+8.29+5.42+7.79+4.46)/8</f>
        <v>6.3912499999999994</v>
      </c>
      <c r="L7" s="1" t="s">
        <v>15</v>
      </c>
      <c r="M7" s="1">
        <v>8.3000000000000007</v>
      </c>
      <c r="N7" s="1">
        <v>7.79</v>
      </c>
      <c r="O7" s="1">
        <v>7.33</v>
      </c>
      <c r="P7" s="1">
        <v>6.83</v>
      </c>
      <c r="Q7" s="1">
        <v>6.49</v>
      </c>
      <c r="R7" s="1">
        <v>6.26</v>
      </c>
      <c r="S7" s="1">
        <v>5.62</v>
      </c>
      <c r="T7" s="1">
        <v>5.59</v>
      </c>
    </row>
    <row r="8" spans="1:20">
      <c r="A8" s="1" t="s">
        <v>17</v>
      </c>
      <c r="B8" s="1">
        <f>140.06/18</f>
        <v>7.7811111111111115</v>
      </c>
      <c r="C8" s="1">
        <f>(8+9+6.75+3.75+7.75+7.5+8+8.75)/8</f>
        <v>7.4375</v>
      </c>
      <c r="D8" s="1">
        <f>(7+9.5+7.5+6.25+7+8+8+5)/8</f>
        <v>7.28125</v>
      </c>
      <c r="E8" s="1">
        <f>(7.25+9.25+8.25+5+6.75+6+8.5+4.75)/8</f>
        <v>6.96875</v>
      </c>
      <c r="F8" s="1">
        <f>(5.25+7.25+4.75+4.5+6.25+7.75+7.25+8.75)/8</f>
        <v>6.46875</v>
      </c>
      <c r="G8" s="1">
        <f>112.5/18</f>
        <v>6.25</v>
      </c>
      <c r="H8" s="1">
        <f>107.44/18</f>
        <v>5.9688888888888885</v>
      </c>
      <c r="I8" s="1">
        <f>104.66/18</f>
        <v>5.8144444444444439</v>
      </c>
      <c r="L8" s="1" t="s">
        <v>17</v>
      </c>
      <c r="M8" s="1">
        <v>6.94</v>
      </c>
      <c r="N8" s="1">
        <v>6.77</v>
      </c>
      <c r="O8" s="1">
        <v>6.62</v>
      </c>
      <c r="P8" s="1">
        <v>6.55</v>
      </c>
      <c r="Q8" s="1">
        <v>5.26</v>
      </c>
      <c r="R8" s="1"/>
      <c r="S8" s="1"/>
      <c r="T8" s="1"/>
    </row>
    <row r="9" spans="1:20">
      <c r="A9" s="1" t="s">
        <v>19</v>
      </c>
      <c r="B9" s="1">
        <f t="shared" ref="B9:I9" si="0">AVERAGE(B3:B8)</f>
        <v>8.081675925925925</v>
      </c>
      <c r="C9" s="1">
        <f t="shared" si="0"/>
        <v>7.7059444444444445</v>
      </c>
      <c r="D9" s="1">
        <f t="shared" si="0"/>
        <v>7.4292916666666668</v>
      </c>
      <c r="E9" s="1">
        <f t="shared" si="0"/>
        <v>7.298111111111111</v>
      </c>
      <c r="F9" s="1">
        <f t="shared" si="0"/>
        <v>7.1026666666666669</v>
      </c>
      <c r="G9" s="1">
        <f t="shared" si="0"/>
        <v>6.8939861111111114</v>
      </c>
      <c r="H9" s="1">
        <f t="shared" si="0"/>
        <v>6.6983842592592602</v>
      </c>
      <c r="I9" s="1">
        <f t="shared" si="0"/>
        <v>6.5578379629629637</v>
      </c>
      <c r="L9" s="1" t="s">
        <v>19</v>
      </c>
      <c r="M9" s="1">
        <f t="shared" ref="M9" si="1">AVERAGE(M3:M8)</f>
        <v>7.6422222222222222</v>
      </c>
      <c r="N9" s="1">
        <f t="shared" ref="N9" si="2">AVERAGE(N3:N8)</f>
        <v>7.0972222222222214</v>
      </c>
      <c r="O9" s="1">
        <f t="shared" ref="O9" si="3">AVERAGE(O3:O8)</f>
        <v>6.6244444444444435</v>
      </c>
      <c r="P9" s="1">
        <f t="shared" ref="P9" si="4">AVERAGE(P3:P8)</f>
        <v>6.389444444444444</v>
      </c>
      <c r="Q9" s="1">
        <f t="shared" ref="Q9" si="5">AVERAGE(Q3:Q8)</f>
        <v>5.9777777777777779</v>
      </c>
      <c r="R9" s="1">
        <f t="shared" ref="R9" si="6">AVERAGE(R3:R8)</f>
        <v>5.8840000000000003</v>
      </c>
      <c r="S9" s="1">
        <f t="shared" ref="S9" si="7">AVERAGE(S3:S8)</f>
        <v>5.8550000000000004</v>
      </c>
      <c r="T9" s="1">
        <f t="shared" ref="T9" si="8">AVERAGE(T3:T8)</f>
        <v>5.6850000000000005</v>
      </c>
    </row>
  </sheetData>
  <mergeCells count="2">
    <mergeCell ref="A1:I1"/>
    <mergeCell ref="L1:T1"/>
  </mergeCells>
  <phoneticPr fontId="2" type="noConversion"/>
  <pageMargins left="0.511811024" right="0.511811024" top="0.78740157499999996" bottom="0.78740157499999996" header="0.31496062000000002" footer="0.31496062000000002"/>
  <ignoredErrors>
    <ignoredError sqref="N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Valker Antonio de Toledo Filho Toledo</dc:creator>
  <cp:keywords/>
  <dc:description/>
  <cp:lastModifiedBy>Valker Toledo</cp:lastModifiedBy>
  <cp:revision/>
  <dcterms:created xsi:type="dcterms:W3CDTF">2020-05-27T18:54:23Z</dcterms:created>
  <dcterms:modified xsi:type="dcterms:W3CDTF">2021-06-25T01:46:17Z</dcterms:modified>
  <cp:category/>
  <cp:contentStatus/>
</cp:coreProperties>
</file>