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48e618546fa2d1/Área de Trabalho/Projetos/PAC/Gestão 2020/Competição/"/>
    </mc:Choice>
  </mc:AlternateContent>
  <xr:revisionPtr revIDLastSave="230" documentId="8_{1031300C-A8B1-48F0-B717-137321B34EEF}" xr6:coauthVersionLast="47" xr6:coauthVersionMax="47" xr10:uidLastSave="{F49C14D7-30B0-4506-ADDC-932656520BC9}"/>
  <bookViews>
    <workbookView xWindow="-120" yWindow="-120" windowWidth="20730" windowHeight="11160" firstSheet="7" activeTab="6" xr2:uid="{B37750BE-B99D-45F6-BF19-0105AA7D32E4}"/>
  </bookViews>
  <sheets>
    <sheet name="APD" sheetId="2" state="hidden" r:id="rId1"/>
    <sheet name="Apresentação" sheetId="3" r:id="rId2"/>
    <sheet name="Projeto Geral" sheetId="4" state="hidden" r:id="rId3"/>
    <sheet name="Dinâmicas" sheetId="5" state="hidden" r:id="rId4"/>
    <sheet name="Enduro" sheetId="6" state="hidden" r:id="rId5"/>
    <sheet name="Geral" sheetId="7" state="hidden" r:id="rId6"/>
    <sheet name="Objetivos e Metas" sheetId="10" r:id="rId7"/>
    <sheet name="Extras" sheetId="8" r:id="rId8"/>
    <sheet name="Curiosidades" sheetId="9" state="hidden" r:id="rId9"/>
  </sheets>
  <definedNames>
    <definedName name="_xlnm._FilterDatabase" localSheetId="8" hidden="1">Curiosidades!$A$114:$B$114</definedName>
    <definedName name="_xlnm._FilterDatabase" localSheetId="7" hidden="1">Extras!$P$36:$Q$36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0" i="3" l="1"/>
  <c r="F85" i="3"/>
  <c r="F84" i="3"/>
  <c r="F83" i="3"/>
  <c r="F82" i="3"/>
  <c r="H74" i="3"/>
  <c r="G74" i="3"/>
  <c r="G75" i="3"/>
  <c r="G76" i="3"/>
  <c r="G77" i="3"/>
  <c r="G73" i="3"/>
  <c r="F74" i="3"/>
  <c r="F75" i="3"/>
  <c r="F76" i="3"/>
  <c r="F77" i="3"/>
  <c r="F73" i="3"/>
  <c r="J64" i="3"/>
  <c r="J65" i="3"/>
  <c r="J66" i="3"/>
  <c r="J67" i="3"/>
  <c r="J63" i="3"/>
  <c r="H67" i="3"/>
  <c r="G67" i="3"/>
  <c r="F67" i="3"/>
  <c r="E67" i="3"/>
  <c r="D67" i="3"/>
  <c r="C67" i="3"/>
  <c r="H66" i="3"/>
  <c r="G66" i="3"/>
  <c r="F66" i="3"/>
  <c r="E66" i="3"/>
  <c r="D66" i="3"/>
  <c r="C66" i="3"/>
  <c r="H65" i="3"/>
  <c r="G65" i="3"/>
  <c r="F65" i="3"/>
  <c r="E65" i="3"/>
  <c r="D65" i="3"/>
  <c r="C65" i="3"/>
  <c r="H64" i="3"/>
  <c r="G64" i="3"/>
  <c r="F64" i="3"/>
  <c r="E64" i="3"/>
  <c r="D64" i="3"/>
  <c r="C64" i="3"/>
  <c r="H63" i="3"/>
  <c r="G63" i="3"/>
  <c r="F63" i="3"/>
  <c r="E63" i="3"/>
  <c r="D63" i="3"/>
  <c r="C63" i="3"/>
  <c r="I67" i="3"/>
  <c r="I66" i="3"/>
  <c r="I65" i="3"/>
  <c r="I64" i="3"/>
  <c r="I63" i="3"/>
  <c r="E22" i="3"/>
  <c r="K6" i="3"/>
  <c r="L6" i="3" s="1"/>
  <c r="B15" i="3" s="1"/>
  <c r="C15" i="3" s="1"/>
  <c r="C36" i="10"/>
  <c r="C37" i="10" s="1"/>
  <c r="E32" i="8"/>
  <c r="G32" i="8"/>
  <c r="C14" i="8"/>
  <c r="D32" i="8"/>
  <c r="K31" i="8"/>
  <c r="J31" i="8"/>
  <c r="I31" i="8"/>
  <c r="H31" i="8"/>
  <c r="G31" i="8"/>
  <c r="F31" i="8"/>
  <c r="E31" i="8"/>
  <c r="K30" i="8"/>
  <c r="J30" i="8"/>
  <c r="I30" i="8"/>
  <c r="H30" i="8"/>
  <c r="G30" i="8"/>
  <c r="F30" i="8"/>
  <c r="E30" i="8"/>
  <c r="V38" i="8"/>
  <c r="V39" i="8"/>
  <c r="V40" i="8"/>
  <c r="V41" i="8"/>
  <c r="V42" i="8"/>
  <c r="V43" i="8"/>
  <c r="V44" i="8"/>
  <c r="V37" i="8"/>
  <c r="S44" i="8"/>
  <c r="S37" i="8"/>
  <c r="S38" i="8"/>
  <c r="S39" i="8"/>
  <c r="S40" i="8"/>
  <c r="S41" i="8"/>
  <c r="S42" i="8"/>
  <c r="S43" i="8"/>
  <c r="P38" i="8"/>
  <c r="P39" i="8"/>
  <c r="P40" i="8"/>
  <c r="P41" i="8"/>
  <c r="P42" i="8"/>
  <c r="P37" i="8"/>
  <c r="M38" i="8"/>
  <c r="M39" i="8"/>
  <c r="M40" i="8"/>
  <c r="M41" i="8"/>
  <c r="M42" i="8"/>
  <c r="M43" i="8"/>
  <c r="M44" i="8"/>
  <c r="M45" i="8"/>
  <c r="M37" i="8"/>
  <c r="J38" i="8"/>
  <c r="J39" i="8"/>
  <c r="J40" i="8"/>
  <c r="J41" i="8"/>
  <c r="J42" i="8"/>
  <c r="J43" i="8"/>
  <c r="J44" i="8"/>
  <c r="J37" i="8"/>
  <c r="G42" i="8"/>
  <c r="G41" i="8"/>
  <c r="G40" i="8"/>
  <c r="G39" i="8"/>
  <c r="G38" i="8"/>
  <c r="G37" i="8"/>
  <c r="D42" i="8"/>
  <c r="D41" i="8"/>
  <c r="D40" i="8"/>
  <c r="D39" i="8"/>
  <c r="D38" i="8"/>
  <c r="D37" i="8"/>
  <c r="A39" i="8"/>
  <c r="A38" i="8"/>
  <c r="A37" i="8"/>
  <c r="K143" i="3"/>
  <c r="L143" i="3" s="1"/>
  <c r="K133" i="3"/>
  <c r="L133" i="3" s="1"/>
  <c r="C133" i="3"/>
  <c r="K123" i="3"/>
  <c r="L123" i="3" s="1"/>
  <c r="B123" i="3"/>
  <c r="C123" i="3" s="1"/>
  <c r="K113" i="3"/>
  <c r="L113" i="3" s="1"/>
  <c r="B113" i="3"/>
  <c r="B114" i="3" l="1"/>
  <c r="C113" i="3"/>
  <c r="K34" i="10"/>
  <c r="J34" i="10"/>
  <c r="B36" i="10"/>
  <c r="B37" i="10" s="1"/>
  <c r="C12" i="10"/>
  <c r="B12" i="10"/>
  <c r="C6" i="10"/>
  <c r="B6" i="10"/>
  <c r="B15" i="10" l="1"/>
  <c r="C15" i="10"/>
  <c r="D13" i="6" l="1"/>
  <c r="D12" i="6"/>
  <c r="D11" i="6"/>
  <c r="L140" i="3"/>
  <c r="L130" i="3"/>
  <c r="L120" i="3"/>
  <c r="L110" i="3"/>
  <c r="C140" i="3"/>
  <c r="C130" i="3"/>
  <c r="C120" i="3"/>
  <c r="C110" i="3"/>
  <c r="K31" i="3"/>
  <c r="K30" i="3"/>
  <c r="K29" i="3"/>
  <c r="K28" i="3"/>
  <c r="K27" i="3"/>
  <c r="K3" i="3"/>
  <c r="L3" i="3" s="1"/>
  <c r="B12" i="3" s="1"/>
  <c r="C12" i="3" s="1"/>
  <c r="A22" i="3" l="1"/>
  <c r="B73" i="3"/>
  <c r="L27" i="3"/>
  <c r="B74" i="3"/>
  <c r="L28" i="3"/>
  <c r="B75" i="3"/>
  <c r="L29" i="3"/>
  <c r="B76" i="3"/>
  <c r="L30" i="3"/>
  <c r="B77" i="3"/>
  <c r="L31" i="3"/>
  <c r="E110" i="3"/>
  <c r="E120" i="3"/>
  <c r="N110" i="3"/>
  <c r="N120" i="3"/>
  <c r="N130" i="3"/>
  <c r="N140" i="3"/>
  <c r="K142" i="3"/>
  <c r="L142" i="3" s="1"/>
  <c r="K141" i="3"/>
  <c r="K112" i="3"/>
  <c r="L112" i="3" s="1"/>
  <c r="K111" i="3"/>
  <c r="K122" i="3"/>
  <c r="L122" i="3" s="1"/>
  <c r="K132" i="3"/>
  <c r="L132" i="3" s="1"/>
  <c r="K131" i="3"/>
  <c r="K121" i="3"/>
  <c r="B141" i="3"/>
  <c r="C132" i="3"/>
  <c r="B131" i="3"/>
  <c r="B122" i="3"/>
  <c r="C122" i="3" s="1"/>
  <c r="B121" i="3"/>
  <c r="C112" i="3"/>
  <c r="C111" i="3"/>
  <c r="C114" i="3" s="1"/>
  <c r="F110" i="3" s="1"/>
  <c r="B124" i="3" l="1"/>
  <c r="C121" i="3"/>
  <c r="C124" i="3" s="1"/>
  <c r="F120" i="3" s="1"/>
  <c r="G120" i="3" s="1"/>
  <c r="H121" i="3" s="1"/>
  <c r="B134" i="3"/>
  <c r="C131" i="3"/>
  <c r="C134" i="3" s="1"/>
  <c r="F130" i="3" s="1"/>
  <c r="G130" i="3" s="1"/>
  <c r="H131" i="3" s="1"/>
  <c r="B144" i="3"/>
  <c r="C141" i="3"/>
  <c r="K124" i="3"/>
  <c r="L121" i="3"/>
  <c r="L124" i="3" s="1"/>
  <c r="O120" i="3" s="1"/>
  <c r="P120" i="3" s="1"/>
  <c r="Q121" i="3" s="1"/>
  <c r="K134" i="3"/>
  <c r="L131" i="3"/>
  <c r="L134" i="3" s="1"/>
  <c r="O130" i="3" s="1"/>
  <c r="P130" i="3" s="1"/>
  <c r="Q131" i="3" s="1"/>
  <c r="K114" i="3"/>
  <c r="L111" i="3"/>
  <c r="L114" i="3" s="1"/>
  <c r="O110" i="3" s="1"/>
  <c r="P110" i="3" s="1"/>
  <c r="K144" i="3"/>
  <c r="L141" i="3"/>
  <c r="L144" i="3" s="1"/>
  <c r="O140" i="3"/>
  <c r="P140" i="3" s="1"/>
  <c r="Q141" i="3" s="1"/>
  <c r="G110" i="3"/>
  <c r="H111" i="3" s="1"/>
  <c r="Q111" i="3"/>
  <c r="I27" i="8"/>
  <c r="J27" i="8"/>
  <c r="K27" i="8"/>
  <c r="H27" i="8"/>
  <c r="G27" i="8"/>
  <c r="F27" i="8"/>
  <c r="E27" i="8"/>
  <c r="C14" i="7"/>
  <c r="B14" i="7"/>
  <c r="A20" i="6"/>
  <c r="D4" i="6"/>
  <c r="D5" i="6"/>
  <c r="C14" i="6"/>
  <c r="G21" i="5"/>
  <c r="B29" i="5" s="1"/>
  <c r="G22" i="5"/>
  <c r="G20" i="5"/>
  <c r="H5" i="5"/>
  <c r="H6" i="5"/>
  <c r="H4" i="5"/>
  <c r="B4" i="4"/>
  <c r="K37" i="3"/>
  <c r="C74" i="3" s="1"/>
  <c r="K38" i="3"/>
  <c r="L38" i="3" s="1"/>
  <c r="K39" i="3"/>
  <c r="C76" i="3" s="1"/>
  <c r="K40" i="3"/>
  <c r="K36" i="3"/>
  <c r="C73" i="3" s="1"/>
  <c r="K47" i="3"/>
  <c r="K48" i="3"/>
  <c r="K49" i="3"/>
  <c r="K45" i="3"/>
  <c r="K46" i="3"/>
  <c r="K4" i="3"/>
  <c r="L4" i="3" s="1"/>
  <c r="K5" i="3"/>
  <c r="L5" i="3" s="1"/>
  <c r="C5" i="4" s="1"/>
  <c r="C11" i="2"/>
  <c r="B11" i="2"/>
  <c r="B13" i="3" l="1"/>
  <c r="C4" i="4"/>
  <c r="D73" i="3"/>
  <c r="L45" i="3"/>
  <c r="L40" i="3"/>
  <c r="C77" i="3"/>
  <c r="D5" i="7"/>
  <c r="E14" i="7" s="1"/>
  <c r="C29" i="5"/>
  <c r="D29" i="5" s="1"/>
  <c r="B12" i="6"/>
  <c r="E5" i="7"/>
  <c r="F14" i="7" s="1"/>
  <c r="C144" i="3"/>
  <c r="F140" i="3" s="1"/>
  <c r="G140" i="3" s="1"/>
  <c r="H141" i="3" s="1"/>
  <c r="D4" i="4"/>
  <c r="L39" i="3"/>
  <c r="L36" i="3"/>
  <c r="L37" i="3"/>
  <c r="C75" i="3"/>
  <c r="B14" i="3"/>
  <c r="C14" i="3" s="1"/>
  <c r="F12" i="7"/>
  <c r="C12" i="7"/>
  <c r="B12" i="7"/>
  <c r="D3" i="7"/>
  <c r="E12" i="7" s="1"/>
  <c r="C3" i="7"/>
  <c r="D12" i="7" s="1"/>
  <c r="G12" i="7" s="1"/>
  <c r="C13" i="3" l="1"/>
  <c r="C16" i="3" s="1"/>
  <c r="B22" i="3" s="1"/>
  <c r="B16" i="3"/>
  <c r="F3" i="7"/>
  <c r="C5" i="7"/>
  <c r="C12" i="4"/>
  <c r="D12" i="4" s="1"/>
  <c r="C83" i="9"/>
  <c r="F5" i="7" l="1"/>
  <c r="D14" i="7"/>
  <c r="G14" i="7" s="1"/>
  <c r="V118" i="9" l="1"/>
  <c r="V116" i="9"/>
  <c r="V120" i="9"/>
  <c r="V119" i="9"/>
  <c r="V117" i="9"/>
  <c r="V121" i="9"/>
  <c r="V122" i="9"/>
  <c r="V123" i="9"/>
  <c r="V115" i="9"/>
  <c r="S117" i="9"/>
  <c r="S119" i="9"/>
  <c r="S120" i="9"/>
  <c r="S115" i="9"/>
  <c r="S118" i="9"/>
  <c r="S121" i="9"/>
  <c r="S122" i="9"/>
  <c r="S123" i="9"/>
  <c r="S116" i="9"/>
  <c r="P116" i="9"/>
  <c r="P119" i="9"/>
  <c r="P120" i="9"/>
  <c r="P121" i="9"/>
  <c r="P122" i="9"/>
  <c r="P123" i="9"/>
  <c r="P124" i="9"/>
  <c r="P125" i="9"/>
  <c r="P126" i="9"/>
  <c r="P117" i="9"/>
  <c r="P115" i="9"/>
  <c r="P127" i="9"/>
  <c r="P118" i="9"/>
  <c r="M120" i="9"/>
  <c r="M121" i="9"/>
  <c r="M122" i="9"/>
  <c r="M116" i="9"/>
  <c r="M123" i="9"/>
  <c r="M117" i="9"/>
  <c r="M118" i="9"/>
  <c r="M124" i="9"/>
  <c r="M115" i="9"/>
  <c r="M125" i="9"/>
  <c r="M126" i="9"/>
  <c r="M119" i="9"/>
  <c r="J119" i="9"/>
  <c r="J120" i="9"/>
  <c r="J117" i="9"/>
  <c r="J116" i="9"/>
  <c r="J121" i="9"/>
  <c r="J122" i="9"/>
  <c r="J118" i="9"/>
  <c r="J123" i="9"/>
  <c r="J124" i="9"/>
  <c r="J115" i="9"/>
  <c r="G116" i="9"/>
  <c r="G117" i="9"/>
  <c r="G121" i="9"/>
  <c r="G118" i="9"/>
  <c r="G122" i="9"/>
  <c r="G119" i="9"/>
  <c r="G120" i="9"/>
  <c r="G123" i="9"/>
  <c r="G124" i="9"/>
  <c r="G115" i="9"/>
  <c r="D119" i="9"/>
  <c r="D117" i="9"/>
  <c r="D118" i="9"/>
  <c r="D116" i="9"/>
  <c r="D120" i="9"/>
  <c r="D121" i="9"/>
  <c r="D122" i="9"/>
  <c r="D115" i="9"/>
  <c r="A119" i="9"/>
  <c r="A115" i="9"/>
  <c r="A117" i="9"/>
  <c r="A116" i="9"/>
  <c r="A120" i="9"/>
  <c r="A121" i="9"/>
  <c r="A118" i="9"/>
  <c r="K106" i="9"/>
  <c r="H105" i="9"/>
  <c r="Q83" i="9"/>
  <c r="O83" i="9"/>
  <c r="M83" i="9"/>
  <c r="K83" i="9"/>
  <c r="I83" i="9"/>
  <c r="G83" i="9"/>
  <c r="E83" i="9"/>
  <c r="D108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6" i="9"/>
  <c r="H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90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C17" i="9"/>
  <c r="E17" i="9"/>
  <c r="G17" i="9"/>
  <c r="I17" i="9"/>
  <c r="V44" i="9"/>
  <c r="V45" i="9"/>
  <c r="V42" i="9"/>
  <c r="V46" i="9"/>
  <c r="V47" i="9"/>
  <c r="V43" i="9"/>
  <c r="S44" i="9"/>
  <c r="S45" i="9"/>
  <c r="S46" i="9"/>
  <c r="S43" i="9"/>
  <c r="S47" i="9"/>
  <c r="S48" i="9"/>
  <c r="S42" i="9"/>
  <c r="P44" i="9"/>
  <c r="P48" i="9"/>
  <c r="P42" i="9"/>
  <c r="P45" i="9"/>
  <c r="P49" i="9"/>
  <c r="P46" i="9"/>
  <c r="P47" i="9"/>
  <c r="P43" i="9"/>
  <c r="M46" i="9"/>
  <c r="M48" i="9"/>
  <c r="M42" i="9"/>
  <c r="M47" i="9"/>
  <c r="M49" i="9"/>
  <c r="M43" i="9"/>
  <c r="M44" i="9"/>
  <c r="M45" i="9"/>
  <c r="J45" i="9"/>
  <c r="J44" i="9"/>
  <c r="J46" i="9"/>
  <c r="J47" i="9"/>
  <c r="J42" i="9"/>
  <c r="J43" i="9"/>
  <c r="G47" i="9"/>
  <c r="G42" i="9"/>
  <c r="G48" i="9"/>
  <c r="G49" i="9"/>
  <c r="G43" i="9"/>
  <c r="G50" i="9"/>
  <c r="G44" i="9"/>
  <c r="G45" i="9"/>
  <c r="G51" i="9"/>
  <c r="G46" i="9"/>
  <c r="D46" i="9"/>
  <c r="D44" i="9"/>
  <c r="D42" i="9"/>
  <c r="D47" i="9"/>
  <c r="D45" i="9"/>
  <c r="D48" i="9"/>
  <c r="D43" i="9"/>
  <c r="A42" i="9"/>
  <c r="A46" i="9"/>
  <c r="A43" i="9"/>
  <c r="A44" i="9"/>
  <c r="A45" i="9"/>
  <c r="D37" i="9"/>
  <c r="K35" i="9"/>
  <c r="K23" i="9"/>
  <c r="K24" i="9"/>
  <c r="K25" i="9"/>
  <c r="K26" i="9"/>
  <c r="K27" i="9"/>
  <c r="K28" i="9"/>
  <c r="K29" i="9"/>
  <c r="K30" i="9"/>
  <c r="K31" i="9"/>
  <c r="K32" i="9"/>
  <c r="K33" i="9"/>
  <c r="K34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K22" i="9"/>
  <c r="J22" i="9"/>
  <c r="I22" i="9"/>
  <c r="H22" i="9"/>
  <c r="G22" i="9"/>
  <c r="E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2" i="9"/>
  <c r="E35" i="9"/>
  <c r="E23" i="9"/>
  <c r="E24" i="9"/>
  <c r="E25" i="9"/>
  <c r="E26" i="9"/>
  <c r="E27" i="9"/>
  <c r="E28" i="9"/>
  <c r="E29" i="9"/>
  <c r="E30" i="9"/>
  <c r="E31" i="9"/>
  <c r="E32" i="9"/>
  <c r="E33" i="9"/>
  <c r="E34" i="9"/>
  <c r="M17" i="9"/>
  <c r="Q17" i="9"/>
  <c r="O17" i="9"/>
  <c r="K17" i="9"/>
  <c r="E36" i="9" l="1"/>
  <c r="B142" i="9" s="1"/>
  <c r="F36" i="9"/>
  <c r="C142" i="9" s="1"/>
  <c r="G36" i="9"/>
  <c r="D142" i="9" s="1"/>
  <c r="H36" i="9"/>
  <c r="E142" i="9" s="1"/>
  <c r="I36" i="9"/>
  <c r="F142" i="9" s="1"/>
  <c r="E107" i="9"/>
  <c r="B141" i="9" s="1"/>
  <c r="F107" i="9"/>
  <c r="C141" i="9" s="1"/>
  <c r="G107" i="9"/>
  <c r="D141" i="9" s="1"/>
  <c r="H107" i="9"/>
  <c r="E141" i="9" s="1"/>
  <c r="I107" i="9"/>
  <c r="F141" i="9" s="1"/>
  <c r="J107" i="9"/>
  <c r="G141" i="9" s="1"/>
  <c r="K107" i="9"/>
  <c r="H141" i="9" s="1"/>
  <c r="F108" i="9"/>
  <c r="J108" i="9"/>
  <c r="K108" i="9"/>
  <c r="H108" i="9"/>
  <c r="E108" i="9"/>
  <c r="G108" i="9"/>
  <c r="I108" i="9"/>
  <c r="F37" i="9"/>
  <c r="J36" i="9"/>
  <c r="E37" i="9"/>
  <c r="G37" i="9"/>
  <c r="I37" i="9"/>
  <c r="H37" i="9"/>
  <c r="K36" i="9"/>
  <c r="K37" i="9" l="1"/>
  <c r="H142" i="9"/>
  <c r="J37" i="9"/>
  <c r="G142" i="9"/>
  <c r="D40" i="2" l="1"/>
  <c r="D41" i="2"/>
  <c r="D42" i="2"/>
  <c r="D43" i="2"/>
  <c r="D44" i="2"/>
  <c r="D45" i="2"/>
  <c r="C85" i="3" l="1"/>
  <c r="E85" i="3"/>
  <c r="C84" i="3"/>
  <c r="C83" i="3"/>
  <c r="C82" i="3"/>
  <c r="E84" i="3"/>
  <c r="E83" i="3"/>
  <c r="E82" i="3"/>
  <c r="H58" i="3" l="1"/>
  <c r="H57" i="3"/>
  <c r="H56" i="3"/>
  <c r="H55" i="3"/>
  <c r="H54" i="3"/>
  <c r="G58" i="3"/>
  <c r="G57" i="3"/>
  <c r="G56" i="3"/>
  <c r="G55" i="3"/>
  <c r="G54" i="3"/>
  <c r="F58" i="3"/>
  <c r="F57" i="3"/>
  <c r="F56" i="3"/>
  <c r="F55" i="3"/>
  <c r="F54" i="3"/>
  <c r="E58" i="3"/>
  <c r="E57" i="3"/>
  <c r="E56" i="3"/>
  <c r="E55" i="3"/>
  <c r="E54" i="3"/>
  <c r="D57" i="3"/>
  <c r="D56" i="3"/>
  <c r="D55" i="3"/>
  <c r="D54" i="3"/>
  <c r="D58" i="3"/>
  <c r="C58" i="3"/>
  <c r="C57" i="3"/>
  <c r="I57" i="3" s="1"/>
  <c r="C56" i="3"/>
  <c r="C55" i="3"/>
  <c r="C54" i="3"/>
  <c r="H53" i="3"/>
  <c r="L47" i="3"/>
  <c r="L48" i="3"/>
  <c r="I54" i="3" l="1"/>
  <c r="I56" i="3"/>
  <c r="I58" i="3"/>
  <c r="I55" i="3"/>
  <c r="J57" i="3"/>
  <c r="D75" i="3"/>
  <c r="B82" i="3"/>
  <c r="L46" i="3"/>
  <c r="B85" i="3"/>
  <c r="L49" i="3"/>
  <c r="B83" i="3"/>
  <c r="E76" i="3"/>
  <c r="D74" i="3"/>
  <c r="D77" i="3"/>
  <c r="D76" i="3"/>
  <c r="D85" i="3" l="1"/>
  <c r="J56" i="3"/>
  <c r="D83" i="3"/>
  <c r="J55" i="3"/>
  <c r="D82" i="3"/>
  <c r="J54" i="3"/>
  <c r="D84" i="3"/>
  <c r="J58" i="3"/>
  <c r="E74" i="3"/>
  <c r="E73" i="3"/>
  <c r="E75" i="3"/>
  <c r="E77" i="3"/>
  <c r="H75" i="3" l="1"/>
  <c r="F21" i="8"/>
  <c r="K24" i="8"/>
  <c r="K21" i="8"/>
  <c r="K22" i="8"/>
  <c r="K23" i="8"/>
  <c r="K25" i="8"/>
  <c r="K26" i="8"/>
  <c r="K29" i="8"/>
  <c r="J21" i="8"/>
  <c r="J22" i="8"/>
  <c r="J23" i="8"/>
  <c r="J24" i="8"/>
  <c r="J25" i="8"/>
  <c r="J26" i="8"/>
  <c r="J29" i="8"/>
  <c r="I21" i="8"/>
  <c r="I22" i="8"/>
  <c r="I23" i="8"/>
  <c r="I24" i="8"/>
  <c r="I25" i="8"/>
  <c r="I26" i="8"/>
  <c r="I29" i="8"/>
  <c r="H21" i="8"/>
  <c r="H22" i="8"/>
  <c r="H23" i="8"/>
  <c r="H24" i="8"/>
  <c r="H25" i="8"/>
  <c r="H26" i="8"/>
  <c r="H29" i="8"/>
  <c r="G21" i="8"/>
  <c r="G22" i="8"/>
  <c r="G23" i="8"/>
  <c r="G24" i="8"/>
  <c r="G25" i="8"/>
  <c r="G26" i="8"/>
  <c r="G29" i="8"/>
  <c r="K20" i="8"/>
  <c r="J20" i="8"/>
  <c r="I20" i="8"/>
  <c r="H20" i="8"/>
  <c r="G20" i="8"/>
  <c r="F22" i="8"/>
  <c r="F23" i="8"/>
  <c r="F24" i="8"/>
  <c r="F25" i="8"/>
  <c r="F26" i="8"/>
  <c r="F29" i="8"/>
  <c r="F20" i="8"/>
  <c r="E21" i="8"/>
  <c r="E22" i="8"/>
  <c r="E23" i="8"/>
  <c r="E24" i="8"/>
  <c r="E25" i="8"/>
  <c r="E26" i="8"/>
  <c r="E29" i="8"/>
  <c r="E20" i="8"/>
  <c r="Q11" i="8"/>
  <c r="O11" i="8"/>
  <c r="M11" i="8"/>
  <c r="K11" i="8"/>
  <c r="I11" i="8"/>
  <c r="G11" i="8"/>
  <c r="E11" i="8"/>
  <c r="C11" i="8"/>
  <c r="E14" i="8" l="1"/>
  <c r="E28" i="8"/>
  <c r="G14" i="8"/>
  <c r="F28" i="8"/>
  <c r="I14" i="8"/>
  <c r="G28" i="8"/>
  <c r="D140" i="9" s="1"/>
  <c r="K14" i="8"/>
  <c r="H28" i="8"/>
  <c r="M14" i="8"/>
  <c r="I28" i="8"/>
  <c r="O14" i="8"/>
  <c r="J28" i="8"/>
  <c r="Q14" i="8"/>
  <c r="K28" i="8"/>
  <c r="F140" i="9"/>
  <c r="C140" i="9"/>
  <c r="H140" i="9"/>
  <c r="B140" i="9"/>
  <c r="E140" i="9"/>
  <c r="G140" i="9"/>
  <c r="J32" i="8"/>
  <c r="I32" i="8"/>
  <c r="H32" i="8"/>
  <c r="K32" i="8"/>
  <c r="H76" i="3"/>
  <c r="H73" i="3"/>
  <c r="H77" i="3"/>
  <c r="B15" i="7"/>
  <c r="C13" i="7"/>
  <c r="B13" i="7"/>
  <c r="B16" i="7"/>
  <c r="F32" i="8" l="1"/>
  <c r="E4" i="7"/>
  <c r="F13" i="7" s="1"/>
  <c r="D4" i="7"/>
  <c r="E13" i="7" s="1"/>
  <c r="B11" i="6"/>
  <c r="C28" i="5"/>
  <c r="B28" i="5"/>
  <c r="D28" i="5" l="1"/>
  <c r="B14" i="4"/>
  <c r="D3" i="4"/>
  <c r="C4" i="7" l="1"/>
  <c r="C11" i="4"/>
  <c r="D11" i="4" s="1"/>
  <c r="C15" i="7"/>
  <c r="C16" i="7" s="1"/>
  <c r="E6" i="7"/>
  <c r="F15" i="7" s="1"/>
  <c r="F16" i="7" s="1"/>
  <c r="D6" i="7"/>
  <c r="E15" i="7" s="1"/>
  <c r="E16" i="7" s="1"/>
  <c r="B13" i="6"/>
  <c r="D14" i="6" s="1"/>
  <c r="B20" i="6" s="1"/>
  <c r="C20" i="6" s="1"/>
  <c r="D20" i="6" s="1"/>
  <c r="B30" i="5"/>
  <c r="B31" i="5" s="1"/>
  <c r="G6" i="5"/>
  <c r="C30" i="5"/>
  <c r="C34" i="2"/>
  <c r="D5" i="2"/>
  <c r="B34" i="2"/>
  <c r="D13" i="7" l="1"/>
  <c r="G13" i="7" s="1"/>
  <c r="F4" i="7"/>
  <c r="B14" i="6"/>
  <c r="D30" i="5"/>
  <c r="C31" i="5"/>
  <c r="C5" i="2"/>
  <c r="F28" i="5" l="1"/>
  <c r="D31" i="5"/>
  <c r="G28" i="5" s="1"/>
  <c r="C22" i="3"/>
  <c r="D22" i="3" s="1"/>
  <c r="C12" i="2"/>
  <c r="B5" i="4"/>
  <c r="D5" i="4" s="1"/>
  <c r="B12" i="2"/>
  <c r="B13" i="2" s="1"/>
  <c r="A19" i="2" l="1"/>
  <c r="C13" i="2"/>
  <c r="B19" i="2" s="1"/>
  <c r="C19" i="2" s="1"/>
  <c r="D19" i="2" s="1"/>
  <c r="H28" i="5"/>
  <c r="I28" i="5" s="1"/>
  <c r="C13" i="4"/>
  <c r="D13" i="4" s="1"/>
  <c r="C6" i="7"/>
  <c r="D15" i="7" l="1"/>
  <c r="G15" i="7" s="1"/>
  <c r="F6" i="7"/>
  <c r="A22" i="7"/>
  <c r="A20" i="4"/>
  <c r="D16" i="7"/>
  <c r="C14" i="4"/>
  <c r="G16" i="7"/>
  <c r="B22" i="7" s="1"/>
  <c r="C22" i="7" l="1"/>
  <c r="D22" i="7" s="1"/>
  <c r="D14" i="4"/>
  <c r="B20" i="4" l="1"/>
  <c r="C20" i="4" s="1"/>
  <c r="D20" i="4" s="1"/>
  <c r="E2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Valker Antonio de Toledo Filho Toledo</author>
  </authors>
  <commentList>
    <comment ref="H110" authorId="0" shapeId="0" xr:uid="{E848E4E3-96E0-4374-9BEF-973987D5BF3A}">
      <text>
        <r>
          <rPr>
            <b/>
            <sz val="9"/>
            <color indexed="81"/>
            <rFont val="Segoe UI"/>
            <family val="2"/>
          </rPr>
          <t>Valker Antonio de Toledo Filho Toledo:</t>
        </r>
        <r>
          <rPr>
            <sz val="9"/>
            <color indexed="81"/>
            <rFont val="Segoe UI"/>
            <family val="2"/>
          </rPr>
          <t xml:space="preserve">
Meta escolhida para competição</t>
        </r>
      </text>
    </comment>
    <comment ref="H111" authorId="0" shapeId="0" xr:uid="{7BA434C5-E55D-4EF2-8AB6-32AE418EB259}">
      <text>
        <r>
          <rPr>
            <b/>
            <sz val="9"/>
            <color indexed="81"/>
            <rFont val="Segoe UI"/>
            <family val="2"/>
          </rPr>
          <t>Valker Antonio de Toledo Filho Toledo:</t>
        </r>
        <r>
          <rPr>
            <sz val="9"/>
            <color indexed="81"/>
            <rFont val="Segoe UI"/>
            <family val="2"/>
          </rPr>
          <t xml:space="preserve">
Meta resultante do método de cálculo</t>
        </r>
      </text>
    </comment>
  </commentList>
</comments>
</file>

<file path=xl/sharedStrings.xml><?xml version="1.0" encoding="utf-8"?>
<sst xmlns="http://schemas.openxmlformats.org/spreadsheetml/2006/main" count="1228" uniqueCount="222">
  <si>
    <t>Nota no APD</t>
  </si>
  <si>
    <t>Competição</t>
  </si>
  <si>
    <t>Máximo</t>
  </si>
  <si>
    <t>Nota obtida</t>
  </si>
  <si>
    <t>Colocação</t>
  </si>
  <si>
    <t>R17</t>
  </si>
  <si>
    <t>14º</t>
  </si>
  <si>
    <t>R19</t>
  </si>
  <si>
    <t>Análise de desempenho</t>
  </si>
  <si>
    <t>Pontuação</t>
  </si>
  <si>
    <t xml:space="preserve"> %</t>
  </si>
  <si>
    <t>Média</t>
  </si>
  <si>
    <t>Meta de pontuação</t>
  </si>
  <si>
    <t>Crescimento</t>
  </si>
  <si>
    <t>Percentual base</t>
  </si>
  <si>
    <t xml:space="preserve">Meta </t>
  </si>
  <si>
    <t>Pontos</t>
  </si>
  <si>
    <t>Nota no APD R19</t>
  </si>
  <si>
    <t>Quesito</t>
  </si>
  <si>
    <t>Apresentação</t>
  </si>
  <si>
    <t>5º</t>
  </si>
  <si>
    <t>Ergonomia</t>
  </si>
  <si>
    <t>22º</t>
  </si>
  <si>
    <t>Acessibilidade</t>
  </si>
  <si>
    <t>12º</t>
  </si>
  <si>
    <t>Esforços</t>
  </si>
  <si>
    <t>26º</t>
  </si>
  <si>
    <t>Ruídos/vibrações</t>
  </si>
  <si>
    <t>3º</t>
  </si>
  <si>
    <t>Comportamento</t>
  </si>
  <si>
    <t>21º</t>
  </si>
  <si>
    <t>Total</t>
  </si>
  <si>
    <t>18º</t>
  </si>
  <si>
    <t>%</t>
  </si>
  <si>
    <t>Apresentação de projeto</t>
  </si>
  <si>
    <t>Powertrain</t>
  </si>
  <si>
    <t>Eletrônica</t>
  </si>
  <si>
    <t>Freios</t>
  </si>
  <si>
    <t>Design</t>
  </si>
  <si>
    <t>Susp/dir</t>
  </si>
  <si>
    <t>Vendas</t>
  </si>
  <si>
    <t xml:space="preserve">Cálculo </t>
  </si>
  <si>
    <t>Gestão</t>
  </si>
  <si>
    <t>Dinâmica longitudinal</t>
  </si>
  <si>
    <t>R16</t>
  </si>
  <si>
    <t>-</t>
  </si>
  <si>
    <t>7º</t>
  </si>
  <si>
    <t>4º</t>
  </si>
  <si>
    <t>R20</t>
  </si>
  <si>
    <t xml:space="preserve">Histórico </t>
  </si>
  <si>
    <t>Apresentação de projeto 2016</t>
  </si>
  <si>
    <t>Equipe</t>
  </si>
  <si>
    <t>Susp/Dir</t>
  </si>
  <si>
    <t>Vendas/Mkt</t>
  </si>
  <si>
    <t>Calculo</t>
  </si>
  <si>
    <t>1º</t>
  </si>
  <si>
    <t>FEI</t>
  </si>
  <si>
    <t>2º</t>
  </si>
  <si>
    <t>UFMG</t>
  </si>
  <si>
    <t>EESC</t>
  </si>
  <si>
    <t>POLI</t>
  </si>
  <si>
    <t>UNICAMP</t>
  </si>
  <si>
    <t>Apresentação de projeto 2017</t>
  </si>
  <si>
    <t>PAC</t>
  </si>
  <si>
    <t>Apresentação de projeto 2018</t>
  </si>
  <si>
    <t>CEFAST</t>
  </si>
  <si>
    <t xml:space="preserve">KOMIKETO </t>
  </si>
  <si>
    <t>Apresentação de projeto 2019</t>
  </si>
  <si>
    <t>Dinâmica long</t>
  </si>
  <si>
    <t>Dinâmica vert/lat</t>
  </si>
  <si>
    <t>Cáclulo</t>
  </si>
  <si>
    <t>Apresentação de projeto 2020</t>
  </si>
  <si>
    <t>REPTILES</t>
  </si>
  <si>
    <t>Médias Top 5</t>
  </si>
  <si>
    <t>R18</t>
  </si>
  <si>
    <t>% do 1º</t>
  </si>
  <si>
    <t>Média R18</t>
  </si>
  <si>
    <t>Média N19</t>
  </si>
  <si>
    <t>Média R19</t>
  </si>
  <si>
    <t>Média N20</t>
  </si>
  <si>
    <t>Média R20</t>
  </si>
  <si>
    <t>Cálculo</t>
  </si>
  <si>
    <t>Projeto Geral</t>
  </si>
  <si>
    <t>APD</t>
  </si>
  <si>
    <t>Notas das Dinâmicas</t>
  </si>
  <si>
    <t>Aceleração</t>
  </si>
  <si>
    <t>Retomada</t>
  </si>
  <si>
    <t>Rampa lateral/slalom</t>
  </si>
  <si>
    <t>S&amp;T</t>
  </si>
  <si>
    <t>Lama</t>
  </si>
  <si>
    <t>17º</t>
  </si>
  <si>
    <t>10º</t>
  </si>
  <si>
    <t>Resultados dinâmicos</t>
  </si>
  <si>
    <t>Aceleração (s)</t>
  </si>
  <si>
    <t>Retomada (s)</t>
  </si>
  <si>
    <t>Rampa lateral/slalom (s)</t>
  </si>
  <si>
    <t>S&amp;T (s)</t>
  </si>
  <si>
    <t>Lama (m)</t>
  </si>
  <si>
    <t>16º</t>
  </si>
  <si>
    <t>6º</t>
  </si>
  <si>
    <t>8º</t>
  </si>
  <si>
    <t>Valores das Dinâmicas</t>
  </si>
  <si>
    <t xml:space="preserve">Aceleração </t>
  </si>
  <si>
    <t>Rampa lateral</t>
  </si>
  <si>
    <t xml:space="preserve">S&amp;T </t>
  </si>
  <si>
    <t>Enduro</t>
  </si>
  <si>
    <t>Voltas campeão</t>
  </si>
  <si>
    <t>Voltas PACBAJA</t>
  </si>
  <si>
    <t>Nota</t>
  </si>
  <si>
    <t>Geral</t>
  </si>
  <si>
    <t>Penalizações</t>
  </si>
  <si>
    <t>Projeto</t>
  </si>
  <si>
    <t>Dinâmicas</t>
  </si>
  <si>
    <t>R10</t>
  </si>
  <si>
    <t>20º</t>
  </si>
  <si>
    <t>15º</t>
  </si>
  <si>
    <t>Histórico</t>
  </si>
  <si>
    <t>Soma</t>
  </si>
  <si>
    <t>Resumo da pontuação por evento</t>
  </si>
  <si>
    <t>Avaliação de projeto</t>
  </si>
  <si>
    <t>Resultado R19</t>
  </si>
  <si>
    <t>Objetivo R21</t>
  </si>
  <si>
    <t>Avaliação de projeto dinâmico</t>
  </si>
  <si>
    <t>Apresentação de Projeto e Finais de projeto</t>
  </si>
  <si>
    <t>Eventos dinâmicos</t>
  </si>
  <si>
    <t>Objetivo R20</t>
  </si>
  <si>
    <t>Suspensão</t>
  </si>
  <si>
    <t>Manobrabilidade</t>
  </si>
  <si>
    <t>Enduro de resistência</t>
  </si>
  <si>
    <t>Prova de enduro</t>
  </si>
  <si>
    <t>Total geral</t>
  </si>
  <si>
    <t>Resumo da pontuação da apresentação de projeto</t>
  </si>
  <si>
    <t>Resumo da pontuação da apresentação de projeto dinâmico</t>
  </si>
  <si>
    <t>Banner</t>
  </si>
  <si>
    <t>Meta R21</t>
  </si>
  <si>
    <t>Ruídos e vibrações</t>
  </si>
  <si>
    <t>Pontuação final</t>
  </si>
  <si>
    <t>Análise histórica</t>
  </si>
  <si>
    <t>Campeão</t>
  </si>
  <si>
    <t>Pontos do 1º</t>
  </si>
  <si>
    <t>Segundo</t>
  </si>
  <si>
    <t>Pontos do 2º</t>
  </si>
  <si>
    <t>Terceiro</t>
  </si>
  <si>
    <t>Pontos do 3º</t>
  </si>
  <si>
    <t>Quarto</t>
  </si>
  <si>
    <t>Pontos do 4º</t>
  </si>
  <si>
    <t>Quinto</t>
  </si>
  <si>
    <t>Pontos do 5º</t>
  </si>
  <si>
    <t>Sexto</t>
  </si>
  <si>
    <t>Pontos do 6º</t>
  </si>
  <si>
    <t>Sétimo</t>
  </si>
  <si>
    <t>Pontos do 7º</t>
  </si>
  <si>
    <t>Oitavo</t>
  </si>
  <si>
    <t>Pontos do 8º</t>
  </si>
  <si>
    <t>GUARÁ</t>
  </si>
  <si>
    <t>UNB</t>
  </si>
  <si>
    <t>VITORIA</t>
  </si>
  <si>
    <t>KOMIKETO</t>
  </si>
  <si>
    <t>TEC ILHA</t>
  </si>
  <si>
    <t>ZEBU</t>
  </si>
  <si>
    <t>SACI</t>
  </si>
  <si>
    <t>ITA</t>
  </si>
  <si>
    <t>MUD RUNNER</t>
  </si>
  <si>
    <t>UFSCAR</t>
  </si>
  <si>
    <t xml:space="preserve">FORJA </t>
  </si>
  <si>
    <t>PERERECAS</t>
  </si>
  <si>
    <t xml:space="preserve">Porcentagem de pontos do primeiro colocado </t>
  </si>
  <si>
    <t>%(2º/1º)</t>
  </si>
  <si>
    <t>%(3º/1º)</t>
  </si>
  <si>
    <t>%(4º/1º)</t>
  </si>
  <si>
    <t>%(5º/1º)</t>
  </si>
  <si>
    <t>%(6º/1º)</t>
  </si>
  <si>
    <t>%(7º/1º)</t>
  </si>
  <si>
    <t>%(8º/1º)</t>
  </si>
  <si>
    <t>Títulos</t>
  </si>
  <si>
    <t>Vices</t>
  </si>
  <si>
    <t>Análise histórica Regional Nordeste</t>
  </si>
  <si>
    <t>CAR-KARÁ</t>
  </si>
  <si>
    <t>UFC</t>
  </si>
  <si>
    <t>UFBA</t>
  </si>
  <si>
    <t>MANGUE</t>
  </si>
  <si>
    <t>UFPB</t>
  </si>
  <si>
    <t>CORISCO</t>
  </si>
  <si>
    <t>IFPB</t>
  </si>
  <si>
    <t>BAAJATINGA</t>
  </si>
  <si>
    <t>UFCG</t>
  </si>
  <si>
    <t xml:space="preserve">CORISCO </t>
  </si>
  <si>
    <t>CACTUS</t>
  </si>
  <si>
    <t>IFPI</t>
  </si>
  <si>
    <t>IFPE</t>
  </si>
  <si>
    <t>CARAUBAJA</t>
  </si>
  <si>
    <t>MANDACARU</t>
  </si>
  <si>
    <t>Análise histórica Regional Sul</t>
  </si>
  <si>
    <t>CEFET</t>
  </si>
  <si>
    <t>UFSC</t>
  </si>
  <si>
    <t>UPF</t>
  </si>
  <si>
    <t>UFRGS</t>
  </si>
  <si>
    <t>PUC</t>
  </si>
  <si>
    <t>ULB</t>
  </si>
  <si>
    <t>UCS</t>
  </si>
  <si>
    <t>UDESC</t>
  </si>
  <si>
    <t>URNERS</t>
  </si>
  <si>
    <t>TCHE</t>
  </si>
  <si>
    <t>BOMBAJA</t>
  </si>
  <si>
    <t>FAHOR</t>
  </si>
  <si>
    <t>TUPY</t>
  </si>
  <si>
    <t>URJ</t>
  </si>
  <si>
    <t xml:space="preserve">BOMBAJA </t>
  </si>
  <si>
    <t>URI</t>
  </si>
  <si>
    <t>UTFPR</t>
  </si>
  <si>
    <t>UEOP</t>
  </si>
  <si>
    <t>UNIOESTE</t>
  </si>
  <si>
    <t>UFPR</t>
  </si>
  <si>
    <t>SATC</t>
  </si>
  <si>
    <t>GALPÃO</t>
  </si>
  <si>
    <t>UNIVATES</t>
  </si>
  <si>
    <t>UFRG</t>
  </si>
  <si>
    <t>PATO</t>
  </si>
  <si>
    <t>Regional</t>
  </si>
  <si>
    <t>Sudeste</t>
  </si>
  <si>
    <t>Sul</t>
  </si>
  <si>
    <t>Nordeste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</si>
</sst>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5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1" fillId="5" borderId="0" xfId="0" applyFont="1" applyFill="1" applyBorder="1" applyAlignment="1">
      <alignment vertical="center" wrapText="1"/>
    </xf>
    <xf numFmtId="2" fontId="0" fillId="5" borderId="0" xfId="0" applyNumberFormat="1" applyFill="1" applyBorder="1" applyAlignment="1">
      <alignment horizontal="center"/>
    </xf>
    <xf numFmtId="0" fontId="0" fillId="5" borderId="0" xfId="0" applyFill="1" applyBorder="1"/>
    <xf numFmtId="0" fontId="0" fillId="3" borderId="4" xfId="0" applyFill="1" applyBorder="1" applyAlignment="1">
      <alignment horizontal="center"/>
    </xf>
    <xf numFmtId="0" fontId="1" fillId="5" borderId="0" xfId="0" applyFont="1" applyFill="1" applyBorder="1" applyAlignment="1">
      <alignment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10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3" fillId="3" borderId="6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13" xfId="0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3" fillId="4" borderId="14" xfId="0" applyFont="1" applyFill="1" applyBorder="1"/>
    <xf numFmtId="2" fontId="3" fillId="4" borderId="13" xfId="0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vertical="center"/>
    </xf>
    <xf numFmtId="0" fontId="0" fillId="12" borderId="14" xfId="0" applyFill="1" applyBorder="1"/>
    <xf numFmtId="0" fontId="0" fillId="12" borderId="13" xfId="0" applyFill="1" applyBorder="1" applyAlignment="1">
      <alignment horizontal="center"/>
    </xf>
    <xf numFmtId="0" fontId="3" fillId="12" borderId="14" xfId="0" applyFont="1" applyFill="1" applyBorder="1"/>
    <xf numFmtId="0" fontId="3" fillId="12" borderId="13" xfId="0" applyFont="1" applyFill="1" applyBorder="1" applyAlignment="1">
      <alignment horizontal="center"/>
    </xf>
    <xf numFmtId="0" fontId="0" fillId="13" borderId="14" xfId="0" applyFill="1" applyBorder="1"/>
    <xf numFmtId="0" fontId="0" fillId="13" borderId="13" xfId="0" applyFill="1" applyBorder="1" applyAlignment="1">
      <alignment horizontal="center"/>
    </xf>
    <xf numFmtId="0" fontId="3" fillId="12" borderId="8" xfId="0" applyFont="1" applyFill="1" applyBorder="1"/>
    <xf numFmtId="0" fontId="3" fillId="12" borderId="4" xfId="0" applyFont="1" applyFill="1" applyBorder="1" applyAlignment="1">
      <alignment horizontal="center"/>
    </xf>
    <xf numFmtId="2" fontId="3" fillId="12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2" fontId="3" fillId="8" borderId="1" xfId="0" applyNumberFormat="1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14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32</xdr:row>
      <xdr:rowOff>142876</xdr:rowOff>
    </xdr:from>
    <xdr:to>
      <xdr:col>14</xdr:col>
      <xdr:colOff>561975</xdr:colOff>
      <xdr:row>34</xdr:row>
      <xdr:rowOff>28576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AA6A199-E57F-4FF6-B3B2-B6E7C1C8DC89}"/>
            </a:ext>
          </a:extLst>
        </xdr:cNvPr>
        <xdr:cNvSpPr/>
      </xdr:nvSpPr>
      <xdr:spPr>
        <a:xfrm>
          <a:off x="4324350" y="5762626"/>
          <a:ext cx="5857875" cy="266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ysClr val="windowText" lastClr="000000"/>
              </a:solidFill>
            </a:rPr>
            <a:t>APD: </a:t>
          </a:r>
          <a:r>
            <a:rPr lang="pt-BR" sz="1100" b="0" baseline="0">
              <a:solidFill>
                <a:sysClr val="windowText" lastClr="000000"/>
              </a:solidFill>
            </a:rPr>
            <a:t>Nesta competição, participaram 27 equipes do APD. A maior nota foi 26,7 e a menor 12,23.</a:t>
          </a: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95250</xdr:colOff>
      <xdr:row>33</xdr:row>
      <xdr:rowOff>85725</xdr:rowOff>
    </xdr:from>
    <xdr:to>
      <xdr:col>5</xdr:col>
      <xdr:colOff>171448</xdr:colOff>
      <xdr:row>33</xdr:row>
      <xdr:rowOff>85725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7CD10FF6-0FE3-4001-B891-6404C17435DD}"/>
            </a:ext>
          </a:extLst>
        </xdr:cNvPr>
        <xdr:cNvCxnSpPr/>
      </xdr:nvCxnSpPr>
      <xdr:spPr>
        <a:xfrm flipH="1">
          <a:off x="3619500" y="5895975"/>
          <a:ext cx="68579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114302</xdr:colOff>
      <xdr:row>74</xdr:row>
      <xdr:rowOff>104775</xdr:rowOff>
    </xdr:from>
    <xdr:to>
      <xdr:col>9</xdr:col>
      <xdr:colOff>66675</xdr:colOff>
      <xdr:row>74</xdr:row>
      <xdr:rowOff>104775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5917CEDC-A45D-4131-BDB5-E496483F2E8C}"/>
            </a:ext>
          </a:extLst>
        </xdr:cNvPr>
        <xdr:cNvCxnSpPr/>
      </xdr:nvCxnSpPr>
      <xdr:spPr>
        <a:xfrm flipH="1">
          <a:off x="7134227" y="14487525"/>
          <a:ext cx="4476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73</xdr:row>
      <xdr:rowOff>85725</xdr:rowOff>
    </xdr:from>
    <xdr:to>
      <xdr:col>13</xdr:col>
      <xdr:colOff>581025</xdr:colOff>
      <xdr:row>76</xdr:row>
      <xdr:rowOff>0</xdr:rowOff>
    </xdr:to>
    <xdr:sp macro="" textlink="">
      <xdr:nvSpPr>
        <xdr:cNvPr id="8" name="Retângulo 7" title="5">
          <a:extLst>
            <a:ext uri="{FF2B5EF4-FFF2-40B4-BE49-F238E27FC236}">
              <a16:creationId xmlns:a16="http://schemas.microsoft.com/office/drawing/2014/main" id="{F266E25A-9B52-4FA2-A24D-B24CE10248AF}"/>
            </a:ext>
            <a:ext uri="{147F2762-F138-4A5C-976F-8EAC2B608ADB}">
              <a16:predDERef xmlns:a16="http://schemas.microsoft.com/office/drawing/2014/main" pred="{5917CEDC-A45D-4131-BDB5-E496483F2E8C}"/>
            </a:ext>
          </a:extLst>
        </xdr:cNvPr>
        <xdr:cNvSpPr/>
      </xdr:nvSpPr>
      <xdr:spPr>
        <a:xfrm>
          <a:off x="7705725" y="14277975"/>
          <a:ext cx="3790950" cy="4857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ysClr val="windowText" lastClr="000000"/>
              </a:solidFill>
            </a:rPr>
            <a:t>Apresentação: </a:t>
          </a:r>
          <a:r>
            <a:rPr lang="pt-BR" sz="1100" b="0" baseline="0">
              <a:solidFill>
                <a:sysClr val="windowText" lastClr="000000"/>
              </a:solidFill>
            </a:rPr>
            <a:t>Nossa meta para o R20 é obter o Top 3, fazendo 93,08% dos pontos do primeiro.</a:t>
          </a: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19050</xdr:colOff>
      <xdr:row>92</xdr:row>
      <xdr:rowOff>180974</xdr:rowOff>
    </xdr:from>
    <xdr:to>
      <xdr:col>3</xdr:col>
      <xdr:colOff>885825</xdr:colOff>
      <xdr:row>102</xdr:row>
      <xdr:rowOff>133350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C6BC9DD4-1607-4495-B52A-600321146281}"/>
            </a:ext>
          </a:extLst>
        </xdr:cNvPr>
        <xdr:cNvSpPr/>
      </xdr:nvSpPr>
      <xdr:spPr>
        <a:xfrm>
          <a:off x="1847850" y="16230599"/>
          <a:ext cx="1771650" cy="18573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ysClr val="windowText" lastClr="000000"/>
              </a:solidFill>
            </a:rPr>
            <a:t>Apresentação 2017: </a:t>
          </a:r>
          <a:r>
            <a:rPr lang="pt-BR" sz="1100" b="0" baseline="0">
              <a:solidFill>
                <a:sysClr val="windowText" lastClr="000000"/>
              </a:solidFill>
            </a:rPr>
            <a:t>Colocações: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Powertrain - 3º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Eletrônica - 9º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Freios - 3º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Design - 2º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Susp/dir - 8º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Vendas - 2º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Cálculo - 6º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Gestão - 3º</a:t>
          </a:r>
          <a:br>
            <a:rPr lang="pt-BR" sz="1100" b="0" baseline="0">
              <a:solidFill>
                <a:sysClr val="windowText" lastClr="000000"/>
              </a:solidFill>
            </a:rPr>
          </a:b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971550</xdr:colOff>
      <xdr:row>92</xdr:row>
      <xdr:rowOff>180974</xdr:rowOff>
    </xdr:from>
    <xdr:to>
      <xdr:col>5</xdr:col>
      <xdr:colOff>933450</xdr:colOff>
      <xdr:row>101</xdr:row>
      <xdr:rowOff>114299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C038575-757E-4B20-AB60-C2F3F2A3CFFF}"/>
            </a:ext>
          </a:extLst>
        </xdr:cNvPr>
        <xdr:cNvSpPr/>
      </xdr:nvSpPr>
      <xdr:spPr>
        <a:xfrm>
          <a:off x="3705225" y="16230599"/>
          <a:ext cx="1866900" cy="16478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ysClr val="windowText" lastClr="000000"/>
              </a:solidFill>
            </a:rPr>
            <a:t>Apresentação 2019: </a:t>
          </a:r>
          <a:r>
            <a:rPr lang="pt-BR" sz="1100" b="0" baseline="0">
              <a:solidFill>
                <a:sysClr val="windowText" lastClr="000000"/>
              </a:solidFill>
            </a:rPr>
            <a:t>Colocações: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Dinâmica longitudinal- 5º</a:t>
          </a:r>
          <a:b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Dinâmica vert/lat - 5º</a:t>
          </a:r>
          <a:b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Eletrônica - 6º</a:t>
          </a:r>
          <a:b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Cálculo - 6º</a:t>
          </a:r>
          <a:b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Gestão - 11º</a:t>
          </a:r>
          <a:b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Vendas - 1º</a:t>
          </a:r>
          <a:b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92</xdr:row>
      <xdr:rowOff>180974</xdr:rowOff>
    </xdr:from>
    <xdr:to>
      <xdr:col>1</xdr:col>
      <xdr:colOff>962025</xdr:colOff>
      <xdr:row>102</xdr:row>
      <xdr:rowOff>133349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07665B3-3D92-4615-86CD-D888A5ED044F}"/>
            </a:ext>
          </a:extLst>
        </xdr:cNvPr>
        <xdr:cNvSpPr/>
      </xdr:nvSpPr>
      <xdr:spPr>
        <a:xfrm>
          <a:off x="0" y="16230599"/>
          <a:ext cx="1771650" cy="1857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ysClr val="windowText" lastClr="000000"/>
              </a:solidFill>
            </a:rPr>
            <a:t>Apresentação 2016: </a:t>
          </a:r>
          <a:r>
            <a:rPr lang="pt-BR" sz="1100" b="0" baseline="0">
              <a:solidFill>
                <a:sysClr val="windowText" lastClr="000000"/>
              </a:solidFill>
            </a:rPr>
            <a:t>Colocações: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Powertrain - 7º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Eletrônica - 18º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Freios - 12º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Design - 6º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Susp/dir - 19º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Vendas - 5º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Cálculo - 7º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Gestão - 1º</a:t>
          </a:r>
          <a:br>
            <a:rPr lang="pt-BR" sz="1100" b="0" baseline="0">
              <a:solidFill>
                <a:sysClr val="windowText" lastClr="000000"/>
              </a:solidFill>
            </a:rPr>
          </a:b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971552</xdr:colOff>
      <xdr:row>82</xdr:row>
      <xdr:rowOff>142875</xdr:rowOff>
    </xdr:from>
    <xdr:to>
      <xdr:col>6</xdr:col>
      <xdr:colOff>400050</xdr:colOff>
      <xdr:row>82</xdr:row>
      <xdr:rowOff>142875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64DDCD7E-EBC4-4C9F-A63B-B3BB15A1B1D5}"/>
            </a:ext>
            <a:ext uri="{147F2762-F138-4A5C-976F-8EAC2B608ADB}">
              <a16:predDERef xmlns:a16="http://schemas.microsoft.com/office/drawing/2014/main" pred="{907665B3-3D92-4615-86CD-D888A5ED044F}"/>
            </a:ext>
          </a:extLst>
        </xdr:cNvPr>
        <xdr:cNvCxnSpPr/>
      </xdr:nvCxnSpPr>
      <xdr:spPr>
        <a:xfrm flipH="1">
          <a:off x="5610227" y="16049625"/>
          <a:ext cx="4476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514351</xdr:colOff>
      <xdr:row>80</xdr:row>
      <xdr:rowOff>171449</xdr:rowOff>
    </xdr:from>
    <xdr:to>
      <xdr:col>11</xdr:col>
      <xdr:colOff>390525</xdr:colOff>
      <xdr:row>84</xdr:row>
      <xdr:rowOff>47624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430EC01-8E30-4533-83B4-73547D49B6FD}"/>
            </a:ext>
            <a:ext uri="{147F2762-F138-4A5C-976F-8EAC2B608ADB}">
              <a16:predDERef xmlns:a16="http://schemas.microsoft.com/office/drawing/2014/main" pred="{64DDCD7E-EBC4-4C9F-A63B-B3BB15A1B1D5}"/>
            </a:ext>
          </a:extLst>
        </xdr:cNvPr>
        <xdr:cNvSpPr/>
      </xdr:nvSpPr>
      <xdr:spPr>
        <a:xfrm>
          <a:off x="6172201" y="15697199"/>
          <a:ext cx="3790949" cy="6381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ysClr val="windowText" lastClr="000000"/>
              </a:solidFill>
            </a:rPr>
            <a:t>Apresentação: </a:t>
          </a:r>
          <a:r>
            <a:rPr lang="pt-BR" sz="1100" b="0" baseline="0">
              <a:solidFill>
                <a:sysClr val="windowText" lastClr="000000"/>
              </a:solidFill>
            </a:rPr>
            <a:t>Aqui encontram-se as médias dos nossos 3 principais adversários quanto ao Top 3 (as 4 equipes do Sudeste nas finais de projeto tanto em 2019 quanto 2020)</a:t>
          </a: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47625</xdr:rowOff>
    </xdr:from>
    <xdr:to>
      <xdr:col>19</xdr:col>
      <xdr:colOff>76200</xdr:colOff>
      <xdr:row>6</xdr:row>
      <xdr:rowOff>123825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6EC0D55-A08E-4ACE-AADE-A0B8A026352F}"/>
            </a:ext>
          </a:extLst>
        </xdr:cNvPr>
        <xdr:cNvSpPr/>
      </xdr:nvSpPr>
      <xdr:spPr>
        <a:xfrm>
          <a:off x="8953500" y="619125"/>
          <a:ext cx="5334000" cy="647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ysClr val="windowText" lastClr="000000"/>
              </a:solidFill>
            </a:rPr>
            <a:t>Dinâmicas: </a:t>
          </a:r>
          <a:r>
            <a:rPr lang="pt-BR" sz="1100" b="0" baseline="0">
              <a:solidFill>
                <a:sysClr val="windowText" lastClr="000000"/>
              </a:solidFill>
            </a:rPr>
            <a:t>Em 2017, participaram 14 equipes das dinâmicas. Sendo que das 10 equipes que fizeram todas as dinâmicas.</a:t>
          </a:r>
          <a:br>
            <a:rPr lang="pt-BR" sz="1100" b="1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Em 2019, participaram 25 equipes das dinâmicas.</a:t>
          </a:r>
          <a:br>
            <a:rPr lang="pt-BR" sz="1100" b="0" baseline="0">
              <a:solidFill>
                <a:sysClr val="windowText" lastClr="000000"/>
              </a:solidFill>
            </a:rPr>
          </a:b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66675</xdr:colOff>
      <xdr:row>5</xdr:row>
      <xdr:rowOff>85725</xdr:rowOff>
    </xdr:from>
    <xdr:to>
      <xdr:col>10</xdr:col>
      <xdr:colOff>142873</xdr:colOff>
      <xdr:row>5</xdr:row>
      <xdr:rowOff>85725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B9DD9A6D-0542-486B-A99C-0D16B8D04F56}"/>
            </a:ext>
          </a:extLst>
        </xdr:cNvPr>
        <xdr:cNvCxnSpPr/>
      </xdr:nvCxnSpPr>
      <xdr:spPr>
        <a:xfrm flipH="1">
          <a:off x="8181975" y="1038225"/>
          <a:ext cx="68579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390526</xdr:colOff>
      <xdr:row>3</xdr:row>
      <xdr:rowOff>123824</xdr:rowOff>
    </xdr:from>
    <xdr:to>
      <xdr:col>13</xdr:col>
      <xdr:colOff>142876</xdr:colOff>
      <xdr:row>6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C8CB37F-B6FA-4E3F-9D82-14AA9E61C2C5}"/>
            </a:ext>
          </a:extLst>
        </xdr:cNvPr>
        <xdr:cNvSpPr/>
      </xdr:nvSpPr>
      <xdr:spPr>
        <a:xfrm>
          <a:off x="6229351" y="742949"/>
          <a:ext cx="2800350" cy="45720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ysClr val="windowText" lastClr="000000"/>
              </a:solidFill>
            </a:rPr>
            <a:t>Enduro: </a:t>
          </a:r>
          <a:r>
            <a:rPr lang="pt-BR" sz="1100" b="0" baseline="0">
              <a:solidFill>
                <a:sysClr val="windowText" lastClr="000000"/>
              </a:solidFill>
            </a:rPr>
            <a:t>Em 2017, participaram 24 equipes.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Em 2019, participaram 26 equipes. </a:t>
          </a: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171450</xdr:colOff>
      <xdr:row>4</xdr:row>
      <xdr:rowOff>161925</xdr:rowOff>
    </xdr:from>
    <xdr:to>
      <xdr:col>8</xdr:col>
      <xdr:colOff>323850</xdr:colOff>
      <xdr:row>4</xdr:row>
      <xdr:rowOff>161925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8E8A6248-0A8A-43C0-B4B4-1C9942765EDA}"/>
            </a:ext>
          </a:extLst>
        </xdr:cNvPr>
        <xdr:cNvCxnSpPr/>
      </xdr:nvCxnSpPr>
      <xdr:spPr>
        <a:xfrm flipH="1">
          <a:off x="4181475" y="590550"/>
          <a:ext cx="1981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28575</xdr:colOff>
      <xdr:row>27</xdr:row>
      <xdr:rowOff>66676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48E7F24-4DA0-444C-B0DD-4A596A71AEBA}"/>
            </a:ext>
          </a:extLst>
        </xdr:cNvPr>
        <xdr:cNvSpPr/>
      </xdr:nvSpPr>
      <xdr:spPr>
        <a:xfrm>
          <a:off x="0" y="4619625"/>
          <a:ext cx="4562475" cy="6381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ysClr val="windowText" lastClr="000000"/>
              </a:solidFill>
            </a:rPr>
            <a:t>Meta de colocação: </a:t>
          </a:r>
          <a:r>
            <a:rPr lang="pt-BR" sz="1100" b="0" baseline="0">
              <a:solidFill>
                <a:sysClr val="windowText" lastClr="000000"/>
              </a:solidFill>
            </a:rPr>
            <a:t>A partir das análises existentes na aba "Extras", nota-se que para atingir o Top 5 que é a meta da equipe são necessários 73,8% dos pontos do primeiro colocado, o que é equivalente a 628,26 pontos.</a:t>
          </a: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0</xdr:rowOff>
    </xdr:from>
    <xdr:to>
      <xdr:col>16</xdr:col>
      <xdr:colOff>542925</xdr:colOff>
      <xdr:row>4</xdr:row>
      <xdr:rowOff>28575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A3D9E94-9886-42C5-BC87-EA5789100083}"/>
            </a:ext>
          </a:extLst>
        </xdr:cNvPr>
        <xdr:cNvSpPr/>
      </xdr:nvSpPr>
      <xdr:spPr>
        <a:xfrm>
          <a:off x="5486400" y="0"/>
          <a:ext cx="8543925" cy="838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Avaliação</a:t>
          </a:r>
          <a:r>
            <a:rPr lang="pt-BR" sz="1100" b="1" baseline="0">
              <a:solidFill>
                <a:sysClr val="windowText" lastClr="000000"/>
              </a:solidFill>
            </a:rPr>
            <a:t> de projeto</a:t>
          </a:r>
          <a:r>
            <a:rPr lang="pt-BR" sz="1100" b="1">
              <a:solidFill>
                <a:sysClr val="windowText" lastClr="000000"/>
              </a:solidFill>
            </a:rPr>
            <a:t>:</a:t>
          </a:r>
          <a:r>
            <a:rPr lang="pt-BR" sz="1100" b="1" baseline="0">
              <a:solidFill>
                <a:sysClr val="windowText" lastClr="000000"/>
              </a:solidFill>
            </a:rPr>
            <a:t> </a:t>
          </a:r>
          <a:r>
            <a:rPr lang="pt-BR" sz="1100" b="0" baseline="0">
              <a:solidFill>
                <a:sysClr val="windowText" lastClr="000000"/>
              </a:solidFill>
            </a:rPr>
            <a:t>O cálculo desta área foi feito utilizando como base, o resultado de APD obtido pela equipe em sua competição, que foi de 13,23 (66,15%), a qual porcentagem foi utilizada para calcular em relação aos 30 pontos totais de APD, resultando em 20 pontos.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Quanto as apresentações de projeto, a meta da equipe é manter o resultado do último nacional e ficar como a terceira melhor equipe do Sudeste nessa etapa, logo para atingir tal objetivo foi calculada a média necessária nas apresentações, a qual foi de 7,5, equivalentes a 202,5 pontos.</a:t>
          </a:r>
          <a:endParaRPr lang="pt-BR" sz="1100" baseline="0">
            <a:solidFill>
              <a:sysClr val="windowText" lastClr="000000"/>
            </a:solidFill>
          </a:endParaRPr>
        </a:p>
        <a:p>
          <a:pPr algn="l"/>
          <a:endParaRPr lang="pt-BR" sz="1100" baseline="0">
            <a:solidFill>
              <a:sysClr val="windowText" lastClr="000000"/>
            </a:solidFill>
          </a:endParaRPr>
        </a:p>
        <a:p>
          <a:pPr algn="ctr"/>
          <a:endParaRPr lang="pt-BR" sz="11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533400</xdr:colOff>
      <xdr:row>4</xdr:row>
      <xdr:rowOff>85725</xdr:rowOff>
    </xdr:from>
    <xdr:to>
      <xdr:col>16</xdr:col>
      <xdr:colOff>542925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8F67770-A517-4AF6-9480-8AA81F2DF3DF}"/>
            </a:ext>
          </a:extLst>
        </xdr:cNvPr>
        <xdr:cNvSpPr/>
      </xdr:nvSpPr>
      <xdr:spPr>
        <a:xfrm>
          <a:off x="5486400" y="895350"/>
          <a:ext cx="8543925" cy="1123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Eventos dinâmicos:</a:t>
          </a:r>
          <a:r>
            <a:rPr lang="pt-BR" sz="1100" b="1" baseline="0">
              <a:solidFill>
                <a:sysClr val="windowText" lastClr="000000"/>
              </a:solidFill>
            </a:rPr>
            <a:t> </a:t>
          </a:r>
          <a:r>
            <a:rPr lang="pt-BR" sz="1100" b="0" baseline="0">
              <a:solidFill>
                <a:sysClr val="windowText" lastClr="000000"/>
              </a:solidFill>
            </a:rPr>
            <a:t>Para a pontuação das dinâmicas, devido a recente realização das duas primeiras e não participação das duas últimas na competição de 2019, foi adotada a porcentagem de desempenho dinâmicos feita para o Nacional 2021.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Aceleração: 25/45 (55,55%) = 36 pontos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Retomada: 25/45 (55,55%) = 36 pontos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Suspensão: 40/70 (57,14%) = 57 pontos</a:t>
          </a:r>
          <a:br>
            <a:rPr lang="pt-BR" sz="1100" b="0" baseline="0">
              <a:solidFill>
                <a:sysClr val="windowText" lastClr="000000"/>
              </a:solidFill>
            </a:rPr>
          </a:br>
          <a:r>
            <a:rPr lang="pt-BR" sz="1100" b="0" baseline="0">
              <a:solidFill>
                <a:sysClr val="windowText" lastClr="000000"/>
              </a:solidFill>
            </a:rPr>
            <a:t>Manobrabilidade: 30/45 (66,66%) = 47 pontos</a:t>
          </a:r>
          <a:endParaRPr lang="pt-BR" sz="11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523875</xdr:colOff>
      <xdr:row>10</xdr:row>
      <xdr:rowOff>133350</xdr:rowOff>
    </xdr:from>
    <xdr:to>
      <xdr:col>16</xdr:col>
      <xdr:colOff>552450</xdr:colOff>
      <xdr:row>12</xdr:row>
      <xdr:rowOff>57150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72F267A-1164-49C4-B934-BE188DB2E278}"/>
            </a:ext>
          </a:extLst>
        </xdr:cNvPr>
        <xdr:cNvSpPr/>
      </xdr:nvSpPr>
      <xdr:spPr>
        <a:xfrm>
          <a:off x="5476875" y="2085975"/>
          <a:ext cx="8562975" cy="304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Enduro</a:t>
          </a:r>
          <a:r>
            <a:rPr lang="pt-BR" sz="1100" b="1" baseline="0">
              <a:solidFill>
                <a:sysClr val="windowText" lastClr="000000"/>
              </a:solidFill>
            </a:rPr>
            <a:t> de resistência</a:t>
          </a:r>
          <a:r>
            <a:rPr lang="pt-BR" sz="1100" b="1">
              <a:solidFill>
                <a:sysClr val="windowText" lastClr="000000"/>
              </a:solidFill>
            </a:rPr>
            <a:t>:</a:t>
          </a:r>
          <a:r>
            <a:rPr lang="pt-BR" sz="1100" b="1" baseline="0">
              <a:solidFill>
                <a:sysClr val="windowText" lastClr="000000"/>
              </a:solidFill>
            </a:rPr>
            <a:t> </a:t>
          </a:r>
          <a:r>
            <a:rPr lang="pt-BR" sz="1100" b="0" baseline="0">
              <a:solidFill>
                <a:sysClr val="windowText" lastClr="000000"/>
              </a:solidFill>
            </a:rPr>
            <a:t>Para a meta de enduro foi utilizada a última pontuação da equipe nessa etapa em competições.</a:t>
          </a:r>
          <a:br>
            <a:rPr lang="pt-BR" sz="1100" baseline="0">
              <a:solidFill>
                <a:sysClr val="windowText" lastClr="000000"/>
              </a:solidFill>
            </a:rPr>
          </a:br>
          <a:br>
            <a:rPr lang="pt-BR" sz="1100" baseline="0">
              <a:solidFill>
                <a:sysClr val="windowText" lastClr="000000"/>
              </a:solidFill>
            </a:rPr>
          </a:br>
          <a:endParaRPr lang="pt-BR" sz="11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514351</xdr:colOff>
      <xdr:row>12</xdr:row>
      <xdr:rowOff>123825</xdr:rowOff>
    </xdr:from>
    <xdr:to>
      <xdr:col>16</xdr:col>
      <xdr:colOff>571501</xdr:colOff>
      <xdr:row>19</xdr:row>
      <xdr:rowOff>76200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B35DA50-12DA-4C27-AB80-6E81A237EA02}"/>
            </a:ext>
          </a:extLst>
        </xdr:cNvPr>
        <xdr:cNvSpPr/>
      </xdr:nvSpPr>
      <xdr:spPr>
        <a:xfrm>
          <a:off x="5467351" y="2457450"/>
          <a:ext cx="8591550" cy="1285875"/>
        </a:xfrm>
        <a:prstGeom prst="rect">
          <a:avLst/>
        </a:prstGeom>
        <a:solidFill>
          <a:schemeClr val="accent2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Competição Regional</a:t>
          </a:r>
          <a:r>
            <a:rPr lang="pt-BR" sz="1100" b="1" baseline="0">
              <a:solidFill>
                <a:sysClr val="windowText" lastClr="000000"/>
              </a:solidFill>
            </a:rPr>
            <a:t> Sudeste SAE Brasil</a:t>
          </a:r>
          <a:r>
            <a:rPr lang="pt-BR" sz="1100" b="1">
              <a:solidFill>
                <a:sysClr val="windowText" lastClr="000000"/>
              </a:solidFill>
            </a:rPr>
            <a:t>:</a:t>
          </a:r>
          <a:r>
            <a:rPr lang="pt-BR" sz="1100" b="1" baseline="0">
              <a:solidFill>
                <a:sysClr val="windowText" lastClr="000000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analisando as últimas dez competições BAJA Nacional SAE, a pontuação máxima das competição foi 1000 pontos, e o primeiro colocado na prova conquistou em média 85% deles. </a:t>
          </a:r>
          <a:br>
            <a:rPr lang="pt-BR" sz="1100" baseline="0">
              <a:solidFill>
                <a:sysClr val="windowText" lastClr="000000"/>
              </a:solidFill>
            </a:rPr>
          </a:br>
          <a:br>
            <a:rPr lang="pt-BR" sz="1100" baseline="0">
              <a:solidFill>
                <a:sysClr val="windowText" lastClr="000000"/>
              </a:solidFill>
            </a:rPr>
          </a:br>
          <a:r>
            <a:rPr lang="pt-BR" sz="1100" baseline="0">
              <a:solidFill>
                <a:sysClr val="windowText" lastClr="000000"/>
              </a:solidFill>
            </a:rPr>
            <a:t>O objetivo estratégico da equipe PAC Baja é atingir ao menos 78,74% dos pontos do primeiro colocado na competição, logo, como estimativa, pode se definir que será necessário obter 670,5 pontos nesta etapa, de acordo com o seguinte raciocínio:</a:t>
          </a:r>
        </a:p>
        <a:p>
          <a:pPr algn="l"/>
          <a:endParaRPr lang="pt-BR" sz="1100" baseline="0">
            <a:solidFill>
              <a:sysClr val="windowText" lastClr="000000"/>
            </a:solidFill>
          </a:endParaRPr>
        </a:p>
        <a:p>
          <a:pPr algn="ctr"/>
          <a:r>
            <a:rPr lang="pt-BR" sz="1100" i="1" baseline="0">
              <a:solidFill>
                <a:sysClr val="windowText" lastClr="000000"/>
              </a:solidFill>
            </a:rPr>
            <a:t>1000 (total de pontos possíveis) * 0,85 (% que o primeiro colocado atingirá) * 0,787 (% que a PAC Baja deve atingir) </a:t>
          </a:r>
          <a:r>
            <a:rPr lang="pt-BR" sz="1100" b="1" i="1" baseline="0">
              <a:solidFill>
                <a:sysClr val="windowText" lastClr="000000"/>
              </a:solidFill>
            </a:rPr>
            <a:t>= 670,5</a:t>
          </a:r>
          <a:endParaRPr lang="pt-BR" sz="11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76202</xdr:colOff>
      <xdr:row>1</xdr:row>
      <xdr:rowOff>228600</xdr:rowOff>
    </xdr:from>
    <xdr:to>
      <xdr:col>3</xdr:col>
      <xdr:colOff>533400</xdr:colOff>
      <xdr:row>4</xdr:row>
      <xdr:rowOff>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B7E20B60-9289-4089-A2DC-E4DE10E52CBE}"/>
            </a:ext>
          </a:extLst>
        </xdr:cNvPr>
        <xdr:cNvCxnSpPr>
          <a:stCxn id="2" idx="1"/>
        </xdr:cNvCxnSpPr>
      </xdr:nvCxnSpPr>
      <xdr:spPr>
        <a:xfrm flipH="1">
          <a:off x="5029202" y="419100"/>
          <a:ext cx="457198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19052</xdr:colOff>
      <xdr:row>7</xdr:row>
      <xdr:rowOff>76200</xdr:rowOff>
    </xdr:from>
    <xdr:to>
      <xdr:col>3</xdr:col>
      <xdr:colOff>533400</xdr:colOff>
      <xdr:row>8</xdr:row>
      <xdr:rowOff>95250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3D5EA3CF-B44C-44FE-8025-6712291977ED}"/>
            </a:ext>
          </a:extLst>
        </xdr:cNvPr>
        <xdr:cNvCxnSpPr>
          <a:stCxn id="3" idx="1"/>
        </xdr:cNvCxnSpPr>
      </xdr:nvCxnSpPr>
      <xdr:spPr>
        <a:xfrm flipH="1">
          <a:off x="4972052" y="1457325"/>
          <a:ext cx="514348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57151</xdr:colOff>
      <xdr:row>11</xdr:row>
      <xdr:rowOff>95250</xdr:rowOff>
    </xdr:from>
    <xdr:to>
      <xdr:col>3</xdr:col>
      <xdr:colOff>523875</xdr:colOff>
      <xdr:row>13</xdr:row>
      <xdr:rowOff>152400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EB671ED7-78CB-478F-8624-3EEC82F5E012}"/>
            </a:ext>
          </a:extLst>
        </xdr:cNvPr>
        <xdr:cNvCxnSpPr>
          <a:stCxn id="4" idx="1"/>
        </xdr:cNvCxnSpPr>
      </xdr:nvCxnSpPr>
      <xdr:spPr>
        <a:xfrm flipH="1">
          <a:off x="5010151" y="2238375"/>
          <a:ext cx="466724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76203</xdr:colOff>
      <xdr:row>14</xdr:row>
      <xdr:rowOff>114301</xdr:rowOff>
    </xdr:from>
    <xdr:to>
      <xdr:col>3</xdr:col>
      <xdr:colOff>514351</xdr:colOff>
      <xdr:row>16</xdr:row>
      <xdr:rowOff>4763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F2BED30C-82C5-43D0-B6E9-169F8E403F1C}"/>
            </a:ext>
          </a:extLst>
        </xdr:cNvPr>
        <xdr:cNvCxnSpPr>
          <a:stCxn id="5" idx="1"/>
        </xdr:cNvCxnSpPr>
      </xdr:nvCxnSpPr>
      <xdr:spPr>
        <a:xfrm flipH="1" flipV="1">
          <a:off x="5029203" y="2828926"/>
          <a:ext cx="438148" cy="271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39</xdr:row>
      <xdr:rowOff>0</xdr:rowOff>
    </xdr:from>
    <xdr:to>
      <xdr:col>3</xdr:col>
      <xdr:colOff>85725</xdr:colOff>
      <xdr:row>42</xdr:row>
      <xdr:rowOff>66676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47B02B5-A750-4F9A-82B5-CE493D49B6DB}"/>
            </a:ext>
          </a:extLst>
        </xdr:cNvPr>
        <xdr:cNvSpPr/>
      </xdr:nvSpPr>
      <xdr:spPr>
        <a:xfrm>
          <a:off x="0" y="7477125"/>
          <a:ext cx="4562475" cy="6381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ysClr val="windowText" lastClr="000000"/>
              </a:solidFill>
            </a:rPr>
            <a:t>Meta de colocação: </a:t>
          </a:r>
          <a:r>
            <a:rPr lang="pt-BR" sz="1100" b="0" baseline="0">
              <a:solidFill>
                <a:sysClr val="windowText" lastClr="000000"/>
              </a:solidFill>
            </a:rPr>
            <a:t>A meta de pontuação é suficiente para alcançar o quarto lugar historicamente, porém o objetivo da equipe é ao menos o quinto lugar, por ser uma meta passada ainda não cumprida.</a:t>
          </a: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95251</xdr:rowOff>
    </xdr:from>
    <xdr:to>
      <xdr:col>2</xdr:col>
      <xdr:colOff>571500</xdr:colOff>
      <xdr:row>45</xdr:row>
      <xdr:rowOff>152400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7D2781F-E24A-4825-87F9-C046C9AFC960}"/>
            </a:ext>
          </a:extLst>
        </xdr:cNvPr>
        <xdr:cNvSpPr/>
      </xdr:nvSpPr>
      <xdr:spPr>
        <a:xfrm>
          <a:off x="0" y="8191501"/>
          <a:ext cx="2171700" cy="2476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</a:rPr>
            <a:t>Em 2007 e</a:t>
          </a:r>
          <a:r>
            <a:rPr lang="pt-BR" sz="1100" baseline="0">
              <a:solidFill>
                <a:schemeClr val="tx1"/>
              </a:solidFill>
            </a:rPr>
            <a:t> 200</a:t>
          </a:r>
          <a:r>
            <a:rPr lang="pt-BR" sz="1100">
              <a:solidFill>
                <a:schemeClr val="tx1"/>
              </a:solidFill>
            </a:rPr>
            <a:t>9,</a:t>
          </a:r>
          <a:r>
            <a:rPr lang="pt-BR" sz="1100" baseline="0">
              <a:solidFill>
                <a:schemeClr val="tx1"/>
              </a:solidFill>
            </a:rPr>
            <a:t> a FEI foi campeã. regional</a:t>
          </a: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46</xdr:row>
      <xdr:rowOff>19051</xdr:rowOff>
    </xdr:from>
    <xdr:to>
      <xdr:col>2</xdr:col>
      <xdr:colOff>571500</xdr:colOff>
      <xdr:row>47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3F7E5FE-B27D-4DE0-ACD8-D89351013A24}"/>
            </a:ext>
          </a:extLst>
        </xdr:cNvPr>
        <xdr:cNvSpPr/>
      </xdr:nvSpPr>
      <xdr:spPr>
        <a:xfrm>
          <a:off x="0" y="8496301"/>
          <a:ext cx="2171700" cy="2476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</a:rPr>
            <a:t>Em 2008</a:t>
          </a:r>
          <a:r>
            <a:rPr lang="pt-BR" sz="1100" baseline="0">
              <a:solidFill>
                <a:schemeClr val="tx1"/>
              </a:solidFill>
            </a:rPr>
            <a:t> não houve competição.</a:t>
          </a:r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139</xdr:row>
      <xdr:rowOff>152400</xdr:rowOff>
    </xdr:from>
    <xdr:to>
      <xdr:col>16</xdr:col>
      <xdr:colOff>714375</xdr:colOff>
      <xdr:row>141</xdr:row>
      <xdr:rowOff>38100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2B39405-DDBC-4574-A584-30CA2AC7A88C}"/>
            </a:ext>
          </a:extLst>
        </xdr:cNvPr>
        <xdr:cNvSpPr/>
      </xdr:nvSpPr>
      <xdr:spPr>
        <a:xfrm>
          <a:off x="7010400" y="26870025"/>
          <a:ext cx="6572250" cy="266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baseline="0">
              <a:solidFill>
                <a:sysClr val="windowText" lastClr="000000"/>
              </a:solidFill>
            </a:rPr>
            <a:t>Média de porcentagem de colocação para cada regional nos últimos dez anos, organizadas por competitividade.</a:t>
          </a: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219075</xdr:colOff>
      <xdr:row>140</xdr:row>
      <xdr:rowOff>85725</xdr:rowOff>
    </xdr:from>
    <xdr:to>
      <xdr:col>8</xdr:col>
      <xdr:colOff>666748</xdr:colOff>
      <xdr:row>140</xdr:row>
      <xdr:rowOff>85725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306C0501-36A1-4DD6-B92A-651CD3CB67FB}"/>
            </a:ext>
          </a:extLst>
        </xdr:cNvPr>
        <xdr:cNvCxnSpPr/>
      </xdr:nvCxnSpPr>
      <xdr:spPr>
        <a:xfrm flipH="1">
          <a:off x="6505575" y="26993850"/>
          <a:ext cx="4476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9132-1DE6-4860-9A02-08D265C38965}">
  <dimension ref="A1:F45"/>
  <sheetViews>
    <sheetView showGridLines="0" workbookViewId="0">
      <selection activeCell="D19" sqref="D19"/>
    </sheetView>
  </sheetViews>
  <sheetFormatPr defaultRowHeight="15"/>
  <cols>
    <col min="1" max="1" width="16.28515625" bestFit="1" customWidth="1"/>
    <col min="2" max="2" width="15.28515625" bestFit="1" customWidth="1"/>
    <col min="3" max="3" width="11.42578125" bestFit="1" customWidth="1"/>
    <col min="4" max="4" width="9.85546875" bestFit="1" customWidth="1"/>
  </cols>
  <sheetData>
    <row r="1" spans="1:4">
      <c r="A1" s="64" t="s">
        <v>0</v>
      </c>
      <c r="B1" s="64"/>
      <c r="C1" s="64"/>
      <c r="D1" s="64"/>
    </row>
    <row r="2" spans="1:4">
      <c r="A2" s="64"/>
      <c r="B2" s="64"/>
      <c r="C2" s="64"/>
      <c r="D2" s="64"/>
    </row>
    <row r="3" spans="1:4">
      <c r="A3" s="25" t="s">
        <v>1</v>
      </c>
      <c r="B3" s="25" t="s">
        <v>2</v>
      </c>
      <c r="C3" s="25" t="s">
        <v>3</v>
      </c>
      <c r="D3" s="25" t="s">
        <v>4</v>
      </c>
    </row>
    <row r="4" spans="1:4" s="23" customFormat="1">
      <c r="A4" s="19" t="s">
        <v>5</v>
      </c>
      <c r="B4" s="19">
        <v>20</v>
      </c>
      <c r="C4" s="19">
        <v>11.35</v>
      </c>
      <c r="D4" s="19" t="s">
        <v>6</v>
      </c>
    </row>
    <row r="5" spans="1:4">
      <c r="A5" s="19" t="s">
        <v>7</v>
      </c>
      <c r="B5" s="19">
        <v>30</v>
      </c>
      <c r="C5" s="20">
        <f>C34*(B5/B34)</f>
        <v>16.575000000000003</v>
      </c>
      <c r="D5" s="19" t="str">
        <f>D34</f>
        <v>18º</v>
      </c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64" t="s">
        <v>8</v>
      </c>
      <c r="B8" s="64"/>
      <c r="C8" s="64"/>
      <c r="D8" s="23"/>
    </row>
    <row r="9" spans="1:4">
      <c r="A9" s="64"/>
      <c r="B9" s="64"/>
      <c r="C9" s="64"/>
      <c r="D9" s="23"/>
    </row>
    <row r="10" spans="1:4">
      <c r="A10" s="25" t="s">
        <v>1</v>
      </c>
      <c r="B10" s="25" t="s">
        <v>9</v>
      </c>
      <c r="C10" s="25" t="s">
        <v>10</v>
      </c>
      <c r="D10" s="23"/>
    </row>
    <row r="11" spans="1:4" s="23" customFormat="1">
      <c r="A11" s="19" t="s">
        <v>5</v>
      </c>
      <c r="B11" s="20">
        <f>C4</f>
        <v>11.35</v>
      </c>
      <c r="C11" s="20">
        <f>(C4/B4)*100</f>
        <v>56.75</v>
      </c>
    </row>
    <row r="12" spans="1:4">
      <c r="A12" s="35" t="s">
        <v>7</v>
      </c>
      <c r="B12" s="36">
        <f>C5</f>
        <v>16.575000000000003</v>
      </c>
      <c r="C12" s="36">
        <f>(C5/B5)*100</f>
        <v>55.250000000000007</v>
      </c>
      <c r="D12" s="23"/>
    </row>
    <row r="13" spans="1:4" s="23" customFormat="1">
      <c r="A13" s="19" t="s">
        <v>11</v>
      </c>
      <c r="B13" s="20">
        <f>AVERAGE(B11:B12)</f>
        <v>13.962500000000002</v>
      </c>
      <c r="C13" s="20">
        <f>AVERAGE(C11:C12)</f>
        <v>56</v>
      </c>
    </row>
    <row r="16" spans="1:4">
      <c r="A16" s="64" t="s">
        <v>12</v>
      </c>
      <c r="B16" s="64"/>
      <c r="C16" s="64"/>
      <c r="D16" s="64"/>
    </row>
    <row r="17" spans="1:6">
      <c r="A17" s="64"/>
      <c r="B17" s="64"/>
      <c r="C17" s="64"/>
      <c r="D17" s="64"/>
      <c r="E17" s="23"/>
      <c r="F17" s="23"/>
    </row>
    <row r="18" spans="1:6">
      <c r="A18" s="3" t="s">
        <v>13</v>
      </c>
      <c r="B18" s="3" t="s">
        <v>14</v>
      </c>
      <c r="C18" s="3" t="s">
        <v>15</v>
      </c>
      <c r="D18" s="3" t="s">
        <v>16</v>
      </c>
      <c r="E18" s="23"/>
      <c r="F18" s="23"/>
    </row>
    <row r="19" spans="1:6">
      <c r="A19" s="4" t="str">
        <f>IF(C12-C11&lt;0,"0",C12-C11)</f>
        <v>0</v>
      </c>
      <c r="B19" s="5">
        <f>(C12*1.5+C13*1)/2.5</f>
        <v>55.55</v>
      </c>
      <c r="C19" s="5">
        <f>B19+A19</f>
        <v>55.55</v>
      </c>
      <c r="D19" s="4">
        <f>(C19*B5/100)</f>
        <v>16.664999999999999</v>
      </c>
      <c r="E19" s="23"/>
      <c r="F19" s="23"/>
    </row>
    <row r="25" spans="1:6" ht="18.75" customHeight="1">
      <c r="A25" s="65" t="s">
        <v>17</v>
      </c>
      <c r="B25" s="66"/>
      <c r="C25" s="66"/>
      <c r="D25" s="67"/>
      <c r="E25" s="23"/>
      <c r="F25" s="23"/>
    </row>
    <row r="26" spans="1:6" ht="18.75" customHeight="1">
      <c r="A26" s="68"/>
      <c r="B26" s="69"/>
      <c r="C26" s="69"/>
      <c r="D26" s="70"/>
      <c r="E26" s="23"/>
      <c r="F26" s="23"/>
    </row>
    <row r="27" spans="1:6">
      <c r="A27" s="25" t="s">
        <v>18</v>
      </c>
      <c r="B27" s="25" t="s">
        <v>2</v>
      </c>
      <c r="C27" s="25" t="s">
        <v>3</v>
      </c>
      <c r="D27" s="25" t="s">
        <v>4</v>
      </c>
      <c r="E27" s="23"/>
      <c r="F27" s="23"/>
    </row>
    <row r="28" spans="1:6">
      <c r="A28" s="19" t="s">
        <v>19</v>
      </c>
      <c r="B28" s="19">
        <v>2.5</v>
      </c>
      <c r="C28" s="19">
        <v>2</v>
      </c>
      <c r="D28" s="19" t="s">
        <v>20</v>
      </c>
      <c r="E28" s="23"/>
      <c r="F28" s="23"/>
    </row>
    <row r="29" spans="1:6">
      <c r="A29" s="19" t="s">
        <v>21</v>
      </c>
      <c r="B29" s="19">
        <v>4</v>
      </c>
      <c r="C29" s="19">
        <v>2</v>
      </c>
      <c r="D29" s="19" t="s">
        <v>22</v>
      </c>
      <c r="E29" s="23"/>
      <c r="F29" s="23"/>
    </row>
    <row r="30" spans="1:6">
      <c r="A30" s="19" t="s">
        <v>23</v>
      </c>
      <c r="B30" s="19">
        <v>1.5</v>
      </c>
      <c r="C30" s="19">
        <v>0.4</v>
      </c>
      <c r="D30" s="19" t="s">
        <v>24</v>
      </c>
      <c r="E30" s="23"/>
      <c r="F30" s="23"/>
    </row>
    <row r="31" spans="1:6">
      <c r="A31" s="19" t="s">
        <v>25</v>
      </c>
      <c r="B31" s="19">
        <v>1.5</v>
      </c>
      <c r="C31" s="19">
        <v>0.6</v>
      </c>
      <c r="D31" s="19" t="s">
        <v>26</v>
      </c>
      <c r="E31" s="23"/>
      <c r="F31" s="1"/>
    </row>
    <row r="32" spans="1:6">
      <c r="A32" s="19" t="s">
        <v>27</v>
      </c>
      <c r="B32" s="19">
        <v>1.5</v>
      </c>
      <c r="C32" s="19">
        <v>1.3</v>
      </c>
      <c r="D32" s="19" t="s">
        <v>28</v>
      </c>
      <c r="E32" s="23"/>
      <c r="F32" s="23"/>
    </row>
    <row r="33" spans="1:4">
      <c r="A33" s="19" t="s">
        <v>29</v>
      </c>
      <c r="B33" s="19">
        <v>9</v>
      </c>
      <c r="C33" s="19">
        <v>4.75</v>
      </c>
      <c r="D33" s="19" t="s">
        <v>30</v>
      </c>
    </row>
    <row r="34" spans="1:4" ht="15" customHeight="1">
      <c r="A34" s="19" t="s">
        <v>31</v>
      </c>
      <c r="B34" s="19">
        <f>SUM(B28:B33)</f>
        <v>20</v>
      </c>
      <c r="C34" s="19">
        <f>SUM(C28:C33)</f>
        <v>11.05</v>
      </c>
      <c r="D34" s="19" t="s">
        <v>32</v>
      </c>
    </row>
    <row r="35" spans="1:4" ht="15" customHeight="1">
      <c r="A35" s="23"/>
      <c r="B35" s="23"/>
      <c r="C35" s="23"/>
      <c r="D35" s="23"/>
    </row>
    <row r="37" spans="1:4">
      <c r="A37" s="65" t="s">
        <v>8</v>
      </c>
      <c r="B37" s="66"/>
      <c r="C37" s="66"/>
      <c r="D37" s="67"/>
    </row>
    <row r="38" spans="1:4">
      <c r="A38" s="68"/>
      <c r="B38" s="69"/>
      <c r="C38" s="69"/>
      <c r="D38" s="70"/>
    </row>
    <row r="39" spans="1:4">
      <c r="A39" s="25" t="s">
        <v>18</v>
      </c>
      <c r="B39" s="25" t="s">
        <v>2</v>
      </c>
      <c r="C39" s="25" t="s">
        <v>3</v>
      </c>
      <c r="D39" s="25" t="s">
        <v>33</v>
      </c>
    </row>
    <row r="40" spans="1:4">
      <c r="A40" s="19" t="s">
        <v>19</v>
      </c>
      <c r="B40" s="19">
        <v>2.5</v>
      </c>
      <c r="C40" s="19">
        <v>2</v>
      </c>
      <c r="D40" s="20">
        <f>(C40/B40)*100</f>
        <v>80</v>
      </c>
    </row>
    <row r="41" spans="1:4">
      <c r="A41" s="19" t="s">
        <v>21</v>
      </c>
      <c r="B41" s="19">
        <v>4</v>
      </c>
      <c r="C41" s="19">
        <v>2</v>
      </c>
      <c r="D41" s="20">
        <f t="shared" ref="D41:D45" si="0">(C41/B41)*100</f>
        <v>50</v>
      </c>
    </row>
    <row r="42" spans="1:4">
      <c r="A42" s="19" t="s">
        <v>23</v>
      </c>
      <c r="B42" s="19">
        <v>1.5</v>
      </c>
      <c r="C42" s="19">
        <v>0.4</v>
      </c>
      <c r="D42" s="20">
        <f t="shared" si="0"/>
        <v>26.666666666666668</v>
      </c>
    </row>
    <row r="43" spans="1:4">
      <c r="A43" s="19" t="s">
        <v>25</v>
      </c>
      <c r="B43" s="19">
        <v>1.5</v>
      </c>
      <c r="C43" s="19">
        <v>0.6</v>
      </c>
      <c r="D43" s="20">
        <f t="shared" si="0"/>
        <v>40</v>
      </c>
    </row>
    <row r="44" spans="1:4">
      <c r="A44" s="19" t="s">
        <v>27</v>
      </c>
      <c r="B44" s="19">
        <v>1.5</v>
      </c>
      <c r="C44" s="19">
        <v>1.3</v>
      </c>
      <c r="D44" s="20">
        <f t="shared" si="0"/>
        <v>86.666666666666671</v>
      </c>
    </row>
    <row r="45" spans="1:4">
      <c r="A45" s="19" t="s">
        <v>29</v>
      </c>
      <c r="B45" s="19">
        <v>9</v>
      </c>
      <c r="C45" s="19">
        <v>4.75</v>
      </c>
      <c r="D45" s="20">
        <f t="shared" si="0"/>
        <v>52.777777777777779</v>
      </c>
    </row>
  </sheetData>
  <mergeCells count="5">
    <mergeCell ref="A1:D2"/>
    <mergeCell ref="A8:C9"/>
    <mergeCell ref="A16:D17"/>
    <mergeCell ref="A25:D26"/>
    <mergeCell ref="A37:D3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912B-C2B1-47B1-969D-16F40587410C}">
  <dimension ref="A1:Q144"/>
  <sheetViews>
    <sheetView showGridLines="0" topLeftCell="A91" workbookViewId="0">
      <selection activeCell="D134" sqref="D134"/>
    </sheetView>
  </sheetViews>
  <sheetFormatPr defaultRowHeight="15"/>
  <cols>
    <col min="1" max="1" width="12.140625" bestFit="1" customWidth="1"/>
    <col min="2" max="2" width="15.28515625" bestFit="1" customWidth="1"/>
    <col min="3" max="3" width="13.5703125" bestFit="1" customWidth="1"/>
    <col min="4" max="4" width="16.42578125" bestFit="1" customWidth="1"/>
    <col min="5" max="5" width="12.140625" bestFit="1" customWidth="1"/>
    <col min="6" max="6" width="15.28515625" bestFit="1" customWidth="1"/>
    <col min="7" max="7" width="8.5703125" bestFit="1" customWidth="1"/>
    <col min="8" max="8" width="11.85546875" bestFit="1" customWidth="1"/>
    <col min="9" max="9" width="7.42578125" bestFit="1" customWidth="1"/>
    <col min="10" max="10" width="20.5703125" bestFit="1" customWidth="1"/>
    <col min="11" max="12" width="10.28515625" bestFit="1" customWidth="1"/>
    <col min="13" max="13" width="9.85546875" bestFit="1" customWidth="1"/>
    <col min="14" max="14" width="12.140625" bestFit="1" customWidth="1"/>
    <col min="15" max="15" width="15.28515625" bestFit="1" customWidth="1"/>
    <col min="16" max="16" width="6.5703125" bestFit="1" customWidth="1"/>
    <col min="17" max="17" width="7.140625" bestFit="1" customWidth="1"/>
  </cols>
  <sheetData>
    <row r="1" spans="1:17" ht="18.75" customHeight="1">
      <c r="A1" s="71" t="s">
        <v>34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3"/>
      <c r="O1" s="23"/>
      <c r="P1" s="23"/>
      <c r="Q1" s="23"/>
    </row>
    <row r="2" spans="1:17">
      <c r="A2" s="10" t="s">
        <v>1</v>
      </c>
      <c r="B2" s="10" t="s">
        <v>35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 t="s">
        <v>31</v>
      </c>
      <c r="L2" s="10" t="s">
        <v>9</v>
      </c>
      <c r="M2" s="10" t="s">
        <v>4</v>
      </c>
      <c r="N2" s="23"/>
      <c r="O2" s="23"/>
      <c r="P2" s="23"/>
      <c r="Q2" s="23"/>
    </row>
    <row r="3" spans="1:17" s="23" customFormat="1">
      <c r="A3" s="19" t="s">
        <v>44</v>
      </c>
      <c r="B3" s="20">
        <v>6.25</v>
      </c>
      <c r="C3" s="20">
        <v>3.4</v>
      </c>
      <c r="D3" s="20">
        <v>5.07</v>
      </c>
      <c r="E3" s="20">
        <v>7.52</v>
      </c>
      <c r="F3" s="20">
        <v>2</v>
      </c>
      <c r="G3" s="20">
        <v>7.6</v>
      </c>
      <c r="H3" s="20">
        <v>6.7</v>
      </c>
      <c r="I3" s="20">
        <v>9.5</v>
      </c>
      <c r="J3" s="19" t="s">
        <v>45</v>
      </c>
      <c r="K3" s="20">
        <f>SUM(B3:J3)</f>
        <v>48.040000000000006</v>
      </c>
      <c r="L3" s="20">
        <f>(K3/8)*33</f>
        <v>198.16500000000002</v>
      </c>
      <c r="M3" s="19" t="s">
        <v>46</v>
      </c>
    </row>
    <row r="4" spans="1:17" s="23" customFormat="1">
      <c r="A4" s="19" t="s">
        <v>5</v>
      </c>
      <c r="B4" s="20">
        <v>7.8</v>
      </c>
      <c r="C4" s="20">
        <v>5.6</v>
      </c>
      <c r="D4" s="20">
        <v>6.6</v>
      </c>
      <c r="E4" s="20">
        <v>7.45</v>
      </c>
      <c r="F4" s="20">
        <v>5.5655000000000001</v>
      </c>
      <c r="G4" s="20">
        <v>8</v>
      </c>
      <c r="H4" s="20">
        <v>8.125</v>
      </c>
      <c r="I4" s="20">
        <v>7.6</v>
      </c>
      <c r="J4" s="19" t="s">
        <v>45</v>
      </c>
      <c r="K4" s="20">
        <f>SUM(B4:J4)</f>
        <v>56.740500000000004</v>
      </c>
      <c r="L4" s="20">
        <f>(K4/8)*25</f>
        <v>177.31406250000001</v>
      </c>
      <c r="M4" s="19" t="s">
        <v>47</v>
      </c>
    </row>
    <row r="5" spans="1:17">
      <c r="A5" s="35" t="s">
        <v>7</v>
      </c>
      <c r="B5" s="35" t="s">
        <v>45</v>
      </c>
      <c r="C5" s="35">
        <v>8</v>
      </c>
      <c r="D5" s="35" t="s">
        <v>45</v>
      </c>
      <c r="E5" s="35" t="s">
        <v>45</v>
      </c>
      <c r="F5" s="35">
        <v>6.25</v>
      </c>
      <c r="G5" s="35">
        <v>10</v>
      </c>
      <c r="H5" s="35">
        <v>6</v>
      </c>
      <c r="I5" s="35">
        <v>5.5</v>
      </c>
      <c r="J5" s="35">
        <v>6.25</v>
      </c>
      <c r="K5" s="35">
        <f>SUM(B5:J5)</f>
        <v>42</v>
      </c>
      <c r="L5" s="35">
        <f>(K5/6)*27</f>
        <v>189</v>
      </c>
      <c r="M5" s="35" t="s">
        <v>20</v>
      </c>
      <c r="N5" s="23"/>
      <c r="O5" s="23"/>
      <c r="P5" s="23"/>
      <c r="Q5" s="23"/>
    </row>
    <row r="6" spans="1:17" s="23" customFormat="1">
      <c r="A6" s="82" t="s">
        <v>48</v>
      </c>
      <c r="B6" s="82" t="s">
        <v>45</v>
      </c>
      <c r="C6" s="82">
        <v>8.5</v>
      </c>
      <c r="D6" s="82" t="s">
        <v>45</v>
      </c>
      <c r="E6" s="82" t="s">
        <v>45</v>
      </c>
      <c r="F6" s="82">
        <v>5.88</v>
      </c>
      <c r="G6" s="82">
        <v>6.75</v>
      </c>
      <c r="H6" s="82">
        <v>5.63</v>
      </c>
      <c r="I6" s="82">
        <v>8.31</v>
      </c>
      <c r="J6" s="83">
        <v>6.88</v>
      </c>
      <c r="K6" s="83">
        <f>SUM(B6:J6)</f>
        <v>41.95</v>
      </c>
      <c r="L6" s="85">
        <f>(K6/6)*5</f>
        <v>34.958333333333336</v>
      </c>
      <c r="M6" s="84" t="s">
        <v>20</v>
      </c>
    </row>
    <row r="7" spans="1:17">
      <c r="A7" s="23"/>
      <c r="B7" s="23"/>
      <c r="C7" s="23"/>
      <c r="D7" s="23"/>
      <c r="E7" s="23"/>
      <c r="F7" s="23"/>
      <c r="G7" s="23"/>
      <c r="H7" s="23"/>
      <c r="I7" s="23"/>
      <c r="J7" s="23"/>
      <c r="K7" s="9"/>
      <c r="L7" s="23"/>
      <c r="M7" s="23"/>
      <c r="N7" s="23"/>
      <c r="O7" s="23"/>
      <c r="P7" s="23"/>
      <c r="Q7" s="23"/>
    </row>
    <row r="9" spans="1:17">
      <c r="A9" s="64" t="s">
        <v>8</v>
      </c>
      <c r="B9" s="64"/>
      <c r="C9" s="64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1:17">
      <c r="A10" s="64"/>
      <c r="B10" s="64"/>
      <c r="C10" s="64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>
      <c r="A11" s="25" t="s">
        <v>1</v>
      </c>
      <c r="B11" s="25" t="s">
        <v>9</v>
      </c>
      <c r="C11" s="25" t="s">
        <v>10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1:17" s="23" customFormat="1">
      <c r="A12" s="19" t="s">
        <v>44</v>
      </c>
      <c r="B12" s="20">
        <f>L3</f>
        <v>198.16500000000002</v>
      </c>
      <c r="C12" s="20">
        <f>(B12/330)*100</f>
        <v>60.050000000000004</v>
      </c>
    </row>
    <row r="13" spans="1:17" s="23" customFormat="1">
      <c r="A13" s="19" t="s">
        <v>5</v>
      </c>
      <c r="B13" s="20">
        <f>L4</f>
        <v>177.31406250000001</v>
      </c>
      <c r="C13" s="20">
        <f>(B13/250)*100</f>
        <v>70.925624999999997</v>
      </c>
    </row>
    <row r="14" spans="1:17" s="23" customFormat="1">
      <c r="A14" s="19" t="s">
        <v>7</v>
      </c>
      <c r="B14" s="20">
        <f>L5</f>
        <v>189</v>
      </c>
      <c r="C14" s="20">
        <f>(B14/270)*100</f>
        <v>70</v>
      </c>
    </row>
    <row r="15" spans="1:17">
      <c r="A15" s="19" t="s">
        <v>48</v>
      </c>
      <c r="B15" s="20">
        <f>L6</f>
        <v>34.958333333333336</v>
      </c>
      <c r="C15" s="20">
        <f>(B15/50)*100</f>
        <v>69.916666666666671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s="23" customFormat="1">
      <c r="A16" s="19" t="s">
        <v>11</v>
      </c>
      <c r="B16" s="20">
        <f>AVERAGE(B13:B14)</f>
        <v>183.15703124999999</v>
      </c>
      <c r="C16" s="20">
        <f>AVERAGE(C12:C15)</f>
        <v>67.723072916666666</v>
      </c>
    </row>
    <row r="18" spans="1:17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ht="15" customHeight="1">
      <c r="A19" s="64" t="s">
        <v>12</v>
      </c>
      <c r="B19" s="64"/>
      <c r="C19" s="64"/>
      <c r="D19" s="64"/>
      <c r="E19" s="64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ht="15" customHeight="1">
      <c r="A20" s="64"/>
      <c r="B20" s="64"/>
      <c r="C20" s="64"/>
      <c r="D20" s="64"/>
      <c r="E20" s="64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>
      <c r="A21" s="18" t="s">
        <v>13</v>
      </c>
      <c r="B21" s="18" t="s">
        <v>14</v>
      </c>
      <c r="C21" s="18" t="s">
        <v>15</v>
      </c>
      <c r="D21" s="18" t="s">
        <v>49</v>
      </c>
      <c r="E21" s="18" t="s">
        <v>11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>
      <c r="A22" s="4">
        <f>IF((C15-C12)/4&lt;0,"0",(C15-C12)/4)</f>
        <v>2.4666666666666668</v>
      </c>
      <c r="B22" s="5">
        <f>(C15*1.5+C16*1)/2.5</f>
        <v>69.039229166666672</v>
      </c>
      <c r="C22" s="5">
        <f>B22+A22</f>
        <v>71.505895833333341</v>
      </c>
      <c r="D22" s="4">
        <f>(C22*270/100)</f>
        <v>193.06591875000001</v>
      </c>
      <c r="E22" s="4">
        <f>(SUM(H110,H120,H130,H140,Q110,Q120,Q130,Q140)/8)*27</f>
        <v>200.8125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5" spans="1:17" ht="18.75">
      <c r="A25" s="71" t="s">
        <v>50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23"/>
      <c r="N25" s="23"/>
      <c r="O25" s="23"/>
      <c r="P25" s="23"/>
      <c r="Q25" s="23"/>
    </row>
    <row r="26" spans="1:17" s="23" customFormat="1">
      <c r="A26" s="10" t="s">
        <v>4</v>
      </c>
      <c r="B26" s="10" t="s">
        <v>51</v>
      </c>
      <c r="C26" s="10" t="s">
        <v>35</v>
      </c>
      <c r="D26" s="10" t="s">
        <v>36</v>
      </c>
      <c r="E26" s="10" t="s">
        <v>37</v>
      </c>
      <c r="F26" s="10" t="s">
        <v>38</v>
      </c>
      <c r="G26" s="10" t="s">
        <v>52</v>
      </c>
      <c r="H26" s="10" t="s">
        <v>53</v>
      </c>
      <c r="I26" s="10" t="s">
        <v>54</v>
      </c>
      <c r="J26" s="10" t="s">
        <v>42</v>
      </c>
      <c r="K26" s="10" t="s">
        <v>11</v>
      </c>
      <c r="L26" s="10" t="s">
        <v>9</v>
      </c>
    </row>
    <row r="27" spans="1:17" s="23" customFormat="1">
      <c r="A27" s="19" t="s">
        <v>55</v>
      </c>
      <c r="B27" s="19" t="s">
        <v>56</v>
      </c>
      <c r="C27" s="32">
        <v>8.0500000000000007</v>
      </c>
      <c r="D27" s="32">
        <v>7.6</v>
      </c>
      <c r="E27" s="32">
        <v>7.3</v>
      </c>
      <c r="F27" s="32">
        <v>8.6199999999999992</v>
      </c>
      <c r="G27" s="32">
        <v>9.1999999999999993</v>
      </c>
      <c r="H27" s="32">
        <v>9.3000000000000007</v>
      </c>
      <c r="I27" s="32">
        <v>7.75</v>
      </c>
      <c r="J27" s="32">
        <v>8.4</v>
      </c>
      <c r="K27" s="20">
        <f>SUM(C27:J27)/8</f>
        <v>8.2774999999999999</v>
      </c>
      <c r="L27" s="20">
        <f>K27*33</f>
        <v>273.15749999999997</v>
      </c>
    </row>
    <row r="28" spans="1:17" s="23" customFormat="1">
      <c r="A28" s="19" t="s">
        <v>57</v>
      </c>
      <c r="B28" s="19" t="s">
        <v>58</v>
      </c>
      <c r="C28" s="32">
        <v>7.1</v>
      </c>
      <c r="D28" s="32">
        <v>9.35</v>
      </c>
      <c r="E28" s="32">
        <v>7.2</v>
      </c>
      <c r="F28" s="32">
        <v>9.75</v>
      </c>
      <c r="G28" s="32">
        <v>9.3000000000000007</v>
      </c>
      <c r="H28" s="32">
        <v>8.5</v>
      </c>
      <c r="I28" s="32">
        <v>8.3000000000000007</v>
      </c>
      <c r="J28" s="32">
        <v>6.6</v>
      </c>
      <c r="K28" s="20">
        <f t="shared" ref="K28:K31" si="0">SUM(C28:J28)/8</f>
        <v>8.2624999999999993</v>
      </c>
      <c r="L28" s="20">
        <f t="shared" ref="L28:L31" si="1">K28*33</f>
        <v>272.66249999999997</v>
      </c>
    </row>
    <row r="29" spans="1:17" s="23" customFormat="1">
      <c r="A29" s="19" t="s">
        <v>28</v>
      </c>
      <c r="B29" s="19" t="s">
        <v>59</v>
      </c>
      <c r="C29" s="32">
        <v>7.4</v>
      </c>
      <c r="D29" s="32">
        <v>6.85</v>
      </c>
      <c r="E29" s="32">
        <v>7.03</v>
      </c>
      <c r="F29" s="32">
        <v>8.2799999999999994</v>
      </c>
      <c r="G29" s="32">
        <v>8.9</v>
      </c>
      <c r="H29" s="32">
        <v>9</v>
      </c>
      <c r="I29" s="32">
        <v>7.65</v>
      </c>
      <c r="J29" s="32">
        <v>7.3</v>
      </c>
      <c r="K29" s="20">
        <f t="shared" si="0"/>
        <v>7.8012499999999996</v>
      </c>
      <c r="L29" s="20">
        <f t="shared" si="1"/>
        <v>257.44124999999997</v>
      </c>
    </row>
    <row r="30" spans="1:17" s="23" customFormat="1">
      <c r="A30" s="19" t="s">
        <v>47</v>
      </c>
      <c r="B30" s="19" t="s">
        <v>60</v>
      </c>
      <c r="C30" s="32">
        <v>7.55</v>
      </c>
      <c r="D30" s="32">
        <v>7.6</v>
      </c>
      <c r="E30" s="32">
        <v>6.7</v>
      </c>
      <c r="F30" s="32">
        <v>6.73</v>
      </c>
      <c r="G30" s="32">
        <v>8.6</v>
      </c>
      <c r="H30" s="32">
        <v>6.25</v>
      </c>
      <c r="I30" s="32">
        <v>7.9</v>
      </c>
      <c r="J30" s="32">
        <v>9.1999999999999993</v>
      </c>
      <c r="K30" s="20">
        <f t="shared" si="0"/>
        <v>7.5662500000000001</v>
      </c>
      <c r="L30" s="20">
        <f t="shared" si="1"/>
        <v>249.68625</v>
      </c>
    </row>
    <row r="31" spans="1:17" s="23" customFormat="1">
      <c r="A31" s="19" t="s">
        <v>20</v>
      </c>
      <c r="B31" s="19" t="s">
        <v>61</v>
      </c>
      <c r="C31" s="32">
        <v>7</v>
      </c>
      <c r="D31" s="32">
        <v>7.1</v>
      </c>
      <c r="E31" s="32">
        <v>7.22</v>
      </c>
      <c r="F31" s="32">
        <v>6.3</v>
      </c>
      <c r="G31" s="32">
        <v>5.7</v>
      </c>
      <c r="H31" s="32">
        <v>9.1</v>
      </c>
      <c r="I31" s="32">
        <v>6.8</v>
      </c>
      <c r="J31" s="32">
        <v>8.6</v>
      </c>
      <c r="K31" s="20">
        <f t="shared" si="0"/>
        <v>7.2275</v>
      </c>
      <c r="L31" s="20">
        <f t="shared" si="1"/>
        <v>238.50749999999999</v>
      </c>
    </row>
    <row r="32" spans="1:17" s="23" customFormat="1"/>
    <row r="33" spans="1:17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7" ht="18.75">
      <c r="A34" s="71" t="s">
        <v>62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23"/>
      <c r="N34" s="23"/>
      <c r="O34" s="23"/>
      <c r="P34" s="23"/>
      <c r="Q34" s="23"/>
    </row>
    <row r="35" spans="1:17">
      <c r="A35" s="10" t="s">
        <v>4</v>
      </c>
      <c r="B35" s="10" t="s">
        <v>51</v>
      </c>
      <c r="C35" s="10" t="s">
        <v>35</v>
      </c>
      <c r="D35" s="10" t="s">
        <v>36</v>
      </c>
      <c r="E35" s="10" t="s">
        <v>37</v>
      </c>
      <c r="F35" s="10" t="s">
        <v>38</v>
      </c>
      <c r="G35" s="10" t="s">
        <v>52</v>
      </c>
      <c r="H35" s="10" t="s">
        <v>53</v>
      </c>
      <c r="I35" s="10" t="s">
        <v>54</v>
      </c>
      <c r="J35" s="10" t="s">
        <v>42</v>
      </c>
      <c r="K35" s="10" t="s">
        <v>11</v>
      </c>
      <c r="L35" s="10" t="s">
        <v>9</v>
      </c>
      <c r="M35" s="23"/>
      <c r="N35" s="23"/>
      <c r="O35" s="23"/>
      <c r="P35" s="23"/>
      <c r="Q35" s="23"/>
    </row>
    <row r="36" spans="1:17">
      <c r="A36" s="19" t="s">
        <v>55</v>
      </c>
      <c r="B36" s="19" t="s">
        <v>58</v>
      </c>
      <c r="C36" s="32">
        <v>8.625</v>
      </c>
      <c r="D36" s="32">
        <v>7.0750000000000002</v>
      </c>
      <c r="E36" s="32">
        <v>6.9</v>
      </c>
      <c r="F36" s="32">
        <v>8.5749999999999993</v>
      </c>
      <c r="G36" s="32">
        <v>8.25</v>
      </c>
      <c r="H36" s="32">
        <v>6</v>
      </c>
      <c r="I36" s="32">
        <v>10</v>
      </c>
      <c r="J36" s="32">
        <v>7.8</v>
      </c>
      <c r="K36" s="20">
        <f>SUM(C36:J36)/8</f>
        <v>7.9031249999999993</v>
      </c>
      <c r="L36" s="20">
        <f t="shared" ref="L36:L38" si="2">K36*25</f>
        <v>197.57812499999997</v>
      </c>
      <c r="M36" s="23"/>
      <c r="N36" s="23"/>
      <c r="O36" s="23"/>
      <c r="P36" s="23"/>
      <c r="Q36" s="23"/>
    </row>
    <row r="37" spans="1:17">
      <c r="A37" s="19" t="s">
        <v>57</v>
      </c>
      <c r="B37" s="19" t="s">
        <v>61</v>
      </c>
      <c r="C37" s="32">
        <v>8.0749999999999993</v>
      </c>
      <c r="D37" s="32">
        <v>6.5250000000000004</v>
      </c>
      <c r="E37" s="32">
        <v>6.2750000000000004</v>
      </c>
      <c r="F37" s="32">
        <v>6.65</v>
      </c>
      <c r="G37" s="32">
        <v>6.15</v>
      </c>
      <c r="H37" s="32">
        <v>8.5</v>
      </c>
      <c r="I37" s="32">
        <v>9.1999999999999993</v>
      </c>
      <c r="J37" s="32">
        <v>6.45</v>
      </c>
      <c r="K37" s="20">
        <f t="shared" ref="K37:K40" si="3">SUM(C37:J37)/8</f>
        <v>7.2281250000000004</v>
      </c>
      <c r="L37" s="20">
        <f t="shared" si="2"/>
        <v>180.703125</v>
      </c>
      <c r="M37" s="23"/>
      <c r="N37" s="23"/>
      <c r="O37" s="23"/>
      <c r="P37" s="23"/>
      <c r="Q37" s="23"/>
    </row>
    <row r="38" spans="1:17">
      <c r="A38" s="19" t="s">
        <v>28</v>
      </c>
      <c r="B38" s="19" t="s">
        <v>60</v>
      </c>
      <c r="C38" s="32">
        <v>7.125</v>
      </c>
      <c r="D38" s="32">
        <v>6.0750000000000002</v>
      </c>
      <c r="E38" s="32">
        <v>6.3</v>
      </c>
      <c r="F38" s="32">
        <v>5.7249999999999996</v>
      </c>
      <c r="G38" s="32">
        <v>6.43</v>
      </c>
      <c r="H38" s="32">
        <v>7.5</v>
      </c>
      <c r="I38" s="32">
        <v>10</v>
      </c>
      <c r="J38" s="32">
        <v>8.65</v>
      </c>
      <c r="K38" s="20">
        <f t="shared" si="3"/>
        <v>7.225625</v>
      </c>
      <c r="L38" s="20">
        <f t="shared" si="2"/>
        <v>180.640625</v>
      </c>
      <c r="M38" s="23"/>
      <c r="N38" s="23"/>
      <c r="O38" s="23"/>
      <c r="P38" s="23"/>
      <c r="Q38" s="23"/>
    </row>
    <row r="39" spans="1:17">
      <c r="A39" s="19" t="s">
        <v>47</v>
      </c>
      <c r="B39" s="19" t="s">
        <v>63</v>
      </c>
      <c r="C39" s="32">
        <v>7.8</v>
      </c>
      <c r="D39" s="32">
        <v>5.6</v>
      </c>
      <c r="E39" s="32">
        <v>6.6</v>
      </c>
      <c r="F39" s="32">
        <v>7.45</v>
      </c>
      <c r="G39" s="32">
        <v>5.5655000000000001</v>
      </c>
      <c r="H39" s="32">
        <v>8</v>
      </c>
      <c r="I39" s="32">
        <v>8.125</v>
      </c>
      <c r="J39" s="32">
        <v>7.6</v>
      </c>
      <c r="K39" s="20">
        <f t="shared" si="3"/>
        <v>7.0925625000000005</v>
      </c>
      <c r="L39" s="20">
        <f>K39*25</f>
        <v>177.31406250000001</v>
      </c>
      <c r="M39" s="23"/>
      <c r="N39" s="23"/>
      <c r="O39" s="23"/>
      <c r="P39" s="23"/>
      <c r="Q39" s="23"/>
    </row>
    <row r="40" spans="1:17">
      <c r="A40" s="19" t="s">
        <v>20</v>
      </c>
      <c r="B40" s="19" t="s">
        <v>59</v>
      </c>
      <c r="C40" s="32">
        <v>7.1749999999999998</v>
      </c>
      <c r="D40" s="32">
        <v>6.2</v>
      </c>
      <c r="E40" s="32">
        <v>6.9749999999999996</v>
      </c>
      <c r="F40" s="32">
        <v>7.0250000000000004</v>
      </c>
      <c r="G40" s="32">
        <v>7.2</v>
      </c>
      <c r="H40" s="32">
        <v>6.5</v>
      </c>
      <c r="I40" s="32">
        <v>8.4</v>
      </c>
      <c r="J40" s="32">
        <v>5.55</v>
      </c>
      <c r="K40" s="20">
        <f t="shared" si="3"/>
        <v>6.8781249999999998</v>
      </c>
      <c r="L40" s="20">
        <f>K40*25</f>
        <v>171.953125</v>
      </c>
      <c r="M40" s="23"/>
      <c r="N40" s="23"/>
      <c r="O40" s="23"/>
      <c r="P40" s="23"/>
      <c r="Q40" s="23"/>
    </row>
    <row r="43" spans="1:17" ht="18.75" customHeight="1">
      <c r="A43" s="71" t="s">
        <v>64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23"/>
      <c r="N43" s="23"/>
      <c r="O43" s="23"/>
      <c r="P43" s="23"/>
      <c r="Q43" s="23"/>
    </row>
    <row r="44" spans="1:17">
      <c r="A44" s="10" t="s">
        <v>4</v>
      </c>
      <c r="B44" s="10" t="s">
        <v>51</v>
      </c>
      <c r="C44" s="10" t="s">
        <v>35</v>
      </c>
      <c r="D44" s="10" t="s">
        <v>36</v>
      </c>
      <c r="E44" s="10" t="s">
        <v>37</v>
      </c>
      <c r="F44" s="10" t="s">
        <v>38</v>
      </c>
      <c r="G44" s="10" t="s">
        <v>52</v>
      </c>
      <c r="H44" s="10" t="s">
        <v>53</v>
      </c>
      <c r="I44" s="10" t="s">
        <v>54</v>
      </c>
      <c r="J44" s="10" t="s">
        <v>42</v>
      </c>
      <c r="K44" s="10" t="s">
        <v>11</v>
      </c>
      <c r="L44" s="10" t="s">
        <v>9</v>
      </c>
      <c r="M44" s="23"/>
      <c r="N44" s="23"/>
      <c r="O44" s="23"/>
      <c r="P44" s="23"/>
      <c r="Q44" s="23"/>
    </row>
    <row r="45" spans="1:17">
      <c r="A45" s="19" t="s">
        <v>55</v>
      </c>
      <c r="B45" s="19" t="s">
        <v>58</v>
      </c>
      <c r="C45" s="31">
        <v>7.9</v>
      </c>
      <c r="D45" s="31">
        <v>7.6</v>
      </c>
      <c r="E45" s="31">
        <v>7.85</v>
      </c>
      <c r="F45" s="31">
        <v>7.75</v>
      </c>
      <c r="G45" s="31">
        <v>8.15</v>
      </c>
      <c r="H45" s="31">
        <v>9.5</v>
      </c>
      <c r="I45" s="31">
        <v>8.6999999999999993</v>
      </c>
      <c r="J45" s="31">
        <v>8.0500000000000007</v>
      </c>
      <c r="K45" s="20">
        <f>SUM(C45:J45)/8</f>
        <v>8.1875</v>
      </c>
      <c r="L45" s="20">
        <f>K45*18</f>
        <v>147.375</v>
      </c>
      <c r="M45" s="23"/>
      <c r="N45" s="23"/>
      <c r="O45" s="23"/>
      <c r="P45" s="23"/>
      <c r="Q45" s="23"/>
    </row>
    <row r="46" spans="1:17">
      <c r="A46" s="19" t="s">
        <v>57</v>
      </c>
      <c r="B46" s="19" t="s">
        <v>56</v>
      </c>
      <c r="C46" s="31">
        <v>7.9</v>
      </c>
      <c r="D46" s="31">
        <v>7.5</v>
      </c>
      <c r="E46" s="31">
        <v>8.85</v>
      </c>
      <c r="F46" s="31">
        <v>8.1999999999999993</v>
      </c>
      <c r="G46" s="31">
        <v>8.35</v>
      </c>
      <c r="H46" s="31">
        <v>8.5</v>
      </c>
      <c r="I46" s="31">
        <v>7.85</v>
      </c>
      <c r="J46" s="31">
        <v>7.03</v>
      </c>
      <c r="K46" s="20">
        <f>SUM(C46:J46)/8</f>
        <v>8.0225000000000009</v>
      </c>
      <c r="L46" s="20">
        <f t="shared" ref="L46:L49" si="4">K46*18</f>
        <v>144.40500000000003</v>
      </c>
      <c r="M46" s="23"/>
      <c r="N46" s="23"/>
      <c r="O46" s="23"/>
      <c r="P46" s="23"/>
      <c r="Q46" s="23"/>
    </row>
    <row r="47" spans="1:17">
      <c r="A47" s="19" t="s">
        <v>28</v>
      </c>
      <c r="B47" s="19" t="s">
        <v>65</v>
      </c>
      <c r="C47" s="31">
        <v>5.85</v>
      </c>
      <c r="D47" s="31">
        <v>9.1999999999999993</v>
      </c>
      <c r="E47" s="31">
        <v>7.6</v>
      </c>
      <c r="F47" s="31">
        <v>8.25</v>
      </c>
      <c r="G47" s="31">
        <v>7.15</v>
      </c>
      <c r="H47" s="31">
        <v>9</v>
      </c>
      <c r="I47" s="31">
        <v>8.4</v>
      </c>
      <c r="J47" s="31">
        <v>6.95</v>
      </c>
      <c r="K47" s="20">
        <f t="shared" ref="K47:K49" si="5">SUM(C47:J47)/8</f>
        <v>7.8</v>
      </c>
      <c r="L47" s="20">
        <f t="shared" si="4"/>
        <v>140.4</v>
      </c>
      <c r="M47" s="23"/>
      <c r="N47" s="23"/>
      <c r="O47" s="23"/>
      <c r="P47" s="23"/>
      <c r="Q47" s="23"/>
    </row>
    <row r="48" spans="1:17">
      <c r="A48" s="19" t="s">
        <v>47</v>
      </c>
      <c r="B48" s="19" t="s">
        <v>66</v>
      </c>
      <c r="C48" s="31">
        <v>5.65</v>
      </c>
      <c r="D48" s="31">
        <v>8</v>
      </c>
      <c r="E48" s="31">
        <v>7.5</v>
      </c>
      <c r="F48" s="31">
        <v>6.5</v>
      </c>
      <c r="G48" s="31">
        <v>8.6</v>
      </c>
      <c r="H48" s="31">
        <v>8.0500000000000007</v>
      </c>
      <c r="I48" s="31">
        <v>7.7</v>
      </c>
      <c r="J48" s="31">
        <v>6.68</v>
      </c>
      <c r="K48" s="20">
        <f t="shared" si="5"/>
        <v>7.335</v>
      </c>
      <c r="L48" s="20">
        <f t="shared" si="4"/>
        <v>132.03</v>
      </c>
      <c r="M48" s="23"/>
      <c r="N48" s="23"/>
      <c r="O48" s="23"/>
      <c r="P48" s="23"/>
      <c r="Q48" s="23"/>
    </row>
    <row r="49" spans="1:17">
      <c r="A49" s="19" t="s">
        <v>20</v>
      </c>
      <c r="B49" s="19" t="s">
        <v>59</v>
      </c>
      <c r="C49" s="31">
        <v>6.9</v>
      </c>
      <c r="D49" s="31">
        <v>5.6</v>
      </c>
      <c r="E49" s="31">
        <v>7.85</v>
      </c>
      <c r="F49" s="31">
        <v>6.45</v>
      </c>
      <c r="G49" s="31">
        <v>7.85</v>
      </c>
      <c r="H49" s="31">
        <v>9</v>
      </c>
      <c r="I49" s="31">
        <v>6.05</v>
      </c>
      <c r="J49" s="31">
        <v>8.08</v>
      </c>
      <c r="K49" s="20">
        <f t="shared" si="5"/>
        <v>7.2224999999999993</v>
      </c>
      <c r="L49" s="20">
        <f t="shared" si="4"/>
        <v>130.005</v>
      </c>
      <c r="M49" s="23"/>
      <c r="N49" s="23"/>
      <c r="O49" s="23"/>
      <c r="P49" s="23"/>
      <c r="Q49" s="23"/>
    </row>
    <row r="50" spans="1:17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2" spans="1:17" ht="18.75" customHeight="1">
      <c r="A52" s="72" t="s">
        <v>67</v>
      </c>
      <c r="B52" s="73"/>
      <c r="C52" s="73"/>
      <c r="D52" s="73"/>
      <c r="E52" s="73"/>
      <c r="F52" s="73"/>
      <c r="G52" s="73"/>
      <c r="H52" s="73"/>
      <c r="I52" s="73"/>
      <c r="J52" s="74"/>
      <c r="K52" s="23"/>
      <c r="L52" s="23"/>
      <c r="M52" s="23"/>
      <c r="N52" s="23"/>
      <c r="O52" s="23"/>
      <c r="P52" s="23"/>
      <c r="Q52" s="23"/>
    </row>
    <row r="53" spans="1:17">
      <c r="A53" s="10" t="s">
        <v>4</v>
      </c>
      <c r="B53" s="10" t="s">
        <v>51</v>
      </c>
      <c r="C53" s="10" t="s">
        <v>68</v>
      </c>
      <c r="D53" s="10" t="s">
        <v>69</v>
      </c>
      <c r="E53" s="10" t="s">
        <v>70</v>
      </c>
      <c r="F53" s="10" t="s">
        <v>36</v>
      </c>
      <c r="G53" s="10" t="s">
        <v>42</v>
      </c>
      <c r="H53" s="10" t="str">
        <f>G2</f>
        <v>Vendas</v>
      </c>
      <c r="I53" s="10" t="s">
        <v>11</v>
      </c>
      <c r="J53" s="10" t="s">
        <v>9</v>
      </c>
      <c r="K53" s="23"/>
      <c r="L53" s="23"/>
      <c r="M53" s="23"/>
      <c r="N53" s="23"/>
      <c r="O53" s="23"/>
      <c r="P53" s="23"/>
      <c r="Q53" s="23"/>
    </row>
    <row r="54" spans="1:17">
      <c r="A54" s="20" t="s">
        <v>55</v>
      </c>
      <c r="B54" s="19" t="s">
        <v>58</v>
      </c>
      <c r="C54" s="32">
        <f>427.5/45</f>
        <v>9.5</v>
      </c>
      <c r="D54" s="32">
        <f>270/45</f>
        <v>6</v>
      </c>
      <c r="E54" s="32">
        <f>382.5/45</f>
        <v>8.5</v>
      </c>
      <c r="F54" s="32">
        <f>360/45</f>
        <v>8</v>
      </c>
      <c r="G54" s="32">
        <f>382.5/45</f>
        <v>8.5</v>
      </c>
      <c r="H54" s="32">
        <f>371.3/45</f>
        <v>8.2511111111111113</v>
      </c>
      <c r="I54" s="20">
        <f>SUM(C54:H54)/6</f>
        <v>8.1251851851851864</v>
      </c>
      <c r="J54" s="20">
        <f>I54*27</f>
        <v>219.38000000000002</v>
      </c>
      <c r="K54" s="23"/>
      <c r="L54" s="23"/>
      <c r="M54" s="23"/>
      <c r="N54" s="23"/>
      <c r="O54" s="23"/>
      <c r="P54" s="23"/>
      <c r="Q54" s="23"/>
    </row>
    <row r="55" spans="1:17">
      <c r="A55" s="20" t="s">
        <v>57</v>
      </c>
      <c r="B55" s="19" t="s">
        <v>59</v>
      </c>
      <c r="C55" s="32">
        <f>225/45</f>
        <v>5</v>
      </c>
      <c r="D55" s="32">
        <f>303.8/45</f>
        <v>6.7511111111111113</v>
      </c>
      <c r="E55" s="32">
        <f>416.3/45</f>
        <v>9.2511111111111113</v>
      </c>
      <c r="F55" s="32">
        <f>416.3/45</f>
        <v>9.2511111111111113</v>
      </c>
      <c r="G55" s="32">
        <f>405/45</f>
        <v>9</v>
      </c>
      <c r="H55" s="32">
        <f>393.8/45</f>
        <v>8.7511111111111113</v>
      </c>
      <c r="I55" s="20">
        <f t="shared" ref="I55:I58" si="6">SUM(C55:H55)/6</f>
        <v>8.0007407407407403</v>
      </c>
      <c r="J55" s="20">
        <f t="shared" ref="J55:J58" si="7">I55*27</f>
        <v>216.01999999999998</v>
      </c>
      <c r="K55" s="23"/>
      <c r="L55" s="23"/>
      <c r="M55" s="23"/>
      <c r="N55" s="23"/>
      <c r="O55" s="23"/>
      <c r="P55" s="23"/>
      <c r="Q55" s="23"/>
    </row>
    <row r="56" spans="1:17">
      <c r="A56" s="20" t="s">
        <v>28</v>
      </c>
      <c r="B56" s="19" t="s">
        <v>56</v>
      </c>
      <c r="C56" s="32">
        <f>236.3/45</f>
        <v>5.2511111111111113</v>
      </c>
      <c r="D56" s="32">
        <f>303.8/45</f>
        <v>6.7511111111111113</v>
      </c>
      <c r="E56" s="32">
        <f>382.5/45</f>
        <v>8.5</v>
      </c>
      <c r="F56" s="32">
        <f>416.3/45</f>
        <v>9.2511111111111113</v>
      </c>
      <c r="G56" s="32">
        <f>315/45</f>
        <v>7</v>
      </c>
      <c r="H56" s="32">
        <f>348.8/45</f>
        <v>7.7511111111111113</v>
      </c>
      <c r="I56" s="20">
        <f t="shared" si="6"/>
        <v>7.4174074074074072</v>
      </c>
      <c r="J56" s="20">
        <f t="shared" si="7"/>
        <v>200.26999999999998</v>
      </c>
      <c r="K56" s="23"/>
      <c r="L56" s="23"/>
      <c r="M56" s="23"/>
      <c r="N56" s="23"/>
      <c r="O56" s="23"/>
      <c r="P56" s="23"/>
      <c r="Q56" s="23"/>
    </row>
    <row r="57" spans="1:17">
      <c r="A57" s="20" t="s">
        <v>47</v>
      </c>
      <c r="B57" s="19" t="s">
        <v>60</v>
      </c>
      <c r="C57" s="32">
        <f>258.8/45</f>
        <v>5.7511111111111113</v>
      </c>
      <c r="D57" s="32">
        <f>292.5/45</f>
        <v>6.5</v>
      </c>
      <c r="E57" s="32">
        <f>360/45</f>
        <v>8</v>
      </c>
      <c r="F57" s="32">
        <f>371.3/45</f>
        <v>8.2511111111111113</v>
      </c>
      <c r="G57" s="32">
        <f>258.8/45</f>
        <v>5.7511111111111113</v>
      </c>
      <c r="H57" s="32">
        <f>450/45</f>
        <v>10</v>
      </c>
      <c r="I57" s="20">
        <f t="shared" si="6"/>
        <v>7.3755555555555548</v>
      </c>
      <c r="J57" s="20">
        <f t="shared" si="7"/>
        <v>199.14</v>
      </c>
      <c r="K57" s="23"/>
      <c r="L57" s="23"/>
      <c r="M57" s="23"/>
      <c r="N57" s="23"/>
      <c r="O57" s="23"/>
      <c r="P57" s="23"/>
      <c r="Q57" s="23"/>
    </row>
    <row r="58" spans="1:17">
      <c r="A58" s="20" t="s">
        <v>20</v>
      </c>
      <c r="B58" s="19" t="s">
        <v>63</v>
      </c>
      <c r="C58" s="32">
        <f>281.3/45</f>
        <v>6.2511111111111113</v>
      </c>
      <c r="D58" s="32">
        <f t="shared" ref="D58" si="8">281.3/45</f>
        <v>6.2511111111111113</v>
      </c>
      <c r="E58" s="32">
        <f>270/45</f>
        <v>6</v>
      </c>
      <c r="F58" s="32">
        <f>360/45</f>
        <v>8</v>
      </c>
      <c r="G58" s="32">
        <f>247.5/45</f>
        <v>5.5</v>
      </c>
      <c r="H58" s="32">
        <f>450/45</f>
        <v>10</v>
      </c>
      <c r="I58" s="20">
        <f t="shared" si="6"/>
        <v>7.0003703703703701</v>
      </c>
      <c r="J58" s="20">
        <f t="shared" si="7"/>
        <v>189.01</v>
      </c>
      <c r="K58" s="23"/>
      <c r="L58" s="23"/>
      <c r="M58" s="23"/>
      <c r="N58" s="23"/>
      <c r="O58" s="23"/>
      <c r="P58" s="23"/>
      <c r="Q58" s="23"/>
    </row>
    <row r="59" spans="1:17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</row>
    <row r="60" spans="1:17" s="23" customFormat="1"/>
    <row r="61" spans="1:17" s="23" customFormat="1" ht="18.75">
      <c r="A61" s="72" t="s">
        <v>71</v>
      </c>
      <c r="B61" s="73"/>
      <c r="C61" s="73"/>
      <c r="D61" s="73"/>
      <c r="E61" s="73"/>
      <c r="F61" s="73"/>
      <c r="G61" s="73"/>
      <c r="H61" s="73"/>
      <c r="I61" s="73"/>
      <c r="J61" s="74"/>
    </row>
    <row r="62" spans="1:17" s="23" customFormat="1">
      <c r="A62" s="10" t="s">
        <v>4</v>
      </c>
      <c r="B62" s="10" t="s">
        <v>51</v>
      </c>
      <c r="C62" s="10" t="s">
        <v>68</v>
      </c>
      <c r="D62" s="10" t="s">
        <v>69</v>
      </c>
      <c r="E62" s="10" t="s">
        <v>70</v>
      </c>
      <c r="F62" s="10" t="s">
        <v>36</v>
      </c>
      <c r="G62" s="10" t="s">
        <v>42</v>
      </c>
      <c r="H62" s="10" t="s">
        <v>40</v>
      </c>
      <c r="I62" s="10" t="s">
        <v>11</v>
      </c>
      <c r="J62" s="10" t="s">
        <v>9</v>
      </c>
    </row>
    <row r="63" spans="1:17" s="23" customFormat="1">
      <c r="A63" s="20" t="s">
        <v>55</v>
      </c>
      <c r="B63" s="19" t="s">
        <v>59</v>
      </c>
      <c r="C63" s="32">
        <f>35.63/5</f>
        <v>7.1260000000000003</v>
      </c>
      <c r="D63" s="32">
        <f>34.69/5</f>
        <v>6.9379999999999997</v>
      </c>
      <c r="E63" s="32">
        <f>30/5</f>
        <v>6</v>
      </c>
      <c r="F63" s="32">
        <f>43.75/5</f>
        <v>8.75</v>
      </c>
      <c r="G63" s="32">
        <f>44.69/5</f>
        <v>8.9379999999999988</v>
      </c>
      <c r="H63" s="32">
        <f>41.25/5</f>
        <v>8.25</v>
      </c>
      <c r="I63" s="20">
        <f>SUM(C63:H63)/6</f>
        <v>7.6669999999999989</v>
      </c>
      <c r="J63" s="20">
        <f>I63*5</f>
        <v>38.334999999999994</v>
      </c>
    </row>
    <row r="64" spans="1:17" s="23" customFormat="1">
      <c r="A64" s="20" t="s">
        <v>57</v>
      </c>
      <c r="B64" s="19" t="s">
        <v>56</v>
      </c>
      <c r="C64" s="32">
        <f>42.5/5</f>
        <v>8.5</v>
      </c>
      <c r="D64" s="32">
        <f>32.81/5</f>
        <v>6.5620000000000003</v>
      </c>
      <c r="E64" s="32">
        <f>43.75/5</f>
        <v>8.75</v>
      </c>
      <c r="F64" s="32">
        <f>40/5</f>
        <v>8</v>
      </c>
      <c r="G64" s="32">
        <f>31.56/5</f>
        <v>6.3119999999999994</v>
      </c>
      <c r="H64" s="32">
        <f>36.25/5</f>
        <v>7.25</v>
      </c>
      <c r="I64" s="20">
        <f t="shared" ref="I64:I67" si="9">SUM(C64:H64)/6</f>
        <v>7.562333333333334</v>
      </c>
      <c r="J64" s="20">
        <f t="shared" ref="J64:J67" si="10">I64*5</f>
        <v>37.811666666666667</v>
      </c>
    </row>
    <row r="65" spans="1:17" s="23" customFormat="1">
      <c r="A65" s="20" t="s">
        <v>28</v>
      </c>
      <c r="B65" s="19" t="s">
        <v>58</v>
      </c>
      <c r="C65" s="32">
        <f>43.75/5</f>
        <v>8.75</v>
      </c>
      <c r="D65" s="32">
        <f>22.19/5</f>
        <v>4.4380000000000006</v>
      </c>
      <c r="E65" s="32">
        <f>41.88/5</f>
        <v>8.3760000000000012</v>
      </c>
      <c r="F65" s="32">
        <f>41.25/5</f>
        <v>8.25</v>
      </c>
      <c r="G65" s="32">
        <f>38.75/5</f>
        <v>7.75</v>
      </c>
      <c r="H65" s="32">
        <f>31.88/5</f>
        <v>6.3759999999999994</v>
      </c>
      <c r="I65" s="20">
        <f t="shared" si="9"/>
        <v>7.3233333333333333</v>
      </c>
      <c r="J65" s="20">
        <f t="shared" si="10"/>
        <v>36.616666666666667</v>
      </c>
    </row>
    <row r="66" spans="1:17" s="23" customFormat="1">
      <c r="A66" s="20" t="s">
        <v>47</v>
      </c>
      <c r="B66" s="19" t="s">
        <v>72</v>
      </c>
      <c r="C66" s="32">
        <f>30/5</f>
        <v>6</v>
      </c>
      <c r="D66" s="32">
        <f>25/5</f>
        <v>5</v>
      </c>
      <c r="E66" s="32">
        <f>33.75/5</f>
        <v>6.75</v>
      </c>
      <c r="F66" s="32">
        <f>41.25/5</f>
        <v>8.25</v>
      </c>
      <c r="G66" s="32">
        <f>42.5/5</f>
        <v>8.5</v>
      </c>
      <c r="H66" s="32">
        <f>38.75/5</f>
        <v>7.75</v>
      </c>
      <c r="I66" s="20">
        <f t="shared" si="9"/>
        <v>7.041666666666667</v>
      </c>
      <c r="J66" s="20">
        <f t="shared" si="10"/>
        <v>35.208333333333336</v>
      </c>
    </row>
    <row r="67" spans="1:17">
      <c r="A67" s="20" t="s">
        <v>20</v>
      </c>
      <c r="B67" s="19" t="s">
        <v>63</v>
      </c>
      <c r="C67" s="32">
        <f>34.38/5</f>
        <v>6.8760000000000003</v>
      </c>
      <c r="D67" s="32">
        <f>29.38/5</f>
        <v>5.8759999999999994</v>
      </c>
      <c r="E67" s="32">
        <f>28.13/5</f>
        <v>5.6259999999999994</v>
      </c>
      <c r="F67" s="32">
        <f>42.5/5</f>
        <v>8.5</v>
      </c>
      <c r="G67" s="32">
        <f>41.56/5</f>
        <v>8.3120000000000012</v>
      </c>
      <c r="H67" s="32">
        <f>33.75/5</f>
        <v>6.75</v>
      </c>
      <c r="I67" s="20">
        <f t="shared" si="9"/>
        <v>6.9899999999999993</v>
      </c>
      <c r="J67" s="20">
        <f t="shared" si="10"/>
        <v>34.949999999999996</v>
      </c>
      <c r="K67" s="23"/>
      <c r="L67" s="23"/>
      <c r="M67" s="23"/>
      <c r="N67" s="23"/>
      <c r="O67" s="23"/>
      <c r="P67" s="23"/>
      <c r="Q67" s="23"/>
    </row>
    <row r="68" spans="1:1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</row>
    <row r="69" spans="1:1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</row>
    <row r="70" spans="1:17" ht="15" customHeight="1">
      <c r="A70" s="86" t="s">
        <v>73</v>
      </c>
      <c r="B70" s="86"/>
      <c r="C70" s="86"/>
      <c r="D70" s="86"/>
      <c r="E70" s="86"/>
      <c r="F70" s="86"/>
      <c r="G70" s="86"/>
      <c r="H70" s="86"/>
      <c r="I70" s="23"/>
      <c r="J70" s="23"/>
      <c r="K70" s="23"/>
      <c r="L70" s="23"/>
      <c r="M70" s="23"/>
      <c r="N70" s="23"/>
      <c r="O70" s="23"/>
      <c r="P70" s="23"/>
      <c r="Q70" s="23"/>
    </row>
    <row r="71" spans="1:17" ht="15" customHeight="1">
      <c r="A71" s="86"/>
      <c r="B71" s="86"/>
      <c r="C71" s="86"/>
      <c r="D71" s="86"/>
      <c r="E71" s="86"/>
      <c r="F71" s="86"/>
      <c r="G71" s="86"/>
      <c r="H71" s="86"/>
      <c r="I71" s="23"/>
      <c r="J71" s="23"/>
      <c r="K71" s="23"/>
      <c r="L71" s="23"/>
      <c r="M71" s="23"/>
      <c r="N71" s="23"/>
      <c r="O71" s="23"/>
      <c r="P71" s="23"/>
      <c r="Q71" s="23"/>
    </row>
    <row r="72" spans="1:17">
      <c r="A72" s="10" t="s">
        <v>4</v>
      </c>
      <c r="B72" s="10" t="s">
        <v>44</v>
      </c>
      <c r="C72" s="10" t="s">
        <v>5</v>
      </c>
      <c r="D72" s="10" t="s">
        <v>74</v>
      </c>
      <c r="E72" s="10" t="s">
        <v>7</v>
      </c>
      <c r="F72" s="10" t="s">
        <v>48</v>
      </c>
      <c r="G72" s="10" t="s">
        <v>11</v>
      </c>
      <c r="H72" s="10" t="s">
        <v>75</v>
      </c>
      <c r="I72" s="23"/>
      <c r="J72" s="23"/>
      <c r="K72" s="23"/>
      <c r="L72" s="23"/>
      <c r="M72" s="23"/>
      <c r="N72" s="23"/>
      <c r="O72" s="23"/>
      <c r="P72" s="23"/>
      <c r="Q72" s="23"/>
    </row>
    <row r="73" spans="1:17">
      <c r="A73" s="19" t="s">
        <v>55</v>
      </c>
      <c r="B73" s="20">
        <f>K27</f>
        <v>8.2774999999999999</v>
      </c>
      <c r="C73" s="20">
        <f>K36</f>
        <v>7.9031249999999993</v>
      </c>
      <c r="D73" s="20">
        <f>K45</f>
        <v>8.1875</v>
      </c>
      <c r="E73" s="20">
        <f>I54</f>
        <v>8.1251851851851864</v>
      </c>
      <c r="F73" s="20">
        <f>I63</f>
        <v>7.6669999999999989</v>
      </c>
      <c r="G73" s="20">
        <f>AVERAGE(B73:F73)</f>
        <v>8.0320620370370381</v>
      </c>
      <c r="H73" s="20">
        <f>(G73/$G$73)*100</f>
        <v>100</v>
      </c>
      <c r="I73" s="23"/>
      <c r="J73" s="23"/>
      <c r="K73" s="23"/>
      <c r="L73" s="23"/>
      <c r="M73" s="23"/>
      <c r="N73" s="23"/>
      <c r="O73" s="23"/>
      <c r="P73" s="23"/>
      <c r="Q73" s="23"/>
    </row>
    <row r="74" spans="1:17">
      <c r="A74" s="19" t="s">
        <v>57</v>
      </c>
      <c r="B74" s="20">
        <f t="shared" ref="B74:B77" si="11">K28</f>
        <v>8.2624999999999993</v>
      </c>
      <c r="C74" s="20">
        <f>K37</f>
        <v>7.2281250000000004</v>
      </c>
      <c r="D74" s="20">
        <f>K46</f>
        <v>8.0225000000000009</v>
      </c>
      <c r="E74" s="20">
        <f>I55</f>
        <v>8.0007407407407403</v>
      </c>
      <c r="F74" s="20">
        <f t="shared" ref="F74:F77" si="12">I64</f>
        <v>7.562333333333334</v>
      </c>
      <c r="G74" s="20">
        <f t="shared" ref="G74:G77" si="13">AVERAGE(B74:F74)</f>
        <v>7.8152398148148148</v>
      </c>
      <c r="H74" s="20">
        <f>(G74/$G$73)*100</f>
        <v>97.30054099156078</v>
      </c>
      <c r="I74" s="23"/>
      <c r="J74" s="23"/>
      <c r="K74" s="23"/>
      <c r="L74" s="23"/>
      <c r="M74" s="23"/>
      <c r="N74" s="23"/>
      <c r="O74" s="23"/>
      <c r="P74" s="23"/>
      <c r="Q74" s="23"/>
    </row>
    <row r="75" spans="1:17">
      <c r="A75" s="19" t="s">
        <v>28</v>
      </c>
      <c r="B75" s="20">
        <f t="shared" si="11"/>
        <v>7.8012499999999996</v>
      </c>
      <c r="C75" s="20">
        <f>K38</f>
        <v>7.225625</v>
      </c>
      <c r="D75" s="20">
        <f>K47</f>
        <v>7.8</v>
      </c>
      <c r="E75" s="20">
        <f>I56</f>
        <v>7.4174074074074072</v>
      </c>
      <c r="F75" s="20">
        <f t="shared" si="12"/>
        <v>7.3233333333333333</v>
      </c>
      <c r="G75" s="30">
        <f t="shared" si="13"/>
        <v>7.5135231481481481</v>
      </c>
      <c r="H75" s="30">
        <f>(G75/$G$73)*100</f>
        <v>93.544137402103843</v>
      </c>
      <c r="I75" s="23"/>
      <c r="J75" s="23"/>
      <c r="K75" s="23"/>
      <c r="L75" s="23"/>
      <c r="M75" s="23"/>
      <c r="N75" s="23"/>
      <c r="O75" s="23"/>
      <c r="P75" s="23"/>
      <c r="Q75" s="23"/>
    </row>
    <row r="76" spans="1:17">
      <c r="A76" s="19" t="s">
        <v>47</v>
      </c>
      <c r="B76" s="20">
        <f t="shared" si="11"/>
        <v>7.5662500000000001</v>
      </c>
      <c r="C76" s="20">
        <f>K39</f>
        <v>7.0925625000000005</v>
      </c>
      <c r="D76" s="20">
        <f>K48</f>
        <v>7.335</v>
      </c>
      <c r="E76" s="20">
        <f>I57</f>
        <v>7.3755555555555548</v>
      </c>
      <c r="F76" s="20">
        <f t="shared" si="12"/>
        <v>7.041666666666667</v>
      </c>
      <c r="G76" s="20">
        <f t="shared" si="13"/>
        <v>7.2822069444444439</v>
      </c>
      <c r="H76" s="20">
        <f>(G76/$G$73)*100</f>
        <v>90.664226830732872</v>
      </c>
      <c r="I76" s="23"/>
      <c r="J76" s="23"/>
      <c r="K76" s="23"/>
      <c r="L76" s="23"/>
      <c r="M76" s="23"/>
      <c r="N76" s="23"/>
      <c r="O76" s="23"/>
      <c r="P76" s="23"/>
      <c r="Q76" s="23"/>
    </row>
    <row r="77" spans="1:17">
      <c r="A77" s="19" t="s">
        <v>20</v>
      </c>
      <c r="B77" s="20">
        <f t="shared" si="11"/>
        <v>7.2275</v>
      </c>
      <c r="C77" s="20">
        <f>K40</f>
        <v>6.8781249999999998</v>
      </c>
      <c r="D77" s="20">
        <f>K49</f>
        <v>7.2224999999999993</v>
      </c>
      <c r="E77" s="20">
        <f>I58</f>
        <v>7.0003703703703701</v>
      </c>
      <c r="F77" s="20">
        <f t="shared" si="12"/>
        <v>6.9899999999999993</v>
      </c>
      <c r="G77" s="20">
        <f t="shared" si="13"/>
        <v>7.0636990740740746</v>
      </c>
      <c r="H77" s="20">
        <f>(G77/$G$73)*100</f>
        <v>87.943781329156849</v>
      </c>
      <c r="I77" s="23"/>
      <c r="J77" s="23"/>
      <c r="K77" s="23"/>
      <c r="L77" s="23"/>
      <c r="M77" s="23"/>
      <c r="N77" s="23"/>
      <c r="O77" s="23"/>
      <c r="P77" s="23"/>
      <c r="Q77" s="23"/>
    </row>
    <row r="78" spans="1:17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</row>
    <row r="81" spans="1:17">
      <c r="A81" s="25" t="s">
        <v>51</v>
      </c>
      <c r="B81" s="25" t="s">
        <v>76</v>
      </c>
      <c r="C81" s="25" t="s">
        <v>77</v>
      </c>
      <c r="D81" s="25" t="s">
        <v>78</v>
      </c>
      <c r="E81" s="25" t="s">
        <v>79</v>
      </c>
      <c r="F81" s="25" t="s">
        <v>80</v>
      </c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spans="1:17">
      <c r="A82" s="19" t="s">
        <v>58</v>
      </c>
      <c r="B82" s="20">
        <f>K45</f>
        <v>8.1875</v>
      </c>
      <c r="C82" s="20">
        <f>(8.04+8.54+8.17+9.04+9.21+8.04+7.46+7)/8</f>
        <v>8.1875</v>
      </c>
      <c r="D82" s="20">
        <f>I54</f>
        <v>8.1251851851851864</v>
      </c>
      <c r="E82" s="20">
        <f>(7.25+9.25+8.25+5+6.75+6+8.5+4.75)/8</f>
        <v>6.96875</v>
      </c>
      <c r="F82" s="20">
        <f>I65</f>
        <v>7.3233333333333333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>
      <c r="A83" s="19" t="s">
        <v>59</v>
      </c>
      <c r="B83" s="20">
        <f>K49</f>
        <v>7.2224999999999993</v>
      </c>
      <c r="C83" s="20">
        <f>(6.67+8.63+8.33+6.38+8.29+4.67+7.42+5.25)/8</f>
        <v>6.9550000000000001</v>
      </c>
      <c r="D83" s="20">
        <f>I55</f>
        <v>8.0007407407407403</v>
      </c>
      <c r="E83" s="20">
        <f>(8+9+6.75+3.75+7.75+7.5+8+8.75)/8</f>
        <v>7.4375</v>
      </c>
      <c r="F83" s="20">
        <f>I63</f>
        <v>7.6669999999999989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</row>
    <row r="84" spans="1:17">
      <c r="A84" s="19" t="s">
        <v>63</v>
      </c>
      <c r="B84" s="20" t="s">
        <v>45</v>
      </c>
      <c r="C84" s="20">
        <f>(7.75+8.29+3.83+6.08+8.25+6.5+4.33+6.17)/8</f>
        <v>6.3999999999999995</v>
      </c>
      <c r="D84" s="20">
        <f>I58</f>
        <v>7.0003703703703701</v>
      </c>
      <c r="E84" s="20">
        <f>(5.25+7.25+4.75+4.5+6.25+7.75+7.25+8.75)/8</f>
        <v>6.46875</v>
      </c>
      <c r="F84" s="20">
        <f>I67</f>
        <v>6.9899999999999993</v>
      </c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 spans="1:17">
      <c r="A85" s="19" t="s">
        <v>56</v>
      </c>
      <c r="B85" s="20">
        <f>K46</f>
        <v>8.0225000000000009</v>
      </c>
      <c r="C85" s="20">
        <f>(7.67+2.21+8.04+7.25+8.29+5.42+7.79+4.46)/8</f>
        <v>6.3912499999999994</v>
      </c>
      <c r="D85" s="20">
        <f>I56</f>
        <v>7.4174074074074072</v>
      </c>
      <c r="E85" s="20">
        <f>(8.25+8.25+5.25+6.25+6.5+5.75+6.5+3.25)/8</f>
        <v>6.25</v>
      </c>
      <c r="F85" s="20">
        <f>I64</f>
        <v>7.562333333333334</v>
      </c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97" spans="1:1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</row>
    <row r="98" spans="1:17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</row>
    <row r="101" spans="1:17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</row>
    <row r="102" spans="1:17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</row>
    <row r="103" spans="1:17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</row>
    <row r="104" spans="1:17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</row>
    <row r="107" spans="1:17" ht="15" customHeight="1">
      <c r="A107" s="64" t="s">
        <v>35</v>
      </c>
      <c r="B107" s="64"/>
      <c r="C107" s="64"/>
      <c r="D107" s="23"/>
      <c r="E107" s="64" t="s">
        <v>12</v>
      </c>
      <c r="F107" s="64"/>
      <c r="G107" s="64"/>
      <c r="H107" s="64"/>
      <c r="I107" s="23"/>
      <c r="J107" s="64" t="s">
        <v>39</v>
      </c>
      <c r="K107" s="64"/>
      <c r="L107" s="64"/>
      <c r="M107" s="23"/>
      <c r="N107" s="64" t="s">
        <v>12</v>
      </c>
      <c r="O107" s="64"/>
      <c r="P107" s="64"/>
      <c r="Q107" s="64"/>
    </row>
    <row r="108" spans="1:17" ht="15" customHeight="1">
      <c r="A108" s="64"/>
      <c r="B108" s="64"/>
      <c r="C108" s="64"/>
      <c r="D108" s="23"/>
      <c r="E108" s="64"/>
      <c r="F108" s="64"/>
      <c r="G108" s="64"/>
      <c r="H108" s="64"/>
      <c r="I108" s="23"/>
      <c r="J108" s="64"/>
      <c r="K108" s="64"/>
      <c r="L108" s="64"/>
      <c r="M108" s="23"/>
      <c r="N108" s="64"/>
      <c r="O108" s="64"/>
      <c r="P108" s="64"/>
      <c r="Q108" s="64"/>
    </row>
    <row r="109" spans="1:17">
      <c r="A109" s="25" t="s">
        <v>1</v>
      </c>
      <c r="B109" s="25" t="s">
        <v>9</v>
      </c>
      <c r="C109" s="25" t="s">
        <v>10</v>
      </c>
      <c r="D109" s="23"/>
      <c r="E109" s="3" t="s">
        <v>13</v>
      </c>
      <c r="F109" s="3" t="s">
        <v>14</v>
      </c>
      <c r="G109" s="3" t="s">
        <v>15</v>
      </c>
      <c r="H109" s="3" t="s">
        <v>16</v>
      </c>
      <c r="I109" s="23"/>
      <c r="J109" s="25" t="s">
        <v>1</v>
      </c>
      <c r="K109" s="25" t="s">
        <v>9</v>
      </c>
      <c r="L109" s="25" t="s">
        <v>10</v>
      </c>
      <c r="M109" s="23"/>
      <c r="N109" s="3" t="s">
        <v>13</v>
      </c>
      <c r="O109" s="3" t="s">
        <v>14</v>
      </c>
      <c r="P109" s="3" t="s">
        <v>15</v>
      </c>
      <c r="Q109" s="3" t="s">
        <v>16</v>
      </c>
    </row>
    <row r="110" spans="1:17" s="23" customFormat="1">
      <c r="A110" s="19" t="s">
        <v>44</v>
      </c>
      <c r="B110" s="20">
        <v>6.25</v>
      </c>
      <c r="C110" s="20">
        <f>(B110/10)*100</f>
        <v>62.5</v>
      </c>
      <c r="E110" s="4">
        <f>IF((C113-C110)/4&lt;0,"0",(C113-C110)/4)</f>
        <v>1.5650000000000013</v>
      </c>
      <c r="F110" s="5">
        <f>(C113*1.5+C114*1)/2.5</f>
        <v>68.432000000000002</v>
      </c>
      <c r="G110" s="5">
        <f>F110+E110</f>
        <v>69.997</v>
      </c>
      <c r="H110" s="62">
        <v>7.25</v>
      </c>
      <c r="J110" s="19" t="s">
        <v>44</v>
      </c>
      <c r="K110" s="20">
        <v>2</v>
      </c>
      <c r="L110" s="20">
        <f>(K110/10)*100</f>
        <v>20</v>
      </c>
      <c r="N110" s="4">
        <f>IF((L113-L110)/4&lt;0,"0",(L113-L110)/4)</f>
        <v>9.6899999999999977</v>
      </c>
      <c r="O110" s="5">
        <f>(L113*1.5+L114*1)/2.5</f>
        <v>54.947499999999991</v>
      </c>
      <c r="P110" s="5">
        <f>O110+N110</f>
        <v>64.637499999999989</v>
      </c>
      <c r="Q110" s="62">
        <v>7</v>
      </c>
    </row>
    <row r="111" spans="1:17">
      <c r="A111" s="19" t="s">
        <v>5</v>
      </c>
      <c r="B111" s="20">
        <v>7.8</v>
      </c>
      <c r="C111" s="20">
        <f>(B111/10)*100</f>
        <v>78</v>
      </c>
      <c r="D111" s="23"/>
      <c r="E111" s="23"/>
      <c r="F111" s="23"/>
      <c r="G111" s="23"/>
      <c r="H111" s="4">
        <f>(G110*10/100)</f>
        <v>6.9997000000000007</v>
      </c>
      <c r="I111" s="23"/>
      <c r="J111" s="19" t="s">
        <v>5</v>
      </c>
      <c r="K111" s="20">
        <f>F4</f>
        <v>5.5655000000000001</v>
      </c>
      <c r="L111" s="20">
        <f>(K111/10)*100</f>
        <v>55.655000000000001</v>
      </c>
      <c r="M111" s="23"/>
      <c r="N111" s="23"/>
      <c r="O111" s="23"/>
      <c r="P111" s="23"/>
      <c r="Q111" s="4">
        <f>(P110*10/100)</f>
        <v>6.4637499999999992</v>
      </c>
    </row>
    <row r="112" spans="1:17">
      <c r="A112" s="19" t="s">
        <v>7</v>
      </c>
      <c r="B112" s="20">
        <v>6.25</v>
      </c>
      <c r="C112" s="20">
        <f>(B112/10)*100</f>
        <v>62.5</v>
      </c>
      <c r="D112" s="23"/>
      <c r="E112" s="23"/>
      <c r="F112" s="23"/>
      <c r="G112" s="23"/>
      <c r="H112" s="23"/>
      <c r="I112" s="23"/>
      <c r="J112" s="19" t="s">
        <v>7</v>
      </c>
      <c r="K112" s="20">
        <f>F5</f>
        <v>6.25</v>
      </c>
      <c r="L112" s="20">
        <f>(K112/10)*100</f>
        <v>62.5</v>
      </c>
      <c r="M112" s="23"/>
      <c r="N112" s="23"/>
      <c r="O112" s="23"/>
      <c r="P112" s="23"/>
      <c r="Q112" s="23"/>
    </row>
    <row r="113" spans="1:17" s="23" customFormat="1">
      <c r="A113" s="19" t="s">
        <v>48</v>
      </c>
      <c r="B113" s="20">
        <f>34.38/5</f>
        <v>6.8760000000000003</v>
      </c>
      <c r="C113" s="20">
        <f>(B113/10)*100</f>
        <v>68.760000000000005</v>
      </c>
      <c r="J113" s="19" t="s">
        <v>48</v>
      </c>
      <c r="K113" s="20">
        <f>29.38/5</f>
        <v>5.8759999999999994</v>
      </c>
      <c r="L113" s="20">
        <f>(K113/10)*100</f>
        <v>58.759999999999991</v>
      </c>
    </row>
    <row r="114" spans="1:17">
      <c r="A114" s="19" t="s">
        <v>11</v>
      </c>
      <c r="B114" s="20">
        <f>AVERAGE(B110:B113)</f>
        <v>6.7940000000000005</v>
      </c>
      <c r="C114" s="20">
        <f>AVERAGE(C110:C113)</f>
        <v>67.94</v>
      </c>
      <c r="D114" s="23"/>
      <c r="E114" s="23"/>
      <c r="F114" s="23"/>
      <c r="G114" s="23"/>
      <c r="H114" s="23"/>
      <c r="I114" s="23"/>
      <c r="J114" s="19" t="s">
        <v>11</v>
      </c>
      <c r="K114" s="20">
        <f>AVERAGE(K110:K113)</f>
        <v>4.9228749999999994</v>
      </c>
      <c r="L114" s="20">
        <f>AVERAGE(L110:L113)</f>
        <v>49.228749999999998</v>
      </c>
      <c r="M114" s="23"/>
      <c r="N114" s="23"/>
      <c r="O114" s="23"/>
      <c r="P114" s="23"/>
      <c r="Q114" s="23"/>
    </row>
    <row r="115" spans="1:17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spans="1:17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 spans="1:17" ht="15" customHeight="1">
      <c r="A117" s="64" t="s">
        <v>36</v>
      </c>
      <c r="B117" s="64"/>
      <c r="C117" s="64"/>
      <c r="D117" s="23"/>
      <c r="E117" s="64" t="s">
        <v>12</v>
      </c>
      <c r="F117" s="64"/>
      <c r="G117" s="64"/>
      <c r="H117" s="64"/>
      <c r="I117" s="23"/>
      <c r="J117" s="64" t="s">
        <v>40</v>
      </c>
      <c r="K117" s="64"/>
      <c r="L117" s="64"/>
      <c r="M117" s="23"/>
      <c r="N117" s="64" t="s">
        <v>12</v>
      </c>
      <c r="O117" s="64"/>
      <c r="P117" s="64"/>
      <c r="Q117" s="64"/>
    </row>
    <row r="118" spans="1:17" ht="15" customHeight="1">
      <c r="A118" s="64"/>
      <c r="B118" s="64"/>
      <c r="C118" s="64"/>
      <c r="D118" s="23"/>
      <c r="E118" s="64"/>
      <c r="F118" s="64"/>
      <c r="G118" s="64"/>
      <c r="H118" s="64"/>
      <c r="I118" s="23"/>
      <c r="J118" s="64"/>
      <c r="K118" s="64"/>
      <c r="L118" s="64"/>
      <c r="M118" s="23"/>
      <c r="N118" s="64"/>
      <c r="O118" s="64"/>
      <c r="P118" s="64"/>
      <c r="Q118" s="64"/>
    </row>
    <row r="119" spans="1:17">
      <c r="A119" s="25" t="s">
        <v>1</v>
      </c>
      <c r="B119" s="25" t="s">
        <v>9</v>
      </c>
      <c r="C119" s="25" t="s">
        <v>10</v>
      </c>
      <c r="D119" s="23"/>
      <c r="E119" s="3" t="s">
        <v>13</v>
      </c>
      <c r="F119" s="3" t="s">
        <v>14</v>
      </c>
      <c r="G119" s="3" t="s">
        <v>15</v>
      </c>
      <c r="H119" s="3" t="s">
        <v>16</v>
      </c>
      <c r="I119" s="23"/>
      <c r="J119" s="25" t="s">
        <v>1</v>
      </c>
      <c r="K119" s="25" t="s">
        <v>9</v>
      </c>
      <c r="L119" s="25" t="s">
        <v>10</v>
      </c>
      <c r="M119" s="23"/>
      <c r="N119" s="3" t="s">
        <v>13</v>
      </c>
      <c r="O119" s="3" t="s">
        <v>14</v>
      </c>
      <c r="P119" s="3" t="s">
        <v>15</v>
      </c>
      <c r="Q119" s="3" t="s">
        <v>16</v>
      </c>
    </row>
    <row r="120" spans="1:17" s="23" customFormat="1">
      <c r="A120" s="19" t="s">
        <v>44</v>
      </c>
      <c r="B120" s="20">
        <v>3.4</v>
      </c>
      <c r="C120" s="20">
        <f>(B120/10)*100</f>
        <v>34</v>
      </c>
      <c r="E120" s="4">
        <f>IF((C123-C120)/4&lt;0,"0",(C123-C120)/4)</f>
        <v>12.75</v>
      </c>
      <c r="F120" s="5">
        <f>(C123*1.5+C124*1)/2.5</f>
        <v>76.5</v>
      </c>
      <c r="G120" s="5">
        <f>F120+E120</f>
        <v>89.25</v>
      </c>
      <c r="H120" s="62">
        <v>8.5</v>
      </c>
      <c r="J120" s="19" t="s">
        <v>44</v>
      </c>
      <c r="K120" s="20">
        <v>7.6</v>
      </c>
      <c r="L120" s="20">
        <f>(K120/10)*100</f>
        <v>76</v>
      </c>
      <c r="N120" s="4" t="str">
        <f>IF((L123-L120)/4&lt;0,"0",(L123-L120)/4)</f>
        <v>0</v>
      </c>
      <c r="O120" s="5">
        <f>(L123*1.5+L124*1)/2.5</f>
        <v>72.849999999999994</v>
      </c>
      <c r="P120" s="5">
        <f>O120+N120</f>
        <v>72.849999999999994</v>
      </c>
      <c r="Q120" s="62">
        <v>8</v>
      </c>
    </row>
    <row r="121" spans="1:17">
      <c r="A121" s="19" t="s">
        <v>5</v>
      </c>
      <c r="B121" s="20">
        <f>C4</f>
        <v>5.6</v>
      </c>
      <c r="C121" s="20">
        <f>(B121/10)*100</f>
        <v>55.999999999999993</v>
      </c>
      <c r="D121" s="23"/>
      <c r="E121" s="23"/>
      <c r="F121" s="23"/>
      <c r="G121" s="23"/>
      <c r="H121" s="4">
        <f>(G120*10/100)</f>
        <v>8.9250000000000007</v>
      </c>
      <c r="I121" s="23"/>
      <c r="J121" s="19" t="s">
        <v>5</v>
      </c>
      <c r="K121" s="20">
        <f>G4</f>
        <v>8</v>
      </c>
      <c r="L121" s="20">
        <f>(K121/10)*100</f>
        <v>80</v>
      </c>
      <c r="M121" s="23"/>
      <c r="N121" s="23"/>
      <c r="O121" s="23"/>
      <c r="P121" s="23"/>
      <c r="Q121" s="4">
        <f>(P120*10/100)</f>
        <v>7.2850000000000001</v>
      </c>
    </row>
    <row r="122" spans="1:17">
      <c r="A122" s="19" t="s">
        <v>7</v>
      </c>
      <c r="B122" s="20">
        <f>C5</f>
        <v>8</v>
      </c>
      <c r="C122" s="20">
        <f>(B122/10)*100</f>
        <v>80</v>
      </c>
      <c r="D122" s="23"/>
      <c r="E122" s="23"/>
      <c r="F122" s="23"/>
      <c r="G122" s="23"/>
      <c r="H122" s="23"/>
      <c r="I122" s="23"/>
      <c r="J122" s="19" t="s">
        <v>7</v>
      </c>
      <c r="K122" s="20">
        <f>G5</f>
        <v>10</v>
      </c>
      <c r="L122" s="20">
        <f>(K122/10)*100</f>
        <v>100</v>
      </c>
      <c r="M122" s="23"/>
      <c r="N122" s="23"/>
      <c r="O122" s="23"/>
      <c r="P122" s="23"/>
      <c r="Q122" s="23"/>
    </row>
    <row r="123" spans="1:17" s="23" customFormat="1">
      <c r="A123" s="19" t="s">
        <v>48</v>
      </c>
      <c r="B123" s="20">
        <f>42.5/5</f>
        <v>8.5</v>
      </c>
      <c r="C123" s="20">
        <f>(B123/10)*100</f>
        <v>85</v>
      </c>
      <c r="J123" s="19" t="s">
        <v>48</v>
      </c>
      <c r="K123" s="20">
        <f>33.75/5</f>
        <v>6.75</v>
      </c>
      <c r="L123" s="20">
        <f>(K123/10)*100</f>
        <v>67.5</v>
      </c>
    </row>
    <row r="124" spans="1:17">
      <c r="A124" s="19" t="s">
        <v>11</v>
      </c>
      <c r="B124" s="20">
        <f>AVERAGE(B120:B123)</f>
        <v>6.375</v>
      </c>
      <c r="C124" s="20">
        <f>AVERAGE(C120:C123)</f>
        <v>63.75</v>
      </c>
      <c r="D124" s="23"/>
      <c r="E124" s="23"/>
      <c r="F124" s="23"/>
      <c r="G124" s="23"/>
      <c r="H124" s="23"/>
      <c r="I124" s="23"/>
      <c r="J124" s="19" t="s">
        <v>11</v>
      </c>
      <c r="K124" s="20">
        <f>AVERAGE(K120:K123)</f>
        <v>8.0875000000000004</v>
      </c>
      <c r="L124" s="20">
        <f>AVERAGE(L120:L123)</f>
        <v>80.875</v>
      </c>
      <c r="M124" s="23"/>
      <c r="N124" s="23"/>
      <c r="O124" s="23"/>
      <c r="P124" s="23"/>
      <c r="Q124" s="23"/>
    </row>
    <row r="127" spans="1:17" ht="15" customHeight="1">
      <c r="A127" s="64" t="s">
        <v>37</v>
      </c>
      <c r="B127" s="64"/>
      <c r="C127" s="64"/>
      <c r="D127" s="23"/>
      <c r="E127" s="64" t="s">
        <v>12</v>
      </c>
      <c r="F127" s="64"/>
      <c r="G127" s="64"/>
      <c r="H127" s="64"/>
      <c r="I127" s="23"/>
      <c r="J127" s="64" t="s">
        <v>81</v>
      </c>
      <c r="K127" s="64"/>
      <c r="L127" s="64"/>
      <c r="M127" s="23"/>
      <c r="N127" s="64" t="s">
        <v>12</v>
      </c>
      <c r="O127" s="64"/>
      <c r="P127" s="64"/>
      <c r="Q127" s="64"/>
    </row>
    <row r="128" spans="1:17" ht="15" customHeight="1">
      <c r="A128" s="64"/>
      <c r="B128" s="64"/>
      <c r="C128" s="64"/>
      <c r="D128" s="23"/>
      <c r="E128" s="64"/>
      <c r="F128" s="64"/>
      <c r="G128" s="64"/>
      <c r="H128" s="64"/>
      <c r="I128" s="23"/>
      <c r="J128" s="64"/>
      <c r="K128" s="64"/>
      <c r="L128" s="64"/>
      <c r="M128" s="23"/>
      <c r="N128" s="64"/>
      <c r="O128" s="64"/>
      <c r="P128" s="64"/>
      <c r="Q128" s="64"/>
    </row>
    <row r="129" spans="1:17">
      <c r="A129" s="25" t="s">
        <v>1</v>
      </c>
      <c r="B129" s="25" t="s">
        <v>9</v>
      </c>
      <c r="C129" s="25" t="s">
        <v>10</v>
      </c>
      <c r="D129" s="23"/>
      <c r="E129" s="3" t="s">
        <v>13</v>
      </c>
      <c r="F129" s="3" t="s">
        <v>14</v>
      </c>
      <c r="G129" s="3" t="s">
        <v>15</v>
      </c>
      <c r="H129" s="3" t="s">
        <v>16</v>
      </c>
      <c r="I129" s="23"/>
      <c r="J129" s="25" t="s">
        <v>1</v>
      </c>
      <c r="K129" s="25" t="s">
        <v>9</v>
      </c>
      <c r="L129" s="25" t="s">
        <v>10</v>
      </c>
      <c r="M129" s="23"/>
      <c r="N129" s="3" t="s">
        <v>13</v>
      </c>
      <c r="O129" s="3" t="s">
        <v>14</v>
      </c>
      <c r="P129" s="3" t="s">
        <v>15</v>
      </c>
      <c r="Q129" s="3" t="s">
        <v>16</v>
      </c>
    </row>
    <row r="130" spans="1:17" s="23" customFormat="1">
      <c r="A130" s="19" t="s">
        <v>44</v>
      </c>
      <c r="B130" s="19">
        <v>5.07</v>
      </c>
      <c r="C130" s="20">
        <f>(B130/10)*100</f>
        <v>50.7</v>
      </c>
      <c r="E130" s="4">
        <f>IF((C133-C130)/4&lt;0,"0",(C133-C130)/4)</f>
        <v>4.5249999999999986</v>
      </c>
      <c r="F130" s="5">
        <f>(C133*1.5+C134*1)/2.5</f>
        <v>66.08</v>
      </c>
      <c r="G130" s="5">
        <f>F130+E130</f>
        <v>70.60499999999999</v>
      </c>
      <c r="H130" s="62">
        <v>7</v>
      </c>
      <c r="J130" s="19" t="s">
        <v>44</v>
      </c>
      <c r="K130" s="20">
        <v>6.7</v>
      </c>
      <c r="L130" s="20">
        <f>(K130/10)*100</f>
        <v>67</v>
      </c>
      <c r="N130" s="4" t="str">
        <f>IF((L133-L130)/4&lt;0,"0",(L133-L130)/4)</f>
        <v>0</v>
      </c>
      <c r="O130" s="5">
        <f>(L133*1.5+L134*1)/2.5</f>
        <v>60.206999999999994</v>
      </c>
      <c r="P130" s="5">
        <f>O130+N130</f>
        <v>60.206999999999994</v>
      </c>
      <c r="Q130" s="62">
        <v>6.5</v>
      </c>
    </row>
    <row r="131" spans="1:17">
      <c r="A131" s="19" t="s">
        <v>5</v>
      </c>
      <c r="B131" s="20">
        <f>6.6</f>
        <v>6.6</v>
      </c>
      <c r="C131" s="20">
        <f>(B131/10)*100</f>
        <v>65.999999999999986</v>
      </c>
      <c r="D131" s="23"/>
      <c r="E131" s="23"/>
      <c r="F131" s="23"/>
      <c r="G131" s="23"/>
      <c r="H131" s="4">
        <f>(G130*10/100)</f>
        <v>7.0604999999999993</v>
      </c>
      <c r="I131" s="23"/>
      <c r="J131" s="19" t="s">
        <v>5</v>
      </c>
      <c r="K131" s="20">
        <f>H4</f>
        <v>8.125</v>
      </c>
      <c r="L131" s="20">
        <f>(K131/10)*100</f>
        <v>81.25</v>
      </c>
      <c r="M131" s="23"/>
      <c r="N131" s="23"/>
      <c r="O131" s="23"/>
      <c r="P131" s="23"/>
      <c r="Q131" s="4">
        <f>(P130*10/100)</f>
        <v>6.0206999999999997</v>
      </c>
    </row>
    <row r="132" spans="1:17">
      <c r="A132" s="19" t="s">
        <v>7</v>
      </c>
      <c r="B132" s="20">
        <v>6.25</v>
      </c>
      <c r="C132" s="20">
        <f>(B132/10)*100</f>
        <v>62.5</v>
      </c>
      <c r="D132" s="23"/>
      <c r="E132" s="23"/>
      <c r="F132" s="23"/>
      <c r="G132" s="23"/>
      <c r="H132" s="23"/>
      <c r="I132" s="23"/>
      <c r="J132" s="19" t="s">
        <v>7</v>
      </c>
      <c r="K132" s="20">
        <f>H5</f>
        <v>6</v>
      </c>
      <c r="L132" s="20">
        <f>(K132/10)*100</f>
        <v>60</v>
      </c>
      <c r="M132" s="23"/>
      <c r="N132" s="23"/>
      <c r="O132" s="23"/>
      <c r="P132" s="23"/>
      <c r="Q132" s="23"/>
    </row>
    <row r="133" spans="1:17" s="23" customFormat="1">
      <c r="A133" s="19" t="s">
        <v>48</v>
      </c>
      <c r="B133" s="20">
        <v>6.88</v>
      </c>
      <c r="C133" s="20">
        <f>(B133/10)*100</f>
        <v>68.8</v>
      </c>
      <c r="J133" s="19" t="s">
        <v>48</v>
      </c>
      <c r="K133" s="20">
        <f>28.13/5</f>
        <v>5.6259999999999994</v>
      </c>
      <c r="L133" s="20">
        <f>(K133/10)*100</f>
        <v>56.26</v>
      </c>
    </row>
    <row r="134" spans="1:17">
      <c r="A134" s="19" t="s">
        <v>11</v>
      </c>
      <c r="B134" s="20">
        <f>AVERAGE(B130:B133)</f>
        <v>6.2</v>
      </c>
      <c r="C134" s="20">
        <f>AVERAGE(C130:C133)</f>
        <v>62</v>
      </c>
      <c r="D134" s="23"/>
      <c r="E134" s="23"/>
      <c r="F134" s="23"/>
      <c r="G134" s="23"/>
      <c r="H134" s="23"/>
      <c r="I134" s="23"/>
      <c r="J134" s="19" t="s">
        <v>11</v>
      </c>
      <c r="K134" s="20">
        <f>AVERAGE(K130:K133)</f>
        <v>6.6127500000000001</v>
      </c>
      <c r="L134" s="20">
        <f>AVERAGE(L130:L133)</f>
        <v>66.127499999999998</v>
      </c>
      <c r="M134" s="23"/>
      <c r="N134" s="23"/>
      <c r="O134" s="23"/>
      <c r="P134" s="23"/>
      <c r="Q134" s="23"/>
    </row>
    <row r="135" spans="1:1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</row>
    <row r="136" spans="1:1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</row>
    <row r="137" spans="1:17">
      <c r="A137" s="64" t="s">
        <v>38</v>
      </c>
      <c r="B137" s="64"/>
      <c r="C137" s="64"/>
      <c r="D137" s="23"/>
      <c r="E137" s="64" t="s">
        <v>12</v>
      </c>
      <c r="F137" s="64"/>
      <c r="G137" s="64"/>
      <c r="H137" s="64"/>
      <c r="I137" s="23"/>
      <c r="J137" s="64" t="s">
        <v>42</v>
      </c>
      <c r="K137" s="64"/>
      <c r="L137" s="64"/>
      <c r="M137" s="23"/>
      <c r="N137" s="64" t="s">
        <v>12</v>
      </c>
      <c r="O137" s="64"/>
      <c r="P137" s="64"/>
      <c r="Q137" s="64"/>
    </row>
    <row r="138" spans="1:17">
      <c r="A138" s="64"/>
      <c r="B138" s="64"/>
      <c r="C138" s="64"/>
      <c r="D138" s="23"/>
      <c r="E138" s="64"/>
      <c r="F138" s="64"/>
      <c r="G138" s="64"/>
      <c r="H138" s="64"/>
      <c r="I138" s="23"/>
      <c r="J138" s="64"/>
      <c r="K138" s="64"/>
      <c r="L138" s="64"/>
      <c r="M138" s="23"/>
      <c r="N138" s="64"/>
      <c r="O138" s="64"/>
      <c r="P138" s="64"/>
      <c r="Q138" s="64"/>
    </row>
    <row r="139" spans="1:17">
      <c r="A139" s="25" t="s">
        <v>1</v>
      </c>
      <c r="B139" s="25" t="s">
        <v>9</v>
      </c>
      <c r="C139" s="25" t="s">
        <v>10</v>
      </c>
      <c r="D139" s="23"/>
      <c r="E139" s="3" t="s">
        <v>13</v>
      </c>
      <c r="F139" s="3" t="s">
        <v>14</v>
      </c>
      <c r="G139" s="3" t="s">
        <v>15</v>
      </c>
      <c r="H139" s="3" t="s">
        <v>16</v>
      </c>
      <c r="I139" s="23"/>
      <c r="J139" s="25" t="s">
        <v>1</v>
      </c>
      <c r="K139" s="25" t="s">
        <v>9</v>
      </c>
      <c r="L139" s="25" t="s">
        <v>10</v>
      </c>
      <c r="M139" s="23"/>
      <c r="N139" s="3" t="s">
        <v>13</v>
      </c>
      <c r="O139" s="3" t="s">
        <v>14</v>
      </c>
      <c r="P139" s="3" t="s">
        <v>15</v>
      </c>
      <c r="Q139" s="3" t="s">
        <v>16</v>
      </c>
    </row>
    <row r="140" spans="1:17" s="23" customFormat="1">
      <c r="A140" s="19" t="s">
        <v>44</v>
      </c>
      <c r="B140" s="19">
        <v>7.52</v>
      </c>
      <c r="C140" s="20">
        <f>(B140/10)*100</f>
        <v>75.2</v>
      </c>
      <c r="E140" s="4"/>
      <c r="F140" s="5">
        <f>(C141*1.5+C144*1)/2.5</f>
        <v>74.64</v>
      </c>
      <c r="G140" s="5">
        <f>F140+E140</f>
        <v>74.64</v>
      </c>
      <c r="H140" s="62">
        <v>7</v>
      </c>
      <c r="J140" s="19" t="s">
        <v>44</v>
      </c>
      <c r="K140" s="20">
        <v>9.5</v>
      </c>
      <c r="L140" s="20">
        <f>(K140/10)*100</f>
        <v>95</v>
      </c>
      <c r="N140" s="4" t="str">
        <f>IF((L143-L140)/4&lt;0,"0",(L143-L140)/4)</f>
        <v>0</v>
      </c>
      <c r="O140" s="5">
        <f>(L142*1.5+L144*1)/2.5</f>
        <v>63.912000000000013</v>
      </c>
      <c r="P140" s="5">
        <f>O140+N140</f>
        <v>63.912000000000013</v>
      </c>
      <c r="Q140" s="62">
        <v>8.25</v>
      </c>
    </row>
    <row r="141" spans="1:17">
      <c r="A141" s="19" t="s">
        <v>5</v>
      </c>
      <c r="B141" s="20">
        <f>7.45</f>
        <v>7.45</v>
      </c>
      <c r="C141" s="20">
        <f>(B141/10)*100</f>
        <v>74.5</v>
      </c>
      <c r="D141" s="23"/>
      <c r="E141" s="23"/>
      <c r="F141" s="23"/>
      <c r="G141" s="23"/>
      <c r="H141" s="4">
        <f>(G140*10/100)</f>
        <v>7.4639999999999995</v>
      </c>
      <c r="I141" s="23"/>
      <c r="J141" s="19" t="s">
        <v>5</v>
      </c>
      <c r="K141" s="20">
        <f>I4</f>
        <v>7.6</v>
      </c>
      <c r="L141" s="20">
        <f>(K141/10)*100</f>
        <v>76</v>
      </c>
      <c r="M141" s="23"/>
      <c r="N141" s="23"/>
      <c r="O141" s="23"/>
      <c r="P141" s="23"/>
      <c r="Q141" s="4">
        <f>(P140*10/100)</f>
        <v>6.3912000000000013</v>
      </c>
    </row>
    <row r="142" spans="1:17">
      <c r="A142" s="19" t="s">
        <v>7</v>
      </c>
      <c r="B142" s="20" t="s">
        <v>45</v>
      </c>
      <c r="C142" s="20" t="s">
        <v>45</v>
      </c>
      <c r="D142" s="23"/>
      <c r="E142" s="23"/>
      <c r="F142" s="23"/>
      <c r="G142" s="23"/>
      <c r="H142" s="23"/>
      <c r="I142" s="23"/>
      <c r="J142" s="19" t="s">
        <v>7</v>
      </c>
      <c r="K142" s="20">
        <f>I5</f>
        <v>5.5</v>
      </c>
      <c r="L142" s="20">
        <f>(K142/10)*100</f>
        <v>55.000000000000007</v>
      </c>
      <c r="M142" s="23"/>
      <c r="N142" s="23"/>
      <c r="O142" s="23"/>
      <c r="P142" s="23"/>
      <c r="Q142" s="23"/>
    </row>
    <row r="143" spans="1:17" s="23" customFormat="1">
      <c r="A143" s="19" t="s">
        <v>48</v>
      </c>
      <c r="B143" s="20" t="s">
        <v>45</v>
      </c>
      <c r="C143" s="20" t="s">
        <v>45</v>
      </c>
      <c r="J143" s="19" t="s">
        <v>48</v>
      </c>
      <c r="K143" s="20">
        <f>41.56/5</f>
        <v>8.3120000000000012</v>
      </c>
      <c r="L143" s="20">
        <f>(K143/10)*100</f>
        <v>83.120000000000019</v>
      </c>
    </row>
    <row r="144" spans="1:17">
      <c r="A144" s="19" t="s">
        <v>11</v>
      </c>
      <c r="B144" s="20">
        <f>AVERAGE(B140:B142)</f>
        <v>7.4849999999999994</v>
      </c>
      <c r="C144" s="20">
        <f>AVERAGE(C140:C142)</f>
        <v>74.849999999999994</v>
      </c>
      <c r="D144" s="23"/>
      <c r="E144" s="23"/>
      <c r="F144" s="23"/>
      <c r="G144" s="23"/>
      <c r="H144" s="23"/>
      <c r="I144" s="23"/>
      <c r="J144" s="19" t="s">
        <v>11</v>
      </c>
      <c r="K144" s="20">
        <f>AVERAGE(K140:K143)</f>
        <v>7.7280000000000006</v>
      </c>
      <c r="L144" s="20">
        <f>AVERAGE(L140:L143)</f>
        <v>77.28</v>
      </c>
      <c r="M144" s="23"/>
      <c r="N144" s="23"/>
      <c r="O144" s="23"/>
      <c r="P144" s="23"/>
      <c r="Q144" s="23"/>
    </row>
  </sheetData>
  <mergeCells count="25">
    <mergeCell ref="A1:M1"/>
    <mergeCell ref="A34:L34"/>
    <mergeCell ref="A25:L25"/>
    <mergeCell ref="A127:C128"/>
    <mergeCell ref="A9:C10"/>
    <mergeCell ref="A43:L43"/>
    <mergeCell ref="A52:J52"/>
    <mergeCell ref="A70:H71"/>
    <mergeCell ref="A61:J61"/>
    <mergeCell ref="N107:Q108"/>
    <mergeCell ref="N117:Q118"/>
    <mergeCell ref="N127:Q128"/>
    <mergeCell ref="N137:Q138"/>
    <mergeCell ref="A19:E20"/>
    <mergeCell ref="J107:L108"/>
    <mergeCell ref="J117:L118"/>
    <mergeCell ref="J127:L128"/>
    <mergeCell ref="J137:L138"/>
    <mergeCell ref="E107:H108"/>
    <mergeCell ref="E117:H118"/>
    <mergeCell ref="E127:H128"/>
    <mergeCell ref="E137:H138"/>
    <mergeCell ref="A107:C108"/>
    <mergeCell ref="A117:C118"/>
    <mergeCell ref="A137:C138"/>
  </mergeCells>
  <phoneticPr fontId="2" type="noConversion"/>
  <conditionalFormatting sqref="C45:C49">
    <cfRule type="colorScale" priority="37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45:D49">
    <cfRule type="colorScale" priority="36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E45:E49">
    <cfRule type="colorScale" priority="35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F45:F49">
    <cfRule type="colorScale" priority="34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G45:G49">
    <cfRule type="colorScale" priority="3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H45:H49">
    <cfRule type="colorScale" priority="3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I45:I49">
    <cfRule type="colorScale" priority="3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J45:J49">
    <cfRule type="colorScale" priority="30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C54:C58">
    <cfRule type="colorScale" priority="29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54:D58">
    <cfRule type="colorScale" priority="28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E54:E58">
    <cfRule type="colorScale" priority="27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F54:F58">
    <cfRule type="colorScale" priority="26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G54:G58">
    <cfRule type="colorScale" priority="25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H54:H58">
    <cfRule type="colorScale" priority="24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C36:C40">
    <cfRule type="colorScale" priority="2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36:D40">
    <cfRule type="colorScale" priority="2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E36:E40">
    <cfRule type="colorScale" priority="2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F36:F40">
    <cfRule type="colorScale" priority="20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G36:G40">
    <cfRule type="colorScale" priority="19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H36:H40">
    <cfRule type="colorScale" priority="18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I36:I40">
    <cfRule type="colorScale" priority="17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J36:J40">
    <cfRule type="colorScale" priority="16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C27:C31">
    <cfRule type="colorScale" priority="14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27:D31">
    <cfRule type="colorScale" priority="1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E27:E31">
    <cfRule type="colorScale" priority="1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F27:F31">
    <cfRule type="colorScale" priority="1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G27:G31">
    <cfRule type="colorScale" priority="10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H27:H31">
    <cfRule type="colorScale" priority="9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I27:I31">
    <cfRule type="colorScale" priority="8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J27:J31">
    <cfRule type="colorScale" priority="7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C63:C67">
    <cfRule type="colorScale" priority="6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63:D67">
    <cfRule type="colorScale" priority="5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E63:E67">
    <cfRule type="colorScale" priority="4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F63:F67">
    <cfRule type="colorScale" priority="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G63:G67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H63:H67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6663-28EC-4D8B-8584-DE1CA4F8A2CE}">
  <dimension ref="A1:G20"/>
  <sheetViews>
    <sheetView showGridLines="0" topLeftCell="A2" workbookViewId="0">
      <selection activeCell="E22" sqref="E22"/>
    </sheetView>
  </sheetViews>
  <sheetFormatPr defaultRowHeight="15"/>
  <cols>
    <col min="1" max="1" width="11.5703125" bestFit="1" customWidth="1"/>
    <col min="2" max="2" width="15.28515625" bestFit="1" customWidth="1"/>
    <col min="3" max="3" width="13.28515625" bestFit="1" customWidth="1"/>
    <col min="5" max="5" width="9.85546875" bestFit="1" customWidth="1"/>
  </cols>
  <sheetData>
    <row r="1" spans="1:7" ht="18.75" customHeight="1">
      <c r="A1" s="71" t="s">
        <v>82</v>
      </c>
      <c r="B1" s="71"/>
      <c r="C1" s="71"/>
      <c r="D1" s="71"/>
      <c r="E1" s="71"/>
      <c r="F1" s="7"/>
      <c r="G1" s="7"/>
    </row>
    <row r="2" spans="1:7">
      <c r="A2" s="25" t="s">
        <v>1</v>
      </c>
      <c r="B2" s="25" t="s">
        <v>83</v>
      </c>
      <c r="C2" s="25" t="s">
        <v>19</v>
      </c>
      <c r="D2" s="25" t="s">
        <v>31</v>
      </c>
      <c r="E2" s="25" t="s">
        <v>4</v>
      </c>
      <c r="F2" s="1"/>
      <c r="G2" s="1"/>
    </row>
    <row r="3" spans="1:7">
      <c r="A3" s="19" t="s">
        <v>44</v>
      </c>
      <c r="B3" s="20"/>
      <c r="C3" s="19">
        <v>198.17</v>
      </c>
      <c r="D3" s="20">
        <f>SUM(B3:C3)</f>
        <v>198.17</v>
      </c>
      <c r="E3" s="19" t="s">
        <v>46</v>
      </c>
      <c r="F3" s="1"/>
      <c r="G3" s="1"/>
    </row>
    <row r="4" spans="1:7" s="23" customFormat="1">
      <c r="A4" s="19" t="s">
        <v>5</v>
      </c>
      <c r="B4" s="20">
        <f>APD!C4</f>
        <v>11.35</v>
      </c>
      <c r="C4" s="20">
        <f>Apresentação!L4</f>
        <v>177.31406250000001</v>
      </c>
      <c r="D4" s="20">
        <f>SUM(B4:C4)</f>
        <v>188.6640625</v>
      </c>
      <c r="E4" s="19" t="s">
        <v>47</v>
      </c>
      <c r="F4" s="1"/>
      <c r="G4" s="1"/>
    </row>
    <row r="5" spans="1:7">
      <c r="A5" s="19" t="s">
        <v>7</v>
      </c>
      <c r="B5" s="20">
        <f>APD!C5</f>
        <v>16.575000000000003</v>
      </c>
      <c r="C5" s="20">
        <f>Apresentação!L5</f>
        <v>189</v>
      </c>
      <c r="D5" s="20">
        <f>SUM(B5:C5)</f>
        <v>205.57499999999999</v>
      </c>
      <c r="E5" s="19" t="s">
        <v>46</v>
      </c>
      <c r="F5" s="8"/>
      <c r="G5" s="1"/>
    </row>
    <row r="8" spans="1:7">
      <c r="A8" s="64" t="s">
        <v>8</v>
      </c>
      <c r="B8" s="64"/>
      <c r="C8" s="64"/>
      <c r="D8" s="64"/>
      <c r="E8" s="23"/>
      <c r="F8" s="23"/>
      <c r="G8" s="23"/>
    </row>
    <row r="9" spans="1:7">
      <c r="A9" s="64"/>
      <c r="B9" s="64"/>
      <c r="C9" s="64"/>
      <c r="D9" s="64"/>
      <c r="E9" s="23"/>
      <c r="F9" s="23"/>
      <c r="G9" s="23"/>
    </row>
    <row r="10" spans="1:7">
      <c r="A10" s="25" t="s">
        <v>1</v>
      </c>
      <c r="B10" s="10" t="s">
        <v>2</v>
      </c>
      <c r="C10" s="10" t="s">
        <v>9</v>
      </c>
      <c r="D10" s="10" t="s">
        <v>10</v>
      </c>
      <c r="E10" s="23"/>
      <c r="F10" s="23"/>
      <c r="G10" s="23"/>
    </row>
    <row r="11" spans="1:7">
      <c r="A11" s="19" t="s">
        <v>44</v>
      </c>
      <c r="B11" s="2">
        <v>350</v>
      </c>
      <c r="C11" s="20">
        <f>D3</f>
        <v>198.17</v>
      </c>
      <c r="D11" s="20">
        <f>(C11/B11)*100</f>
        <v>56.61999999999999</v>
      </c>
      <c r="E11" s="23"/>
      <c r="F11" s="23"/>
      <c r="G11" s="23"/>
    </row>
    <row r="12" spans="1:7" s="23" customFormat="1">
      <c r="A12" s="19" t="s">
        <v>5</v>
      </c>
      <c r="B12" s="2">
        <v>270</v>
      </c>
      <c r="C12" s="20">
        <f>D4</f>
        <v>188.6640625</v>
      </c>
      <c r="D12" s="20">
        <f>(C12/B12)*100</f>
        <v>69.875578703703695</v>
      </c>
    </row>
    <row r="13" spans="1:7">
      <c r="A13" s="19" t="s">
        <v>7</v>
      </c>
      <c r="B13" s="2">
        <v>300</v>
      </c>
      <c r="C13" s="20">
        <f>D5</f>
        <v>205.57499999999999</v>
      </c>
      <c r="D13" s="20">
        <f>(C13/B13)*100</f>
        <v>68.524999999999991</v>
      </c>
      <c r="E13" s="23"/>
      <c r="F13" s="23"/>
      <c r="G13" s="23"/>
    </row>
    <row r="14" spans="1:7">
      <c r="A14" s="19" t="s">
        <v>11</v>
      </c>
      <c r="B14" s="20">
        <f>AVERAGE(B11:B13)</f>
        <v>306.66666666666669</v>
      </c>
      <c r="C14" s="20">
        <f t="shared" ref="C14:D14" si="0">AVERAGE(C11:C13)</f>
        <v>197.46968749999996</v>
      </c>
      <c r="D14" s="20">
        <f t="shared" si="0"/>
        <v>65.00685956790123</v>
      </c>
      <c r="E14" s="23"/>
      <c r="F14" s="23"/>
      <c r="G14" s="23"/>
    </row>
    <row r="17" spans="1:4">
      <c r="A17" s="64" t="s">
        <v>12</v>
      </c>
      <c r="B17" s="64"/>
      <c r="C17" s="64"/>
      <c r="D17" s="64"/>
    </row>
    <row r="18" spans="1:4">
      <c r="A18" s="64"/>
      <c r="B18" s="64"/>
      <c r="C18" s="64"/>
      <c r="D18" s="64"/>
    </row>
    <row r="19" spans="1:4">
      <c r="A19" s="3" t="s">
        <v>13</v>
      </c>
      <c r="B19" s="3" t="s">
        <v>14</v>
      </c>
      <c r="C19" s="3" t="s">
        <v>15</v>
      </c>
      <c r="D19" s="3" t="s">
        <v>16</v>
      </c>
    </row>
    <row r="20" spans="1:4">
      <c r="A20" s="4">
        <f>IF((D13-D11)/2&lt;0,"0",(D13-D11)/2)</f>
        <v>5.9525000000000006</v>
      </c>
      <c r="B20" s="4">
        <f>(D13*1.5+D14*1)/2.5</f>
        <v>67.117743827160481</v>
      </c>
      <c r="C20" s="4">
        <f>B20+A20</f>
        <v>73.070243827160482</v>
      </c>
      <c r="D20" s="4">
        <f>(C20*B13/100)</f>
        <v>219.21073148148145</v>
      </c>
    </row>
  </sheetData>
  <mergeCells count="3">
    <mergeCell ref="A1:E1"/>
    <mergeCell ref="A8:D9"/>
    <mergeCell ref="A17:D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F742-FC4C-4E5A-9F79-9F942AAD323E}">
  <dimension ref="A1:P31"/>
  <sheetViews>
    <sheetView showGridLines="0" topLeftCell="A3" workbookViewId="0">
      <selection activeCell="D5" sqref="D5"/>
    </sheetView>
  </sheetViews>
  <sheetFormatPr defaultRowHeight="15"/>
  <cols>
    <col min="1" max="1" width="11.5703125" bestFit="1" customWidth="1"/>
    <col min="2" max="2" width="13.5703125" bestFit="1" customWidth="1"/>
    <col min="3" max="3" width="10" bestFit="1" customWidth="1"/>
    <col min="4" max="4" width="20.140625" bestFit="1" customWidth="1"/>
    <col min="5" max="5" width="9.85546875" bestFit="1" customWidth="1"/>
    <col min="6" max="6" width="23" bestFit="1" customWidth="1"/>
    <col min="7" max="7" width="15.28515625" bestFit="1" customWidth="1"/>
  </cols>
  <sheetData>
    <row r="1" spans="1:16" ht="15" customHeight="1">
      <c r="A1" s="64" t="s">
        <v>84</v>
      </c>
      <c r="B1" s="64"/>
      <c r="C1" s="64"/>
      <c r="D1" s="64"/>
      <c r="E1" s="64"/>
      <c r="F1" s="64"/>
      <c r="G1" s="64"/>
      <c r="H1" s="64"/>
      <c r="I1" s="64"/>
      <c r="J1" s="11"/>
      <c r="K1" s="11"/>
      <c r="L1" s="11"/>
      <c r="M1" s="23"/>
      <c r="N1" s="23"/>
      <c r="O1" s="23"/>
      <c r="P1" s="23"/>
    </row>
    <row r="2" spans="1:16" ht="15" customHeight="1">
      <c r="A2" s="64"/>
      <c r="B2" s="64"/>
      <c r="C2" s="64"/>
      <c r="D2" s="64"/>
      <c r="E2" s="64"/>
      <c r="F2" s="64"/>
      <c r="G2" s="64"/>
      <c r="H2" s="64"/>
      <c r="I2" s="64"/>
      <c r="J2" s="11"/>
      <c r="K2" s="11"/>
      <c r="L2" s="11"/>
      <c r="M2" s="23"/>
      <c r="N2" s="23"/>
      <c r="O2" s="23"/>
      <c r="P2" s="23"/>
    </row>
    <row r="3" spans="1:16">
      <c r="A3" s="25" t="s">
        <v>1</v>
      </c>
      <c r="B3" s="25" t="s">
        <v>85</v>
      </c>
      <c r="C3" s="25" t="s">
        <v>86</v>
      </c>
      <c r="D3" s="25" t="s">
        <v>87</v>
      </c>
      <c r="E3" s="25" t="s">
        <v>88</v>
      </c>
      <c r="F3" s="25" t="s">
        <v>89</v>
      </c>
      <c r="G3" s="25" t="s">
        <v>2</v>
      </c>
      <c r="H3" s="25" t="s">
        <v>31</v>
      </c>
      <c r="I3" s="25" t="s">
        <v>4</v>
      </c>
      <c r="J3" s="1"/>
      <c r="K3" s="1"/>
      <c r="L3" s="1"/>
      <c r="M3" s="23"/>
      <c r="N3" s="23"/>
      <c r="O3" s="23"/>
      <c r="P3" s="23"/>
    </row>
    <row r="4" spans="1:16">
      <c r="A4" s="19" t="s">
        <v>44</v>
      </c>
      <c r="B4" s="19" t="s">
        <v>45</v>
      </c>
      <c r="C4" s="19" t="s">
        <v>45</v>
      </c>
      <c r="D4" s="19">
        <v>76.78</v>
      </c>
      <c r="E4" s="20">
        <v>35</v>
      </c>
      <c r="F4" s="20" t="s">
        <v>45</v>
      </c>
      <c r="G4" s="20">
        <v>250</v>
      </c>
      <c r="H4" s="19">
        <f>SUM(B4:F4)</f>
        <v>111.78</v>
      </c>
      <c r="I4" s="19" t="s">
        <v>90</v>
      </c>
      <c r="J4" s="1"/>
      <c r="K4" s="1"/>
      <c r="L4" s="1"/>
      <c r="M4" s="23"/>
      <c r="N4" s="23"/>
      <c r="O4" s="23"/>
      <c r="P4" s="23"/>
    </row>
    <row r="5" spans="1:16" s="23" customFormat="1">
      <c r="A5" s="19" t="s">
        <v>5</v>
      </c>
      <c r="B5" s="19" t="s">
        <v>45</v>
      </c>
      <c r="C5" s="19" t="s">
        <v>45</v>
      </c>
      <c r="D5" s="19">
        <v>51.45</v>
      </c>
      <c r="E5" s="20">
        <v>2.91</v>
      </c>
      <c r="F5" s="20">
        <v>23.24</v>
      </c>
      <c r="G5" s="20">
        <v>280</v>
      </c>
      <c r="H5" s="19">
        <f>SUM(B5:F5)</f>
        <v>77.599999999999994</v>
      </c>
      <c r="I5" s="19" t="s">
        <v>91</v>
      </c>
      <c r="J5" s="1"/>
      <c r="K5" s="1"/>
      <c r="L5" s="1"/>
    </row>
    <row r="6" spans="1:16">
      <c r="A6" s="19" t="s">
        <v>7</v>
      </c>
      <c r="B6" s="19">
        <v>47.24</v>
      </c>
      <c r="C6" s="19">
        <v>52.18</v>
      </c>
      <c r="D6" s="19" t="s">
        <v>45</v>
      </c>
      <c r="E6" s="20" t="s">
        <v>45</v>
      </c>
      <c r="F6" s="20" t="s">
        <v>45</v>
      </c>
      <c r="G6" s="20">
        <f>G22</f>
        <v>300</v>
      </c>
      <c r="H6" s="19">
        <f t="shared" ref="H6" si="0">SUM(B6:F6)</f>
        <v>99.42</v>
      </c>
      <c r="I6" s="19" t="s">
        <v>6</v>
      </c>
      <c r="J6" s="1"/>
      <c r="K6" s="8"/>
      <c r="L6" s="1"/>
      <c r="M6" s="23"/>
      <c r="N6" s="23"/>
      <c r="O6" s="23"/>
      <c r="P6" s="23"/>
    </row>
    <row r="9" spans="1:16" ht="15" customHeight="1">
      <c r="A9" s="64" t="s">
        <v>92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11"/>
      <c r="M9" s="11"/>
      <c r="N9" s="11"/>
      <c r="O9" s="11"/>
      <c r="P9" s="11"/>
    </row>
    <row r="10" spans="1:16" ht="1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11"/>
      <c r="M10" s="11"/>
      <c r="N10" s="11"/>
      <c r="O10" s="11"/>
      <c r="P10" s="11"/>
    </row>
    <row r="11" spans="1:16">
      <c r="A11" s="38" t="s">
        <v>1</v>
      </c>
      <c r="B11" s="38" t="s">
        <v>93</v>
      </c>
      <c r="C11" s="39" t="s">
        <v>4</v>
      </c>
      <c r="D11" s="38" t="s">
        <v>94</v>
      </c>
      <c r="E11" s="39" t="s">
        <v>4</v>
      </c>
      <c r="F11" s="38" t="s">
        <v>95</v>
      </c>
      <c r="G11" s="39" t="s">
        <v>4</v>
      </c>
      <c r="H11" s="38" t="s">
        <v>96</v>
      </c>
      <c r="I11" s="39" t="s">
        <v>4</v>
      </c>
      <c r="J11" s="38" t="s">
        <v>97</v>
      </c>
      <c r="K11" s="39" t="s">
        <v>4</v>
      </c>
      <c r="L11" s="9"/>
      <c r="M11" s="9"/>
      <c r="N11" s="1"/>
      <c r="O11" s="23"/>
      <c r="P11" s="23"/>
    </row>
    <row r="12" spans="1:16">
      <c r="A12" s="6" t="s">
        <v>44</v>
      </c>
      <c r="B12" s="12" t="s">
        <v>45</v>
      </c>
      <c r="C12" s="13" t="s">
        <v>45</v>
      </c>
      <c r="D12" s="12" t="s">
        <v>45</v>
      </c>
      <c r="E12" s="13" t="s">
        <v>45</v>
      </c>
      <c r="F12" s="12">
        <v>68.3</v>
      </c>
      <c r="G12" s="13" t="s">
        <v>46</v>
      </c>
      <c r="H12" s="14" t="s">
        <v>45</v>
      </c>
      <c r="I12" s="13" t="s">
        <v>98</v>
      </c>
      <c r="J12" s="14" t="s">
        <v>45</v>
      </c>
      <c r="K12" s="13" t="s">
        <v>45</v>
      </c>
      <c r="L12" s="9"/>
      <c r="M12" s="9"/>
      <c r="N12" s="1"/>
      <c r="O12" s="23"/>
      <c r="P12" s="23"/>
    </row>
    <row r="13" spans="1:16" s="23" customFormat="1">
      <c r="A13" s="6" t="s">
        <v>5</v>
      </c>
      <c r="B13" s="12" t="s">
        <v>45</v>
      </c>
      <c r="C13" s="13" t="s">
        <v>45</v>
      </c>
      <c r="D13" s="12" t="s">
        <v>45</v>
      </c>
      <c r="E13" s="13" t="s">
        <v>45</v>
      </c>
      <c r="F13" s="12">
        <v>36.722000000000001</v>
      </c>
      <c r="G13" s="13" t="s">
        <v>99</v>
      </c>
      <c r="H13" s="14">
        <v>57.113</v>
      </c>
      <c r="I13" s="13" t="s">
        <v>100</v>
      </c>
      <c r="J13" s="14">
        <v>6</v>
      </c>
      <c r="K13" s="13" t="s">
        <v>24</v>
      </c>
      <c r="L13" s="9"/>
      <c r="M13" s="9"/>
      <c r="N13" s="1"/>
    </row>
    <row r="14" spans="1:16">
      <c r="A14" s="6" t="s">
        <v>7</v>
      </c>
      <c r="B14" s="12">
        <v>4.7350000000000003</v>
      </c>
      <c r="C14" s="13" t="s">
        <v>98</v>
      </c>
      <c r="D14" s="12">
        <v>15.425000000000001</v>
      </c>
      <c r="E14" s="13" t="s">
        <v>99</v>
      </c>
      <c r="F14" s="12" t="s">
        <v>45</v>
      </c>
      <c r="G14" s="13" t="s">
        <v>45</v>
      </c>
      <c r="H14" s="14" t="s">
        <v>45</v>
      </c>
      <c r="I14" s="13" t="s">
        <v>45</v>
      </c>
      <c r="J14" s="14" t="s">
        <v>45</v>
      </c>
      <c r="K14" s="13" t="s">
        <v>45</v>
      </c>
      <c r="L14" s="9"/>
      <c r="M14" s="9"/>
      <c r="N14" s="1"/>
      <c r="O14" s="23"/>
      <c r="P14" s="23"/>
    </row>
    <row r="17" spans="1:10" ht="15" customHeight="1">
      <c r="A17" s="64" t="s">
        <v>101</v>
      </c>
      <c r="B17" s="64"/>
      <c r="C17" s="64"/>
      <c r="D17" s="64"/>
      <c r="E17" s="64"/>
      <c r="F17" s="64"/>
      <c r="G17" s="64"/>
      <c r="H17" s="11"/>
      <c r="I17" s="11"/>
      <c r="J17" s="11"/>
    </row>
    <row r="18" spans="1:10" ht="15" customHeight="1">
      <c r="A18" s="64"/>
      <c r="B18" s="64"/>
      <c r="C18" s="64"/>
      <c r="D18" s="64"/>
      <c r="E18" s="64"/>
      <c r="F18" s="64"/>
      <c r="G18" s="64"/>
      <c r="H18" s="11"/>
      <c r="I18" s="11"/>
      <c r="J18" s="11"/>
    </row>
    <row r="19" spans="1:10">
      <c r="A19" s="10" t="s">
        <v>1</v>
      </c>
      <c r="B19" s="10" t="s">
        <v>102</v>
      </c>
      <c r="C19" s="10" t="s">
        <v>86</v>
      </c>
      <c r="D19" s="10" t="s">
        <v>103</v>
      </c>
      <c r="E19" s="10" t="s">
        <v>104</v>
      </c>
      <c r="F19" s="37" t="s">
        <v>89</v>
      </c>
      <c r="G19" s="10" t="s">
        <v>31</v>
      </c>
      <c r="H19" s="1"/>
      <c r="I19" s="9"/>
      <c r="J19" s="9"/>
    </row>
    <row r="20" spans="1:10">
      <c r="A20" s="19" t="s">
        <v>44</v>
      </c>
      <c r="B20" s="19">
        <v>0</v>
      </c>
      <c r="C20" s="19">
        <v>0</v>
      </c>
      <c r="D20" s="19">
        <v>100</v>
      </c>
      <c r="E20" s="15">
        <v>150</v>
      </c>
      <c r="F20" s="19">
        <v>0</v>
      </c>
      <c r="G20" s="19">
        <f>SUM(B20:F20)</f>
        <v>250</v>
      </c>
      <c r="H20" s="1"/>
      <c r="I20" s="9"/>
      <c r="J20" s="9"/>
    </row>
    <row r="21" spans="1:10" s="23" customFormat="1">
      <c r="A21" s="19" t="s">
        <v>5</v>
      </c>
      <c r="B21" s="19">
        <v>0</v>
      </c>
      <c r="C21" s="19">
        <v>0</v>
      </c>
      <c r="D21" s="19">
        <v>80</v>
      </c>
      <c r="E21" s="15">
        <v>100</v>
      </c>
      <c r="F21" s="19">
        <v>100</v>
      </c>
      <c r="G21" s="19">
        <f>SUM(B21:F21)</f>
        <v>280</v>
      </c>
      <c r="H21" s="1"/>
      <c r="I21" s="9"/>
      <c r="J21" s="9"/>
    </row>
    <row r="22" spans="1:10">
      <c r="A22" s="19" t="s">
        <v>7</v>
      </c>
      <c r="B22" s="19">
        <v>65</v>
      </c>
      <c r="C22" s="19">
        <v>65</v>
      </c>
      <c r="D22" s="19">
        <v>70</v>
      </c>
      <c r="E22" s="15">
        <v>100</v>
      </c>
      <c r="F22" s="19">
        <v>0</v>
      </c>
      <c r="G22" s="19">
        <f>SUM(B22:F22)</f>
        <v>300</v>
      </c>
      <c r="H22" s="1"/>
      <c r="I22" s="9"/>
      <c r="J22" s="9"/>
    </row>
    <row r="25" spans="1:10">
      <c r="A25" s="64" t="s">
        <v>8</v>
      </c>
      <c r="B25" s="64"/>
      <c r="C25" s="64"/>
      <c r="D25" s="64"/>
      <c r="E25" s="23"/>
      <c r="F25" s="64" t="s">
        <v>12</v>
      </c>
      <c r="G25" s="64"/>
      <c r="H25" s="64"/>
      <c r="I25" s="64"/>
      <c r="J25" s="23"/>
    </row>
    <row r="26" spans="1:10">
      <c r="A26" s="64"/>
      <c r="B26" s="64"/>
      <c r="C26" s="64"/>
      <c r="D26" s="64"/>
      <c r="E26" s="23"/>
      <c r="F26" s="64"/>
      <c r="G26" s="64"/>
      <c r="H26" s="64"/>
      <c r="I26" s="64"/>
      <c r="J26" s="23"/>
    </row>
    <row r="27" spans="1:10">
      <c r="A27" s="25" t="s">
        <v>1</v>
      </c>
      <c r="B27" s="10" t="s">
        <v>2</v>
      </c>
      <c r="C27" s="10" t="s">
        <v>9</v>
      </c>
      <c r="D27" s="10" t="s">
        <v>10</v>
      </c>
      <c r="E27" s="23"/>
      <c r="F27" s="3" t="s">
        <v>13</v>
      </c>
      <c r="G27" s="3" t="s">
        <v>14</v>
      </c>
      <c r="H27" s="3" t="s">
        <v>15</v>
      </c>
      <c r="I27" s="3" t="s">
        <v>16</v>
      </c>
      <c r="J27" s="23"/>
    </row>
    <row r="28" spans="1:10">
      <c r="A28" s="19" t="s">
        <v>44</v>
      </c>
      <c r="B28" s="2">
        <f>G20</f>
        <v>250</v>
      </c>
      <c r="C28" s="20">
        <f>H4</f>
        <v>111.78</v>
      </c>
      <c r="D28" s="20">
        <f>(C28/B28)*100</f>
        <v>44.712000000000003</v>
      </c>
      <c r="E28" s="23"/>
      <c r="F28" s="4" t="str">
        <f>IF((D30-D28)/2&lt;0,"0",(D30-D28)/2)</f>
        <v>0</v>
      </c>
      <c r="G28" s="4">
        <f>(D30*1.5+D31*1)/2.5</f>
        <v>33.959504761904761</v>
      </c>
      <c r="H28" s="4">
        <f>G28+F28</f>
        <v>33.959504761904761</v>
      </c>
      <c r="I28" s="4">
        <f>(H28*G22/100)</f>
        <v>101.87851428571429</v>
      </c>
      <c r="J28" s="23"/>
    </row>
    <row r="29" spans="1:10" s="23" customFormat="1">
      <c r="A29" s="19" t="s">
        <v>5</v>
      </c>
      <c r="B29" s="2">
        <f>G21</f>
        <v>280</v>
      </c>
      <c r="C29" s="20">
        <f>H5</f>
        <v>77.599999999999994</v>
      </c>
      <c r="D29" s="20">
        <f>(C29/B29)*100</f>
        <v>27.714285714285715</v>
      </c>
    </row>
    <row r="30" spans="1:10">
      <c r="A30" s="19" t="s">
        <v>7</v>
      </c>
      <c r="B30" s="2">
        <f>G22</f>
        <v>300</v>
      </c>
      <c r="C30" s="20">
        <f>H6</f>
        <v>99.42</v>
      </c>
      <c r="D30" s="20">
        <f>(C30/B30)*100</f>
        <v>33.14</v>
      </c>
      <c r="E30" s="23"/>
      <c r="F30" s="23"/>
      <c r="G30" s="23"/>
      <c r="H30" s="23"/>
      <c r="I30" s="23"/>
      <c r="J30" s="23"/>
    </row>
    <row r="31" spans="1:10">
      <c r="A31" s="19" t="s">
        <v>11</v>
      </c>
      <c r="B31" s="40">
        <f>AVERAGE(B28:B30)</f>
        <v>276.66666666666669</v>
      </c>
      <c r="C31" s="40">
        <f t="shared" ref="C31:D31" si="1">AVERAGE(C28:C30)</f>
        <v>96.266666666666666</v>
      </c>
      <c r="D31" s="40">
        <f t="shared" si="1"/>
        <v>35.188761904761904</v>
      </c>
      <c r="E31" s="23"/>
      <c r="F31" s="17"/>
      <c r="G31" s="17"/>
      <c r="H31" s="17"/>
      <c r="I31" s="17"/>
      <c r="J31" s="23"/>
    </row>
  </sheetData>
  <mergeCells count="5">
    <mergeCell ref="A25:D26"/>
    <mergeCell ref="F25:I26"/>
    <mergeCell ref="A1:I2"/>
    <mergeCell ref="A9:K10"/>
    <mergeCell ref="A17:G1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38F8-87C7-4B3D-9440-5DAE016541FD}">
  <dimension ref="A1:H20"/>
  <sheetViews>
    <sheetView showGridLines="0" workbookViewId="0">
      <selection activeCell="F13" sqref="F13"/>
    </sheetView>
  </sheetViews>
  <sheetFormatPr defaultRowHeight="15"/>
  <cols>
    <col min="1" max="1" width="11.5703125" bestFit="1" customWidth="1"/>
    <col min="2" max="3" width="15.140625" bestFit="1" customWidth="1"/>
  </cols>
  <sheetData>
    <row r="1" spans="1:8" ht="18.75">
      <c r="A1" s="71" t="s">
        <v>105</v>
      </c>
      <c r="B1" s="71"/>
      <c r="C1" s="71"/>
      <c r="D1" s="71"/>
      <c r="E1" s="71"/>
      <c r="F1" s="23"/>
      <c r="G1" s="23"/>
      <c r="H1" s="23"/>
    </row>
    <row r="2" spans="1:8">
      <c r="A2" s="25" t="s">
        <v>1</v>
      </c>
      <c r="B2" s="25" t="s">
        <v>106</v>
      </c>
      <c r="C2" s="25" t="s">
        <v>107</v>
      </c>
      <c r="D2" s="25" t="s">
        <v>108</v>
      </c>
      <c r="E2" s="25" t="s">
        <v>4</v>
      </c>
      <c r="F2" s="23"/>
      <c r="G2" s="23"/>
      <c r="H2" s="23"/>
    </row>
    <row r="3" spans="1:8">
      <c r="A3" s="19" t="s">
        <v>44</v>
      </c>
      <c r="B3" s="19">
        <v>73</v>
      </c>
      <c r="C3" s="19">
        <v>44</v>
      </c>
      <c r="D3" s="20">
        <v>238.89</v>
      </c>
      <c r="E3" s="19" t="s">
        <v>100</v>
      </c>
      <c r="F3" s="23"/>
      <c r="G3" s="23"/>
      <c r="H3" s="23"/>
    </row>
    <row r="4" spans="1:8" s="23" customFormat="1">
      <c r="A4" s="19" t="s">
        <v>5</v>
      </c>
      <c r="B4" s="19">
        <v>66</v>
      </c>
      <c r="C4" s="19">
        <v>24</v>
      </c>
      <c r="D4" s="20">
        <f>135</f>
        <v>135</v>
      </c>
      <c r="E4" s="19" t="s">
        <v>91</v>
      </c>
      <c r="G4" s="1"/>
      <c r="H4" s="1"/>
    </row>
    <row r="5" spans="1:8">
      <c r="A5" s="19" t="s">
        <v>7</v>
      </c>
      <c r="B5" s="19">
        <v>84</v>
      </c>
      <c r="C5" s="19">
        <v>20</v>
      </c>
      <c r="D5" s="20">
        <f>(C5/B5)*C13</f>
        <v>95.238095238095227</v>
      </c>
      <c r="E5" s="19" t="s">
        <v>22</v>
      </c>
      <c r="F5" s="23"/>
      <c r="G5" s="23"/>
      <c r="H5" s="23"/>
    </row>
    <row r="8" spans="1:8" ht="15" customHeight="1">
      <c r="A8" s="64" t="s">
        <v>8</v>
      </c>
      <c r="B8" s="64"/>
      <c r="C8" s="64"/>
      <c r="D8" s="64"/>
      <c r="E8" s="23"/>
      <c r="F8" s="23"/>
      <c r="G8" s="23"/>
      <c r="H8" s="23"/>
    </row>
    <row r="9" spans="1:8" ht="15" customHeight="1">
      <c r="A9" s="64"/>
      <c r="B9" s="64"/>
      <c r="C9" s="64"/>
      <c r="D9" s="64"/>
      <c r="E9" s="23"/>
      <c r="F9" s="23"/>
      <c r="G9" s="23"/>
      <c r="H9" s="23"/>
    </row>
    <row r="10" spans="1:8">
      <c r="A10" s="10" t="s">
        <v>1</v>
      </c>
      <c r="B10" s="10" t="s">
        <v>9</v>
      </c>
      <c r="C10" s="10" t="s">
        <v>9</v>
      </c>
      <c r="D10" s="10" t="s">
        <v>10</v>
      </c>
      <c r="E10" s="23"/>
      <c r="F10" s="23"/>
      <c r="G10" s="23"/>
      <c r="H10" s="23"/>
    </row>
    <row r="11" spans="1:8">
      <c r="A11" s="19" t="s">
        <v>44</v>
      </c>
      <c r="B11" s="20">
        <f>D3</f>
        <v>238.89</v>
      </c>
      <c r="C11" s="20">
        <v>400</v>
      </c>
      <c r="D11" s="20">
        <f>(C3/B3)*100</f>
        <v>60.273972602739725</v>
      </c>
      <c r="E11" s="23"/>
      <c r="F11" s="23"/>
      <c r="G11" s="23"/>
      <c r="H11" s="23"/>
    </row>
    <row r="12" spans="1:8" s="23" customFormat="1">
      <c r="A12" s="19" t="s">
        <v>5</v>
      </c>
      <c r="B12" s="20">
        <f>D4</f>
        <v>135</v>
      </c>
      <c r="C12" s="20">
        <v>450</v>
      </c>
      <c r="D12" s="20">
        <f>(C4/B4)*100</f>
        <v>36.363636363636367</v>
      </c>
    </row>
    <row r="13" spans="1:8">
      <c r="A13" s="19" t="s">
        <v>7</v>
      </c>
      <c r="B13" s="20">
        <f>D5</f>
        <v>95.238095238095227</v>
      </c>
      <c r="C13" s="20">
        <v>400</v>
      </c>
      <c r="D13" s="20">
        <f>(C5/B5)*100</f>
        <v>23.809523809523807</v>
      </c>
      <c r="E13" s="23"/>
      <c r="F13" s="23"/>
      <c r="G13" s="23"/>
      <c r="H13" s="23"/>
    </row>
    <row r="14" spans="1:8">
      <c r="A14" s="19" t="s">
        <v>11</v>
      </c>
      <c r="B14" s="20">
        <f>AVERAGE(B11:B13)</f>
        <v>156.37603174603174</v>
      </c>
      <c r="C14" s="20">
        <f>AVERAGE(C11:C13)</f>
        <v>416.66666666666669</v>
      </c>
      <c r="D14" s="20">
        <f>AVERAGE(D11:D13)</f>
        <v>40.149044258633303</v>
      </c>
      <c r="E14" s="23"/>
      <c r="F14" s="23"/>
      <c r="G14" s="23"/>
      <c r="H14" s="23"/>
    </row>
    <row r="17" spans="1:4">
      <c r="A17" s="64" t="s">
        <v>12</v>
      </c>
      <c r="B17" s="64"/>
      <c r="C17" s="64"/>
      <c r="D17" s="64"/>
    </row>
    <row r="18" spans="1:4">
      <c r="A18" s="64"/>
      <c r="B18" s="64"/>
      <c r="C18" s="64"/>
      <c r="D18" s="64"/>
    </row>
    <row r="19" spans="1:4">
      <c r="A19" s="3" t="s">
        <v>13</v>
      </c>
      <c r="B19" s="3" t="s">
        <v>14</v>
      </c>
      <c r="C19" s="3" t="s">
        <v>15</v>
      </c>
      <c r="D19" s="3" t="s">
        <v>16</v>
      </c>
    </row>
    <row r="20" spans="1:4">
      <c r="A20" s="4" t="str">
        <f>IF((D13-D11)/2&lt;0,"0",(D13-D11)/2)</f>
        <v>0</v>
      </c>
      <c r="B20" s="5">
        <f>(D13*1.5+D14*1)/2.5</f>
        <v>30.345331989167608</v>
      </c>
      <c r="C20" s="5">
        <f>B20+A20</f>
        <v>30.345331989167608</v>
      </c>
      <c r="D20" s="4">
        <f>(C20*C11/100)</f>
        <v>121.38132795667043</v>
      </c>
    </row>
  </sheetData>
  <mergeCells count="3">
    <mergeCell ref="A1:E1"/>
    <mergeCell ref="A17:D18"/>
    <mergeCell ref="A8:D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EDCC-2A1D-4DD5-8ADB-D4E54057C802}">
  <dimension ref="A1:J22"/>
  <sheetViews>
    <sheetView showGridLines="0" topLeftCell="A11" workbookViewId="0">
      <selection activeCell="H30" sqref="H30"/>
    </sheetView>
  </sheetViews>
  <sheetFormatPr defaultRowHeight="15"/>
  <cols>
    <col min="1" max="1" width="12.140625" bestFit="1" customWidth="1"/>
    <col min="2" max="2" width="18.5703125" bestFit="1" customWidth="1"/>
    <col min="3" max="3" width="17.28515625" bestFit="1" customWidth="1"/>
    <col min="4" max="5" width="10" bestFit="1" customWidth="1"/>
    <col min="6" max="6" width="7.28515625" bestFit="1" customWidth="1"/>
    <col min="7" max="7" width="9.85546875" bestFit="1" customWidth="1"/>
  </cols>
  <sheetData>
    <row r="1" spans="1:10" ht="18.75">
      <c r="A1" s="71" t="s">
        <v>109</v>
      </c>
      <c r="B1" s="71"/>
      <c r="C1" s="71"/>
      <c r="D1" s="71"/>
      <c r="E1" s="71"/>
      <c r="F1" s="71"/>
      <c r="G1" s="71"/>
      <c r="H1" s="23"/>
      <c r="I1" s="23"/>
      <c r="J1" s="23"/>
    </row>
    <row r="2" spans="1:10">
      <c r="A2" s="25" t="s">
        <v>1</v>
      </c>
      <c r="B2" s="25" t="s">
        <v>110</v>
      </c>
      <c r="C2" s="25" t="s">
        <v>111</v>
      </c>
      <c r="D2" s="25" t="s">
        <v>112</v>
      </c>
      <c r="E2" s="25" t="s">
        <v>105</v>
      </c>
      <c r="F2" s="25" t="s">
        <v>31</v>
      </c>
      <c r="G2" s="25" t="s">
        <v>4</v>
      </c>
      <c r="H2" s="23"/>
      <c r="I2" s="25" t="s">
        <v>2</v>
      </c>
      <c r="J2" s="19">
        <v>1000</v>
      </c>
    </row>
    <row r="3" spans="1:10" s="23" customFormat="1">
      <c r="A3" s="19" t="s">
        <v>113</v>
      </c>
      <c r="B3" s="19">
        <v>-15</v>
      </c>
      <c r="C3" s="20">
        <f>112.1+32.1434+11.8</f>
        <v>156.04340000000002</v>
      </c>
      <c r="D3" s="19">
        <f>58.24+0</f>
        <v>58.24</v>
      </c>
      <c r="E3" s="19">
        <v>113.51</v>
      </c>
      <c r="F3" s="20">
        <f>SUM(B3:E3)</f>
        <v>312.79340000000002</v>
      </c>
      <c r="G3" s="19" t="s">
        <v>114</v>
      </c>
    </row>
    <row r="4" spans="1:10">
      <c r="A4" s="19" t="s">
        <v>44</v>
      </c>
      <c r="B4" s="19">
        <v>-15</v>
      </c>
      <c r="C4" s="20">
        <f>'Projeto Geral'!D3</f>
        <v>198.17</v>
      </c>
      <c r="D4" s="19">
        <f>Dinâmicas!H4</f>
        <v>111.78</v>
      </c>
      <c r="E4" s="20">
        <f>Enduro!D3</f>
        <v>238.89</v>
      </c>
      <c r="F4" s="20">
        <f>SUM(B4:E4)</f>
        <v>533.83999999999992</v>
      </c>
      <c r="G4" s="19" t="s">
        <v>46</v>
      </c>
      <c r="H4" s="23"/>
      <c r="I4" s="1"/>
      <c r="J4" s="1"/>
    </row>
    <row r="5" spans="1:10" s="23" customFormat="1">
      <c r="A5" s="19" t="s">
        <v>5</v>
      </c>
      <c r="B5" s="19">
        <v>-15</v>
      </c>
      <c r="C5" s="20">
        <f>'Projeto Geral'!D4</f>
        <v>188.6640625</v>
      </c>
      <c r="D5" s="19">
        <f>Dinâmicas!H5</f>
        <v>77.599999999999994</v>
      </c>
      <c r="E5" s="20">
        <f>Enduro!D4</f>
        <v>135</v>
      </c>
      <c r="F5" s="20">
        <f>SUM(B5:E5)</f>
        <v>386.26406250000002</v>
      </c>
      <c r="G5" s="19" t="s">
        <v>46</v>
      </c>
      <c r="I5" s="1"/>
      <c r="J5" s="1"/>
    </row>
    <row r="6" spans="1:10">
      <c r="A6" s="19" t="s">
        <v>7</v>
      </c>
      <c r="B6" s="19">
        <v>-25</v>
      </c>
      <c r="C6" s="20">
        <f>'Projeto Geral'!D5</f>
        <v>205.57499999999999</v>
      </c>
      <c r="D6" s="19">
        <f>Dinâmicas!H6</f>
        <v>99.42</v>
      </c>
      <c r="E6" s="20">
        <f>Enduro!D5</f>
        <v>95.238095238095227</v>
      </c>
      <c r="F6" s="20">
        <f>SUM(B6:E6)</f>
        <v>375.23309523809525</v>
      </c>
      <c r="G6" s="19" t="s">
        <v>115</v>
      </c>
      <c r="H6" s="23"/>
      <c r="I6" s="16"/>
      <c r="J6" s="16"/>
    </row>
    <row r="9" spans="1:10">
      <c r="A9" s="64" t="s">
        <v>8</v>
      </c>
      <c r="B9" s="64"/>
      <c r="C9" s="64"/>
      <c r="D9" s="64"/>
      <c r="E9" s="64"/>
      <c r="F9" s="64"/>
      <c r="G9" s="64"/>
      <c r="H9" s="23"/>
      <c r="I9" s="23"/>
      <c r="J9" s="23"/>
    </row>
    <row r="10" spans="1:10">
      <c r="A10" s="64"/>
      <c r="B10" s="64"/>
      <c r="C10" s="64"/>
      <c r="D10" s="64"/>
      <c r="E10" s="64"/>
      <c r="F10" s="64"/>
      <c r="G10" s="64"/>
      <c r="H10" s="23"/>
      <c r="I10" s="23"/>
      <c r="J10" s="23"/>
    </row>
    <row r="11" spans="1:10">
      <c r="A11" s="25" t="s">
        <v>1</v>
      </c>
      <c r="B11" s="25" t="s">
        <v>2</v>
      </c>
      <c r="C11" s="25" t="s">
        <v>110</v>
      </c>
      <c r="D11" s="25" t="s">
        <v>111</v>
      </c>
      <c r="E11" s="25" t="s">
        <v>112</v>
      </c>
      <c r="F11" s="25" t="s">
        <v>105</v>
      </c>
      <c r="G11" s="25" t="s">
        <v>33</v>
      </c>
      <c r="H11" s="23"/>
      <c r="I11" s="23"/>
      <c r="J11" s="23"/>
    </row>
    <row r="12" spans="1:10" s="23" customFormat="1">
      <c r="A12" s="19" t="s">
        <v>113</v>
      </c>
      <c r="B12" s="19">
        <f>$J$2</f>
        <v>1000</v>
      </c>
      <c r="C12" s="20">
        <f>B3</f>
        <v>-15</v>
      </c>
      <c r="D12" s="20">
        <f t="shared" ref="D12:F14" si="0">C3</f>
        <v>156.04340000000002</v>
      </c>
      <c r="E12" s="20">
        <f t="shared" si="0"/>
        <v>58.24</v>
      </c>
      <c r="F12" s="20">
        <f t="shared" si="0"/>
        <v>113.51</v>
      </c>
      <c r="G12" s="20">
        <f>SUM(C12:F12)*100/$J$2</f>
        <v>31.279340000000005</v>
      </c>
    </row>
    <row r="13" spans="1:10">
      <c r="A13" s="19" t="s">
        <v>44</v>
      </c>
      <c r="B13" s="19">
        <f>$J$2</f>
        <v>1000</v>
      </c>
      <c r="C13" s="20">
        <f>B4</f>
        <v>-15</v>
      </c>
      <c r="D13" s="20">
        <f t="shared" si="0"/>
        <v>198.17</v>
      </c>
      <c r="E13" s="20">
        <f t="shared" si="0"/>
        <v>111.78</v>
      </c>
      <c r="F13" s="20">
        <f t="shared" si="0"/>
        <v>238.89</v>
      </c>
      <c r="G13" s="20">
        <f>SUM(C13:F13)*100/$J$2</f>
        <v>53.383999999999993</v>
      </c>
      <c r="H13" s="23"/>
      <c r="I13" s="23"/>
      <c r="J13" s="23"/>
    </row>
    <row r="14" spans="1:10" s="23" customFormat="1">
      <c r="A14" s="19" t="s">
        <v>5</v>
      </c>
      <c r="B14" s="19">
        <f>$J$2</f>
        <v>1000</v>
      </c>
      <c r="C14" s="20">
        <f>B5</f>
        <v>-15</v>
      </c>
      <c r="D14" s="20">
        <f t="shared" si="0"/>
        <v>188.6640625</v>
      </c>
      <c r="E14" s="20">
        <f t="shared" si="0"/>
        <v>77.599999999999994</v>
      </c>
      <c r="F14" s="20">
        <f t="shared" si="0"/>
        <v>135</v>
      </c>
      <c r="G14" s="20">
        <f>SUM(C14:F14)*100/$J$2</f>
        <v>38.626406250000002</v>
      </c>
    </row>
    <row r="15" spans="1:10">
      <c r="A15" s="19" t="s">
        <v>7</v>
      </c>
      <c r="B15" s="19">
        <f>$J$2</f>
        <v>1000</v>
      </c>
      <c r="C15" s="20">
        <f>B6</f>
        <v>-25</v>
      </c>
      <c r="D15" s="20">
        <f t="shared" ref="D15:F15" si="1">C6</f>
        <v>205.57499999999999</v>
      </c>
      <c r="E15" s="20">
        <f t="shared" si="1"/>
        <v>99.42</v>
      </c>
      <c r="F15" s="20">
        <f t="shared" si="1"/>
        <v>95.238095238095227</v>
      </c>
      <c r="G15" s="20">
        <f>SUM(C15:F15)*100/$J$2</f>
        <v>37.523309523809523</v>
      </c>
      <c r="H15" s="23"/>
      <c r="I15" s="23"/>
      <c r="J15" s="23"/>
    </row>
    <row r="16" spans="1:10">
      <c r="A16" s="19" t="s">
        <v>11</v>
      </c>
      <c r="B16" s="19">
        <f>AVERAGE(B13:B15)</f>
        <v>1000</v>
      </c>
      <c r="C16" s="20">
        <f t="shared" ref="C16:G16" si="2">AVERAGE(C13:C15)</f>
        <v>-18.333333333333332</v>
      </c>
      <c r="D16" s="20">
        <f t="shared" si="2"/>
        <v>197.46968749999996</v>
      </c>
      <c r="E16" s="20">
        <f t="shared" si="2"/>
        <v>96.266666666666666</v>
      </c>
      <c r="F16" s="20">
        <f t="shared" si="2"/>
        <v>156.37603174603174</v>
      </c>
      <c r="G16" s="20">
        <f t="shared" si="2"/>
        <v>43.177905257936509</v>
      </c>
      <c r="H16" s="23"/>
      <c r="I16" s="23"/>
      <c r="J16" s="23"/>
    </row>
    <row r="19" spans="1:5" ht="15" customHeight="1">
      <c r="A19" s="64" t="s">
        <v>12</v>
      </c>
      <c r="B19" s="64"/>
      <c r="C19" s="64"/>
      <c r="D19" s="64"/>
      <c r="E19" s="64"/>
    </row>
    <row r="20" spans="1:5" ht="15" customHeight="1">
      <c r="A20" s="64"/>
      <c r="B20" s="64"/>
      <c r="C20" s="64"/>
      <c r="D20" s="64"/>
      <c r="E20" s="64"/>
    </row>
    <row r="21" spans="1:5">
      <c r="A21" s="18" t="s">
        <v>13</v>
      </c>
      <c r="B21" s="18" t="s">
        <v>14</v>
      </c>
      <c r="C21" s="18" t="s">
        <v>15</v>
      </c>
      <c r="D21" s="18" t="s">
        <v>116</v>
      </c>
      <c r="E21" s="3" t="s">
        <v>117</v>
      </c>
    </row>
    <row r="22" spans="1:5">
      <c r="A22" s="4">
        <f>IF((G15-G12)/9&lt;0,"0",(G15-G12)/9)</f>
        <v>0.69377439153439091</v>
      </c>
      <c r="B22" s="5">
        <f>(G15*1.5+G16*1)/2.5</f>
        <v>39.785147817460313</v>
      </c>
      <c r="C22" s="5">
        <f>B22+A22</f>
        <v>40.478922208994703</v>
      </c>
      <c r="D22" s="4">
        <f>(C22*J2/100)</f>
        <v>404.78922208994697</v>
      </c>
      <c r="E22" s="20">
        <f>SUM('Projeto Geral'!D20+Dinâmicas!I28+Enduro!D20)</f>
        <v>442.47057372386615</v>
      </c>
    </row>
  </sheetData>
  <mergeCells count="3">
    <mergeCell ref="A1:G1"/>
    <mergeCell ref="A9:G10"/>
    <mergeCell ref="A19:E20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A5F75-A461-49A5-A903-129BE905CB94}">
  <dimension ref="A2:K37"/>
  <sheetViews>
    <sheetView showGridLines="0" tabSelected="1" workbookViewId="0">
      <selection activeCell="C6" sqref="C6"/>
    </sheetView>
  </sheetViews>
  <sheetFormatPr defaultRowHeight="15"/>
  <cols>
    <col min="1" max="1" width="40.7109375" bestFit="1" customWidth="1"/>
    <col min="2" max="2" width="13.85546875" bestFit="1" customWidth="1"/>
    <col min="3" max="3" width="12.5703125" bestFit="1" customWidth="1"/>
    <col min="9" max="9" width="17.5703125" bestFit="1" customWidth="1"/>
    <col min="10" max="10" width="13.85546875" bestFit="1" customWidth="1"/>
  </cols>
  <sheetData>
    <row r="2" spans="1:3" ht="18.75">
      <c r="A2" s="75" t="s">
        <v>118</v>
      </c>
      <c r="B2" s="75"/>
      <c r="C2" s="75"/>
    </row>
    <row r="3" spans="1:3">
      <c r="A3" s="41" t="s">
        <v>119</v>
      </c>
      <c r="B3" s="42" t="s">
        <v>120</v>
      </c>
      <c r="C3" s="42" t="s">
        <v>121</v>
      </c>
    </row>
    <row r="4" spans="1:3">
      <c r="A4" s="43" t="s">
        <v>122</v>
      </c>
      <c r="B4" s="44">
        <v>16.579999999999998</v>
      </c>
      <c r="C4" s="44">
        <v>20</v>
      </c>
    </row>
    <row r="5" spans="1:3">
      <c r="A5" s="43" t="s">
        <v>123</v>
      </c>
      <c r="B5" s="45">
        <v>189</v>
      </c>
      <c r="C5" s="45">
        <v>200.81</v>
      </c>
    </row>
    <row r="6" spans="1:3">
      <c r="A6" s="46" t="s">
        <v>31</v>
      </c>
      <c r="B6" s="47">
        <f>SUM(B4:B5)</f>
        <v>205.57999999999998</v>
      </c>
      <c r="C6" s="47">
        <f>SUM(C4:C5)</f>
        <v>220.81</v>
      </c>
    </row>
    <row r="7" spans="1:3">
      <c r="A7" s="48" t="s">
        <v>124</v>
      </c>
      <c r="B7" s="42" t="s">
        <v>120</v>
      </c>
      <c r="C7" s="42" t="s">
        <v>125</v>
      </c>
    </row>
    <row r="8" spans="1:3">
      <c r="A8" s="49" t="s">
        <v>85</v>
      </c>
      <c r="B8" s="50">
        <v>47.24</v>
      </c>
      <c r="C8" s="50">
        <v>36</v>
      </c>
    </row>
    <row r="9" spans="1:3">
      <c r="A9" s="49" t="s">
        <v>86</v>
      </c>
      <c r="B9" s="50">
        <v>52.18</v>
      </c>
      <c r="C9" s="50">
        <v>36</v>
      </c>
    </row>
    <row r="10" spans="1:3">
      <c r="A10" s="49" t="s">
        <v>126</v>
      </c>
      <c r="B10" s="50">
        <v>0</v>
      </c>
      <c r="C10" s="50">
        <v>57</v>
      </c>
    </row>
    <row r="11" spans="1:3">
      <c r="A11" s="49" t="s">
        <v>127</v>
      </c>
      <c r="B11" s="50">
        <v>0</v>
      </c>
      <c r="C11" s="50">
        <v>47</v>
      </c>
    </row>
    <row r="12" spans="1:3">
      <c r="A12" s="51" t="s">
        <v>31</v>
      </c>
      <c r="B12" s="52">
        <f>SUM(B8:B11)</f>
        <v>99.42</v>
      </c>
      <c r="C12" s="52">
        <f>SUM(C8:C11)</f>
        <v>176</v>
      </c>
    </row>
    <row r="13" spans="1:3">
      <c r="A13" s="48" t="s">
        <v>128</v>
      </c>
      <c r="B13" s="42" t="s">
        <v>120</v>
      </c>
      <c r="C13" s="42" t="s">
        <v>125</v>
      </c>
    </row>
    <row r="14" spans="1:3">
      <c r="A14" s="53" t="s">
        <v>129</v>
      </c>
      <c r="B14" s="54">
        <v>95.24</v>
      </c>
      <c r="C14" s="54">
        <v>272</v>
      </c>
    </row>
    <row r="15" spans="1:3">
      <c r="A15" s="55" t="s">
        <v>130</v>
      </c>
      <c r="B15" s="57">
        <f>B6+B12+B14-25</f>
        <v>375.24</v>
      </c>
      <c r="C15" s="56">
        <f>C6+C12+C14</f>
        <v>668.81</v>
      </c>
    </row>
    <row r="25" spans="1:11">
      <c r="A25" s="76" t="s">
        <v>131</v>
      </c>
      <c r="B25" s="77"/>
      <c r="C25" s="78"/>
      <c r="D25" s="23"/>
      <c r="E25" s="23"/>
      <c r="F25" s="23"/>
      <c r="G25" s="23"/>
      <c r="H25" s="23"/>
      <c r="I25" s="76" t="s">
        <v>132</v>
      </c>
      <c r="J25" s="77"/>
      <c r="K25" s="78"/>
    </row>
    <row r="26" spans="1:11">
      <c r="A26" s="79"/>
      <c r="B26" s="80"/>
      <c r="C26" s="81"/>
      <c r="D26" s="23"/>
      <c r="E26" s="23"/>
      <c r="F26" s="23"/>
      <c r="G26" s="23"/>
      <c r="H26" s="23"/>
      <c r="I26" s="79"/>
      <c r="J26" s="80"/>
      <c r="K26" s="81"/>
    </row>
    <row r="27" spans="1:11">
      <c r="A27" s="58" t="s">
        <v>133</v>
      </c>
      <c r="B27" s="58" t="s">
        <v>120</v>
      </c>
      <c r="C27" s="58" t="s">
        <v>134</v>
      </c>
      <c r="D27" s="23"/>
      <c r="E27" s="23"/>
      <c r="F27" s="23"/>
      <c r="G27" s="23"/>
      <c r="H27" s="23"/>
      <c r="I27" s="58" t="s">
        <v>18</v>
      </c>
      <c r="J27" s="58" t="s">
        <v>120</v>
      </c>
      <c r="K27" s="58" t="s">
        <v>134</v>
      </c>
    </row>
    <row r="28" spans="1:11">
      <c r="A28" s="29" t="s">
        <v>35</v>
      </c>
      <c r="B28" s="20">
        <v>6.25</v>
      </c>
      <c r="C28" s="20">
        <v>7.25</v>
      </c>
      <c r="D28" s="23"/>
      <c r="E28" s="23"/>
      <c r="F28" s="23"/>
      <c r="G28" s="23"/>
      <c r="H28" s="23"/>
      <c r="I28" s="29" t="s">
        <v>19</v>
      </c>
      <c r="J28" s="20">
        <v>2</v>
      </c>
      <c r="K28" s="20">
        <v>2.13</v>
      </c>
    </row>
    <row r="29" spans="1:11">
      <c r="A29" s="29" t="s">
        <v>36</v>
      </c>
      <c r="B29" s="20">
        <v>8</v>
      </c>
      <c r="C29" s="20">
        <v>8.25</v>
      </c>
      <c r="D29" s="23"/>
      <c r="E29" s="23"/>
      <c r="F29" s="23"/>
      <c r="G29" s="23"/>
      <c r="H29" s="23"/>
      <c r="I29" s="29" t="s">
        <v>21</v>
      </c>
      <c r="J29" s="20">
        <v>2</v>
      </c>
      <c r="K29" s="20">
        <v>2</v>
      </c>
    </row>
    <row r="30" spans="1:11">
      <c r="A30" s="29" t="s">
        <v>37</v>
      </c>
      <c r="B30" s="20">
        <v>6.25</v>
      </c>
      <c r="C30" s="20">
        <v>7.25</v>
      </c>
      <c r="D30" s="23"/>
      <c r="E30" s="23"/>
      <c r="F30" s="23"/>
      <c r="G30" s="23"/>
      <c r="H30" s="23"/>
      <c r="I30" s="29" t="s">
        <v>25</v>
      </c>
      <c r="J30" s="20">
        <v>0.4</v>
      </c>
      <c r="K30" s="20">
        <v>0.88</v>
      </c>
    </row>
    <row r="31" spans="1:11">
      <c r="A31" s="29" t="s">
        <v>38</v>
      </c>
      <c r="B31" s="20" t="s">
        <v>45</v>
      </c>
      <c r="C31" s="20">
        <v>7</v>
      </c>
      <c r="D31" s="23"/>
      <c r="E31" s="23"/>
      <c r="F31" s="23"/>
      <c r="G31" s="23"/>
      <c r="H31" s="23"/>
      <c r="I31" s="29" t="s">
        <v>23</v>
      </c>
      <c r="J31" s="20">
        <v>0.6</v>
      </c>
      <c r="K31" s="20">
        <v>0.6</v>
      </c>
    </row>
    <row r="32" spans="1:11">
      <c r="A32" s="29" t="s">
        <v>52</v>
      </c>
      <c r="B32" s="20">
        <v>6.25</v>
      </c>
      <c r="C32" s="20">
        <v>7</v>
      </c>
      <c r="D32" s="23"/>
      <c r="E32" s="23"/>
      <c r="F32" s="23"/>
      <c r="G32" s="23"/>
      <c r="H32" s="23"/>
      <c r="I32" s="29" t="s">
        <v>135</v>
      </c>
      <c r="J32" s="20">
        <v>1.3</v>
      </c>
      <c r="K32" s="20">
        <v>1.25</v>
      </c>
    </row>
    <row r="33" spans="1:11">
      <c r="A33" s="29" t="s">
        <v>53</v>
      </c>
      <c r="B33" s="20">
        <v>10</v>
      </c>
      <c r="C33" s="20">
        <v>8</v>
      </c>
      <c r="D33" s="23"/>
      <c r="E33" s="23"/>
      <c r="F33" s="23"/>
      <c r="G33" s="23"/>
      <c r="H33" s="23"/>
      <c r="I33" s="29" t="s">
        <v>29</v>
      </c>
      <c r="J33" s="20">
        <v>4.75</v>
      </c>
      <c r="K33" s="20">
        <v>6.38</v>
      </c>
    </row>
    <row r="34" spans="1:11">
      <c r="A34" s="29" t="s">
        <v>54</v>
      </c>
      <c r="B34" s="20">
        <v>6</v>
      </c>
      <c r="C34" s="20">
        <v>6.5</v>
      </c>
      <c r="D34" s="23"/>
      <c r="E34" s="23"/>
      <c r="F34" s="23"/>
      <c r="G34" s="23"/>
      <c r="H34" s="23"/>
      <c r="I34" s="59" t="s">
        <v>136</v>
      </c>
      <c r="J34" s="61">
        <f>SUM(J28:J33)</f>
        <v>11.05</v>
      </c>
      <c r="K34" s="61">
        <f>SUM(K28:K33)</f>
        <v>13.239999999999998</v>
      </c>
    </row>
    <row r="35" spans="1:11">
      <c r="A35" s="29" t="s">
        <v>42</v>
      </c>
      <c r="B35" s="20">
        <v>5.5</v>
      </c>
      <c r="C35" s="20">
        <v>8.25</v>
      </c>
      <c r="D35" s="23"/>
      <c r="E35" s="23"/>
      <c r="F35" s="23"/>
      <c r="G35" s="23"/>
      <c r="H35" s="23"/>
      <c r="I35" s="23"/>
      <c r="J35" s="23"/>
      <c r="K35" s="23"/>
    </row>
    <row r="36" spans="1:11">
      <c r="A36" s="29" t="s">
        <v>11</v>
      </c>
      <c r="B36" s="20">
        <f>AVERAGE(B29:B35)</f>
        <v>7</v>
      </c>
      <c r="C36" s="20">
        <f>AVERAGE(C28:C35)</f>
        <v>7.4375</v>
      </c>
      <c r="D36" s="23"/>
      <c r="E36" s="23"/>
      <c r="F36" s="23"/>
      <c r="G36" s="23"/>
      <c r="H36" s="23"/>
      <c r="I36" s="23"/>
      <c r="J36" s="23"/>
      <c r="K36" s="23"/>
    </row>
    <row r="37" spans="1:11">
      <c r="A37" s="59" t="s">
        <v>136</v>
      </c>
      <c r="B37" s="60">
        <f>B36*27</f>
        <v>189</v>
      </c>
      <c r="C37" s="60">
        <f>C36*27</f>
        <v>200.8125</v>
      </c>
      <c r="D37" s="23"/>
      <c r="E37" s="23"/>
      <c r="F37" s="23"/>
      <c r="G37" s="23"/>
      <c r="H37" s="23"/>
      <c r="I37" s="23"/>
      <c r="J37" s="23"/>
      <c r="K37" s="23"/>
    </row>
  </sheetData>
  <mergeCells count="3">
    <mergeCell ref="A2:C2"/>
    <mergeCell ref="A25:C26"/>
    <mergeCell ref="I25:K2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ACC2-66C5-4BF1-89CB-EF3DF174B815}">
  <dimension ref="A1:W46"/>
  <sheetViews>
    <sheetView showGridLines="0" topLeftCell="A14" workbookViewId="0">
      <selection activeCell="N22" sqref="N22"/>
    </sheetView>
  </sheetViews>
  <sheetFormatPr defaultRowHeight="15"/>
  <cols>
    <col min="1" max="1" width="11.5703125" bestFit="1" customWidth="1"/>
    <col min="2" max="2" width="12.42578125" bestFit="1" customWidth="1"/>
    <col min="3" max="3" width="12.140625" bestFit="1" customWidth="1"/>
    <col min="4" max="4" width="12.42578125" bestFit="1" customWidth="1"/>
    <col min="5" max="5" width="12.140625" bestFit="1" customWidth="1"/>
    <col min="6" max="6" width="13.7109375" bestFit="1" customWidth="1"/>
    <col min="7" max="7" width="12.140625" bestFit="1" customWidth="1"/>
    <col min="8" max="8" width="10.42578125" bestFit="1" customWidth="1"/>
    <col min="9" max="9" width="12.140625" bestFit="1" customWidth="1"/>
    <col min="10" max="10" width="10.42578125" bestFit="1" customWidth="1"/>
    <col min="11" max="11" width="12.140625" bestFit="1" customWidth="1"/>
    <col min="12" max="12" width="10.42578125" bestFit="1" customWidth="1"/>
    <col min="13" max="13" width="12.140625" bestFit="1" customWidth="1"/>
    <col min="14" max="14" width="10.42578125" bestFit="1" customWidth="1"/>
    <col min="15" max="15" width="12.140625" bestFit="1" customWidth="1"/>
    <col min="16" max="16" width="13.28515625" bestFit="1" customWidth="1"/>
    <col min="17" max="17" width="12.140625" bestFit="1" customWidth="1"/>
    <col min="20" max="20" width="10.42578125" bestFit="1" customWidth="1"/>
    <col min="23" max="23" width="13.28515625" bestFit="1" customWidth="1"/>
  </cols>
  <sheetData>
    <row r="1" spans="1:17" ht="18.75">
      <c r="A1" s="71" t="s">
        <v>137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>
      <c r="A2" s="25" t="s">
        <v>1</v>
      </c>
      <c r="B2" s="25" t="s">
        <v>138</v>
      </c>
      <c r="C2" s="25" t="s">
        <v>139</v>
      </c>
      <c r="D2" s="25" t="s">
        <v>140</v>
      </c>
      <c r="E2" s="25" t="s">
        <v>141</v>
      </c>
      <c r="F2" s="25" t="s">
        <v>142</v>
      </c>
      <c r="G2" s="25" t="s">
        <v>143</v>
      </c>
      <c r="H2" s="25" t="s">
        <v>144</v>
      </c>
      <c r="I2" s="25" t="s">
        <v>145</v>
      </c>
      <c r="J2" s="25" t="s">
        <v>146</v>
      </c>
      <c r="K2" s="25" t="s">
        <v>147</v>
      </c>
      <c r="L2" s="25" t="s">
        <v>148</v>
      </c>
      <c r="M2" s="25" t="s">
        <v>149</v>
      </c>
      <c r="N2" s="25" t="s">
        <v>150</v>
      </c>
      <c r="O2" s="25" t="s">
        <v>151</v>
      </c>
      <c r="P2" s="25" t="s">
        <v>152</v>
      </c>
      <c r="Q2" s="25" t="s">
        <v>153</v>
      </c>
    </row>
    <row r="3" spans="1:17">
      <c r="A3" s="19">
        <v>2010</v>
      </c>
      <c r="B3" s="26" t="s">
        <v>59</v>
      </c>
      <c r="C3" s="19">
        <v>776.56</v>
      </c>
      <c r="D3" s="28" t="s">
        <v>60</v>
      </c>
      <c r="E3" s="19">
        <v>765.72</v>
      </c>
      <c r="F3" s="26" t="s">
        <v>56</v>
      </c>
      <c r="G3" s="20">
        <v>678.24</v>
      </c>
      <c r="H3" s="28" t="s">
        <v>65</v>
      </c>
      <c r="I3" s="20">
        <v>664.37</v>
      </c>
      <c r="J3" s="28" t="s">
        <v>58</v>
      </c>
      <c r="K3" s="20">
        <v>581.52</v>
      </c>
      <c r="L3" s="28" t="s">
        <v>154</v>
      </c>
      <c r="M3" s="20">
        <v>580.88</v>
      </c>
      <c r="N3" s="28" t="s">
        <v>59</v>
      </c>
      <c r="O3" s="20">
        <v>573.99</v>
      </c>
      <c r="P3" s="28" t="s">
        <v>155</v>
      </c>
      <c r="Q3" s="20">
        <v>537.67999999999995</v>
      </c>
    </row>
    <row r="4" spans="1:17">
      <c r="A4" s="19">
        <v>2011</v>
      </c>
      <c r="B4" s="26" t="s">
        <v>56</v>
      </c>
      <c r="C4" s="19">
        <v>854.89</v>
      </c>
      <c r="D4" s="28" t="s">
        <v>156</v>
      </c>
      <c r="E4" s="19">
        <v>797.11</v>
      </c>
      <c r="F4" s="26" t="s">
        <v>59</v>
      </c>
      <c r="G4" s="20">
        <v>693.2</v>
      </c>
      <c r="H4" s="28" t="s">
        <v>154</v>
      </c>
      <c r="I4" s="20">
        <v>657.48</v>
      </c>
      <c r="J4" s="28" t="s">
        <v>157</v>
      </c>
      <c r="K4" s="20">
        <v>637.42999999999995</v>
      </c>
      <c r="L4" s="28" t="s">
        <v>65</v>
      </c>
      <c r="M4" s="20">
        <v>619.08000000000004</v>
      </c>
      <c r="N4" s="28" t="s">
        <v>59</v>
      </c>
      <c r="O4" s="20">
        <v>618.6</v>
      </c>
      <c r="P4" s="28" t="s">
        <v>58</v>
      </c>
      <c r="Q4" s="20">
        <v>553.17999999999995</v>
      </c>
    </row>
    <row r="5" spans="1:17">
      <c r="A5" s="19">
        <v>2012</v>
      </c>
      <c r="B5" s="26" t="s">
        <v>58</v>
      </c>
      <c r="C5" s="19">
        <v>805.62</v>
      </c>
      <c r="D5" s="28" t="s">
        <v>56</v>
      </c>
      <c r="E5" s="19">
        <v>759.53</v>
      </c>
      <c r="F5" s="26" t="s">
        <v>156</v>
      </c>
      <c r="G5" s="20">
        <v>750.83</v>
      </c>
      <c r="H5" s="26" t="s">
        <v>59</v>
      </c>
      <c r="I5" s="20">
        <v>740.11</v>
      </c>
      <c r="J5" s="28" t="s">
        <v>157</v>
      </c>
      <c r="K5" s="20">
        <v>712.5</v>
      </c>
      <c r="L5" s="28" t="s">
        <v>154</v>
      </c>
      <c r="M5" s="20">
        <v>671.81</v>
      </c>
      <c r="N5" s="28" t="s">
        <v>65</v>
      </c>
      <c r="O5" s="20">
        <v>668.08</v>
      </c>
      <c r="P5" s="28" t="s">
        <v>155</v>
      </c>
      <c r="Q5" s="20">
        <v>634.04999999999995</v>
      </c>
    </row>
    <row r="6" spans="1:17">
      <c r="A6" s="19">
        <v>2013</v>
      </c>
      <c r="B6" s="26" t="s">
        <v>56</v>
      </c>
      <c r="C6" s="19">
        <v>765</v>
      </c>
      <c r="D6" s="28" t="s">
        <v>58</v>
      </c>
      <c r="E6" s="19">
        <v>740</v>
      </c>
      <c r="F6" s="26" t="s">
        <v>154</v>
      </c>
      <c r="G6" s="20">
        <v>644</v>
      </c>
      <c r="H6" s="26" t="s">
        <v>60</v>
      </c>
      <c r="I6" s="20">
        <v>582</v>
      </c>
      <c r="J6" s="28" t="s">
        <v>59</v>
      </c>
      <c r="K6" s="20">
        <v>577</v>
      </c>
      <c r="L6" s="28" t="s">
        <v>157</v>
      </c>
      <c r="M6" s="20">
        <v>549</v>
      </c>
      <c r="N6" s="28" t="s">
        <v>65</v>
      </c>
      <c r="O6" s="20">
        <v>504</v>
      </c>
      <c r="P6" s="28" t="s">
        <v>155</v>
      </c>
      <c r="Q6" s="20">
        <v>460</v>
      </c>
    </row>
    <row r="7" spans="1:17">
      <c r="A7" s="19">
        <v>2014</v>
      </c>
      <c r="B7" s="26" t="s">
        <v>58</v>
      </c>
      <c r="C7" s="19">
        <v>854</v>
      </c>
      <c r="D7" s="28" t="s">
        <v>56</v>
      </c>
      <c r="E7" s="19">
        <v>769</v>
      </c>
      <c r="F7" s="26" t="s">
        <v>65</v>
      </c>
      <c r="G7" s="20">
        <v>587</v>
      </c>
      <c r="H7" s="26" t="s">
        <v>157</v>
      </c>
      <c r="I7" s="20">
        <v>579</v>
      </c>
      <c r="J7" s="28" t="s">
        <v>154</v>
      </c>
      <c r="K7" s="20">
        <v>568</v>
      </c>
      <c r="L7" s="28" t="s">
        <v>61</v>
      </c>
      <c r="M7" s="20">
        <v>532</v>
      </c>
      <c r="N7" s="28" t="s">
        <v>156</v>
      </c>
      <c r="O7" s="20">
        <v>527</v>
      </c>
      <c r="P7" s="28" t="s">
        <v>158</v>
      </c>
      <c r="Q7" s="20">
        <v>507</v>
      </c>
    </row>
    <row r="8" spans="1:17">
      <c r="A8" s="19">
        <v>2015</v>
      </c>
      <c r="B8" s="26" t="s">
        <v>56</v>
      </c>
      <c r="C8" s="19">
        <v>893.7</v>
      </c>
      <c r="D8" s="28" t="s">
        <v>58</v>
      </c>
      <c r="E8" s="19">
        <v>886.52</v>
      </c>
      <c r="F8" s="26" t="s">
        <v>59</v>
      </c>
      <c r="G8" s="20">
        <v>846.42</v>
      </c>
      <c r="H8" s="26" t="s">
        <v>154</v>
      </c>
      <c r="I8" s="20">
        <v>750.84</v>
      </c>
      <c r="J8" s="28" t="s">
        <v>156</v>
      </c>
      <c r="K8" s="20">
        <v>679.76</v>
      </c>
      <c r="L8" s="28" t="s">
        <v>61</v>
      </c>
      <c r="M8" s="20">
        <v>624.34</v>
      </c>
      <c r="N8" s="28" t="s">
        <v>159</v>
      </c>
      <c r="O8" s="20">
        <v>604.24</v>
      </c>
      <c r="P8" s="28" t="s">
        <v>60</v>
      </c>
      <c r="Q8" s="20">
        <v>600.09</v>
      </c>
    </row>
    <row r="9" spans="1:17">
      <c r="A9" s="19">
        <v>2016</v>
      </c>
      <c r="B9" s="26" t="s">
        <v>58</v>
      </c>
      <c r="C9" s="19">
        <v>908.47</v>
      </c>
      <c r="D9" s="28" t="s">
        <v>59</v>
      </c>
      <c r="E9" s="19">
        <v>848.23</v>
      </c>
      <c r="F9" s="26" t="s">
        <v>60</v>
      </c>
      <c r="G9" s="20">
        <v>828.71</v>
      </c>
      <c r="H9" s="26" t="s">
        <v>56</v>
      </c>
      <c r="I9" s="20">
        <v>776.43</v>
      </c>
      <c r="J9" s="28" t="s">
        <v>160</v>
      </c>
      <c r="K9" s="20">
        <v>732.17</v>
      </c>
      <c r="L9" s="28" t="s">
        <v>61</v>
      </c>
      <c r="M9" s="20">
        <v>676.74</v>
      </c>
      <c r="N9" s="30" t="s">
        <v>63</v>
      </c>
      <c r="O9" s="20">
        <v>533.84</v>
      </c>
      <c r="P9" s="28" t="s">
        <v>156</v>
      </c>
      <c r="Q9" s="20">
        <v>502.5</v>
      </c>
    </row>
    <row r="10" spans="1:17">
      <c r="A10" s="19">
        <v>2017</v>
      </c>
      <c r="B10" s="26" t="s">
        <v>58</v>
      </c>
      <c r="C10" s="19">
        <v>821.26</v>
      </c>
      <c r="D10" s="28" t="s">
        <v>56</v>
      </c>
      <c r="E10" s="19">
        <v>815.98</v>
      </c>
      <c r="F10" s="26" t="s">
        <v>60</v>
      </c>
      <c r="G10" s="20">
        <v>493.01</v>
      </c>
      <c r="H10" s="26" t="s">
        <v>157</v>
      </c>
      <c r="I10" s="20">
        <v>483.89</v>
      </c>
      <c r="J10" s="28" t="s">
        <v>156</v>
      </c>
      <c r="K10" s="20">
        <v>461.3</v>
      </c>
      <c r="L10" s="28" t="s">
        <v>72</v>
      </c>
      <c r="M10" s="20">
        <v>428.89</v>
      </c>
      <c r="N10" s="30" t="s">
        <v>63</v>
      </c>
      <c r="O10" s="20">
        <v>386.26</v>
      </c>
      <c r="P10" s="28" t="s">
        <v>161</v>
      </c>
      <c r="Q10" s="20">
        <v>361.69</v>
      </c>
    </row>
    <row r="11" spans="1:17">
      <c r="A11" s="19">
        <v>2018</v>
      </c>
      <c r="B11" s="26" t="s">
        <v>58</v>
      </c>
      <c r="C11" s="20">
        <f>(789.39*1000)/880</f>
        <v>897.03409090909088</v>
      </c>
      <c r="D11" s="28" t="s">
        <v>157</v>
      </c>
      <c r="E11" s="20">
        <f>(765.15*1000)/880</f>
        <v>869.48863636363637</v>
      </c>
      <c r="F11" s="26" t="s">
        <v>65</v>
      </c>
      <c r="G11" s="20">
        <f>(713.68*1000)/880</f>
        <v>811</v>
      </c>
      <c r="H11" s="26" t="s">
        <v>56</v>
      </c>
      <c r="I11" s="20">
        <f>(610.36*1000)/880</f>
        <v>693.59090909090912</v>
      </c>
      <c r="J11" s="28" t="s">
        <v>60</v>
      </c>
      <c r="K11" s="20">
        <f>(545.4*1000)/880</f>
        <v>619.77272727272725</v>
      </c>
      <c r="L11" s="28" t="s">
        <v>61</v>
      </c>
      <c r="M11" s="20">
        <f>(537.34*1000)/880</f>
        <v>610.61363636363637</v>
      </c>
      <c r="N11" s="28" t="s">
        <v>160</v>
      </c>
      <c r="O11" s="20">
        <f>(515.61*1000)/880</f>
        <v>585.9204545454545</v>
      </c>
      <c r="P11" s="28" t="s">
        <v>162</v>
      </c>
      <c r="Q11" s="20">
        <f>(500.39*1000)/880</f>
        <v>568.625</v>
      </c>
    </row>
    <row r="12" spans="1:17">
      <c r="A12" s="19">
        <v>2019</v>
      </c>
      <c r="B12" s="26" t="s">
        <v>59</v>
      </c>
      <c r="C12" s="19">
        <v>938.17</v>
      </c>
      <c r="D12" s="28" t="s">
        <v>58</v>
      </c>
      <c r="E12" s="19">
        <v>810.43</v>
      </c>
      <c r="F12" s="26" t="s">
        <v>60</v>
      </c>
      <c r="G12" s="20">
        <v>797.34</v>
      </c>
      <c r="H12" s="26" t="s">
        <v>61</v>
      </c>
      <c r="I12" s="20">
        <v>766.75</v>
      </c>
      <c r="J12" s="28" t="s">
        <v>65</v>
      </c>
      <c r="K12" s="20">
        <v>714.12</v>
      </c>
      <c r="L12" s="28" t="s">
        <v>72</v>
      </c>
      <c r="M12" s="20">
        <v>652.94000000000005</v>
      </c>
      <c r="N12" s="28" t="s">
        <v>157</v>
      </c>
      <c r="O12" s="20">
        <v>630.24</v>
      </c>
      <c r="P12" s="28" t="s">
        <v>156</v>
      </c>
      <c r="Q12" s="20">
        <v>592.35</v>
      </c>
    </row>
    <row r="13" spans="1:17" s="23" customFormat="1">
      <c r="A13" s="19">
        <v>2020</v>
      </c>
      <c r="B13" s="26" t="s">
        <v>58</v>
      </c>
      <c r="C13" s="19">
        <v>831.61</v>
      </c>
      <c r="D13" s="28" t="s">
        <v>59</v>
      </c>
      <c r="E13" s="19">
        <v>814.73</v>
      </c>
      <c r="F13" s="26" t="s">
        <v>156</v>
      </c>
      <c r="G13" s="20">
        <v>800.68</v>
      </c>
      <c r="H13" s="63" t="s">
        <v>63</v>
      </c>
      <c r="I13" s="20">
        <v>796.86</v>
      </c>
      <c r="J13" s="28" t="s">
        <v>56</v>
      </c>
      <c r="K13" s="20">
        <v>785.44</v>
      </c>
      <c r="L13" s="28" t="s">
        <v>163</v>
      </c>
      <c r="M13" s="20">
        <v>734.35</v>
      </c>
      <c r="N13" s="28" t="s">
        <v>164</v>
      </c>
      <c r="O13" s="20">
        <v>713.4</v>
      </c>
      <c r="P13" s="28" t="s">
        <v>165</v>
      </c>
      <c r="Q13" s="20">
        <v>713.06</v>
      </c>
    </row>
    <row r="14" spans="1:17">
      <c r="A14" s="21" t="s">
        <v>11</v>
      </c>
      <c r="B14" s="21"/>
      <c r="C14" s="22">
        <f>AVERAGE(C3:C13)</f>
        <v>849.66491735537193</v>
      </c>
      <c r="D14" s="22"/>
      <c r="E14" s="22">
        <f>AVERAGE(E3:E13)</f>
        <v>806.97623966942126</v>
      </c>
      <c r="F14" s="22"/>
      <c r="G14" s="22">
        <f>AVERAGE(G3:G13)</f>
        <v>720.94818181818187</v>
      </c>
      <c r="H14" s="22"/>
      <c r="I14" s="22">
        <f>AVERAGE(I3:I13)</f>
        <v>681.02917355371903</v>
      </c>
      <c r="J14" s="22"/>
      <c r="K14" s="22">
        <f>AVERAGE(K3:K13)</f>
        <v>642.63752066115705</v>
      </c>
      <c r="L14" s="22"/>
      <c r="M14" s="22">
        <f>AVERAGE(M3:M13)</f>
        <v>607.33123966942151</v>
      </c>
      <c r="N14" s="22"/>
      <c r="O14" s="22">
        <f>AVERAGE(O3:O13)</f>
        <v>576.87004132231402</v>
      </c>
      <c r="P14" s="22"/>
      <c r="Q14" s="22">
        <f>AVERAGE(Q3:Q13)</f>
        <v>548.20227272727277</v>
      </c>
    </row>
    <row r="18" spans="1:23" ht="18.75">
      <c r="A18" s="23"/>
      <c r="B18" s="23"/>
      <c r="C18" s="23"/>
      <c r="D18" s="71" t="s">
        <v>166</v>
      </c>
      <c r="E18" s="71"/>
      <c r="F18" s="71"/>
      <c r="G18" s="71"/>
      <c r="H18" s="71"/>
      <c r="I18" s="71"/>
      <c r="J18" s="71"/>
      <c r="K18" s="71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>
      <c r="A19" s="23"/>
      <c r="B19" s="23"/>
      <c r="C19" s="23"/>
      <c r="D19" s="25" t="s">
        <v>1</v>
      </c>
      <c r="E19" s="25" t="s">
        <v>167</v>
      </c>
      <c r="F19" s="25" t="s">
        <v>168</v>
      </c>
      <c r="G19" s="25" t="s">
        <v>169</v>
      </c>
      <c r="H19" s="25" t="s">
        <v>170</v>
      </c>
      <c r="I19" s="25" t="s">
        <v>171</v>
      </c>
      <c r="J19" s="25" t="s">
        <v>172</v>
      </c>
      <c r="K19" s="25" t="s">
        <v>173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>
      <c r="A20" s="23"/>
      <c r="B20" s="23"/>
      <c r="C20" s="23"/>
      <c r="D20" s="19">
        <v>2010</v>
      </c>
      <c r="E20" s="20">
        <f>(E3/C3)*100</f>
        <v>98.604100133923978</v>
      </c>
      <c r="F20" s="20">
        <f>(G3/C3)*100</f>
        <v>87.339033687029982</v>
      </c>
      <c r="G20" s="20">
        <f>(I3/C3)*100</f>
        <v>85.552951478314625</v>
      </c>
      <c r="H20" s="20">
        <f>(K3/C3)*100</f>
        <v>74.884104254661594</v>
      </c>
      <c r="I20" s="20">
        <f>(M3/C3)*100</f>
        <v>74.801689502420942</v>
      </c>
      <c r="J20" s="20">
        <f>(O3/C3)*100</f>
        <v>73.914443185330185</v>
      </c>
      <c r="K20" s="20">
        <f>(Q3/C3)*100</f>
        <v>69.238693726176976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>
      <c r="A21" s="23"/>
      <c r="B21" s="23"/>
      <c r="C21" s="23"/>
      <c r="D21" s="19">
        <v>2011</v>
      </c>
      <c r="E21" s="20">
        <f>(E4/C4)*100</f>
        <v>93.241235714536373</v>
      </c>
      <c r="F21" s="20">
        <f>(G4/C4)*100</f>
        <v>81.086455567382941</v>
      </c>
      <c r="G21" s="20">
        <f>(I4/C4)*100</f>
        <v>76.908140228567419</v>
      </c>
      <c r="H21" s="20">
        <f>(K4/C4)*100</f>
        <v>74.562809250312895</v>
      </c>
      <c r="I21" s="20">
        <f>(M4/C4)*100</f>
        <v>72.416334265227107</v>
      </c>
      <c r="J21" s="20">
        <f>(O4/C4)*100</f>
        <v>72.360186690685353</v>
      </c>
      <c r="K21" s="20">
        <f>(Q4/C4)*100</f>
        <v>64.707740177098799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>
      <c r="A22" s="23"/>
      <c r="B22" s="23"/>
      <c r="C22" s="23"/>
      <c r="D22" s="19">
        <v>2012</v>
      </c>
      <c r="E22" s="20">
        <f>(E5/C5)*100</f>
        <v>94.278940443385224</v>
      </c>
      <c r="F22" s="20">
        <f>(G5/C5)*100</f>
        <v>93.199026836473777</v>
      </c>
      <c r="G22" s="20">
        <f>(I5/C5)*100</f>
        <v>91.868374667957596</v>
      </c>
      <c r="H22" s="20">
        <f>(K5/C5)*100</f>
        <v>88.441200566023682</v>
      </c>
      <c r="I22" s="20">
        <f>(M5/C5)*100</f>
        <v>83.390432213698759</v>
      </c>
      <c r="J22" s="20">
        <f>(O5/C5)*100</f>
        <v>82.927434770735587</v>
      </c>
      <c r="K22" s="20">
        <f>(Q5/C5)*100</f>
        <v>78.703358903701499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>
      <c r="A23" s="23"/>
      <c r="B23" s="23"/>
      <c r="C23" s="23"/>
      <c r="D23" s="19">
        <v>2013</v>
      </c>
      <c r="E23" s="20">
        <f>(E6/C6)*100</f>
        <v>96.732026143790847</v>
      </c>
      <c r="F23" s="20">
        <f>(G6/C6)*100</f>
        <v>84.183006535947712</v>
      </c>
      <c r="G23" s="20">
        <f>(I6/C6)*100</f>
        <v>76.078431372549019</v>
      </c>
      <c r="H23" s="20">
        <f>(K6/C6)*100</f>
        <v>75.424836601307192</v>
      </c>
      <c r="I23" s="20">
        <f>(M6/C6)*100</f>
        <v>71.764705882352942</v>
      </c>
      <c r="J23" s="20">
        <f>(O6/C6)*100</f>
        <v>65.882352941176464</v>
      </c>
      <c r="K23" s="20">
        <f>(Q6/C6)*100</f>
        <v>60.130718954248366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>
      <c r="A24" s="23"/>
      <c r="B24" s="23"/>
      <c r="C24" s="23"/>
      <c r="D24" s="19">
        <v>2014</v>
      </c>
      <c r="E24" s="20">
        <f>(E7/C7)*100</f>
        <v>90.04683840749415</v>
      </c>
      <c r="F24" s="20">
        <f>(G7/C7)*100</f>
        <v>68.735362997658072</v>
      </c>
      <c r="G24" s="20">
        <f>(I7/C7)*100</f>
        <v>67.798594847775178</v>
      </c>
      <c r="H24" s="20">
        <f>(K7/C7)*100</f>
        <v>66.510538641686182</v>
      </c>
      <c r="I24" s="20">
        <f>(M7/C7)*100</f>
        <v>62.295081967213115</v>
      </c>
      <c r="J24" s="20">
        <f>(O7/C7)*100</f>
        <v>61.7096018735363</v>
      </c>
      <c r="K24" s="20">
        <f>(Q7/C7)*100</f>
        <v>59.367681498829036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>
      <c r="A25" s="23"/>
      <c r="B25" s="23"/>
      <c r="C25" s="23"/>
      <c r="D25" s="19">
        <v>2015</v>
      </c>
      <c r="E25" s="20">
        <f>(E8/C8)*100</f>
        <v>99.196598411099913</v>
      </c>
      <c r="F25" s="20">
        <f>(G8/C8)*100</f>
        <v>94.70963410540449</v>
      </c>
      <c r="G25" s="20">
        <f>(I8/C8)*100</f>
        <v>84.01477005706613</v>
      </c>
      <c r="H25" s="20">
        <f>(K8/C8)*100</f>
        <v>76.061318115698768</v>
      </c>
      <c r="I25" s="20">
        <f>(M8/C8)*100</f>
        <v>69.860132035358617</v>
      </c>
      <c r="J25" s="20">
        <f>(O8/C8)*100</f>
        <v>67.611055163925244</v>
      </c>
      <c r="K25" s="20">
        <f>(Q8/C8)*100</f>
        <v>67.146693521315882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>
      <c r="A26" s="23"/>
      <c r="B26" s="23"/>
      <c r="C26" s="23"/>
      <c r="D26" s="19">
        <v>2016</v>
      </c>
      <c r="E26" s="20">
        <f>(E9/C9)*100</f>
        <v>93.369071075544596</v>
      </c>
      <c r="F26" s="20">
        <f>(G9/C9)*100</f>
        <v>91.220403535614821</v>
      </c>
      <c r="G26" s="20">
        <f>(I9/C9)*100</f>
        <v>85.465673054696339</v>
      </c>
      <c r="H26" s="20">
        <f>(K9/C9)*100</f>
        <v>80.593745528195754</v>
      </c>
      <c r="I26" s="20">
        <f>(M9/C9)*100</f>
        <v>74.492278226028375</v>
      </c>
      <c r="J26" s="20">
        <f>(O9/C9)*100</f>
        <v>58.762534811276105</v>
      </c>
      <c r="K26" s="20">
        <f>(Q9/C9)*100</f>
        <v>55.312778627802786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>
      <c r="A27" s="23"/>
      <c r="B27" s="23"/>
      <c r="C27" s="23"/>
      <c r="D27" s="19">
        <v>2017</v>
      </c>
      <c r="E27" s="20">
        <f>(E10/C10)*100</f>
        <v>99.357085454058407</v>
      </c>
      <c r="F27" s="20">
        <f>(G10/C10)*100</f>
        <v>60.030928086111579</v>
      </c>
      <c r="G27" s="20">
        <f>(I10/C10)*100</f>
        <v>58.920439324939721</v>
      </c>
      <c r="H27" s="20">
        <f>(K10/C10)*100</f>
        <v>56.169787886905489</v>
      </c>
      <c r="I27" s="20">
        <f>(M10/C10)*100</f>
        <v>52.223412804714705</v>
      </c>
      <c r="J27" s="20">
        <f>(O10/C10)*100</f>
        <v>47.032608430947569</v>
      </c>
      <c r="K27" s="20">
        <f>(Q10/C10)*100</f>
        <v>44.040864038185227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>
      <c r="A28" s="23"/>
      <c r="B28" s="23"/>
      <c r="C28" s="23"/>
      <c r="D28" s="19">
        <v>2018</v>
      </c>
      <c r="E28" s="20">
        <f>(E11/C11)*100</f>
        <v>96.929274503097332</v>
      </c>
      <c r="F28" s="20">
        <f>(G11/C11)*100</f>
        <v>90.409050025969421</v>
      </c>
      <c r="G28" s="20">
        <f>(I11/C11)*100</f>
        <v>77.32046263570605</v>
      </c>
      <c r="H28" s="20">
        <f>(K11/C11)*100</f>
        <v>69.091323680310111</v>
      </c>
      <c r="I28" s="20">
        <f>(M11/C11)*100</f>
        <v>68.070282116571022</v>
      </c>
      <c r="J28" s="20">
        <f>(O11/C11)*100</f>
        <v>65.317523657507692</v>
      </c>
      <c r="K28" s="20">
        <f>(Q11/C11)*100</f>
        <v>63.38945261531056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>
      <c r="A29" s="23"/>
      <c r="B29" s="23"/>
      <c r="C29" s="23"/>
      <c r="D29" s="19">
        <v>2019</v>
      </c>
      <c r="E29" s="20">
        <f>(E12/C12)*100</f>
        <v>86.384130807849317</v>
      </c>
      <c r="F29" s="20">
        <f>(G12/C12)*100</f>
        <v>84.988861293795367</v>
      </c>
      <c r="G29" s="20">
        <f>(I12/C12)*100</f>
        <v>81.72825820480297</v>
      </c>
      <c r="H29" s="20">
        <f>(K12/C12)*100</f>
        <v>76.118400716288093</v>
      </c>
      <c r="I29" s="20">
        <f>(M12/C12)*100</f>
        <v>69.597194538303299</v>
      </c>
      <c r="J29" s="20">
        <f>(O12/C12)*100</f>
        <v>67.17759041538315</v>
      </c>
      <c r="K29" s="20">
        <f>(Q12/C12)*100</f>
        <v>63.138876749416418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>
      <c r="A30" s="23"/>
      <c r="B30" s="23"/>
      <c r="C30" s="23"/>
      <c r="D30" s="19">
        <v>2020</v>
      </c>
      <c r="E30" s="20">
        <f>(E13/C13)*100</f>
        <v>97.970202378518778</v>
      </c>
      <c r="F30" s="20">
        <f>(G13/C13)*100</f>
        <v>96.280708505188727</v>
      </c>
      <c r="G30" s="20">
        <f>(I13/C13)*100</f>
        <v>95.821358569521777</v>
      </c>
      <c r="H30" s="20">
        <f>(K13/C13)*100</f>
        <v>94.44811870949124</v>
      </c>
      <c r="I30" s="20">
        <f>(M13/C13)*100</f>
        <v>88.304613941631288</v>
      </c>
      <c r="J30" s="20">
        <f>(O13/C13)*100</f>
        <v>85.785404215918518</v>
      </c>
      <c r="K30" s="20">
        <f>(Q13/C13)*100</f>
        <v>85.744519666670669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>
      <c r="A31" s="23"/>
      <c r="B31" s="23"/>
      <c r="C31" s="23"/>
      <c r="D31" s="21" t="s">
        <v>11</v>
      </c>
      <c r="E31" s="22">
        <f>AVERAGE(E20:E30)</f>
        <v>95.100863952118075</v>
      </c>
      <c r="F31" s="22">
        <f>AVERAGE(F20:F30)</f>
        <v>84.743861016052449</v>
      </c>
      <c r="G31" s="22">
        <f>AVERAGE(G20:G30)</f>
        <v>80.134314040172427</v>
      </c>
      <c r="H31" s="22">
        <f>AVERAGE(H20:H30)</f>
        <v>75.664198540989176</v>
      </c>
      <c r="I31" s="22">
        <f>AVERAGE(I20:I30)</f>
        <v>71.565105226683627</v>
      </c>
      <c r="J31" s="22">
        <f>AVERAGE(J20:J30)</f>
        <v>68.043703286947476</v>
      </c>
      <c r="K31" s="22">
        <f>AVERAGE(K20:K30)</f>
        <v>64.629216225341466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>
      <c r="A32" s="23"/>
      <c r="B32" s="23"/>
      <c r="C32" s="23"/>
      <c r="D32" s="22">
        <f>C14</f>
        <v>849.66491735537193</v>
      </c>
      <c r="E32" s="22">
        <f>($D$32*E31)/100</f>
        <v>808.03867710300869</v>
      </c>
      <c r="F32" s="22">
        <f>($D$32*F31)/100</f>
        <v>720.03885666579333</v>
      </c>
      <c r="G32" s="22">
        <f>($D$32*G31)/100</f>
        <v>680.8731531627252</v>
      </c>
      <c r="H32" s="22">
        <f>($D$32*H31)/100</f>
        <v>642.89215000090019</v>
      </c>
      <c r="I32" s="22">
        <f>($D$32*I31)/100</f>
        <v>608.06359217958641</v>
      </c>
      <c r="J32" s="22">
        <f>($D$32*J31)/100</f>
        <v>578.14347529857673</v>
      </c>
      <c r="K32" s="22">
        <f>($D$32*K31)/100</f>
        <v>549.13177662847227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s="23" customFormat="1"/>
    <row r="36" spans="1:23">
      <c r="A36" s="25" t="s">
        <v>174</v>
      </c>
      <c r="B36" s="25" t="s">
        <v>51</v>
      </c>
      <c r="C36" s="23"/>
      <c r="D36" s="25" t="s">
        <v>175</v>
      </c>
      <c r="E36" s="25" t="s">
        <v>51</v>
      </c>
      <c r="F36" s="23"/>
      <c r="G36" s="25" t="s">
        <v>28</v>
      </c>
      <c r="H36" s="25" t="s">
        <v>51</v>
      </c>
      <c r="I36" s="23"/>
      <c r="J36" s="25" t="s">
        <v>47</v>
      </c>
      <c r="K36" s="25" t="s">
        <v>51</v>
      </c>
      <c r="L36" s="23"/>
      <c r="M36" s="25" t="s">
        <v>20</v>
      </c>
      <c r="N36" s="25" t="s">
        <v>51</v>
      </c>
      <c r="O36" s="23"/>
      <c r="P36" s="25" t="s">
        <v>99</v>
      </c>
      <c r="Q36" s="25" t="s">
        <v>51</v>
      </c>
      <c r="R36" s="23"/>
      <c r="S36" s="25" t="s">
        <v>46</v>
      </c>
      <c r="T36" s="25" t="s">
        <v>51</v>
      </c>
      <c r="U36" s="23"/>
      <c r="V36" s="25" t="s">
        <v>100</v>
      </c>
      <c r="W36" s="25" t="s">
        <v>51</v>
      </c>
    </row>
    <row r="37" spans="1:23">
      <c r="A37" s="27">
        <f>COUNTIF($B$3:$B$13,$B$37:$B$39)</f>
        <v>6</v>
      </c>
      <c r="B37" s="26" t="s">
        <v>58</v>
      </c>
      <c r="C37" s="24"/>
      <c r="D37" s="27">
        <f>COUNTIF($D$3:$D$13,$E$37:$E$42)</f>
        <v>3</v>
      </c>
      <c r="E37" s="28" t="s">
        <v>58</v>
      </c>
      <c r="F37" s="24"/>
      <c r="G37" s="27">
        <f>COUNTIF($F$3:$F$13,$H$37:$H$42)</f>
        <v>3</v>
      </c>
      <c r="H37" s="26" t="s">
        <v>60</v>
      </c>
      <c r="I37" s="24"/>
      <c r="J37" s="27">
        <f>COUNTIF($H$3:$H$13,$K$37:$K$44)</f>
        <v>2</v>
      </c>
      <c r="K37" s="28" t="s">
        <v>154</v>
      </c>
      <c r="L37" s="24"/>
      <c r="M37" s="27">
        <f>COUNTIF($J$3:$J$13,$N$37:$N$45)</f>
        <v>2</v>
      </c>
      <c r="N37" s="28" t="s">
        <v>157</v>
      </c>
      <c r="O37" s="24"/>
      <c r="P37" s="27">
        <f>COUNTIF($L$3:$L$13,$Q$37:$Q$42)</f>
        <v>4</v>
      </c>
      <c r="Q37" s="28" t="s">
        <v>61</v>
      </c>
      <c r="R37" s="24"/>
      <c r="S37" s="27">
        <f>COUNTIF($N$3:$N$13,$T$37:$T$44)</f>
        <v>2</v>
      </c>
      <c r="T37" s="28" t="s">
        <v>59</v>
      </c>
      <c r="U37" s="24"/>
      <c r="V37" s="27">
        <f>COUNTIF($P$3:$P$13,$W$37:$W$44)</f>
        <v>3</v>
      </c>
      <c r="W37" s="28" t="s">
        <v>155</v>
      </c>
    </row>
    <row r="38" spans="1:23">
      <c r="A38" s="27">
        <f>COUNTIF($B$3:$B$13,$B$37:$B$39)+2</f>
        <v>5</v>
      </c>
      <c r="B38" s="26" t="s">
        <v>56</v>
      </c>
      <c r="C38" s="24"/>
      <c r="D38" s="27">
        <f>COUNTIF($D$3:$D$13,$E$37:$E$42)</f>
        <v>3</v>
      </c>
      <c r="E38" s="28" t="s">
        <v>56</v>
      </c>
      <c r="F38" s="24"/>
      <c r="G38" s="27">
        <f>COUNTIF($F$3:$F$13,$H$37:$H$42)</f>
        <v>2</v>
      </c>
      <c r="H38" s="26" t="s">
        <v>59</v>
      </c>
      <c r="I38" s="24"/>
      <c r="J38" s="27">
        <f t="shared" ref="J38:J44" si="0">COUNTIF($H$3:$H$13,$K$37:$K$44)</f>
        <v>2</v>
      </c>
      <c r="K38" s="26" t="s">
        <v>56</v>
      </c>
      <c r="L38" s="24"/>
      <c r="M38" s="27">
        <f t="shared" ref="M38:M45" si="1">COUNTIF($J$3:$J$13,$N$37:$N$45)</f>
        <v>2</v>
      </c>
      <c r="N38" s="28" t="s">
        <v>156</v>
      </c>
      <c r="O38" s="24"/>
      <c r="P38" s="27">
        <f t="shared" ref="P38:P42" si="2">COUNTIF($L$3:$L$13,$Q$37:$Q$42)</f>
        <v>2</v>
      </c>
      <c r="Q38" s="28" t="s">
        <v>154</v>
      </c>
      <c r="R38" s="24"/>
      <c r="S38" s="27">
        <f>COUNTIF($N$3:$N$13,$T$37:$T$44)</f>
        <v>2</v>
      </c>
      <c r="T38" s="28" t="s">
        <v>65</v>
      </c>
      <c r="U38" s="24"/>
      <c r="V38" s="27">
        <f t="shared" ref="V38:V44" si="3">COUNTIF($P$3:$P$13,$W$37:$W$44)</f>
        <v>2</v>
      </c>
      <c r="W38" s="28" t="s">
        <v>156</v>
      </c>
    </row>
    <row r="39" spans="1:23">
      <c r="A39" s="27">
        <f>COUNTIF($B$3:$B$13,$B$37:$B$39)</f>
        <v>2</v>
      </c>
      <c r="B39" s="26" t="s">
        <v>59</v>
      </c>
      <c r="C39" s="24"/>
      <c r="D39" s="27">
        <f>COUNTIF($D$3:$D$13,$E$37:$E$42)</f>
        <v>1</v>
      </c>
      <c r="E39" s="28" t="s">
        <v>60</v>
      </c>
      <c r="F39" s="24"/>
      <c r="G39" s="27">
        <f>COUNTIF($F$3:$F$13,$H$37:$H$42)</f>
        <v>2</v>
      </c>
      <c r="H39" s="26" t="s">
        <v>65</v>
      </c>
      <c r="I39" s="24"/>
      <c r="J39" s="27">
        <f t="shared" si="0"/>
        <v>2</v>
      </c>
      <c r="K39" s="26" t="s">
        <v>157</v>
      </c>
      <c r="L39" s="24"/>
      <c r="M39" s="27">
        <f t="shared" si="1"/>
        <v>1</v>
      </c>
      <c r="N39" s="28" t="s">
        <v>58</v>
      </c>
      <c r="O39" s="24"/>
      <c r="P39" s="27">
        <f t="shared" si="2"/>
        <v>2</v>
      </c>
      <c r="Q39" s="28" t="s">
        <v>72</v>
      </c>
      <c r="R39" s="24"/>
      <c r="S39" s="27">
        <f>COUNTIF($N$3:$N$13,$T$37:$T$44)</f>
        <v>2</v>
      </c>
      <c r="T39" s="30" t="s">
        <v>63</v>
      </c>
      <c r="U39" s="24"/>
      <c r="V39" s="27">
        <f t="shared" si="3"/>
        <v>1</v>
      </c>
      <c r="W39" s="28" t="s">
        <v>58</v>
      </c>
    </row>
    <row r="40" spans="1:23">
      <c r="A40" s="1"/>
      <c r="B40" s="1"/>
      <c r="C40" s="24"/>
      <c r="D40" s="27">
        <f>COUNTIF($D$3:$D$13,$E$37:$E$42)</f>
        <v>1</v>
      </c>
      <c r="E40" s="28" t="s">
        <v>156</v>
      </c>
      <c r="F40" s="24"/>
      <c r="G40" s="27">
        <f>COUNTIF($F$3:$F$13,$H$37:$H$42)</f>
        <v>1</v>
      </c>
      <c r="H40" s="26" t="s">
        <v>56</v>
      </c>
      <c r="I40" s="24"/>
      <c r="J40" s="27">
        <f t="shared" si="0"/>
        <v>1</v>
      </c>
      <c r="K40" s="28" t="s">
        <v>65</v>
      </c>
      <c r="L40" s="24"/>
      <c r="M40" s="27">
        <f t="shared" si="1"/>
        <v>1</v>
      </c>
      <c r="N40" s="28" t="s">
        <v>59</v>
      </c>
      <c r="O40" s="24"/>
      <c r="P40" s="27">
        <f t="shared" si="2"/>
        <v>1</v>
      </c>
      <c r="Q40" s="28" t="s">
        <v>65</v>
      </c>
      <c r="R40" s="24"/>
      <c r="S40" s="27">
        <f>COUNTIF($N$3:$N$13,$T$37:$T$44)</f>
        <v>1</v>
      </c>
      <c r="T40" s="28" t="s">
        <v>156</v>
      </c>
      <c r="U40" s="24"/>
      <c r="V40" s="27">
        <f t="shared" si="3"/>
        <v>1</v>
      </c>
      <c r="W40" s="28" t="s">
        <v>158</v>
      </c>
    </row>
    <row r="41" spans="1:23">
      <c r="A41" s="24"/>
      <c r="B41" s="24"/>
      <c r="C41" s="24"/>
      <c r="D41" s="27">
        <f>COUNTIF($D$3:$D$13,$E$37:$E$42)</f>
        <v>2</v>
      </c>
      <c r="E41" s="28" t="s">
        <v>59</v>
      </c>
      <c r="F41" s="24"/>
      <c r="G41" s="27">
        <f>COUNTIF($F$3:$F$13,$H$37:$H$42)</f>
        <v>2</v>
      </c>
      <c r="H41" s="26" t="s">
        <v>156</v>
      </c>
      <c r="I41" s="24"/>
      <c r="J41" s="27">
        <f t="shared" si="0"/>
        <v>1</v>
      </c>
      <c r="K41" s="26" t="s">
        <v>59</v>
      </c>
      <c r="L41" s="24"/>
      <c r="M41" s="27">
        <f t="shared" si="1"/>
        <v>1</v>
      </c>
      <c r="N41" s="28" t="s">
        <v>154</v>
      </c>
      <c r="O41" s="24"/>
      <c r="P41" s="27">
        <f t="shared" si="2"/>
        <v>1</v>
      </c>
      <c r="Q41" s="28" t="s">
        <v>157</v>
      </c>
      <c r="R41" s="24"/>
      <c r="S41" s="27">
        <f>COUNTIF($N$3:$N$13,$T$37:$T$44)</f>
        <v>1</v>
      </c>
      <c r="T41" s="28" t="s">
        <v>159</v>
      </c>
      <c r="U41" s="24"/>
      <c r="V41" s="27">
        <f t="shared" si="3"/>
        <v>1</v>
      </c>
      <c r="W41" s="28" t="s">
        <v>60</v>
      </c>
    </row>
    <row r="42" spans="1:23">
      <c r="A42" s="24"/>
      <c r="B42" s="24"/>
      <c r="C42" s="24"/>
      <c r="D42" s="27">
        <f>COUNTIF($D$3:$D$13,$E$37:$E$42)</f>
        <v>1</v>
      </c>
      <c r="E42" s="28" t="s">
        <v>157</v>
      </c>
      <c r="F42" s="24"/>
      <c r="G42" s="27">
        <f>COUNTIF($F$3:$F$13,$H$37:$H$42)</f>
        <v>1</v>
      </c>
      <c r="H42" s="26" t="s">
        <v>154</v>
      </c>
      <c r="I42" s="24"/>
      <c r="J42" s="27">
        <f t="shared" si="0"/>
        <v>1</v>
      </c>
      <c r="K42" s="26" t="s">
        <v>60</v>
      </c>
      <c r="L42" s="24"/>
      <c r="M42" s="27">
        <f t="shared" si="1"/>
        <v>1</v>
      </c>
      <c r="N42" s="28" t="s">
        <v>160</v>
      </c>
      <c r="O42" s="24"/>
      <c r="P42" s="27">
        <f t="shared" si="2"/>
        <v>1</v>
      </c>
      <c r="Q42" s="28" t="s">
        <v>163</v>
      </c>
      <c r="R42" s="24"/>
      <c r="S42" s="27">
        <f>COUNTIF($N$3:$N$13,$T$37:$T$44)</f>
        <v>1</v>
      </c>
      <c r="T42" s="28" t="s">
        <v>160</v>
      </c>
      <c r="U42" s="24"/>
      <c r="V42" s="27">
        <f t="shared" si="3"/>
        <v>1</v>
      </c>
      <c r="W42" s="28" t="s">
        <v>162</v>
      </c>
    </row>
    <row r="43" spans="1:23">
      <c r="A43" s="24"/>
      <c r="B43" s="24"/>
      <c r="C43" s="24"/>
      <c r="D43" s="1"/>
      <c r="E43" s="8"/>
      <c r="F43" s="24"/>
      <c r="G43" s="1"/>
      <c r="H43" s="1"/>
      <c r="I43" s="24"/>
      <c r="J43" s="27">
        <f t="shared" si="0"/>
        <v>1</v>
      </c>
      <c r="K43" s="26" t="s">
        <v>61</v>
      </c>
      <c r="L43" s="24"/>
      <c r="M43" s="27">
        <f t="shared" si="1"/>
        <v>1</v>
      </c>
      <c r="N43" s="28" t="s">
        <v>60</v>
      </c>
      <c r="O43" s="24"/>
      <c r="P43" s="24"/>
      <c r="Q43" s="24"/>
      <c r="R43" s="24"/>
      <c r="S43" s="27">
        <f>COUNTIF($N$3:$N$13,$T$37:$T$44)</f>
        <v>1</v>
      </c>
      <c r="T43" s="28" t="s">
        <v>157</v>
      </c>
      <c r="U43" s="24"/>
      <c r="V43" s="27">
        <f t="shared" si="3"/>
        <v>1</v>
      </c>
      <c r="W43" s="28" t="s">
        <v>161</v>
      </c>
    </row>
    <row r="44" spans="1:23">
      <c r="A44" s="24"/>
      <c r="B44" s="24"/>
      <c r="C44" s="24"/>
      <c r="D44" s="24"/>
      <c r="E44" s="24"/>
      <c r="F44" s="24"/>
      <c r="G44" s="24"/>
      <c r="H44" s="24"/>
      <c r="I44" s="24"/>
      <c r="J44" s="27">
        <f t="shared" si="0"/>
        <v>1</v>
      </c>
      <c r="K44" s="30" t="s">
        <v>63</v>
      </c>
      <c r="L44" s="24"/>
      <c r="M44" s="27">
        <f t="shared" si="1"/>
        <v>1</v>
      </c>
      <c r="N44" s="28" t="s">
        <v>65</v>
      </c>
      <c r="O44" s="24"/>
      <c r="P44" s="24"/>
      <c r="Q44" s="24"/>
      <c r="R44" s="24"/>
      <c r="S44" s="27">
        <f>COUNTIF($N$3:$N$13,$T$37:$T$44)</f>
        <v>1</v>
      </c>
      <c r="T44" s="28" t="s">
        <v>164</v>
      </c>
      <c r="U44" s="24"/>
      <c r="V44" s="27">
        <f t="shared" si="3"/>
        <v>1</v>
      </c>
      <c r="W44" s="28" t="s">
        <v>165</v>
      </c>
    </row>
    <row r="45" spans="1:2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7">
        <f t="shared" si="1"/>
        <v>1</v>
      </c>
      <c r="N45" s="28" t="s">
        <v>56</v>
      </c>
      <c r="O45" s="24"/>
      <c r="P45" s="24"/>
      <c r="Q45" s="24"/>
      <c r="R45" s="24"/>
      <c r="S45" s="24"/>
      <c r="T45" s="24"/>
      <c r="U45" s="24"/>
      <c r="V45" s="24"/>
      <c r="W45" s="23"/>
    </row>
    <row r="46" spans="1:2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3"/>
    </row>
  </sheetData>
  <mergeCells count="2">
    <mergeCell ref="A1:Q1"/>
    <mergeCell ref="D18:K18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25B2-31B5-4110-8A44-5C5562FD8D30}">
  <dimension ref="A1:W142"/>
  <sheetViews>
    <sheetView showGridLines="0" workbookViewId="0">
      <selection activeCell="A153" sqref="A153"/>
    </sheetView>
  </sheetViews>
  <sheetFormatPr defaultRowHeight="15"/>
  <cols>
    <col min="1" max="1" width="11.5703125" bestFit="1" customWidth="1"/>
    <col min="2" max="2" width="10.140625" bestFit="1" customWidth="1"/>
    <col min="3" max="3" width="12.140625" bestFit="1" customWidth="1"/>
    <col min="4" max="4" width="11.5703125" bestFit="1" customWidth="1"/>
    <col min="5" max="5" width="12.140625" bestFit="1" customWidth="1"/>
    <col min="6" max="6" width="12.28515625" bestFit="1" customWidth="1"/>
    <col min="7" max="7" width="12.140625" bestFit="1" customWidth="1"/>
    <col min="8" max="8" width="12.28515625" bestFit="1" customWidth="1"/>
    <col min="9" max="9" width="12.140625" bestFit="1" customWidth="1"/>
    <col min="10" max="10" width="12.28515625" bestFit="1" customWidth="1"/>
    <col min="11" max="11" width="12.140625" bestFit="1" customWidth="1"/>
    <col min="12" max="12" width="12.28515625" bestFit="1" customWidth="1"/>
    <col min="13" max="13" width="12.140625" bestFit="1" customWidth="1"/>
    <col min="14" max="14" width="12.28515625" bestFit="1" customWidth="1"/>
    <col min="15" max="15" width="12.140625" bestFit="1" customWidth="1"/>
    <col min="16" max="16" width="13.28515625" bestFit="1" customWidth="1"/>
    <col min="17" max="17" width="12.140625" bestFit="1" customWidth="1"/>
    <col min="20" max="20" width="12.28515625" bestFit="1" customWidth="1"/>
    <col min="23" max="23" width="11.5703125" bestFit="1" customWidth="1"/>
  </cols>
  <sheetData>
    <row r="1" spans="1:17" ht="18.75">
      <c r="A1" s="71" t="s">
        <v>176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>
      <c r="A2" s="25" t="s">
        <v>1</v>
      </c>
      <c r="B2" s="25" t="s">
        <v>138</v>
      </c>
      <c r="C2" s="25" t="s">
        <v>139</v>
      </c>
      <c r="D2" s="25" t="s">
        <v>140</v>
      </c>
      <c r="E2" s="25" t="s">
        <v>141</v>
      </c>
      <c r="F2" s="25" t="s">
        <v>142</v>
      </c>
      <c r="G2" s="25" t="s">
        <v>143</v>
      </c>
      <c r="H2" s="25" t="s">
        <v>144</v>
      </c>
      <c r="I2" s="25" t="s">
        <v>145</v>
      </c>
      <c r="J2" s="25" t="s">
        <v>146</v>
      </c>
      <c r="K2" s="25" t="s">
        <v>147</v>
      </c>
      <c r="L2" s="25" t="s">
        <v>148</v>
      </c>
      <c r="M2" s="25" t="s">
        <v>149</v>
      </c>
      <c r="N2" s="25" t="s">
        <v>150</v>
      </c>
      <c r="O2" s="25" t="s">
        <v>151</v>
      </c>
      <c r="P2" s="25" t="s">
        <v>152</v>
      </c>
      <c r="Q2" s="25" t="s">
        <v>153</v>
      </c>
    </row>
    <row r="3" spans="1:17" s="23" customFormat="1">
      <c r="A3" s="19">
        <v>2005</v>
      </c>
      <c r="B3" s="33" t="s">
        <v>177</v>
      </c>
      <c r="C3" s="19">
        <v>660.18</v>
      </c>
      <c r="D3" s="33" t="s">
        <v>177</v>
      </c>
      <c r="E3" s="19">
        <v>441.59</v>
      </c>
      <c r="F3" s="33" t="s">
        <v>178</v>
      </c>
      <c r="G3" s="19">
        <v>359.92</v>
      </c>
      <c r="H3" s="33" t="s">
        <v>179</v>
      </c>
      <c r="I3" s="19">
        <v>117</v>
      </c>
      <c r="J3" s="33"/>
      <c r="K3" s="19"/>
      <c r="L3" s="33"/>
      <c r="M3" s="19"/>
      <c r="N3" s="33"/>
      <c r="O3" s="19"/>
      <c r="P3" s="33"/>
      <c r="Q3" s="19"/>
    </row>
    <row r="4" spans="1:17" s="23" customFormat="1">
      <c r="A4" s="19">
        <v>2006</v>
      </c>
      <c r="B4" s="33" t="s">
        <v>180</v>
      </c>
      <c r="C4" s="19">
        <v>728.24</v>
      </c>
      <c r="D4" s="33" t="s">
        <v>181</v>
      </c>
      <c r="E4" s="19">
        <v>396.1</v>
      </c>
      <c r="F4" s="33" t="s">
        <v>177</v>
      </c>
      <c r="G4" s="19">
        <v>181.45</v>
      </c>
      <c r="H4" s="33" t="s">
        <v>179</v>
      </c>
      <c r="I4" s="19">
        <v>174.66</v>
      </c>
      <c r="J4" s="33"/>
      <c r="K4" s="19"/>
      <c r="L4" s="33"/>
      <c r="M4" s="19"/>
      <c r="N4" s="33"/>
      <c r="O4" s="19"/>
      <c r="P4" s="33"/>
      <c r="Q4" s="19"/>
    </row>
    <row r="5" spans="1:17" s="23" customFormat="1">
      <c r="A5" s="19">
        <v>2007</v>
      </c>
      <c r="B5" s="33" t="s">
        <v>155</v>
      </c>
      <c r="C5" s="19">
        <v>635.21</v>
      </c>
      <c r="D5" s="33" t="s">
        <v>179</v>
      </c>
      <c r="E5" s="19">
        <v>596.6</v>
      </c>
      <c r="F5" s="33" t="s">
        <v>181</v>
      </c>
      <c r="G5" s="19">
        <v>341.19</v>
      </c>
      <c r="H5" s="33" t="s">
        <v>180</v>
      </c>
      <c r="I5" s="19">
        <v>291.66000000000003</v>
      </c>
      <c r="J5" s="33" t="s">
        <v>180</v>
      </c>
      <c r="K5" s="19">
        <v>285.14</v>
      </c>
      <c r="L5" s="33" t="s">
        <v>182</v>
      </c>
      <c r="M5" s="19">
        <v>144.24</v>
      </c>
      <c r="N5" s="33"/>
      <c r="O5" s="19"/>
      <c r="P5" s="33"/>
      <c r="Q5" s="19"/>
    </row>
    <row r="6" spans="1:17" s="23" customFormat="1">
      <c r="A6" s="19">
        <v>2009</v>
      </c>
      <c r="B6" s="33" t="s">
        <v>181</v>
      </c>
      <c r="C6" s="19">
        <v>889.69</v>
      </c>
      <c r="D6" s="33" t="s">
        <v>177</v>
      </c>
      <c r="E6" s="19">
        <v>778.61</v>
      </c>
      <c r="F6" s="33" t="s">
        <v>183</v>
      </c>
      <c r="G6" s="19">
        <v>384.59</v>
      </c>
      <c r="H6" s="33" t="s">
        <v>179</v>
      </c>
      <c r="I6" s="19">
        <v>323.77</v>
      </c>
      <c r="J6" s="33" t="s">
        <v>181</v>
      </c>
      <c r="K6" s="19">
        <v>192</v>
      </c>
      <c r="L6" s="33" t="s">
        <v>184</v>
      </c>
      <c r="M6" s="19">
        <v>0</v>
      </c>
      <c r="N6" s="33"/>
      <c r="O6" s="19"/>
      <c r="P6" s="33"/>
      <c r="Q6" s="19"/>
    </row>
    <row r="7" spans="1:17">
      <c r="A7" s="19">
        <v>2010</v>
      </c>
      <c r="B7" s="33" t="s">
        <v>180</v>
      </c>
      <c r="C7" s="19">
        <v>869.33</v>
      </c>
      <c r="D7" s="33" t="s">
        <v>180</v>
      </c>
      <c r="E7" s="19">
        <v>769.54</v>
      </c>
      <c r="F7" s="33" t="s">
        <v>181</v>
      </c>
      <c r="G7" s="20">
        <v>742.42</v>
      </c>
      <c r="H7" s="33" t="s">
        <v>177</v>
      </c>
      <c r="I7" s="20">
        <v>535.69000000000005</v>
      </c>
      <c r="J7" s="33" t="s">
        <v>178</v>
      </c>
      <c r="K7" s="20">
        <v>490.32</v>
      </c>
      <c r="L7" s="33" t="s">
        <v>182</v>
      </c>
      <c r="M7" s="20">
        <v>471.5</v>
      </c>
      <c r="N7" s="33" t="s">
        <v>179</v>
      </c>
      <c r="O7" s="20">
        <v>395.21</v>
      </c>
      <c r="P7" s="33" t="s">
        <v>185</v>
      </c>
      <c r="Q7" s="20">
        <v>244.83</v>
      </c>
    </row>
    <row r="8" spans="1:17">
      <c r="A8" s="19">
        <v>2011</v>
      </c>
      <c r="B8" s="33" t="s">
        <v>181</v>
      </c>
      <c r="C8" s="19">
        <v>767.18</v>
      </c>
      <c r="D8" s="33" t="s">
        <v>182</v>
      </c>
      <c r="E8" s="19">
        <v>542.20000000000005</v>
      </c>
      <c r="F8" s="33" t="s">
        <v>186</v>
      </c>
      <c r="G8" s="20">
        <v>524.57000000000005</v>
      </c>
      <c r="H8" s="33" t="s">
        <v>184</v>
      </c>
      <c r="I8" s="20">
        <v>520.66999999999996</v>
      </c>
      <c r="J8" s="33" t="s">
        <v>185</v>
      </c>
      <c r="K8" s="20">
        <v>507.73</v>
      </c>
      <c r="L8" s="33" t="s">
        <v>181</v>
      </c>
      <c r="M8" s="20">
        <v>494.08</v>
      </c>
      <c r="N8" s="33" t="s">
        <v>179</v>
      </c>
      <c r="O8" s="20">
        <v>372.24</v>
      </c>
      <c r="P8" s="33" t="s">
        <v>183</v>
      </c>
      <c r="Q8" s="20">
        <v>246.42</v>
      </c>
    </row>
    <row r="9" spans="1:17">
      <c r="A9" s="19">
        <v>2012</v>
      </c>
      <c r="B9" s="33" t="s">
        <v>181</v>
      </c>
      <c r="C9" s="19">
        <v>822.51</v>
      </c>
      <c r="D9" s="33" t="s">
        <v>185</v>
      </c>
      <c r="E9" s="19">
        <v>711.67</v>
      </c>
      <c r="F9" s="33" t="s">
        <v>179</v>
      </c>
      <c r="G9" s="20">
        <v>597.86</v>
      </c>
      <c r="H9" s="33" t="s">
        <v>180</v>
      </c>
      <c r="I9" s="20">
        <v>571.91</v>
      </c>
      <c r="J9" s="33" t="s">
        <v>187</v>
      </c>
      <c r="K9" s="20">
        <v>513.5</v>
      </c>
      <c r="L9" s="33" t="s">
        <v>184</v>
      </c>
      <c r="M9" s="20">
        <v>500.23</v>
      </c>
      <c r="N9" s="33" t="s">
        <v>188</v>
      </c>
      <c r="O9" s="20">
        <v>371.4</v>
      </c>
      <c r="P9" s="33" t="s">
        <v>185</v>
      </c>
      <c r="Q9" s="20">
        <v>228.2</v>
      </c>
    </row>
    <row r="10" spans="1:17">
      <c r="A10" s="19">
        <v>2013</v>
      </c>
      <c r="B10" s="33" t="s">
        <v>180</v>
      </c>
      <c r="C10" s="19">
        <v>752.83</v>
      </c>
      <c r="D10" s="33" t="s">
        <v>187</v>
      </c>
      <c r="E10" s="19">
        <v>637.89</v>
      </c>
      <c r="F10" s="33" t="s">
        <v>185</v>
      </c>
      <c r="G10" s="20">
        <v>630.72</v>
      </c>
      <c r="H10" s="33" t="s">
        <v>184</v>
      </c>
      <c r="I10" s="20">
        <v>588.04</v>
      </c>
      <c r="J10" s="33" t="s">
        <v>177</v>
      </c>
      <c r="K10" s="20">
        <v>581.80999999999995</v>
      </c>
      <c r="L10" s="33" t="s">
        <v>180</v>
      </c>
      <c r="M10" s="20">
        <v>544.96</v>
      </c>
      <c r="N10" s="33" t="s">
        <v>179</v>
      </c>
      <c r="O10" s="20">
        <v>432.62</v>
      </c>
      <c r="P10" s="33" t="s">
        <v>182</v>
      </c>
      <c r="Q10" s="20">
        <v>376.13</v>
      </c>
    </row>
    <row r="11" spans="1:17">
      <c r="A11" s="19">
        <v>2014</v>
      </c>
      <c r="B11" s="33" t="s">
        <v>180</v>
      </c>
      <c r="C11" s="19">
        <v>858.64</v>
      </c>
      <c r="D11" s="33" t="s">
        <v>180</v>
      </c>
      <c r="E11" s="19">
        <v>782.82</v>
      </c>
      <c r="F11" s="33" t="s">
        <v>187</v>
      </c>
      <c r="G11" s="20">
        <v>727.2</v>
      </c>
      <c r="H11" s="33" t="s">
        <v>185</v>
      </c>
      <c r="I11" s="20">
        <v>597.41999999999996</v>
      </c>
      <c r="J11" s="33" t="s">
        <v>184</v>
      </c>
      <c r="K11" s="20">
        <v>502.96</v>
      </c>
      <c r="L11" s="33" t="s">
        <v>179</v>
      </c>
      <c r="M11" s="20">
        <v>431.64</v>
      </c>
      <c r="N11" s="33" t="s">
        <v>181</v>
      </c>
      <c r="O11" s="20">
        <v>331.93</v>
      </c>
      <c r="P11" s="33" t="s">
        <v>181</v>
      </c>
      <c r="Q11" s="20">
        <v>224.8</v>
      </c>
    </row>
    <row r="12" spans="1:17">
      <c r="A12" s="19">
        <v>2015</v>
      </c>
      <c r="B12" s="33" t="s">
        <v>180</v>
      </c>
      <c r="C12" s="19">
        <v>827.75</v>
      </c>
      <c r="D12" s="33" t="s">
        <v>180</v>
      </c>
      <c r="E12" s="19">
        <v>723.72</v>
      </c>
      <c r="F12" s="33" t="s">
        <v>179</v>
      </c>
      <c r="G12" s="20">
        <v>656.16</v>
      </c>
      <c r="H12" s="33" t="s">
        <v>187</v>
      </c>
      <c r="I12" s="20">
        <v>637.04</v>
      </c>
      <c r="J12" s="33" t="s">
        <v>184</v>
      </c>
      <c r="K12" s="20">
        <v>619.32000000000005</v>
      </c>
      <c r="L12" s="33" t="s">
        <v>185</v>
      </c>
      <c r="M12" s="20">
        <v>574.16</v>
      </c>
      <c r="N12" s="33" t="s">
        <v>182</v>
      </c>
      <c r="O12" s="20">
        <v>517.15</v>
      </c>
      <c r="P12" s="33" t="s">
        <v>181</v>
      </c>
      <c r="Q12" s="20">
        <v>455.35</v>
      </c>
    </row>
    <row r="13" spans="1:17">
      <c r="A13" s="19">
        <v>2016</v>
      </c>
      <c r="B13" s="33" t="s">
        <v>187</v>
      </c>
      <c r="C13" s="19">
        <v>748.63</v>
      </c>
      <c r="D13" s="33" t="s">
        <v>180</v>
      </c>
      <c r="E13" s="19">
        <v>599.36</v>
      </c>
      <c r="F13" s="33" t="s">
        <v>184</v>
      </c>
      <c r="G13" s="20">
        <v>551.19000000000005</v>
      </c>
      <c r="H13" s="33" t="s">
        <v>179</v>
      </c>
      <c r="I13" s="20">
        <v>545.69000000000005</v>
      </c>
      <c r="J13" s="33" t="s">
        <v>185</v>
      </c>
      <c r="K13" s="20">
        <v>537.94000000000005</v>
      </c>
      <c r="L13" s="33" t="s">
        <v>180</v>
      </c>
      <c r="M13" s="20">
        <v>482.61</v>
      </c>
      <c r="N13" s="33" t="s">
        <v>189</v>
      </c>
      <c r="O13" s="20">
        <v>418.39</v>
      </c>
      <c r="P13" s="33" t="s">
        <v>181</v>
      </c>
      <c r="Q13" s="20">
        <v>398.81</v>
      </c>
    </row>
    <row r="14" spans="1:17">
      <c r="A14" s="19">
        <v>2017</v>
      </c>
      <c r="B14" s="33" t="s">
        <v>180</v>
      </c>
      <c r="C14" s="19">
        <v>797.6</v>
      </c>
      <c r="D14" s="33" t="s">
        <v>179</v>
      </c>
      <c r="E14" s="19">
        <v>636.29999999999995</v>
      </c>
      <c r="F14" s="33" t="s">
        <v>187</v>
      </c>
      <c r="G14" s="20">
        <v>515.5</v>
      </c>
      <c r="H14" s="33" t="s">
        <v>184</v>
      </c>
      <c r="I14" s="20">
        <v>488.4</v>
      </c>
      <c r="J14" s="33" t="s">
        <v>185</v>
      </c>
      <c r="K14" s="20">
        <v>453.8</v>
      </c>
      <c r="L14" s="33" t="s">
        <v>177</v>
      </c>
      <c r="M14" s="20">
        <v>381.1</v>
      </c>
      <c r="N14" s="33" t="s">
        <v>189</v>
      </c>
      <c r="O14" s="20">
        <v>365.4</v>
      </c>
      <c r="P14" s="33" t="s">
        <v>190</v>
      </c>
      <c r="Q14" s="20">
        <v>285.60000000000002</v>
      </c>
    </row>
    <row r="15" spans="1:17">
      <c r="A15" s="19">
        <v>2018</v>
      </c>
      <c r="B15" s="33" t="s">
        <v>187</v>
      </c>
      <c r="C15" s="20">
        <v>757.3</v>
      </c>
      <c r="D15" s="33" t="s">
        <v>185</v>
      </c>
      <c r="E15" s="20">
        <v>637.07000000000005</v>
      </c>
      <c r="F15" s="33" t="s">
        <v>180</v>
      </c>
      <c r="G15" s="20">
        <v>623.84</v>
      </c>
      <c r="H15" s="33" t="s">
        <v>180</v>
      </c>
      <c r="I15" s="20">
        <v>586.92999999999995</v>
      </c>
      <c r="J15" s="33" t="s">
        <v>190</v>
      </c>
      <c r="K15" s="20">
        <v>499.17</v>
      </c>
      <c r="L15" s="33" t="s">
        <v>179</v>
      </c>
      <c r="M15" s="20">
        <v>411.18</v>
      </c>
      <c r="N15" s="33" t="s">
        <v>184</v>
      </c>
      <c r="O15" s="20">
        <v>323.83</v>
      </c>
      <c r="P15" s="33" t="s">
        <v>181</v>
      </c>
      <c r="Q15" s="20">
        <v>314.56</v>
      </c>
    </row>
    <row r="16" spans="1:17">
      <c r="A16" s="19">
        <v>2019</v>
      </c>
      <c r="B16" s="33" t="s">
        <v>187</v>
      </c>
      <c r="C16" s="19">
        <v>803.72</v>
      </c>
      <c r="D16" s="33" t="s">
        <v>180</v>
      </c>
      <c r="E16" s="19">
        <v>734.14</v>
      </c>
      <c r="F16" s="33" t="s">
        <v>184</v>
      </c>
      <c r="G16" s="20">
        <v>668.53</v>
      </c>
      <c r="H16" s="33" t="s">
        <v>177</v>
      </c>
      <c r="I16" s="20">
        <v>655.52</v>
      </c>
      <c r="J16" s="33" t="s">
        <v>190</v>
      </c>
      <c r="K16" s="20">
        <v>613.52</v>
      </c>
      <c r="L16" s="33" t="s">
        <v>191</v>
      </c>
      <c r="M16" s="20">
        <v>604.30999999999995</v>
      </c>
      <c r="N16" s="33" t="s">
        <v>180</v>
      </c>
      <c r="O16" s="20">
        <v>577.94000000000005</v>
      </c>
      <c r="P16" s="33" t="s">
        <v>179</v>
      </c>
      <c r="Q16" s="20">
        <v>522.78</v>
      </c>
    </row>
    <row r="17" spans="1:17">
      <c r="A17" s="21" t="s">
        <v>11</v>
      </c>
      <c r="B17" s="21"/>
      <c r="C17" s="22">
        <f>AVERAGE(C7:C16)</f>
        <v>800.54900000000009</v>
      </c>
      <c r="D17" s="22"/>
      <c r="E17" s="22">
        <f>AVERAGE(E7:E16)</f>
        <v>677.471</v>
      </c>
      <c r="F17" s="22"/>
      <c r="G17" s="22">
        <f t="shared" ref="G17:Q17" si="0">AVERAGE(G7:G16)</f>
        <v>623.79899999999986</v>
      </c>
      <c r="H17" s="22"/>
      <c r="I17" s="22">
        <f t="shared" si="0"/>
        <v>572.73099999999999</v>
      </c>
      <c r="J17" s="22"/>
      <c r="K17" s="22">
        <f t="shared" si="0"/>
        <v>532.00699999999995</v>
      </c>
      <c r="L17" s="22"/>
      <c r="M17" s="22">
        <f>AVERAGE(M7:M16)</f>
        <v>489.57700000000006</v>
      </c>
      <c r="N17" s="22"/>
      <c r="O17" s="22">
        <f t="shared" si="0"/>
        <v>410.61099999999999</v>
      </c>
      <c r="P17" s="22"/>
      <c r="Q17" s="22">
        <f t="shared" si="0"/>
        <v>329.74799999999993</v>
      </c>
    </row>
    <row r="20" spans="1:17" ht="18.75">
      <c r="A20" s="23"/>
      <c r="B20" s="23"/>
      <c r="C20" s="23"/>
      <c r="D20" s="71" t="s">
        <v>166</v>
      </c>
      <c r="E20" s="71"/>
      <c r="F20" s="71"/>
      <c r="G20" s="71"/>
      <c r="H20" s="71"/>
      <c r="I20" s="71"/>
      <c r="J20" s="71"/>
      <c r="K20" s="71"/>
      <c r="L20" s="23"/>
      <c r="M20" s="23"/>
      <c r="N20" s="23"/>
      <c r="O20" s="23"/>
      <c r="P20" s="23"/>
      <c r="Q20" s="23"/>
    </row>
    <row r="21" spans="1:17" s="23" customFormat="1">
      <c r="D21" s="25" t="s">
        <v>1</v>
      </c>
      <c r="E21" s="25" t="s">
        <v>167</v>
      </c>
      <c r="F21" s="25" t="s">
        <v>168</v>
      </c>
      <c r="G21" s="25" t="s">
        <v>169</v>
      </c>
      <c r="H21" s="25" t="s">
        <v>170</v>
      </c>
      <c r="I21" s="25" t="s">
        <v>171</v>
      </c>
      <c r="J21" s="25" t="s">
        <v>172</v>
      </c>
      <c r="K21" s="25" t="s">
        <v>173</v>
      </c>
    </row>
    <row r="22" spans="1:17">
      <c r="A22" s="23"/>
      <c r="B22" s="23"/>
      <c r="C22" s="23"/>
      <c r="D22" s="19">
        <v>2005</v>
      </c>
      <c r="E22" s="20">
        <f>(E3/C3)*100</f>
        <v>66.88933321215427</v>
      </c>
      <c r="F22" s="20">
        <f>(G3/C3)*100</f>
        <v>54.518464661153018</v>
      </c>
      <c r="G22" s="20">
        <f>(I3/C3)*100</f>
        <v>17.722439334726893</v>
      </c>
      <c r="H22" s="20">
        <f>(K3/C3)*100</f>
        <v>0</v>
      </c>
      <c r="I22" s="20">
        <f>(M3/C3)*100</f>
        <v>0</v>
      </c>
      <c r="J22" s="20">
        <f>(O3/C3)*100</f>
        <v>0</v>
      </c>
      <c r="K22" s="20">
        <f>(Q3/C3)*100</f>
        <v>0</v>
      </c>
      <c r="L22" s="23"/>
      <c r="M22" s="23"/>
      <c r="N22" s="23"/>
      <c r="O22" s="23"/>
      <c r="P22" s="23"/>
      <c r="Q22" s="23"/>
    </row>
    <row r="23" spans="1:17" s="23" customFormat="1">
      <c r="D23" s="19">
        <v>2006</v>
      </c>
      <c r="E23" s="20">
        <f t="shared" ref="E23:E34" si="1">(E4/C4)*100</f>
        <v>54.391409425464133</v>
      </c>
      <c r="F23" s="20">
        <f t="shared" ref="F23:F35" si="2">(G4/C4)*100</f>
        <v>24.916236405580573</v>
      </c>
      <c r="G23" s="20">
        <f t="shared" ref="G23:G35" si="3">(I4/C4)*100</f>
        <v>23.983851477534877</v>
      </c>
      <c r="H23" s="20">
        <f t="shared" ref="H23:H35" si="4">(K4/C4)*100</f>
        <v>0</v>
      </c>
      <c r="I23" s="20">
        <f t="shared" ref="I23:I35" si="5">(M4/C4)*100</f>
        <v>0</v>
      </c>
      <c r="J23" s="20">
        <f t="shared" ref="J23:J35" si="6">(O4/C4)*100</f>
        <v>0</v>
      </c>
      <c r="K23" s="20">
        <f t="shared" ref="K23:K35" si="7">(Q4/C4)*100</f>
        <v>0</v>
      </c>
    </row>
    <row r="24" spans="1:17" s="23" customFormat="1">
      <c r="D24" s="19">
        <v>2007</v>
      </c>
      <c r="E24" s="20">
        <f t="shared" si="1"/>
        <v>93.921695187418337</v>
      </c>
      <c r="F24" s="20">
        <f t="shared" si="2"/>
        <v>53.71294532516805</v>
      </c>
      <c r="G24" s="20">
        <f t="shared" si="3"/>
        <v>45.915523999937029</v>
      </c>
      <c r="H24" s="20">
        <f t="shared" si="4"/>
        <v>44.88909179641378</v>
      </c>
      <c r="I24" s="20">
        <f t="shared" si="5"/>
        <v>22.707451079170667</v>
      </c>
      <c r="J24" s="20">
        <f t="shared" si="6"/>
        <v>0</v>
      </c>
      <c r="K24" s="20">
        <f t="shared" si="7"/>
        <v>0</v>
      </c>
    </row>
    <row r="25" spans="1:17" s="23" customFormat="1">
      <c r="D25" s="19">
        <v>2009</v>
      </c>
      <c r="E25" s="20">
        <f t="shared" si="1"/>
        <v>87.514752329463064</v>
      </c>
      <c r="F25" s="20">
        <f t="shared" si="2"/>
        <v>43.227416291067669</v>
      </c>
      <c r="G25" s="20">
        <f t="shared" si="3"/>
        <v>36.391327316256223</v>
      </c>
      <c r="H25" s="20">
        <f t="shared" si="4"/>
        <v>21.580550528835886</v>
      </c>
      <c r="I25" s="20">
        <f t="shared" si="5"/>
        <v>0</v>
      </c>
      <c r="J25" s="20">
        <f t="shared" si="6"/>
        <v>0</v>
      </c>
      <c r="K25" s="20">
        <f t="shared" si="7"/>
        <v>0</v>
      </c>
    </row>
    <row r="26" spans="1:17">
      <c r="A26" s="23"/>
      <c r="B26" s="23"/>
      <c r="C26" s="23"/>
      <c r="D26" s="19">
        <v>2010</v>
      </c>
      <c r="E26" s="20">
        <f t="shared" si="1"/>
        <v>88.521044942656985</v>
      </c>
      <c r="F26" s="20">
        <f t="shared" si="2"/>
        <v>85.401401078991853</v>
      </c>
      <c r="G26" s="20">
        <f t="shared" si="3"/>
        <v>61.621018485500336</v>
      </c>
      <c r="H26" s="20">
        <f t="shared" si="4"/>
        <v>56.402056756352593</v>
      </c>
      <c r="I26" s="20">
        <f t="shared" si="5"/>
        <v>54.237171154797373</v>
      </c>
      <c r="J26" s="20">
        <f t="shared" si="6"/>
        <v>45.461447321500458</v>
      </c>
      <c r="K26" s="20">
        <f t="shared" si="7"/>
        <v>28.163068109923735</v>
      </c>
      <c r="L26" s="23"/>
      <c r="M26" s="23"/>
      <c r="N26" s="23"/>
      <c r="O26" s="23"/>
      <c r="P26" s="23"/>
      <c r="Q26" s="23"/>
    </row>
    <row r="27" spans="1:17">
      <c r="A27" s="23"/>
      <c r="B27" s="23"/>
      <c r="C27" s="23"/>
      <c r="D27" s="19">
        <v>2011</v>
      </c>
      <c r="E27" s="20">
        <f t="shared" si="1"/>
        <v>70.674417998383703</v>
      </c>
      <c r="F27" s="20">
        <f t="shared" si="2"/>
        <v>68.376391459631392</v>
      </c>
      <c r="G27" s="20">
        <f t="shared" si="3"/>
        <v>67.868036184467798</v>
      </c>
      <c r="H27" s="20">
        <f t="shared" si="4"/>
        <v>66.18133945097631</v>
      </c>
      <c r="I27" s="20">
        <f t="shared" si="5"/>
        <v>64.402095987903749</v>
      </c>
      <c r="J27" s="20">
        <f t="shared" si="6"/>
        <v>48.520555801767514</v>
      </c>
      <c r="K27" s="20">
        <f t="shared" si="7"/>
        <v>32.120232539951509</v>
      </c>
      <c r="L27" s="23"/>
      <c r="M27" s="23"/>
      <c r="N27" s="23"/>
      <c r="O27" s="23"/>
      <c r="P27" s="23"/>
      <c r="Q27" s="23"/>
    </row>
    <row r="28" spans="1:17">
      <c r="A28" s="23"/>
      <c r="B28" s="23"/>
      <c r="C28" s="23"/>
      <c r="D28" s="19">
        <v>2012</v>
      </c>
      <c r="E28" s="20">
        <f t="shared" si="1"/>
        <v>86.524175997860212</v>
      </c>
      <c r="F28" s="20">
        <f t="shared" si="2"/>
        <v>72.687262160946375</v>
      </c>
      <c r="G28" s="20">
        <f t="shared" si="3"/>
        <v>69.532285321759005</v>
      </c>
      <c r="H28" s="20">
        <f t="shared" si="4"/>
        <v>62.430851904536112</v>
      </c>
      <c r="I28" s="20">
        <f t="shared" si="5"/>
        <v>60.817497659602928</v>
      </c>
      <c r="J28" s="20">
        <f t="shared" si="6"/>
        <v>45.154466207097784</v>
      </c>
      <c r="K28" s="20">
        <f t="shared" si="7"/>
        <v>27.744343533817219</v>
      </c>
      <c r="L28" s="23"/>
      <c r="M28" s="23"/>
      <c r="N28" s="23"/>
      <c r="O28" s="23"/>
      <c r="P28" s="23"/>
      <c r="Q28" s="23"/>
    </row>
    <row r="29" spans="1:17">
      <c r="A29" s="23"/>
      <c r="B29" s="23"/>
      <c r="C29" s="23"/>
      <c r="D29" s="19">
        <v>2013</v>
      </c>
      <c r="E29" s="20">
        <f t="shared" si="1"/>
        <v>84.732276875257355</v>
      </c>
      <c r="F29" s="20">
        <f t="shared" si="2"/>
        <v>83.779870621521454</v>
      </c>
      <c r="G29" s="20">
        <f t="shared" si="3"/>
        <v>78.110596017693226</v>
      </c>
      <c r="H29" s="20">
        <f t="shared" si="4"/>
        <v>77.283051950639575</v>
      </c>
      <c r="I29" s="20">
        <f t="shared" si="5"/>
        <v>72.388188568468308</v>
      </c>
      <c r="J29" s="20">
        <f t="shared" si="6"/>
        <v>57.465828938804243</v>
      </c>
      <c r="K29" s="20">
        <f t="shared" si="7"/>
        <v>49.962142847654846</v>
      </c>
      <c r="L29" s="23"/>
      <c r="M29" s="23"/>
      <c r="N29" s="23"/>
      <c r="O29" s="23"/>
      <c r="P29" s="23"/>
      <c r="Q29" s="23"/>
    </row>
    <row r="30" spans="1:17">
      <c r="A30" s="23"/>
      <c r="B30" s="23"/>
      <c r="C30" s="23"/>
      <c r="D30" s="19">
        <v>2014</v>
      </c>
      <c r="E30" s="20">
        <f t="shared" si="1"/>
        <v>91.169756824746116</v>
      </c>
      <c r="F30" s="20">
        <f t="shared" si="2"/>
        <v>84.692071182334857</v>
      </c>
      <c r="G30" s="20">
        <f t="shared" si="3"/>
        <v>69.577471350041918</v>
      </c>
      <c r="H30" s="20">
        <f t="shared" si="4"/>
        <v>58.576353302897601</v>
      </c>
      <c r="I30" s="20">
        <f t="shared" si="5"/>
        <v>50.270194726544304</v>
      </c>
      <c r="J30" s="20">
        <f t="shared" si="6"/>
        <v>38.657644647349301</v>
      </c>
      <c r="K30" s="20">
        <f t="shared" si="7"/>
        <v>26.18093729618932</v>
      </c>
      <c r="L30" s="23"/>
      <c r="M30" s="23"/>
      <c r="N30" s="23"/>
      <c r="O30" s="23"/>
      <c r="P30" s="23"/>
      <c r="Q30" s="23"/>
    </row>
    <row r="31" spans="1:17">
      <c r="A31" s="23"/>
      <c r="B31" s="23"/>
      <c r="C31" s="23"/>
      <c r="D31" s="19">
        <v>2015</v>
      </c>
      <c r="E31" s="20">
        <f t="shared" si="1"/>
        <v>87.432195711265479</v>
      </c>
      <c r="F31" s="20">
        <f t="shared" si="2"/>
        <v>79.270311084264563</v>
      </c>
      <c r="G31" s="20">
        <f t="shared" si="3"/>
        <v>76.96043491392328</v>
      </c>
      <c r="H31" s="20">
        <f t="shared" si="4"/>
        <v>74.819691935971008</v>
      </c>
      <c r="I31" s="20">
        <f t="shared" si="5"/>
        <v>69.363938387194196</v>
      </c>
      <c r="J31" s="20">
        <f t="shared" si="6"/>
        <v>62.476593174267592</v>
      </c>
      <c r="K31" s="20">
        <f t="shared" si="7"/>
        <v>55.010570824524322</v>
      </c>
      <c r="L31" s="23"/>
      <c r="M31" s="23"/>
      <c r="N31" s="23"/>
      <c r="O31" s="23"/>
      <c r="P31" s="23"/>
      <c r="Q31" s="23"/>
    </row>
    <row r="32" spans="1:17">
      <c r="A32" s="23"/>
      <c r="B32" s="23"/>
      <c r="C32" s="23"/>
      <c r="D32" s="19">
        <v>2016</v>
      </c>
      <c r="E32" s="20">
        <f t="shared" si="1"/>
        <v>80.060911264576632</v>
      </c>
      <c r="F32" s="20">
        <f t="shared" si="2"/>
        <v>73.626491056997452</v>
      </c>
      <c r="G32" s="20">
        <f t="shared" si="3"/>
        <v>72.891815716709203</v>
      </c>
      <c r="H32" s="20">
        <f t="shared" si="4"/>
        <v>71.856591373575739</v>
      </c>
      <c r="I32" s="20">
        <f t="shared" si="5"/>
        <v>64.465757450275845</v>
      </c>
      <c r="J32" s="20">
        <f t="shared" si="6"/>
        <v>55.887421022400915</v>
      </c>
      <c r="K32" s="20">
        <f t="shared" si="7"/>
        <v>53.271976810974721</v>
      </c>
      <c r="L32" s="23"/>
      <c r="M32" s="23"/>
      <c r="N32" s="23"/>
      <c r="O32" s="23"/>
      <c r="P32" s="23"/>
      <c r="Q32" s="23"/>
    </row>
    <row r="33" spans="1:23">
      <c r="A33" s="23"/>
      <c r="B33" s="23"/>
      <c r="C33" s="23"/>
      <c r="D33" s="19">
        <v>2017</v>
      </c>
      <c r="E33" s="20">
        <f t="shared" si="1"/>
        <v>79.776830491474414</v>
      </c>
      <c r="F33" s="20">
        <f t="shared" si="2"/>
        <v>64.631394182547638</v>
      </c>
      <c r="G33" s="20">
        <f t="shared" si="3"/>
        <v>61.233701103309926</v>
      </c>
      <c r="H33" s="20">
        <f t="shared" si="4"/>
        <v>56.895687061183551</v>
      </c>
      <c r="I33" s="20">
        <f t="shared" si="5"/>
        <v>47.780842527582749</v>
      </c>
      <c r="J33" s="20">
        <f t="shared" si="6"/>
        <v>45.812437311935803</v>
      </c>
      <c r="K33" s="20">
        <f t="shared" si="7"/>
        <v>35.807422266800401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>
      <c r="A34" s="23"/>
      <c r="B34" s="23"/>
      <c r="C34" s="23"/>
      <c r="D34" s="19">
        <v>2018</v>
      </c>
      <c r="E34" s="20">
        <f t="shared" si="1"/>
        <v>84.123861085435109</v>
      </c>
      <c r="F34" s="20">
        <f t="shared" si="2"/>
        <v>82.376865178925144</v>
      </c>
      <c r="G34" s="20">
        <f t="shared" si="3"/>
        <v>77.50297108147366</v>
      </c>
      <c r="H34" s="20">
        <f t="shared" si="4"/>
        <v>65.914432853558708</v>
      </c>
      <c r="I34" s="20">
        <f t="shared" si="5"/>
        <v>54.295523570579697</v>
      </c>
      <c r="J34" s="20">
        <f t="shared" si="6"/>
        <v>42.761125049518022</v>
      </c>
      <c r="K34" s="20">
        <f t="shared" si="7"/>
        <v>41.537039482371583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r="35" spans="1:23">
      <c r="A35" s="23"/>
      <c r="B35" s="23"/>
      <c r="C35" s="23"/>
      <c r="D35" s="19">
        <v>2019</v>
      </c>
      <c r="E35" s="20">
        <f>(E16/C16)*100</f>
        <v>91.342756183745578</v>
      </c>
      <c r="F35" s="20">
        <f t="shared" si="2"/>
        <v>83.179465485492457</v>
      </c>
      <c r="G35" s="20">
        <f t="shared" si="3"/>
        <v>81.560742547155712</v>
      </c>
      <c r="H35" s="20">
        <f t="shared" si="4"/>
        <v>76.335042054446816</v>
      </c>
      <c r="I35" s="20">
        <f t="shared" si="5"/>
        <v>75.189120589259929</v>
      </c>
      <c r="J35" s="20">
        <f t="shared" si="6"/>
        <v>71.908127208480565</v>
      </c>
      <c r="K35" s="20">
        <f t="shared" si="7"/>
        <v>65.045040561389527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spans="1:23">
      <c r="A36" s="23"/>
      <c r="B36" s="23"/>
      <c r="C36" s="23"/>
      <c r="D36" s="21" t="s">
        <v>11</v>
      </c>
      <c r="E36" s="22">
        <f>AVERAGE(E26:E35)</f>
        <v>84.435822737540164</v>
      </c>
      <c r="F36" s="22">
        <f t="shared" ref="F36:J36" si="8">AVERAGE(F26:F35)</f>
        <v>77.802152349165311</v>
      </c>
      <c r="G36" s="22">
        <f t="shared" si="8"/>
        <v>71.685907272203423</v>
      </c>
      <c r="H36" s="22">
        <f t="shared" si="8"/>
        <v>66.669509864413797</v>
      </c>
      <c r="I36" s="22">
        <f t="shared" si="8"/>
        <v>61.321033062220906</v>
      </c>
      <c r="J36" s="22">
        <f t="shared" si="8"/>
        <v>51.410564668312212</v>
      </c>
      <c r="K36" s="22">
        <f>AVERAGE(K26:K35)</f>
        <v>41.484277427359721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>
      <c r="A37" s="23"/>
      <c r="B37" s="23"/>
      <c r="C37" s="23"/>
      <c r="D37" s="22">
        <f>C17</f>
        <v>800.54900000000009</v>
      </c>
      <c r="E37" s="22">
        <f>($D$37*E36)/100</f>
        <v>675.95013456715049</v>
      </c>
      <c r="F37" s="22">
        <f t="shared" ref="F37:J37" si="9">($D$37*F36)/100</f>
        <v>622.84435260971952</v>
      </c>
      <c r="G37" s="22">
        <f t="shared" si="9"/>
        <v>573.88081380855181</v>
      </c>
      <c r="H37" s="22">
        <f t="shared" si="9"/>
        <v>533.72209452446612</v>
      </c>
      <c r="I37" s="22">
        <f t="shared" si="9"/>
        <v>490.90491696927893</v>
      </c>
      <c r="J37" s="22">
        <f t="shared" si="9"/>
        <v>411.56676134652679</v>
      </c>
      <c r="K37" s="22">
        <f>($D$37*K36)/100</f>
        <v>332.10196810195407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r="41" spans="1:23">
      <c r="A41" s="25" t="s">
        <v>174</v>
      </c>
      <c r="B41" s="25" t="s">
        <v>51</v>
      </c>
      <c r="C41" s="23"/>
      <c r="D41" s="25" t="s">
        <v>175</v>
      </c>
      <c r="E41" s="25" t="s">
        <v>51</v>
      </c>
      <c r="F41" s="23"/>
      <c r="G41" s="25" t="s">
        <v>28</v>
      </c>
      <c r="H41" s="25" t="s">
        <v>51</v>
      </c>
      <c r="I41" s="23"/>
      <c r="J41" s="25" t="s">
        <v>47</v>
      </c>
      <c r="K41" s="25" t="s">
        <v>51</v>
      </c>
      <c r="L41" s="23"/>
      <c r="M41" s="25" t="s">
        <v>20</v>
      </c>
      <c r="N41" s="25" t="s">
        <v>51</v>
      </c>
      <c r="O41" s="23"/>
      <c r="P41" s="25" t="s">
        <v>99</v>
      </c>
      <c r="Q41" s="25" t="s">
        <v>51</v>
      </c>
      <c r="R41" s="23"/>
      <c r="S41" s="25" t="s">
        <v>46</v>
      </c>
      <c r="T41" s="25" t="s">
        <v>51</v>
      </c>
      <c r="U41" s="23"/>
      <c r="V41" s="25" t="s">
        <v>100</v>
      </c>
      <c r="W41" s="25" t="s">
        <v>51</v>
      </c>
    </row>
    <row r="42" spans="1:23">
      <c r="A42" s="27">
        <f>COUNTIF($B$3:$B$16,$B$42:$B$46)</f>
        <v>6</v>
      </c>
      <c r="B42" s="33" t="s">
        <v>180</v>
      </c>
      <c r="C42" s="23"/>
      <c r="D42" s="27">
        <f t="shared" ref="D42:D48" si="10">COUNTIF($D$3:$D$16,$E$42:$E$48)</f>
        <v>5</v>
      </c>
      <c r="E42" s="33" t="s">
        <v>180</v>
      </c>
      <c r="F42" s="23"/>
      <c r="G42" s="27">
        <f t="shared" ref="G42:G51" si="11">COUNTIF($F$3:$F$16,$H$42:$H$51)</f>
        <v>2</v>
      </c>
      <c r="H42" s="33" t="s">
        <v>181</v>
      </c>
      <c r="I42" s="23"/>
      <c r="J42" s="27">
        <f t="shared" ref="J42:J47" si="12">COUNTIF($H$3:$H$16,$K$42:$K$47)</f>
        <v>4</v>
      </c>
      <c r="K42" s="33" t="s">
        <v>179</v>
      </c>
      <c r="L42" s="23"/>
      <c r="M42" s="27">
        <f t="shared" ref="M42:M49" si="13">COUNTIF($J$5:$J$16,$N$42:$N$49)</f>
        <v>3</v>
      </c>
      <c r="N42" s="33" t="s">
        <v>185</v>
      </c>
      <c r="O42" s="23"/>
      <c r="P42" s="27">
        <f t="shared" ref="P42:P49" si="14">COUNTIF($L$5:$L$16,$Q$42:$Q$49)</f>
        <v>2</v>
      </c>
      <c r="Q42" s="33" t="s">
        <v>180</v>
      </c>
      <c r="R42" s="23"/>
      <c r="S42" s="27">
        <f t="shared" ref="S42:S48" si="15">COUNTIF($N$7:$N$16,$T$42:$T$48)</f>
        <v>3</v>
      </c>
      <c r="T42" s="33" t="s">
        <v>179</v>
      </c>
      <c r="U42" s="23"/>
      <c r="V42" s="27">
        <f t="shared" ref="V42:V47" si="16">COUNTIF($P$7:$P$16,$W$42:$W$47)</f>
        <v>4</v>
      </c>
      <c r="W42" s="33" t="s">
        <v>181</v>
      </c>
    </row>
    <row r="43" spans="1:23">
      <c r="A43" s="27">
        <f>COUNTIF($B$3:$B$16,$B$42:$B$46)</f>
        <v>3</v>
      </c>
      <c r="B43" s="33" t="s">
        <v>181</v>
      </c>
      <c r="C43" s="23"/>
      <c r="D43" s="27">
        <f t="shared" si="10"/>
        <v>2</v>
      </c>
      <c r="E43" s="33" t="s">
        <v>177</v>
      </c>
      <c r="F43" s="23"/>
      <c r="G43" s="27">
        <f t="shared" si="11"/>
        <v>2</v>
      </c>
      <c r="H43" s="33" t="s">
        <v>179</v>
      </c>
      <c r="I43" s="23"/>
      <c r="J43" s="27">
        <f t="shared" si="12"/>
        <v>3</v>
      </c>
      <c r="K43" s="33" t="s">
        <v>180</v>
      </c>
      <c r="L43" s="23"/>
      <c r="M43" s="27">
        <f t="shared" si="13"/>
        <v>2</v>
      </c>
      <c r="N43" s="33" t="s">
        <v>184</v>
      </c>
      <c r="O43" s="23"/>
      <c r="P43" s="27">
        <f t="shared" si="14"/>
        <v>2</v>
      </c>
      <c r="Q43" s="33" t="s">
        <v>182</v>
      </c>
      <c r="R43" s="23"/>
      <c r="S43" s="27">
        <f t="shared" si="15"/>
        <v>2</v>
      </c>
      <c r="T43" s="33" t="s">
        <v>189</v>
      </c>
      <c r="U43" s="23"/>
      <c r="V43" s="27">
        <f t="shared" si="16"/>
        <v>2</v>
      </c>
      <c r="W43" s="33" t="s">
        <v>185</v>
      </c>
    </row>
    <row r="44" spans="1:23">
      <c r="A44" s="27">
        <f>COUNTIF($B$3:$B$16,$B$42:$B$46)</f>
        <v>3</v>
      </c>
      <c r="B44" s="33" t="s">
        <v>187</v>
      </c>
      <c r="C44" s="23"/>
      <c r="D44" s="27">
        <f t="shared" si="10"/>
        <v>2</v>
      </c>
      <c r="E44" s="33" t="s">
        <v>179</v>
      </c>
      <c r="F44" s="23"/>
      <c r="G44" s="27">
        <f t="shared" si="11"/>
        <v>2</v>
      </c>
      <c r="H44" s="33" t="s">
        <v>187</v>
      </c>
      <c r="I44" s="23"/>
      <c r="J44" s="27">
        <f t="shared" si="12"/>
        <v>3</v>
      </c>
      <c r="K44" s="33" t="s">
        <v>184</v>
      </c>
      <c r="L44" s="23"/>
      <c r="M44" s="27">
        <f t="shared" si="13"/>
        <v>2</v>
      </c>
      <c r="N44" s="33" t="s">
        <v>190</v>
      </c>
      <c r="O44" s="23"/>
      <c r="P44" s="27">
        <f t="shared" si="14"/>
        <v>2</v>
      </c>
      <c r="Q44" s="33" t="s">
        <v>184</v>
      </c>
      <c r="R44" s="23"/>
      <c r="S44" s="27">
        <f t="shared" si="15"/>
        <v>1</v>
      </c>
      <c r="T44" s="33" t="s">
        <v>188</v>
      </c>
      <c r="U44" s="23"/>
      <c r="V44" s="27">
        <f t="shared" si="16"/>
        <v>1</v>
      </c>
      <c r="W44" s="33" t="s">
        <v>183</v>
      </c>
    </row>
    <row r="45" spans="1:23">
      <c r="A45" s="27">
        <f>COUNTIF($B$3:$B$16,$B$42:$B$46)</f>
        <v>1</v>
      </c>
      <c r="B45" s="33" t="s">
        <v>177</v>
      </c>
      <c r="C45" s="23"/>
      <c r="D45" s="27">
        <f t="shared" si="10"/>
        <v>2</v>
      </c>
      <c r="E45" s="33" t="s">
        <v>185</v>
      </c>
      <c r="F45" s="23"/>
      <c r="G45" s="27">
        <f t="shared" si="11"/>
        <v>2</v>
      </c>
      <c r="H45" s="33" t="s">
        <v>184</v>
      </c>
      <c r="I45" s="23"/>
      <c r="J45" s="27">
        <f t="shared" si="12"/>
        <v>2</v>
      </c>
      <c r="K45" s="33" t="s">
        <v>177</v>
      </c>
      <c r="L45" s="23"/>
      <c r="M45" s="27">
        <f t="shared" si="13"/>
        <v>1</v>
      </c>
      <c r="N45" s="33" t="s">
        <v>180</v>
      </c>
      <c r="O45" s="23"/>
      <c r="P45" s="27">
        <f t="shared" si="14"/>
        <v>2</v>
      </c>
      <c r="Q45" s="33" t="s">
        <v>179</v>
      </c>
      <c r="R45" s="23"/>
      <c r="S45" s="27">
        <f t="shared" si="15"/>
        <v>1</v>
      </c>
      <c r="T45" s="33" t="s">
        <v>181</v>
      </c>
      <c r="U45" s="23"/>
      <c r="V45" s="27">
        <f t="shared" si="16"/>
        <v>1</v>
      </c>
      <c r="W45" s="33" t="s">
        <v>182</v>
      </c>
    </row>
    <row r="46" spans="1:23">
      <c r="A46" s="27">
        <f>COUNTIF($B$3:$B$16,$B$42:$B$46)</f>
        <v>1</v>
      </c>
      <c r="B46" s="33" t="s">
        <v>155</v>
      </c>
      <c r="C46" s="23"/>
      <c r="D46" s="27">
        <f t="shared" si="10"/>
        <v>1</v>
      </c>
      <c r="E46" s="33" t="s">
        <v>181</v>
      </c>
      <c r="F46" s="23"/>
      <c r="G46" s="27">
        <f t="shared" si="11"/>
        <v>1</v>
      </c>
      <c r="H46" s="33" t="s">
        <v>178</v>
      </c>
      <c r="I46" s="23"/>
      <c r="J46" s="27">
        <f t="shared" si="12"/>
        <v>1</v>
      </c>
      <c r="K46" s="33" t="s">
        <v>185</v>
      </c>
      <c r="L46" s="23"/>
      <c r="M46" s="27">
        <f t="shared" si="13"/>
        <v>1</v>
      </c>
      <c r="N46" s="33" t="s">
        <v>181</v>
      </c>
      <c r="O46" s="23"/>
      <c r="P46" s="27">
        <f t="shared" si="14"/>
        <v>1</v>
      </c>
      <c r="Q46" s="33" t="s">
        <v>177</v>
      </c>
      <c r="R46" s="23"/>
      <c r="S46" s="27">
        <f t="shared" si="15"/>
        <v>1</v>
      </c>
      <c r="T46" s="33" t="s">
        <v>182</v>
      </c>
      <c r="U46" s="23"/>
      <c r="V46" s="27">
        <f t="shared" si="16"/>
        <v>1</v>
      </c>
      <c r="W46" s="33" t="s">
        <v>190</v>
      </c>
    </row>
    <row r="47" spans="1:23">
      <c r="A47" s="23"/>
      <c r="B47" s="23"/>
      <c r="C47" s="23"/>
      <c r="D47" s="27">
        <f t="shared" si="10"/>
        <v>1</v>
      </c>
      <c r="E47" s="33" t="s">
        <v>182</v>
      </c>
      <c r="F47" s="23"/>
      <c r="G47" s="27">
        <f t="shared" si="11"/>
        <v>1</v>
      </c>
      <c r="H47" s="33" t="s">
        <v>177</v>
      </c>
      <c r="I47" s="23"/>
      <c r="J47" s="27">
        <f t="shared" si="12"/>
        <v>1</v>
      </c>
      <c r="K47" s="33" t="s">
        <v>187</v>
      </c>
      <c r="L47" s="23"/>
      <c r="M47" s="27">
        <f t="shared" si="13"/>
        <v>1</v>
      </c>
      <c r="N47" s="33" t="s">
        <v>187</v>
      </c>
      <c r="O47" s="23"/>
      <c r="P47" s="27">
        <f t="shared" si="14"/>
        <v>1</v>
      </c>
      <c r="Q47" s="33" t="s">
        <v>191</v>
      </c>
      <c r="R47" s="23"/>
      <c r="S47" s="27">
        <f t="shared" si="15"/>
        <v>1</v>
      </c>
      <c r="T47" s="33" t="s">
        <v>184</v>
      </c>
      <c r="U47" s="23"/>
      <c r="V47" s="27">
        <f t="shared" si="16"/>
        <v>1</v>
      </c>
      <c r="W47" s="33" t="s">
        <v>179</v>
      </c>
    </row>
    <row r="48" spans="1:23">
      <c r="A48" s="23"/>
      <c r="B48" s="23"/>
      <c r="C48" s="23"/>
      <c r="D48" s="27">
        <f t="shared" si="10"/>
        <v>1</v>
      </c>
      <c r="E48" s="33" t="s">
        <v>187</v>
      </c>
      <c r="F48" s="23"/>
      <c r="G48" s="27">
        <f t="shared" si="11"/>
        <v>1</v>
      </c>
      <c r="H48" s="33" t="s">
        <v>183</v>
      </c>
      <c r="I48" s="23"/>
      <c r="J48" s="23"/>
      <c r="K48" s="23"/>
      <c r="L48" s="23"/>
      <c r="M48" s="27">
        <f t="shared" si="13"/>
        <v>1</v>
      </c>
      <c r="N48" s="33" t="s">
        <v>178</v>
      </c>
      <c r="O48" s="23"/>
      <c r="P48" s="27">
        <f t="shared" si="14"/>
        <v>1</v>
      </c>
      <c r="Q48" s="33" t="s">
        <v>181</v>
      </c>
      <c r="R48" s="23"/>
      <c r="S48" s="27">
        <f t="shared" si="15"/>
        <v>1</v>
      </c>
      <c r="T48" s="33" t="s">
        <v>180</v>
      </c>
      <c r="U48" s="23"/>
      <c r="V48" s="23"/>
      <c r="W48" s="23"/>
    </row>
    <row r="49" spans="1:17">
      <c r="A49" s="23"/>
      <c r="B49" s="23"/>
      <c r="C49" s="23"/>
      <c r="D49" s="23"/>
      <c r="E49" s="23"/>
      <c r="F49" s="23"/>
      <c r="G49" s="27">
        <f t="shared" si="11"/>
        <v>1</v>
      </c>
      <c r="H49" s="33" t="s">
        <v>186</v>
      </c>
      <c r="I49" s="23"/>
      <c r="J49" s="23"/>
      <c r="K49" s="23"/>
      <c r="L49" s="23"/>
      <c r="M49" s="27">
        <f t="shared" si="13"/>
        <v>1</v>
      </c>
      <c r="N49" s="33" t="s">
        <v>177</v>
      </c>
      <c r="O49" s="23"/>
      <c r="P49" s="27">
        <f t="shared" si="14"/>
        <v>1</v>
      </c>
      <c r="Q49" s="33" t="s">
        <v>185</v>
      </c>
    </row>
    <row r="50" spans="1:17">
      <c r="A50" s="23"/>
      <c r="B50" s="23"/>
      <c r="C50" s="23"/>
      <c r="D50" s="23"/>
      <c r="E50" s="23"/>
      <c r="F50" s="23"/>
      <c r="G50" s="27">
        <f t="shared" si="11"/>
        <v>1</v>
      </c>
      <c r="H50" s="33" t="s">
        <v>185</v>
      </c>
      <c r="I50" s="23"/>
      <c r="J50" s="23"/>
      <c r="K50" s="23"/>
      <c r="L50" s="23"/>
      <c r="M50" s="23"/>
      <c r="N50" s="23"/>
      <c r="O50" s="23"/>
      <c r="P50" s="23"/>
      <c r="Q50" s="23"/>
    </row>
    <row r="51" spans="1:17">
      <c r="A51" s="23"/>
      <c r="B51" s="23"/>
      <c r="C51" s="23"/>
      <c r="D51" s="23"/>
      <c r="E51" s="23"/>
      <c r="F51" s="23"/>
      <c r="G51" s="27">
        <f t="shared" si="11"/>
        <v>1</v>
      </c>
      <c r="H51" s="33" t="s">
        <v>180</v>
      </c>
      <c r="I51" s="23"/>
      <c r="J51" s="23"/>
      <c r="K51" s="23"/>
      <c r="L51" s="23"/>
      <c r="M51" s="23"/>
      <c r="N51" s="23"/>
      <c r="O51" s="23"/>
      <c r="P51" s="23"/>
      <c r="Q51" s="23"/>
    </row>
    <row r="64" spans="1:17" ht="18.75">
      <c r="A64" s="71" t="s">
        <v>192</v>
      </c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1:17">
      <c r="A65" s="25" t="s">
        <v>1</v>
      </c>
      <c r="B65" s="25" t="s">
        <v>138</v>
      </c>
      <c r="C65" s="25" t="s">
        <v>139</v>
      </c>
      <c r="D65" s="25" t="s">
        <v>140</v>
      </c>
      <c r="E65" s="25" t="s">
        <v>141</v>
      </c>
      <c r="F65" s="25" t="s">
        <v>142</v>
      </c>
      <c r="G65" s="25" t="s">
        <v>143</v>
      </c>
      <c r="H65" s="25" t="s">
        <v>144</v>
      </c>
      <c r="I65" s="25" t="s">
        <v>145</v>
      </c>
      <c r="J65" s="25" t="s">
        <v>146</v>
      </c>
      <c r="K65" s="25" t="s">
        <v>147</v>
      </c>
      <c r="L65" s="25" t="s">
        <v>148</v>
      </c>
      <c r="M65" s="25" t="s">
        <v>149</v>
      </c>
      <c r="N65" s="25" t="s">
        <v>150</v>
      </c>
      <c r="O65" s="25" t="s">
        <v>151</v>
      </c>
      <c r="P65" s="25" t="s">
        <v>152</v>
      </c>
      <c r="Q65" s="25" t="s">
        <v>153</v>
      </c>
    </row>
    <row r="66" spans="1:17" s="23" customFormat="1">
      <c r="A66" s="19">
        <v>2003</v>
      </c>
      <c r="B66" s="34" t="s">
        <v>193</v>
      </c>
      <c r="C66" s="19">
        <v>579.20000000000005</v>
      </c>
      <c r="D66" s="34" t="s">
        <v>194</v>
      </c>
      <c r="E66" s="19">
        <v>568.37</v>
      </c>
      <c r="F66" s="34" t="s">
        <v>194</v>
      </c>
      <c r="G66" s="19">
        <v>554.94000000000005</v>
      </c>
      <c r="H66" s="34" t="s">
        <v>195</v>
      </c>
      <c r="I66" s="19">
        <v>553.34</v>
      </c>
      <c r="J66" s="34" t="s">
        <v>196</v>
      </c>
      <c r="K66" s="19">
        <v>544.51</v>
      </c>
      <c r="L66" s="34" t="s">
        <v>197</v>
      </c>
      <c r="M66" s="19">
        <v>367.7</v>
      </c>
      <c r="N66" s="34" t="s">
        <v>198</v>
      </c>
      <c r="O66" s="19">
        <v>340.56</v>
      </c>
      <c r="P66" s="34" t="s">
        <v>199</v>
      </c>
      <c r="Q66" s="19">
        <v>326.06</v>
      </c>
    </row>
    <row r="67" spans="1:17" s="23" customFormat="1">
      <c r="A67" s="19">
        <v>2004</v>
      </c>
      <c r="B67" s="34" t="s">
        <v>195</v>
      </c>
      <c r="C67" s="19">
        <v>572.4</v>
      </c>
      <c r="D67" s="34" t="s">
        <v>199</v>
      </c>
      <c r="E67" s="19">
        <v>564.47</v>
      </c>
      <c r="F67" s="34" t="s">
        <v>200</v>
      </c>
      <c r="G67" s="19">
        <v>547.07000000000005</v>
      </c>
      <c r="H67" s="34" t="s">
        <v>198</v>
      </c>
      <c r="I67" s="19">
        <v>532.84</v>
      </c>
      <c r="J67" s="34" t="s">
        <v>193</v>
      </c>
      <c r="K67" s="19">
        <v>520.64</v>
      </c>
      <c r="L67" s="34" t="s">
        <v>194</v>
      </c>
      <c r="M67" s="19">
        <v>513.41</v>
      </c>
      <c r="N67" s="34" t="s">
        <v>194</v>
      </c>
      <c r="O67" s="19">
        <v>428.64</v>
      </c>
      <c r="P67" s="34" t="s">
        <v>201</v>
      </c>
      <c r="Q67" s="19">
        <v>427.59</v>
      </c>
    </row>
    <row r="68" spans="1:17" s="23" customFormat="1">
      <c r="A68" s="19">
        <v>2005</v>
      </c>
      <c r="B68" s="34" t="s">
        <v>194</v>
      </c>
      <c r="C68" s="19">
        <v>550.15</v>
      </c>
      <c r="D68" s="34" t="s">
        <v>194</v>
      </c>
      <c r="E68" s="19">
        <v>531.37</v>
      </c>
      <c r="F68" s="34" t="s">
        <v>199</v>
      </c>
      <c r="G68" s="19">
        <v>520.82000000000005</v>
      </c>
      <c r="H68" s="34" t="s">
        <v>201</v>
      </c>
      <c r="I68" s="19">
        <v>463.27</v>
      </c>
      <c r="J68" s="34" t="s">
        <v>202</v>
      </c>
      <c r="K68" s="19">
        <v>429.63</v>
      </c>
      <c r="L68" s="34" t="s">
        <v>200</v>
      </c>
      <c r="M68" s="19">
        <v>417.83</v>
      </c>
      <c r="N68" s="34" t="s">
        <v>198</v>
      </c>
      <c r="O68" s="19">
        <v>403.94</v>
      </c>
      <c r="P68" s="34" t="s">
        <v>201</v>
      </c>
      <c r="Q68" s="19">
        <v>275.87</v>
      </c>
    </row>
    <row r="69" spans="1:17">
      <c r="A69" s="19">
        <v>2006</v>
      </c>
      <c r="B69" s="34" t="s">
        <v>194</v>
      </c>
      <c r="C69" s="19">
        <v>551.97</v>
      </c>
      <c r="D69" s="34" t="s">
        <v>194</v>
      </c>
      <c r="E69" s="19">
        <v>548.61</v>
      </c>
      <c r="F69" s="34" t="s">
        <v>195</v>
      </c>
      <c r="G69" s="19">
        <v>540.34</v>
      </c>
      <c r="H69" s="34" t="s">
        <v>200</v>
      </c>
      <c r="I69" s="19">
        <v>516.83000000000004</v>
      </c>
      <c r="J69" s="34" t="s">
        <v>199</v>
      </c>
      <c r="K69" s="19">
        <v>515.84</v>
      </c>
      <c r="L69" s="34" t="s">
        <v>202</v>
      </c>
      <c r="M69" s="19">
        <v>498.09</v>
      </c>
      <c r="N69" s="34" t="s">
        <v>198</v>
      </c>
      <c r="O69" s="19">
        <v>425.38</v>
      </c>
      <c r="P69" s="34" t="s">
        <v>203</v>
      </c>
      <c r="Q69" s="19">
        <v>364.15</v>
      </c>
    </row>
    <row r="70" spans="1:17">
      <c r="A70" s="19">
        <v>2007</v>
      </c>
      <c r="B70" s="34" t="s">
        <v>194</v>
      </c>
      <c r="C70" s="19">
        <v>648.57000000000005</v>
      </c>
      <c r="D70" s="34" t="s">
        <v>202</v>
      </c>
      <c r="E70" s="19">
        <v>532.30999999999995</v>
      </c>
      <c r="F70" s="34" t="s">
        <v>199</v>
      </c>
      <c r="G70" s="19">
        <v>532.24</v>
      </c>
      <c r="H70" s="34" t="s">
        <v>200</v>
      </c>
      <c r="I70" s="19">
        <v>530.58000000000004</v>
      </c>
      <c r="J70" s="34" t="s">
        <v>194</v>
      </c>
      <c r="K70" s="19">
        <v>489.42</v>
      </c>
      <c r="L70" s="34" t="s">
        <v>204</v>
      </c>
      <c r="M70" s="19">
        <v>452.53</v>
      </c>
      <c r="N70" s="34" t="s">
        <v>195</v>
      </c>
      <c r="O70" s="19">
        <v>428.98</v>
      </c>
      <c r="P70" s="34" t="s">
        <v>203</v>
      </c>
      <c r="Q70" s="19">
        <v>412.13</v>
      </c>
    </row>
    <row r="71" spans="1:17">
      <c r="A71" s="19">
        <v>2008</v>
      </c>
      <c r="B71" s="34" t="s">
        <v>203</v>
      </c>
      <c r="C71" s="19">
        <v>630.54999999999995</v>
      </c>
      <c r="D71" s="34" t="s">
        <v>204</v>
      </c>
      <c r="E71" s="19">
        <v>627.66</v>
      </c>
      <c r="F71" s="34" t="s">
        <v>194</v>
      </c>
      <c r="G71" s="19">
        <v>605.28</v>
      </c>
      <c r="H71" s="34" t="s">
        <v>194</v>
      </c>
      <c r="I71" s="19">
        <v>601.28</v>
      </c>
      <c r="J71" s="34" t="s">
        <v>205</v>
      </c>
      <c r="K71" s="19">
        <v>596.61</v>
      </c>
      <c r="L71" s="34" t="s">
        <v>195</v>
      </c>
      <c r="M71" s="19">
        <v>488.12</v>
      </c>
      <c r="N71" s="34" t="s">
        <v>206</v>
      </c>
      <c r="O71" s="19">
        <v>481.83</v>
      </c>
      <c r="P71" s="34" t="s">
        <v>199</v>
      </c>
      <c r="Q71" s="19">
        <v>458.73</v>
      </c>
    </row>
    <row r="72" spans="1:17">
      <c r="A72" s="19">
        <v>2009</v>
      </c>
      <c r="B72" s="34" t="s">
        <v>194</v>
      </c>
      <c r="C72" s="19">
        <v>672.19</v>
      </c>
      <c r="D72" s="34" t="s">
        <v>202</v>
      </c>
      <c r="E72" s="19">
        <v>664.77</v>
      </c>
      <c r="F72" s="34" t="s">
        <v>205</v>
      </c>
      <c r="G72" s="19">
        <v>467.49</v>
      </c>
      <c r="H72" s="34" t="s">
        <v>195</v>
      </c>
      <c r="I72" s="19">
        <v>451.01</v>
      </c>
      <c r="J72" s="34" t="s">
        <v>204</v>
      </c>
      <c r="K72" s="19">
        <v>426.7</v>
      </c>
      <c r="L72" s="34" t="s">
        <v>199</v>
      </c>
      <c r="M72" s="19">
        <v>403.26</v>
      </c>
      <c r="N72" s="34" t="s">
        <v>207</v>
      </c>
      <c r="O72" s="19">
        <v>334.9</v>
      </c>
      <c r="P72" s="34" t="s">
        <v>208</v>
      </c>
      <c r="Q72" s="19">
        <v>324.83999999999997</v>
      </c>
    </row>
    <row r="73" spans="1:17">
      <c r="A73" s="19">
        <v>2010</v>
      </c>
      <c r="B73" s="34" t="s">
        <v>194</v>
      </c>
      <c r="C73" s="19">
        <v>683.04</v>
      </c>
      <c r="D73" s="34" t="s">
        <v>204</v>
      </c>
      <c r="E73" s="19">
        <v>626.84</v>
      </c>
      <c r="F73" s="34" t="s">
        <v>205</v>
      </c>
      <c r="G73" s="20">
        <v>461.61</v>
      </c>
      <c r="H73" s="34" t="s">
        <v>207</v>
      </c>
      <c r="I73" s="20">
        <v>402.05</v>
      </c>
      <c r="J73" s="34" t="s">
        <v>200</v>
      </c>
      <c r="K73" s="20">
        <v>346.72</v>
      </c>
      <c r="L73" s="34" t="s">
        <v>194</v>
      </c>
      <c r="M73" s="20">
        <v>321.48</v>
      </c>
      <c r="N73" s="34" t="s">
        <v>207</v>
      </c>
      <c r="O73" s="20">
        <v>307.60000000000002</v>
      </c>
      <c r="P73" s="34" t="s">
        <v>195</v>
      </c>
      <c r="Q73" s="20">
        <v>295.51</v>
      </c>
    </row>
    <row r="74" spans="1:17">
      <c r="A74" s="19">
        <v>2011</v>
      </c>
      <c r="B74" s="34" t="s">
        <v>194</v>
      </c>
      <c r="C74" s="19">
        <v>925.65</v>
      </c>
      <c r="D74" s="34" t="s">
        <v>194</v>
      </c>
      <c r="E74" s="19">
        <v>760.98</v>
      </c>
      <c r="F74" s="34" t="s">
        <v>200</v>
      </c>
      <c r="G74" s="20">
        <v>725.14</v>
      </c>
      <c r="H74" s="34" t="s">
        <v>204</v>
      </c>
      <c r="I74" s="20">
        <v>671.19</v>
      </c>
      <c r="J74" s="34" t="s">
        <v>203</v>
      </c>
      <c r="K74" s="20">
        <v>591.30999999999995</v>
      </c>
      <c r="L74" s="34" t="s">
        <v>205</v>
      </c>
      <c r="M74" s="20">
        <v>589.04</v>
      </c>
      <c r="N74" s="34" t="s">
        <v>207</v>
      </c>
      <c r="O74" s="20">
        <v>574.59</v>
      </c>
      <c r="P74" s="34" t="s">
        <v>209</v>
      </c>
      <c r="Q74" s="20">
        <v>528.59</v>
      </c>
    </row>
    <row r="75" spans="1:17">
      <c r="A75" s="19">
        <v>2012</v>
      </c>
      <c r="B75" s="34" t="s">
        <v>194</v>
      </c>
      <c r="C75" s="19">
        <v>869.14</v>
      </c>
      <c r="D75" s="34" t="s">
        <v>200</v>
      </c>
      <c r="E75" s="19">
        <v>787.01</v>
      </c>
      <c r="F75" s="34" t="s">
        <v>203</v>
      </c>
      <c r="G75" s="20">
        <v>775.01</v>
      </c>
      <c r="H75" s="34" t="s">
        <v>194</v>
      </c>
      <c r="I75" s="20">
        <v>712.22</v>
      </c>
      <c r="J75" s="34" t="s">
        <v>204</v>
      </c>
      <c r="K75" s="20">
        <v>668.71</v>
      </c>
      <c r="L75" s="34" t="s">
        <v>210</v>
      </c>
      <c r="M75" s="20">
        <v>603.45000000000005</v>
      </c>
      <c r="N75" s="34" t="s">
        <v>207</v>
      </c>
      <c r="O75" s="20">
        <v>559.33000000000004</v>
      </c>
      <c r="P75" s="34" t="s">
        <v>209</v>
      </c>
      <c r="Q75" s="20">
        <v>538.88</v>
      </c>
    </row>
    <row r="76" spans="1:17">
      <c r="A76" s="19">
        <v>2013</v>
      </c>
      <c r="B76" s="34" t="s">
        <v>200</v>
      </c>
      <c r="C76" s="19">
        <v>932.95</v>
      </c>
      <c r="D76" s="34" t="s">
        <v>211</v>
      </c>
      <c r="E76" s="19">
        <v>621.91</v>
      </c>
      <c r="F76" s="34" t="s">
        <v>212</v>
      </c>
      <c r="G76" s="20">
        <v>607.67999999999995</v>
      </c>
      <c r="H76" s="34" t="s">
        <v>209</v>
      </c>
      <c r="I76" s="20">
        <v>582.64</v>
      </c>
      <c r="J76" s="34" t="s">
        <v>213</v>
      </c>
      <c r="K76" s="20">
        <v>576.51</v>
      </c>
      <c r="L76" s="34" t="s">
        <v>214</v>
      </c>
      <c r="M76" s="20">
        <v>532.69000000000005</v>
      </c>
      <c r="N76" s="34" t="s">
        <v>207</v>
      </c>
      <c r="O76" s="20">
        <v>514.65</v>
      </c>
      <c r="P76" s="34" t="s">
        <v>203</v>
      </c>
      <c r="Q76" s="20">
        <v>476.46</v>
      </c>
    </row>
    <row r="77" spans="1:17">
      <c r="A77" s="19">
        <v>2014</v>
      </c>
      <c r="B77" s="34" t="s">
        <v>200</v>
      </c>
      <c r="C77" s="19">
        <v>857.72</v>
      </c>
      <c r="D77" s="34" t="s">
        <v>194</v>
      </c>
      <c r="E77" s="19">
        <v>610.30999999999995</v>
      </c>
      <c r="F77" s="34" t="s">
        <v>212</v>
      </c>
      <c r="G77" s="20">
        <v>598.41</v>
      </c>
      <c r="H77" s="34" t="s">
        <v>209</v>
      </c>
      <c r="I77" s="20">
        <v>416.41</v>
      </c>
      <c r="J77" s="34" t="s">
        <v>213</v>
      </c>
      <c r="K77" s="20">
        <v>388.43</v>
      </c>
      <c r="L77" s="34" t="s">
        <v>203</v>
      </c>
      <c r="M77" s="20">
        <v>347.06</v>
      </c>
      <c r="N77" s="34" t="s">
        <v>215</v>
      </c>
      <c r="O77" s="20">
        <v>316.44</v>
      </c>
      <c r="P77" s="34" t="s">
        <v>195</v>
      </c>
      <c r="Q77" s="20">
        <v>288.45999999999998</v>
      </c>
    </row>
    <row r="78" spans="1:17">
      <c r="A78" s="19">
        <v>2015</v>
      </c>
      <c r="B78" s="34" t="s">
        <v>212</v>
      </c>
      <c r="C78" s="19">
        <v>723.7</v>
      </c>
      <c r="D78" s="34" t="s">
        <v>200</v>
      </c>
      <c r="E78" s="19">
        <v>668.95</v>
      </c>
      <c r="F78" s="34" t="s">
        <v>214</v>
      </c>
      <c r="G78" s="20">
        <v>661.3</v>
      </c>
      <c r="H78" s="34" t="s">
        <v>195</v>
      </c>
      <c r="I78" s="20">
        <v>563.76</v>
      </c>
      <c r="J78" s="34" t="s">
        <v>194</v>
      </c>
      <c r="K78" s="20">
        <v>558.62</v>
      </c>
      <c r="L78" s="34" t="s">
        <v>213</v>
      </c>
      <c r="M78" s="20">
        <v>376.67</v>
      </c>
      <c r="N78" s="34" t="s">
        <v>215</v>
      </c>
      <c r="O78" s="20">
        <v>370.72</v>
      </c>
      <c r="P78" s="34" t="s">
        <v>216</v>
      </c>
      <c r="Q78" s="20">
        <v>345.03</v>
      </c>
    </row>
    <row r="79" spans="1:17">
      <c r="A79" s="19">
        <v>2016</v>
      </c>
      <c r="B79" s="34" t="s">
        <v>214</v>
      </c>
      <c r="C79" s="19">
        <v>811.08</v>
      </c>
      <c r="D79" s="34" t="s">
        <v>200</v>
      </c>
      <c r="E79" s="19">
        <v>778.09</v>
      </c>
      <c r="F79" s="34" t="s">
        <v>213</v>
      </c>
      <c r="G79" s="20">
        <v>722.02</v>
      </c>
      <c r="H79" s="34" t="s">
        <v>194</v>
      </c>
      <c r="I79" s="20">
        <v>673.37</v>
      </c>
      <c r="J79" s="34" t="s">
        <v>195</v>
      </c>
      <c r="K79" s="20">
        <v>659.18</v>
      </c>
      <c r="L79" s="34" t="s">
        <v>203</v>
      </c>
      <c r="M79" s="20">
        <v>550.71</v>
      </c>
      <c r="N79" s="34" t="s">
        <v>204</v>
      </c>
      <c r="O79" s="20">
        <v>481.09</v>
      </c>
      <c r="P79" s="34" t="s">
        <v>212</v>
      </c>
      <c r="Q79" s="20">
        <v>436.57</v>
      </c>
    </row>
    <row r="80" spans="1:17">
      <c r="A80" s="19">
        <v>2017</v>
      </c>
      <c r="B80" s="34" t="s">
        <v>200</v>
      </c>
      <c r="C80" s="19">
        <v>652.46</v>
      </c>
      <c r="D80" s="34" t="s">
        <v>194</v>
      </c>
      <c r="E80" s="19">
        <v>624.29999999999995</v>
      </c>
      <c r="F80" s="34" t="s">
        <v>214</v>
      </c>
      <c r="G80" s="20">
        <v>613.39</v>
      </c>
      <c r="H80" s="34" t="s">
        <v>195</v>
      </c>
      <c r="I80" s="20">
        <v>593.36</v>
      </c>
      <c r="J80" s="34" t="s">
        <v>213</v>
      </c>
      <c r="K80" s="20">
        <v>583.23</v>
      </c>
      <c r="L80" s="34" t="s">
        <v>216</v>
      </c>
      <c r="M80" s="20">
        <v>493.84</v>
      </c>
      <c r="N80" s="34" t="s">
        <v>210</v>
      </c>
      <c r="O80" s="20">
        <v>435.02</v>
      </c>
      <c r="P80" s="34" t="s">
        <v>209</v>
      </c>
      <c r="Q80" s="20">
        <v>419.99</v>
      </c>
    </row>
    <row r="81" spans="1:17">
      <c r="A81" s="19">
        <v>2018</v>
      </c>
      <c r="B81" s="34" t="s">
        <v>200</v>
      </c>
      <c r="C81" s="20">
        <v>866.6</v>
      </c>
      <c r="D81" s="34" t="s">
        <v>203</v>
      </c>
      <c r="E81" s="20">
        <v>746.7</v>
      </c>
      <c r="F81" s="34" t="s">
        <v>209</v>
      </c>
      <c r="G81" s="20">
        <v>697.53</v>
      </c>
      <c r="H81" s="34" t="s">
        <v>214</v>
      </c>
      <c r="I81" s="20">
        <v>639.35</v>
      </c>
      <c r="J81" s="34" t="s">
        <v>217</v>
      </c>
      <c r="K81" s="20">
        <v>508.83</v>
      </c>
      <c r="L81" s="34" t="s">
        <v>213</v>
      </c>
      <c r="M81" s="20">
        <v>431.38</v>
      </c>
      <c r="N81" s="34" t="s">
        <v>194</v>
      </c>
      <c r="O81" s="20">
        <v>394.51</v>
      </c>
      <c r="P81" s="34" t="s">
        <v>199</v>
      </c>
      <c r="Q81" s="20">
        <v>390.31</v>
      </c>
    </row>
    <row r="82" spans="1:17">
      <c r="A82" s="19">
        <v>2019</v>
      </c>
      <c r="B82" s="34" t="s">
        <v>203</v>
      </c>
      <c r="C82" s="19">
        <v>690.85</v>
      </c>
      <c r="D82" s="34" t="s">
        <v>214</v>
      </c>
      <c r="E82" s="19">
        <v>687.58</v>
      </c>
      <c r="F82" s="34" t="s">
        <v>194</v>
      </c>
      <c r="G82" s="20">
        <v>579.39</v>
      </c>
      <c r="H82" s="34" t="s">
        <v>212</v>
      </c>
      <c r="I82" s="20">
        <v>515.22</v>
      </c>
      <c r="J82" s="34" t="s">
        <v>200</v>
      </c>
      <c r="K82" s="20">
        <v>415.06</v>
      </c>
      <c r="L82" s="34" t="s">
        <v>213</v>
      </c>
      <c r="M82" s="20">
        <v>383.11</v>
      </c>
      <c r="N82" s="34" t="s">
        <v>209</v>
      </c>
      <c r="O82" s="20">
        <v>375.56</v>
      </c>
      <c r="P82" s="34" t="s">
        <v>217</v>
      </c>
      <c r="Q82" s="20">
        <v>366.36</v>
      </c>
    </row>
    <row r="83" spans="1:17">
      <c r="A83" s="21" t="s">
        <v>11</v>
      </c>
      <c r="B83" s="21"/>
      <c r="C83" s="22">
        <f>AVERAGE(C66:C82)</f>
        <v>718.71882352941179</v>
      </c>
      <c r="D83" s="22"/>
      <c r="E83" s="22">
        <f>AVERAGE(E66:E82)</f>
        <v>644.13117647058812</v>
      </c>
      <c r="F83" s="22"/>
      <c r="G83" s="22">
        <f>AVERAGE(G66:G82)</f>
        <v>600.56823529411758</v>
      </c>
      <c r="H83" s="22"/>
      <c r="I83" s="22">
        <f>AVERAGE(I66:I82)</f>
        <v>554.04235294117655</v>
      </c>
      <c r="J83" s="22"/>
      <c r="K83" s="22">
        <f>AVERAGE(K66:K82)</f>
        <v>518.82058823529417</v>
      </c>
      <c r="L83" s="22"/>
      <c r="M83" s="22">
        <f>AVERAGE(M66:M82)</f>
        <v>457.08058823529416</v>
      </c>
      <c r="N83" s="22"/>
      <c r="O83" s="22">
        <f>AVERAGE(O66:O82)</f>
        <v>421.98470588235296</v>
      </c>
      <c r="P83" s="22"/>
      <c r="Q83" s="22">
        <f>AVERAGE(Q66:Q82)</f>
        <v>392.67823529411766</v>
      </c>
    </row>
    <row r="88" spans="1:17" ht="18.75">
      <c r="A88" s="23"/>
      <c r="B88" s="23"/>
      <c r="C88" s="23"/>
      <c r="D88" s="71" t="s">
        <v>166</v>
      </c>
      <c r="E88" s="71"/>
      <c r="F88" s="71"/>
      <c r="G88" s="71"/>
      <c r="H88" s="71"/>
      <c r="I88" s="71"/>
      <c r="J88" s="71"/>
      <c r="K88" s="71"/>
      <c r="L88" s="23"/>
      <c r="M88" s="23"/>
      <c r="N88" s="23"/>
      <c r="O88" s="23"/>
      <c r="P88" s="23"/>
      <c r="Q88" s="23"/>
    </row>
    <row r="89" spans="1:17">
      <c r="A89" s="23"/>
      <c r="B89" s="23"/>
      <c r="C89" s="23"/>
      <c r="D89" s="25" t="s">
        <v>1</v>
      </c>
      <c r="E89" s="25" t="s">
        <v>167</v>
      </c>
      <c r="F89" s="25" t="s">
        <v>168</v>
      </c>
      <c r="G89" s="25" t="s">
        <v>169</v>
      </c>
      <c r="H89" s="25" t="s">
        <v>170</v>
      </c>
      <c r="I89" s="25" t="s">
        <v>171</v>
      </c>
      <c r="J89" s="25" t="s">
        <v>172</v>
      </c>
      <c r="K89" s="25" t="s">
        <v>173</v>
      </c>
      <c r="L89" s="23"/>
      <c r="M89" s="23"/>
      <c r="N89" s="23"/>
      <c r="O89" s="23"/>
      <c r="P89" s="23"/>
      <c r="Q89" s="23"/>
    </row>
    <row r="90" spans="1:17" s="23" customFormat="1">
      <c r="D90" s="19">
        <v>2003</v>
      </c>
      <c r="E90" s="20">
        <f>(E66/C66)*100</f>
        <v>98.130179558011037</v>
      </c>
      <c r="F90" s="20">
        <f>(G66/C66)*100</f>
        <v>95.811464088397784</v>
      </c>
      <c r="G90" s="20">
        <f>(I66/C66)*100</f>
        <v>95.535220994475139</v>
      </c>
      <c r="H90" s="20">
        <f>(K66/C66)*100</f>
        <v>94.010704419889493</v>
      </c>
      <c r="I90" s="20">
        <f>(M66/C66)*100</f>
        <v>63.484116022099442</v>
      </c>
      <c r="J90" s="20">
        <f>(O66/C66)*100</f>
        <v>58.798342541436455</v>
      </c>
      <c r="K90" s="20">
        <f>(Q66/C66)*100</f>
        <v>56.294889502762423</v>
      </c>
    </row>
    <row r="91" spans="1:17" s="23" customFormat="1">
      <c r="D91" s="19">
        <v>2004</v>
      </c>
      <c r="E91" s="20">
        <f t="shared" ref="E91:E106" si="17">(E67/C67)*100</f>
        <v>98.614605171208964</v>
      </c>
      <c r="F91" s="20">
        <f t="shared" ref="F91:F106" si="18">(G67/C67)*100</f>
        <v>95.574772886093655</v>
      </c>
      <c r="G91" s="20">
        <f t="shared" ref="G91:G106" si="19">(I67/C67)*100</f>
        <v>93.088749126484984</v>
      </c>
      <c r="H91" s="20">
        <f t="shared" ref="H91:H106" si="20">(K67/C67)*100</f>
        <v>90.957372466806433</v>
      </c>
      <c r="I91" s="20">
        <f t="shared" ref="I91:I106" si="21">(M67/C67)*100</f>
        <v>89.694269741439541</v>
      </c>
      <c r="J91" s="20">
        <f t="shared" ref="J91:J106" si="22">(O67/C67)*100</f>
        <v>74.884696016771485</v>
      </c>
      <c r="K91" s="20">
        <f t="shared" ref="K91:K105" si="23">(Q67/C67)*100</f>
        <v>74.701257861635213</v>
      </c>
    </row>
    <row r="92" spans="1:17" s="23" customFormat="1">
      <c r="D92" s="19">
        <v>2005</v>
      </c>
      <c r="E92" s="20">
        <f t="shared" si="17"/>
        <v>96.586385531218767</v>
      </c>
      <c r="F92" s="20">
        <f t="shared" si="18"/>
        <v>94.668726710897047</v>
      </c>
      <c r="G92" s="20">
        <f t="shared" si="19"/>
        <v>84.20794328819413</v>
      </c>
      <c r="H92" s="20">
        <f t="shared" si="20"/>
        <v>78.093247296191947</v>
      </c>
      <c r="I92" s="20">
        <f t="shared" si="21"/>
        <v>75.94837771516859</v>
      </c>
      <c r="J92" s="20">
        <f t="shared" si="22"/>
        <v>73.42361174225212</v>
      </c>
      <c r="K92" s="20">
        <f t="shared" si="23"/>
        <v>50.144506043806238</v>
      </c>
    </row>
    <row r="93" spans="1:17">
      <c r="A93" s="23"/>
      <c r="B93" s="23"/>
      <c r="C93" s="23"/>
      <c r="D93" s="19">
        <v>2006</v>
      </c>
      <c r="E93" s="20">
        <f t="shared" si="17"/>
        <v>99.391271264742642</v>
      </c>
      <c r="F93" s="20">
        <f t="shared" si="18"/>
        <v>97.893001431237209</v>
      </c>
      <c r="G93" s="20">
        <f t="shared" si="19"/>
        <v>93.633711977100205</v>
      </c>
      <c r="H93" s="20">
        <f t="shared" si="20"/>
        <v>93.454354403319016</v>
      </c>
      <c r="I93" s="20">
        <f t="shared" si="21"/>
        <v>90.238599923908907</v>
      </c>
      <c r="J93" s="20">
        <f t="shared" si="22"/>
        <v>77.065782560646412</v>
      </c>
      <c r="K93" s="20">
        <f t="shared" si="23"/>
        <v>65.972788376179864</v>
      </c>
      <c r="L93" s="23"/>
      <c r="M93" s="23"/>
      <c r="N93" s="23"/>
      <c r="O93" s="23"/>
      <c r="P93" s="23"/>
      <c r="Q93" s="23"/>
    </row>
    <row r="94" spans="1:17">
      <c r="A94" s="23"/>
      <c r="B94" s="23"/>
      <c r="C94" s="23"/>
      <c r="D94" s="19">
        <v>2007</v>
      </c>
      <c r="E94" s="20">
        <f t="shared" si="17"/>
        <v>82.074409855528302</v>
      </c>
      <c r="F94" s="20">
        <f t="shared" si="18"/>
        <v>82.063616880213388</v>
      </c>
      <c r="G94" s="20">
        <f t="shared" si="19"/>
        <v>81.807669179888066</v>
      </c>
      <c r="H94" s="20">
        <f t="shared" si="20"/>
        <v>75.461399694712981</v>
      </c>
      <c r="I94" s="20">
        <f t="shared" si="21"/>
        <v>69.773501703748238</v>
      </c>
      <c r="J94" s="20">
        <f t="shared" si="22"/>
        <v>66.142436437084655</v>
      </c>
      <c r="K94" s="20">
        <f t="shared" si="23"/>
        <v>63.544413093420907</v>
      </c>
      <c r="L94" s="23"/>
      <c r="M94" s="23"/>
      <c r="N94" s="23"/>
      <c r="O94" s="23"/>
      <c r="P94" s="23"/>
      <c r="Q94" s="23"/>
    </row>
    <row r="95" spans="1:17">
      <c r="A95" s="23"/>
      <c r="B95" s="23"/>
      <c r="C95" s="23"/>
      <c r="D95" s="19">
        <v>2008</v>
      </c>
      <c r="E95" s="20">
        <f t="shared" si="17"/>
        <v>99.541669970660536</v>
      </c>
      <c r="F95" s="20">
        <f t="shared" si="18"/>
        <v>95.99238759812863</v>
      </c>
      <c r="G95" s="20">
        <f t="shared" si="19"/>
        <v>95.358020775513438</v>
      </c>
      <c r="H95" s="20">
        <f t="shared" si="20"/>
        <v>94.617397510110237</v>
      </c>
      <c r="I95" s="20">
        <f t="shared" si="21"/>
        <v>77.411783363730081</v>
      </c>
      <c r="J95" s="20">
        <f t="shared" si="22"/>
        <v>76.414241535167719</v>
      </c>
      <c r="K95" s="20">
        <f t="shared" si="23"/>
        <v>72.750773134565065</v>
      </c>
      <c r="L95" s="23"/>
      <c r="M95" s="23"/>
      <c r="N95" s="23"/>
      <c r="O95" s="23"/>
      <c r="P95" s="23"/>
      <c r="Q95" s="23"/>
    </row>
    <row r="96" spans="1:17">
      <c r="A96" s="23"/>
      <c r="B96" s="23"/>
      <c r="C96" s="23"/>
      <c r="D96" s="19">
        <v>2009</v>
      </c>
      <c r="E96" s="20">
        <f t="shared" si="17"/>
        <v>98.896145435070423</v>
      </c>
      <c r="F96" s="20">
        <f t="shared" si="18"/>
        <v>69.547300614409608</v>
      </c>
      <c r="G96" s="20">
        <f t="shared" si="19"/>
        <v>67.095612847557973</v>
      </c>
      <c r="H96" s="20">
        <f t="shared" si="20"/>
        <v>63.479075856528652</v>
      </c>
      <c r="I96" s="20">
        <f t="shared" si="21"/>
        <v>59.991966557074626</v>
      </c>
      <c r="J96" s="20">
        <f t="shared" si="22"/>
        <v>49.82222288341093</v>
      </c>
      <c r="K96" s="20">
        <f t="shared" si="23"/>
        <v>48.325622219908055</v>
      </c>
      <c r="L96" s="23"/>
      <c r="M96" s="23"/>
      <c r="N96" s="23"/>
      <c r="O96" s="23"/>
      <c r="P96" s="23"/>
      <c r="Q96" s="23"/>
    </row>
    <row r="97" spans="4:11">
      <c r="D97" s="19">
        <v>2010</v>
      </c>
      <c r="E97" s="20">
        <f t="shared" si="17"/>
        <v>91.772077769969556</v>
      </c>
      <c r="F97" s="20">
        <f t="shared" si="18"/>
        <v>67.581693605059741</v>
      </c>
      <c r="G97" s="20">
        <f t="shared" si="19"/>
        <v>58.861852892949173</v>
      </c>
      <c r="H97" s="20">
        <f t="shared" si="20"/>
        <v>50.761302412743035</v>
      </c>
      <c r="I97" s="20">
        <f t="shared" si="21"/>
        <v>47.06605762473648</v>
      </c>
      <c r="J97" s="20">
        <f t="shared" si="22"/>
        <v>45.033965799953158</v>
      </c>
      <c r="K97" s="20">
        <f t="shared" si="23"/>
        <v>43.263937690325605</v>
      </c>
    </row>
    <row r="98" spans="4:11">
      <c r="D98" s="19">
        <v>2011</v>
      </c>
      <c r="E98" s="20">
        <f t="shared" si="17"/>
        <v>82.210338680926924</v>
      </c>
      <c r="F98" s="20">
        <f t="shared" si="18"/>
        <v>78.338464862529037</v>
      </c>
      <c r="G98" s="20">
        <f t="shared" si="19"/>
        <v>72.510128018149416</v>
      </c>
      <c r="H98" s="20">
        <f t="shared" si="20"/>
        <v>63.88051639388538</v>
      </c>
      <c r="I98" s="20">
        <f t="shared" si="21"/>
        <v>63.635283314427696</v>
      </c>
      <c r="J98" s="20">
        <f t="shared" si="22"/>
        <v>62.074218116998871</v>
      </c>
      <c r="K98" s="20">
        <f t="shared" si="23"/>
        <v>57.104737211689084</v>
      </c>
    </row>
    <row r="99" spans="4:11">
      <c r="D99" s="19">
        <v>2012</v>
      </c>
      <c r="E99" s="20">
        <f t="shared" si="17"/>
        <v>90.550429159859164</v>
      </c>
      <c r="F99" s="20">
        <f t="shared" si="18"/>
        <v>89.169754009710744</v>
      </c>
      <c r="G99" s="20">
        <f t="shared" si="19"/>
        <v>81.945371286559137</v>
      </c>
      <c r="H99" s="20">
        <f t="shared" si="20"/>
        <v>76.939273304645965</v>
      </c>
      <c r="I99" s="20">
        <f t="shared" si="21"/>
        <v>69.430701613088814</v>
      </c>
      <c r="J99" s="20">
        <f t="shared" si="22"/>
        <v>64.354419311043102</v>
      </c>
      <c r="K99" s="20">
        <f t="shared" si="23"/>
        <v>62.001518742665162</v>
      </c>
    </row>
    <row r="100" spans="4:11">
      <c r="D100" s="19">
        <v>2013</v>
      </c>
      <c r="E100" s="20">
        <f t="shared" si="17"/>
        <v>66.660592743448206</v>
      </c>
      <c r="F100" s="20">
        <f t="shared" si="18"/>
        <v>65.135323436411369</v>
      </c>
      <c r="G100" s="20">
        <f t="shared" si="19"/>
        <v>62.451363953052144</v>
      </c>
      <c r="H100" s="20">
        <f t="shared" si="20"/>
        <v>61.794308376654698</v>
      </c>
      <c r="I100" s="20">
        <f t="shared" si="21"/>
        <v>57.097379280776039</v>
      </c>
      <c r="J100" s="20">
        <f t="shared" si="22"/>
        <v>55.163727959697731</v>
      </c>
      <c r="K100" s="20">
        <f t="shared" si="23"/>
        <v>51.070261000053584</v>
      </c>
    </row>
    <row r="101" spans="4:11">
      <c r="D101" s="19">
        <v>2014</v>
      </c>
      <c r="E101" s="20">
        <f t="shared" si="17"/>
        <v>71.154922352282796</v>
      </c>
      <c r="F101" s="20">
        <f t="shared" si="18"/>
        <v>69.767523201044625</v>
      </c>
      <c r="G101" s="20">
        <f t="shared" si="19"/>
        <v>48.548477358578559</v>
      </c>
      <c r="H101" s="20">
        <f t="shared" si="20"/>
        <v>45.286340530709325</v>
      </c>
      <c r="I101" s="20">
        <f t="shared" si="21"/>
        <v>40.463088187287227</v>
      </c>
      <c r="J101" s="20">
        <f t="shared" si="22"/>
        <v>36.893158606538265</v>
      </c>
      <c r="K101" s="20">
        <f t="shared" si="23"/>
        <v>33.631021778669023</v>
      </c>
    </row>
    <row r="102" spans="4:11">
      <c r="D102" s="19">
        <v>2015</v>
      </c>
      <c r="E102" s="20">
        <f t="shared" si="17"/>
        <v>92.434710515406934</v>
      </c>
      <c r="F102" s="20">
        <f t="shared" si="18"/>
        <v>91.377642669614474</v>
      </c>
      <c r="G102" s="20">
        <f t="shared" si="19"/>
        <v>77.899682188752237</v>
      </c>
      <c r="H102" s="20">
        <f t="shared" si="20"/>
        <v>77.189443139422409</v>
      </c>
      <c r="I102" s="20">
        <f t="shared" si="21"/>
        <v>52.047809865966556</v>
      </c>
      <c r="J102" s="20">
        <f t="shared" si="22"/>
        <v>51.225645985905764</v>
      </c>
      <c r="K102" s="20">
        <f t="shared" si="23"/>
        <v>47.675832527290311</v>
      </c>
    </row>
    <row r="103" spans="4:11">
      <c r="D103" s="19">
        <v>2016</v>
      </c>
      <c r="E103" s="20">
        <f t="shared" si="17"/>
        <v>95.932583715539778</v>
      </c>
      <c r="F103" s="20">
        <f t="shared" si="18"/>
        <v>89.019578833160722</v>
      </c>
      <c r="G103" s="20">
        <f t="shared" si="19"/>
        <v>83.021403560684519</v>
      </c>
      <c r="H103" s="20">
        <f t="shared" si="20"/>
        <v>81.271884401045511</v>
      </c>
      <c r="I103" s="20">
        <f t="shared" si="21"/>
        <v>67.898357745228594</v>
      </c>
      <c r="J103" s="20">
        <f t="shared" si="22"/>
        <v>59.314740839374657</v>
      </c>
      <c r="K103" s="20">
        <f t="shared" si="23"/>
        <v>53.825763179957583</v>
      </c>
    </row>
    <row r="104" spans="4:11">
      <c r="D104" s="19">
        <v>2017</v>
      </c>
      <c r="E104" s="20">
        <f t="shared" si="17"/>
        <v>95.684026606995047</v>
      </c>
      <c r="F104" s="20">
        <f t="shared" si="18"/>
        <v>94.011893449406855</v>
      </c>
      <c r="G104" s="20">
        <f t="shared" si="19"/>
        <v>90.94197345431138</v>
      </c>
      <c r="H104" s="20">
        <f t="shared" si="20"/>
        <v>89.389387855194187</v>
      </c>
      <c r="I104" s="20">
        <f t="shared" si="21"/>
        <v>75.68893112221437</v>
      </c>
      <c r="J104" s="20">
        <f t="shared" si="22"/>
        <v>66.673819084694841</v>
      </c>
      <c r="K104" s="20">
        <f t="shared" si="23"/>
        <v>64.370229592618699</v>
      </c>
    </row>
    <row r="105" spans="4:11">
      <c r="D105" s="19">
        <v>2018</v>
      </c>
      <c r="E105" s="20">
        <f t="shared" si="17"/>
        <v>86.164320332333261</v>
      </c>
      <c r="F105" s="20">
        <f t="shared" si="18"/>
        <v>80.490422340180018</v>
      </c>
      <c r="G105" s="20">
        <f t="shared" si="19"/>
        <v>73.776828986845146</v>
      </c>
      <c r="H105" s="20">
        <f>(K81/C81)*100</f>
        <v>58.715670436187395</v>
      </c>
      <c r="I105" s="20">
        <f t="shared" si="21"/>
        <v>49.77844449573044</v>
      </c>
      <c r="J105" s="20">
        <f t="shared" si="22"/>
        <v>45.523886452804057</v>
      </c>
      <c r="K105" s="20">
        <f t="shared" si="23"/>
        <v>45.0392337872144</v>
      </c>
    </row>
    <row r="106" spans="4:11">
      <c r="D106" s="19">
        <v>2019</v>
      </c>
      <c r="E106" s="20">
        <f t="shared" si="17"/>
        <v>99.526670044148517</v>
      </c>
      <c r="F106" s="20">
        <f t="shared" si="18"/>
        <v>83.866251718897018</v>
      </c>
      <c r="G106" s="20">
        <f t="shared" si="19"/>
        <v>74.577694144893968</v>
      </c>
      <c r="H106" s="20">
        <f t="shared" si="20"/>
        <v>60.079612072085112</v>
      </c>
      <c r="I106" s="20">
        <f t="shared" si="21"/>
        <v>55.454874430049941</v>
      </c>
      <c r="J106" s="20">
        <f t="shared" si="22"/>
        <v>54.362017804154306</v>
      </c>
      <c r="K106" s="20">
        <f>(Q82/C82)*100</f>
        <v>53.030324962003327</v>
      </c>
    </row>
    <row r="107" spans="4:11">
      <c r="D107" s="21" t="s">
        <v>11</v>
      </c>
      <c r="E107" s="22">
        <f>AVERAGE(E97:E106)</f>
        <v>87.209067192091027</v>
      </c>
      <c r="F107" s="22">
        <f t="shared" ref="F107:J107" si="24">AVERAGE(F97:F106)</f>
        <v>80.87585481260146</v>
      </c>
      <c r="G107" s="22">
        <f t="shared" si="24"/>
        <v>72.453477584477554</v>
      </c>
      <c r="H107" s="22">
        <f t="shared" si="24"/>
        <v>66.530773892257287</v>
      </c>
      <c r="I107" s="22">
        <f t="shared" si="24"/>
        <v>57.856092767950621</v>
      </c>
      <c r="J107" s="22">
        <f t="shared" si="24"/>
        <v>54.061959996116478</v>
      </c>
      <c r="K107" s="22">
        <f>AVERAGE(K97:K106)</f>
        <v>51.101286047248678</v>
      </c>
    </row>
    <row r="108" spans="4:11">
      <c r="D108" s="22">
        <f>C83</f>
        <v>718.71882352941179</v>
      </c>
      <c r="E108" s="22">
        <f>($D$108*E107)/100</f>
        <v>626.78798173397092</v>
      </c>
      <c r="F108" s="22">
        <f t="shared" ref="F108:K108" si="25">($D$108*F107)/100</f>
        <v>581.2699922284844</v>
      </c>
      <c r="G108" s="22">
        <f t="shared" si="25"/>
        <v>520.73678170130324</v>
      </c>
      <c r="H108" s="22">
        <f t="shared" si="25"/>
        <v>478.16919540344463</v>
      </c>
      <c r="I108" s="22">
        <f t="shared" si="25"/>
        <v>415.82262928189976</v>
      </c>
      <c r="J108" s="22">
        <f t="shared" si="25"/>
        <v>388.55348286102964</v>
      </c>
      <c r="K108" s="22">
        <f t="shared" si="25"/>
        <v>367.2745618871852</v>
      </c>
    </row>
    <row r="114" spans="1:23">
      <c r="A114" s="25" t="s">
        <v>174</v>
      </c>
      <c r="B114" s="25" t="s">
        <v>51</v>
      </c>
      <c r="C114" s="23"/>
      <c r="D114" s="25" t="s">
        <v>175</v>
      </c>
      <c r="E114" s="25" t="s">
        <v>51</v>
      </c>
      <c r="F114" s="23"/>
      <c r="G114" s="25" t="s">
        <v>28</v>
      </c>
      <c r="H114" s="25" t="s">
        <v>51</v>
      </c>
      <c r="I114" s="23"/>
      <c r="J114" s="25" t="s">
        <v>47</v>
      </c>
      <c r="K114" s="25" t="s">
        <v>51</v>
      </c>
      <c r="L114" s="23"/>
      <c r="M114" s="25" t="s">
        <v>20</v>
      </c>
      <c r="N114" s="25" t="s">
        <v>51</v>
      </c>
      <c r="O114" s="23"/>
      <c r="P114" s="25" t="s">
        <v>99</v>
      </c>
      <c r="Q114" s="25" t="s">
        <v>51</v>
      </c>
      <c r="R114" s="23"/>
      <c r="S114" s="25" t="s">
        <v>46</v>
      </c>
      <c r="T114" s="25" t="s">
        <v>51</v>
      </c>
      <c r="U114" s="23"/>
      <c r="V114" s="25" t="s">
        <v>100</v>
      </c>
      <c r="W114" s="25" t="s">
        <v>51</v>
      </c>
    </row>
    <row r="115" spans="1:23">
      <c r="A115" s="27">
        <f t="shared" ref="A115:A121" si="26">COUNTIF($B$66:$B$82,$B$115:$B$121)</f>
        <v>7</v>
      </c>
      <c r="B115" s="34" t="s">
        <v>194</v>
      </c>
      <c r="C115" s="23"/>
      <c r="D115" s="27">
        <f t="shared" ref="D115:D122" si="27">COUNTIF($D$66:$D$82,$E$115:$E$122)</f>
        <v>6</v>
      </c>
      <c r="E115" s="34" t="s">
        <v>194</v>
      </c>
      <c r="F115" s="23"/>
      <c r="G115" s="27">
        <f t="shared" ref="G115:G124" si="28">COUNTIF($F$66:$F$82,$H$115:$H$124)</f>
        <v>3</v>
      </c>
      <c r="H115" s="34" t="s">
        <v>194</v>
      </c>
      <c r="I115" s="23"/>
      <c r="J115" s="27">
        <f t="shared" ref="J115:J124" si="29">COUNTIF($H$66:$H$82,$K$115:$K$124)</f>
        <v>4</v>
      </c>
      <c r="K115" s="34" t="s">
        <v>195</v>
      </c>
      <c r="L115" s="23"/>
      <c r="M115" s="27">
        <f t="shared" ref="M115:M126" si="30">COUNTIF($J$66:$J$82,$N$115:$N$126)</f>
        <v>3</v>
      </c>
      <c r="N115" s="34" t="s">
        <v>213</v>
      </c>
      <c r="O115" s="23"/>
      <c r="P115" s="27">
        <f t="shared" ref="P115:P127" si="31">COUNTIF($L$66:$L$82,$Q$115:$Q$127)</f>
        <v>3</v>
      </c>
      <c r="Q115" s="34" t="s">
        <v>213</v>
      </c>
      <c r="R115" s="23"/>
      <c r="S115" s="27">
        <f t="shared" ref="S115:S123" si="32">COUNTIF($N$66:$N$82,$T$115:$T$123)</f>
        <v>5</v>
      </c>
      <c r="T115" s="34" t="s">
        <v>207</v>
      </c>
      <c r="U115" s="23"/>
      <c r="V115" s="27">
        <f t="shared" ref="V115:V123" si="33">COUNTIF($P$66:$P$82,$W$115:$W$123)</f>
        <v>3</v>
      </c>
      <c r="W115" s="34" t="s">
        <v>199</v>
      </c>
    </row>
    <row r="116" spans="1:23">
      <c r="A116" s="27">
        <f t="shared" si="26"/>
        <v>4</v>
      </c>
      <c r="B116" s="34" t="s">
        <v>200</v>
      </c>
      <c r="C116" s="23"/>
      <c r="D116" s="27">
        <f t="shared" si="27"/>
        <v>3</v>
      </c>
      <c r="E116" s="34" t="s">
        <v>200</v>
      </c>
      <c r="F116" s="23"/>
      <c r="G116" s="27">
        <f t="shared" si="28"/>
        <v>2</v>
      </c>
      <c r="H116" s="34" t="s">
        <v>200</v>
      </c>
      <c r="I116" s="23"/>
      <c r="J116" s="27">
        <f t="shared" si="29"/>
        <v>3</v>
      </c>
      <c r="K116" s="34" t="s">
        <v>194</v>
      </c>
      <c r="L116" s="23"/>
      <c r="M116" s="27">
        <f t="shared" si="30"/>
        <v>2</v>
      </c>
      <c r="N116" s="34" t="s">
        <v>194</v>
      </c>
      <c r="O116" s="23"/>
      <c r="P116" s="27">
        <f t="shared" si="31"/>
        <v>2</v>
      </c>
      <c r="Q116" s="34" t="s">
        <v>194</v>
      </c>
      <c r="R116" s="23"/>
      <c r="S116" s="27">
        <f t="shared" si="32"/>
        <v>3</v>
      </c>
      <c r="T116" s="34" t="s">
        <v>198</v>
      </c>
      <c r="U116" s="23"/>
      <c r="V116" s="27">
        <f t="shared" si="33"/>
        <v>3</v>
      </c>
      <c r="W116" s="34" t="s">
        <v>203</v>
      </c>
    </row>
    <row r="117" spans="1:23">
      <c r="A117" s="27">
        <f t="shared" si="26"/>
        <v>2</v>
      </c>
      <c r="B117" s="34" t="s">
        <v>203</v>
      </c>
      <c r="C117" s="23"/>
      <c r="D117" s="27">
        <f t="shared" si="27"/>
        <v>2</v>
      </c>
      <c r="E117" s="34" t="s">
        <v>202</v>
      </c>
      <c r="F117" s="23"/>
      <c r="G117" s="27">
        <f t="shared" si="28"/>
        <v>2</v>
      </c>
      <c r="H117" s="34" t="s">
        <v>199</v>
      </c>
      <c r="I117" s="23"/>
      <c r="J117" s="27">
        <f t="shared" si="29"/>
        <v>2</v>
      </c>
      <c r="K117" s="34" t="s">
        <v>200</v>
      </c>
      <c r="L117" s="23"/>
      <c r="M117" s="27">
        <f t="shared" si="30"/>
        <v>2</v>
      </c>
      <c r="N117" s="34" t="s">
        <v>204</v>
      </c>
      <c r="O117" s="23"/>
      <c r="P117" s="27">
        <f t="shared" si="31"/>
        <v>2</v>
      </c>
      <c r="Q117" s="34" t="s">
        <v>203</v>
      </c>
      <c r="R117" s="23"/>
      <c r="S117" s="27">
        <f t="shared" si="32"/>
        <v>2</v>
      </c>
      <c r="T117" s="34" t="s">
        <v>194</v>
      </c>
      <c r="U117" s="23"/>
      <c r="V117" s="27">
        <f t="shared" si="33"/>
        <v>3</v>
      </c>
      <c r="W117" s="34" t="s">
        <v>209</v>
      </c>
    </row>
    <row r="118" spans="1:23">
      <c r="A118" s="27">
        <f t="shared" si="26"/>
        <v>1</v>
      </c>
      <c r="B118" s="34" t="s">
        <v>193</v>
      </c>
      <c r="C118" s="23"/>
      <c r="D118" s="27">
        <f t="shared" si="27"/>
        <v>2</v>
      </c>
      <c r="E118" s="34" t="s">
        <v>204</v>
      </c>
      <c r="F118" s="23"/>
      <c r="G118" s="27">
        <f t="shared" si="28"/>
        <v>2</v>
      </c>
      <c r="H118" s="34" t="s">
        <v>205</v>
      </c>
      <c r="I118" s="23"/>
      <c r="J118" s="27">
        <f t="shared" si="29"/>
        <v>2</v>
      </c>
      <c r="K118" s="34" t="s">
        <v>209</v>
      </c>
      <c r="L118" s="23"/>
      <c r="M118" s="27">
        <f t="shared" si="30"/>
        <v>2</v>
      </c>
      <c r="N118" s="34" t="s">
        <v>200</v>
      </c>
      <c r="O118" s="23"/>
      <c r="P118" s="27">
        <f t="shared" si="31"/>
        <v>1</v>
      </c>
      <c r="Q118" s="34" t="s">
        <v>197</v>
      </c>
      <c r="R118" s="23"/>
      <c r="S118" s="27">
        <f t="shared" si="32"/>
        <v>2</v>
      </c>
      <c r="T118" s="34" t="s">
        <v>215</v>
      </c>
      <c r="U118" s="23"/>
      <c r="V118" s="27">
        <f t="shared" si="33"/>
        <v>2</v>
      </c>
      <c r="W118" s="34" t="s">
        <v>201</v>
      </c>
    </row>
    <row r="119" spans="1:23">
      <c r="A119" s="27">
        <f t="shared" si="26"/>
        <v>1</v>
      </c>
      <c r="B119" s="34" t="s">
        <v>195</v>
      </c>
      <c r="C119" s="23"/>
      <c r="D119" s="27">
        <f t="shared" si="27"/>
        <v>1</v>
      </c>
      <c r="E119" s="34" t="s">
        <v>199</v>
      </c>
      <c r="F119" s="23"/>
      <c r="G119" s="27">
        <f t="shared" si="28"/>
        <v>2</v>
      </c>
      <c r="H119" s="34" t="s">
        <v>212</v>
      </c>
      <c r="I119" s="23"/>
      <c r="J119" s="27">
        <f t="shared" si="29"/>
        <v>1</v>
      </c>
      <c r="K119" s="34" t="s">
        <v>198</v>
      </c>
      <c r="L119" s="23"/>
      <c r="M119" s="27">
        <f t="shared" si="30"/>
        <v>1</v>
      </c>
      <c r="N119" s="34" t="s">
        <v>196</v>
      </c>
      <c r="O119" s="23"/>
      <c r="P119" s="27">
        <f t="shared" si="31"/>
        <v>1</v>
      </c>
      <c r="Q119" s="34" t="s">
        <v>200</v>
      </c>
      <c r="R119" s="23"/>
      <c r="S119" s="27">
        <f t="shared" si="32"/>
        <v>1</v>
      </c>
      <c r="T119" s="34" t="s">
        <v>195</v>
      </c>
      <c r="U119" s="23"/>
      <c r="V119" s="27">
        <f t="shared" si="33"/>
        <v>2</v>
      </c>
      <c r="W119" s="34" t="s">
        <v>195</v>
      </c>
    </row>
    <row r="120" spans="1:23">
      <c r="A120" s="27">
        <f t="shared" si="26"/>
        <v>1</v>
      </c>
      <c r="B120" s="34" t="s">
        <v>212</v>
      </c>
      <c r="C120" s="23"/>
      <c r="D120" s="27">
        <f t="shared" si="27"/>
        <v>1</v>
      </c>
      <c r="E120" s="34" t="s">
        <v>211</v>
      </c>
      <c r="F120" s="23"/>
      <c r="G120" s="27">
        <f t="shared" si="28"/>
        <v>2</v>
      </c>
      <c r="H120" s="34" t="s">
        <v>214</v>
      </c>
      <c r="I120" s="23"/>
      <c r="J120" s="27">
        <f t="shared" si="29"/>
        <v>1</v>
      </c>
      <c r="K120" s="34" t="s">
        <v>201</v>
      </c>
      <c r="L120" s="23"/>
      <c r="M120" s="27">
        <f t="shared" si="30"/>
        <v>1</v>
      </c>
      <c r="N120" s="34" t="s">
        <v>193</v>
      </c>
      <c r="O120" s="23"/>
      <c r="P120" s="27">
        <f t="shared" si="31"/>
        <v>1</v>
      </c>
      <c r="Q120" s="34" t="s">
        <v>202</v>
      </c>
      <c r="R120" s="23"/>
      <c r="S120" s="27">
        <f t="shared" si="32"/>
        <v>1</v>
      </c>
      <c r="T120" s="34" t="s">
        <v>206</v>
      </c>
      <c r="U120" s="23"/>
      <c r="V120" s="27">
        <f t="shared" si="33"/>
        <v>1</v>
      </c>
      <c r="W120" s="34" t="s">
        <v>208</v>
      </c>
    </row>
    <row r="121" spans="1:23">
      <c r="A121" s="27">
        <f t="shared" si="26"/>
        <v>1</v>
      </c>
      <c r="B121" s="34" t="s">
        <v>214</v>
      </c>
      <c r="C121" s="23"/>
      <c r="D121" s="27">
        <f t="shared" si="27"/>
        <v>1</v>
      </c>
      <c r="E121" s="34" t="s">
        <v>203</v>
      </c>
      <c r="F121" s="23"/>
      <c r="G121" s="27">
        <f t="shared" si="28"/>
        <v>1</v>
      </c>
      <c r="H121" s="34" t="s">
        <v>195</v>
      </c>
      <c r="I121" s="23"/>
      <c r="J121" s="27">
        <f t="shared" si="29"/>
        <v>1</v>
      </c>
      <c r="K121" s="34" t="s">
        <v>207</v>
      </c>
      <c r="L121" s="23"/>
      <c r="M121" s="27">
        <f t="shared" si="30"/>
        <v>1</v>
      </c>
      <c r="N121" s="34" t="s">
        <v>202</v>
      </c>
      <c r="O121" s="23"/>
      <c r="P121" s="27">
        <f t="shared" si="31"/>
        <v>1</v>
      </c>
      <c r="Q121" s="34" t="s">
        <v>204</v>
      </c>
      <c r="R121" s="23"/>
      <c r="S121" s="27">
        <f t="shared" si="32"/>
        <v>1</v>
      </c>
      <c r="T121" s="34" t="s">
        <v>204</v>
      </c>
      <c r="U121" s="23"/>
      <c r="V121" s="27">
        <f t="shared" si="33"/>
        <v>1</v>
      </c>
      <c r="W121" s="34" t="s">
        <v>216</v>
      </c>
    </row>
    <row r="122" spans="1:23">
      <c r="A122" s="23"/>
      <c r="B122" s="23"/>
      <c r="C122" s="23"/>
      <c r="D122" s="27">
        <f t="shared" si="27"/>
        <v>1</v>
      </c>
      <c r="E122" s="34" t="s">
        <v>214</v>
      </c>
      <c r="F122" s="23"/>
      <c r="G122" s="27">
        <f t="shared" si="28"/>
        <v>1</v>
      </c>
      <c r="H122" s="34" t="s">
        <v>203</v>
      </c>
      <c r="I122" s="23"/>
      <c r="J122" s="27">
        <f t="shared" si="29"/>
        <v>1</v>
      </c>
      <c r="K122" s="34" t="s">
        <v>204</v>
      </c>
      <c r="L122" s="23"/>
      <c r="M122" s="27">
        <f t="shared" si="30"/>
        <v>1</v>
      </c>
      <c r="N122" s="34" t="s">
        <v>199</v>
      </c>
      <c r="O122" s="23"/>
      <c r="P122" s="27">
        <f t="shared" si="31"/>
        <v>1</v>
      </c>
      <c r="Q122" s="34" t="s">
        <v>195</v>
      </c>
      <c r="R122" s="23"/>
      <c r="S122" s="27">
        <f t="shared" si="32"/>
        <v>1</v>
      </c>
      <c r="T122" s="34" t="s">
        <v>210</v>
      </c>
      <c r="U122" s="23"/>
      <c r="V122" s="27">
        <f t="shared" si="33"/>
        <v>1</v>
      </c>
      <c r="W122" s="34" t="s">
        <v>212</v>
      </c>
    </row>
    <row r="123" spans="1:23">
      <c r="A123" s="23"/>
      <c r="B123" s="23"/>
      <c r="C123" s="23"/>
      <c r="D123" s="23"/>
      <c r="E123" s="23"/>
      <c r="F123" s="23"/>
      <c r="G123" s="27">
        <f t="shared" si="28"/>
        <v>1</v>
      </c>
      <c r="H123" s="34" t="s">
        <v>213</v>
      </c>
      <c r="I123" s="23"/>
      <c r="J123" s="27">
        <f t="shared" si="29"/>
        <v>1</v>
      </c>
      <c r="K123" s="34" t="s">
        <v>214</v>
      </c>
      <c r="L123" s="23"/>
      <c r="M123" s="27">
        <f t="shared" si="30"/>
        <v>1</v>
      </c>
      <c r="N123" s="34" t="s">
        <v>205</v>
      </c>
      <c r="O123" s="23"/>
      <c r="P123" s="27">
        <f t="shared" si="31"/>
        <v>1</v>
      </c>
      <c r="Q123" s="34" t="s">
        <v>199</v>
      </c>
      <c r="R123" s="23"/>
      <c r="S123" s="27">
        <f t="shared" si="32"/>
        <v>1</v>
      </c>
      <c r="T123" s="34" t="s">
        <v>209</v>
      </c>
      <c r="U123" s="23"/>
      <c r="V123" s="27">
        <f t="shared" si="33"/>
        <v>1</v>
      </c>
      <c r="W123" s="34" t="s">
        <v>217</v>
      </c>
    </row>
    <row r="124" spans="1:23">
      <c r="A124" s="23"/>
      <c r="B124" s="23"/>
      <c r="C124" s="23"/>
      <c r="D124" s="23"/>
      <c r="E124" s="23"/>
      <c r="F124" s="23"/>
      <c r="G124" s="27">
        <f t="shared" si="28"/>
        <v>1</v>
      </c>
      <c r="H124" s="34" t="s">
        <v>209</v>
      </c>
      <c r="I124" s="23"/>
      <c r="J124" s="27">
        <f t="shared" si="29"/>
        <v>1</v>
      </c>
      <c r="K124" s="34" t="s">
        <v>212</v>
      </c>
      <c r="L124" s="23"/>
      <c r="M124" s="27">
        <f t="shared" si="30"/>
        <v>1</v>
      </c>
      <c r="N124" s="34" t="s">
        <v>203</v>
      </c>
      <c r="O124" s="23"/>
      <c r="P124" s="27">
        <f t="shared" si="31"/>
        <v>1</v>
      </c>
      <c r="Q124" s="34" t="s">
        <v>205</v>
      </c>
      <c r="R124" s="23"/>
      <c r="S124" s="23"/>
      <c r="T124" s="23"/>
      <c r="U124" s="23"/>
      <c r="V124" s="23"/>
      <c r="W124" s="23"/>
    </row>
    <row r="125" spans="1:2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7">
        <f t="shared" si="30"/>
        <v>1</v>
      </c>
      <c r="N125" s="34" t="s">
        <v>195</v>
      </c>
      <c r="O125" s="23"/>
      <c r="P125" s="27">
        <f t="shared" si="31"/>
        <v>1</v>
      </c>
      <c r="Q125" s="34" t="s">
        <v>210</v>
      </c>
      <c r="R125" s="23"/>
      <c r="S125" s="23"/>
      <c r="T125" s="23"/>
      <c r="U125" s="23"/>
      <c r="V125" s="23"/>
      <c r="W125" s="23"/>
    </row>
    <row r="126" spans="1:2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7">
        <f t="shared" si="30"/>
        <v>1</v>
      </c>
      <c r="N126" s="34" t="s">
        <v>217</v>
      </c>
      <c r="O126" s="23"/>
      <c r="P126" s="27">
        <f t="shared" si="31"/>
        <v>1</v>
      </c>
      <c r="Q126" s="34" t="s">
        <v>214</v>
      </c>
      <c r="R126" s="23"/>
      <c r="S126" s="23"/>
      <c r="T126" s="23"/>
      <c r="U126" s="23"/>
      <c r="V126" s="23"/>
      <c r="W126" s="23"/>
    </row>
    <row r="127" spans="1:2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7">
        <f t="shared" si="31"/>
        <v>1</v>
      </c>
      <c r="Q127" s="34" t="s">
        <v>216</v>
      </c>
      <c r="R127" s="23"/>
      <c r="S127" s="23"/>
      <c r="T127" s="23"/>
      <c r="U127" s="23"/>
      <c r="V127" s="23"/>
      <c r="W127" s="23"/>
    </row>
    <row r="138" spans="1:8" ht="18.75">
      <c r="A138" s="71" t="s">
        <v>166</v>
      </c>
      <c r="B138" s="71"/>
      <c r="C138" s="71"/>
      <c r="D138" s="71"/>
      <c r="E138" s="71"/>
      <c r="F138" s="71"/>
      <c r="G138" s="71"/>
      <c r="H138" s="71"/>
    </row>
    <row r="139" spans="1:8">
      <c r="A139" s="25" t="s">
        <v>218</v>
      </c>
      <c r="B139" s="25" t="s">
        <v>167</v>
      </c>
      <c r="C139" s="25" t="s">
        <v>168</v>
      </c>
      <c r="D139" s="25" t="s">
        <v>169</v>
      </c>
      <c r="E139" s="25" t="s">
        <v>170</v>
      </c>
      <c r="F139" s="25" t="s">
        <v>171</v>
      </c>
      <c r="G139" s="25" t="s">
        <v>172</v>
      </c>
      <c r="H139" s="25" t="s">
        <v>173</v>
      </c>
    </row>
    <row r="140" spans="1:8">
      <c r="A140" s="26" t="s">
        <v>219</v>
      </c>
      <c r="B140" s="20">
        <f>Extras!E31</f>
        <v>95.100863952118075</v>
      </c>
      <c r="C140" s="20">
        <f>Extras!F31</f>
        <v>84.743861016052449</v>
      </c>
      <c r="D140" s="20">
        <f>Extras!G31</f>
        <v>80.134314040172427</v>
      </c>
      <c r="E140" s="20">
        <f>Extras!H31</f>
        <v>75.664198540989176</v>
      </c>
      <c r="F140" s="20">
        <f>Extras!I31</f>
        <v>71.565105226683627</v>
      </c>
      <c r="G140" s="20">
        <f>Extras!J31</f>
        <v>68.043703286947476</v>
      </c>
      <c r="H140" s="20">
        <f>Extras!K31</f>
        <v>64.629216225341466</v>
      </c>
    </row>
    <row r="141" spans="1:8">
      <c r="A141" s="34" t="s">
        <v>220</v>
      </c>
      <c r="B141" s="20">
        <f t="shared" ref="B141:H141" si="34">E107</f>
        <v>87.209067192091027</v>
      </c>
      <c r="C141" s="20">
        <f t="shared" si="34"/>
        <v>80.87585481260146</v>
      </c>
      <c r="D141" s="20">
        <f t="shared" si="34"/>
        <v>72.453477584477554</v>
      </c>
      <c r="E141" s="20">
        <f t="shared" si="34"/>
        <v>66.530773892257287</v>
      </c>
      <c r="F141" s="20">
        <f t="shared" si="34"/>
        <v>57.856092767950621</v>
      </c>
      <c r="G141" s="20">
        <f t="shared" si="34"/>
        <v>54.061959996116478</v>
      </c>
      <c r="H141" s="20">
        <f t="shared" si="34"/>
        <v>51.101286047248678</v>
      </c>
    </row>
    <row r="142" spans="1:8">
      <c r="A142" s="33" t="s">
        <v>221</v>
      </c>
      <c r="B142" s="20">
        <f t="shared" ref="B142:H142" si="35">E36</f>
        <v>84.435822737540164</v>
      </c>
      <c r="C142" s="20">
        <f t="shared" si="35"/>
        <v>77.802152349165311</v>
      </c>
      <c r="D142" s="20">
        <f t="shared" si="35"/>
        <v>71.685907272203423</v>
      </c>
      <c r="E142" s="20">
        <f t="shared" si="35"/>
        <v>66.669509864413797</v>
      </c>
      <c r="F142" s="20">
        <f t="shared" si="35"/>
        <v>61.321033062220906</v>
      </c>
      <c r="G142" s="20">
        <f t="shared" si="35"/>
        <v>51.410564668312212</v>
      </c>
      <c r="H142" s="20">
        <f t="shared" si="35"/>
        <v>41.484277427359721</v>
      </c>
    </row>
  </sheetData>
  <mergeCells count="5">
    <mergeCell ref="A1:Q1"/>
    <mergeCell ref="D20:K20"/>
    <mergeCell ref="A64:Q64"/>
    <mergeCell ref="D88:K88"/>
    <mergeCell ref="A138:H13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Valker Antonio de Toledo Filho Toledo</dc:creator>
  <cp:keywords/>
  <dc:description/>
  <cp:lastModifiedBy>Valker Toledo</cp:lastModifiedBy>
  <cp:revision/>
  <dcterms:created xsi:type="dcterms:W3CDTF">2020-04-12T18:35:51Z</dcterms:created>
  <dcterms:modified xsi:type="dcterms:W3CDTF">2021-06-25T01:17:20Z</dcterms:modified>
  <cp:category/>
  <cp:contentStatus/>
</cp:coreProperties>
</file>