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zhuangyuhao/Downloads/"/>
    </mc:Choice>
  </mc:AlternateContent>
  <xr:revisionPtr revIDLastSave="0" documentId="13_ncr:1_{5A0B8FD7-EBFF-A74B-A34D-AB8D9AD8BE67}" xr6:coauthVersionLast="47" xr6:coauthVersionMax="47" xr10:uidLastSave="{00000000-0000-0000-0000-000000000000}"/>
  <bookViews>
    <workbookView xWindow="0" yWindow="500" windowWidth="46080" windowHeight="24480" xr2:uid="{00000000-000D-0000-FFFF-FFFF00000000}"/>
  </bookViews>
  <sheets>
    <sheet name="202306带宽" sheetId="1" r:id="rId1"/>
    <sheet name="合同高级查询数据" sheetId="3" r:id="rId2"/>
    <sheet name="Sheet1" sheetId="4" r:id="rId3"/>
  </sheets>
  <definedNames>
    <definedName name="_xlnm._FilterDatabase" localSheetId="0" hidden="1">'202306带宽'!$A$1:$AE$978</definedName>
    <definedName name="_xlnm._FilterDatabase" localSheetId="1" hidden="1">合同高级查询数据!$A$1:$AM$51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4" l="1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R978" i="1"/>
  <c r="I978" i="1"/>
  <c r="AC977" i="1"/>
  <c r="R977" i="1"/>
  <c r="I977" i="1"/>
  <c r="AC976" i="1"/>
  <c r="R976" i="1"/>
  <c r="I976" i="1"/>
  <c r="AC975" i="1"/>
  <c r="R975" i="1"/>
  <c r="I975" i="1"/>
  <c r="AC974" i="1"/>
  <c r="R974" i="1"/>
  <c r="I974" i="1"/>
  <c r="AC973" i="1"/>
  <c r="Q973" i="1"/>
  <c r="R973" i="1" s="1"/>
  <c r="I973" i="1"/>
  <c r="AC972" i="1"/>
  <c r="R972" i="1"/>
  <c r="I972" i="1"/>
  <c r="AC971" i="1"/>
  <c r="R971" i="1"/>
  <c r="I971" i="1"/>
  <c r="AC970" i="1"/>
  <c r="R970" i="1"/>
  <c r="I970" i="1"/>
  <c r="AC969" i="1"/>
  <c r="R969" i="1"/>
  <c r="I969" i="1"/>
  <c r="AC968" i="1"/>
  <c r="R968" i="1"/>
  <c r="I968" i="1"/>
  <c r="AC967" i="1"/>
  <c r="Q967" i="1"/>
  <c r="R967" i="1" s="1"/>
  <c r="I967" i="1"/>
  <c r="AC966" i="1"/>
  <c r="Q966" i="1"/>
  <c r="R966" i="1" s="1"/>
  <c r="I966" i="1"/>
  <c r="AC965" i="1"/>
  <c r="R965" i="1"/>
  <c r="I965" i="1"/>
  <c r="R964" i="1"/>
  <c r="I964" i="1"/>
  <c r="AC963" i="1"/>
  <c r="R963" i="1"/>
  <c r="I963" i="1"/>
  <c r="AC962" i="1"/>
  <c r="R962" i="1"/>
  <c r="I962" i="1"/>
  <c r="AC961" i="1"/>
  <c r="Q961" i="1"/>
  <c r="R961" i="1" s="1"/>
  <c r="I961" i="1"/>
  <c r="R960" i="1"/>
  <c r="I960" i="1"/>
  <c r="AC959" i="1"/>
  <c r="R959" i="1"/>
  <c r="I959" i="1"/>
  <c r="AC958" i="1"/>
  <c r="R958" i="1"/>
  <c r="I958" i="1"/>
  <c r="AC957" i="1"/>
  <c r="R957" i="1"/>
  <c r="I957" i="1"/>
  <c r="AC956" i="1"/>
  <c r="R956" i="1"/>
  <c r="I956" i="1"/>
  <c r="AC955" i="1"/>
  <c r="R955" i="1"/>
  <c r="I955" i="1"/>
  <c r="R954" i="1"/>
  <c r="I954" i="1"/>
  <c r="R953" i="1"/>
  <c r="I953" i="1"/>
  <c r="AC952" i="1"/>
  <c r="R952" i="1"/>
  <c r="I952" i="1"/>
  <c r="AC951" i="1"/>
  <c r="R951" i="1"/>
  <c r="I951" i="1"/>
  <c r="AC950" i="1"/>
  <c r="R950" i="1"/>
  <c r="I950" i="1"/>
  <c r="AC949" i="1"/>
  <c r="R949" i="1"/>
  <c r="I949" i="1"/>
  <c r="AC948" i="1"/>
  <c r="R948" i="1"/>
  <c r="I948" i="1"/>
  <c r="AC947" i="1"/>
  <c r="R947" i="1"/>
  <c r="I947" i="1"/>
  <c r="R946" i="1"/>
  <c r="I946" i="1"/>
  <c r="R945" i="1"/>
  <c r="I945" i="1"/>
  <c r="R944" i="1"/>
  <c r="I944" i="1"/>
  <c r="R943" i="1"/>
  <c r="I943" i="1"/>
  <c r="R942" i="1"/>
  <c r="I942" i="1"/>
  <c r="R941" i="1"/>
  <c r="I941" i="1"/>
  <c r="R940" i="1"/>
  <c r="I940" i="1"/>
  <c r="R939" i="1"/>
  <c r="I939" i="1"/>
  <c r="Q938" i="1"/>
  <c r="R938" i="1" s="1"/>
  <c r="I938" i="1"/>
  <c r="R937" i="1"/>
  <c r="I937" i="1"/>
  <c r="R936" i="1"/>
  <c r="I936" i="1"/>
  <c r="R935" i="1"/>
  <c r="I935" i="1"/>
  <c r="Q934" i="1"/>
  <c r="R934" i="1" s="1"/>
  <c r="I934" i="1"/>
  <c r="R933" i="1"/>
  <c r="I933" i="1"/>
  <c r="R932" i="1"/>
  <c r="I932" i="1"/>
  <c r="R931" i="1"/>
  <c r="I931" i="1"/>
  <c r="R930" i="1"/>
  <c r="I930" i="1"/>
  <c r="R929" i="1"/>
  <c r="I929" i="1"/>
  <c r="R928" i="1"/>
  <c r="I928" i="1"/>
  <c r="R927" i="1"/>
  <c r="I927" i="1"/>
  <c r="R926" i="1"/>
  <c r="I926" i="1"/>
  <c r="R925" i="1"/>
  <c r="I925" i="1"/>
  <c r="R924" i="1"/>
  <c r="I924" i="1"/>
  <c r="AA923" i="1"/>
  <c r="R923" i="1"/>
  <c r="I923" i="1"/>
  <c r="Q922" i="1"/>
  <c r="R922" i="1" s="1"/>
  <c r="I922" i="1"/>
  <c r="R921" i="1"/>
  <c r="I921" i="1"/>
  <c r="Q920" i="1"/>
  <c r="R920" i="1" s="1"/>
  <c r="I920" i="1"/>
  <c r="R919" i="1"/>
  <c r="I919" i="1"/>
  <c r="R918" i="1"/>
  <c r="I918" i="1"/>
  <c r="R917" i="1"/>
  <c r="I917" i="1"/>
  <c r="R916" i="1"/>
  <c r="I916" i="1"/>
  <c r="R915" i="1"/>
  <c r="I915" i="1"/>
  <c r="R914" i="1"/>
  <c r="I914" i="1"/>
  <c r="R913" i="1"/>
  <c r="I913" i="1"/>
  <c r="R912" i="1"/>
  <c r="I912" i="1"/>
  <c r="R911" i="1"/>
  <c r="I911" i="1"/>
  <c r="R910" i="1"/>
  <c r="I910" i="1"/>
  <c r="R909" i="1"/>
  <c r="I909" i="1"/>
  <c r="AA908" i="1"/>
  <c r="R908" i="1"/>
  <c r="Q908" i="1"/>
  <c r="I908" i="1"/>
  <c r="AA907" i="1"/>
  <c r="R907" i="1"/>
  <c r="I907" i="1"/>
  <c r="AA906" i="1"/>
  <c r="Q906" i="1"/>
  <c r="R906" i="1" s="1"/>
  <c r="I906" i="1"/>
  <c r="AA905" i="1"/>
  <c r="R905" i="1"/>
  <c r="I905" i="1"/>
  <c r="AA904" i="1"/>
  <c r="Q904" i="1"/>
  <c r="R904" i="1" s="1"/>
  <c r="I904" i="1"/>
  <c r="AA903" i="1"/>
  <c r="R903" i="1"/>
  <c r="I903" i="1"/>
  <c r="AA902" i="1"/>
  <c r="R902" i="1"/>
  <c r="I902" i="1"/>
  <c r="Q901" i="1"/>
  <c r="R901" i="1" s="1"/>
  <c r="I901" i="1"/>
  <c r="R900" i="1"/>
  <c r="I900" i="1"/>
  <c r="R899" i="1"/>
  <c r="I899" i="1"/>
  <c r="R898" i="1"/>
  <c r="I898" i="1"/>
  <c r="R897" i="1"/>
  <c r="I897" i="1"/>
  <c r="R896" i="1"/>
  <c r="I896" i="1"/>
  <c r="R895" i="1"/>
  <c r="I895" i="1"/>
  <c r="R894" i="1"/>
  <c r="I894" i="1"/>
  <c r="R893" i="1"/>
  <c r="Q893" i="1"/>
  <c r="I893" i="1"/>
  <c r="R892" i="1"/>
  <c r="I892" i="1"/>
  <c r="R891" i="1"/>
  <c r="I891" i="1"/>
  <c r="R890" i="1"/>
  <c r="I890" i="1"/>
  <c r="R889" i="1"/>
  <c r="I889" i="1"/>
  <c r="R888" i="1"/>
  <c r="I888" i="1"/>
  <c r="R887" i="1"/>
  <c r="I887" i="1"/>
  <c r="R886" i="1"/>
  <c r="I886" i="1"/>
  <c r="R885" i="1"/>
  <c r="I885" i="1"/>
  <c r="R884" i="1"/>
  <c r="I884" i="1"/>
  <c r="Q883" i="1"/>
  <c r="R883" i="1" s="1"/>
  <c r="I883" i="1"/>
  <c r="R882" i="1"/>
  <c r="I882" i="1"/>
  <c r="R881" i="1"/>
  <c r="I881" i="1"/>
  <c r="R880" i="1"/>
  <c r="I880" i="1"/>
  <c r="R879" i="1"/>
  <c r="I879" i="1"/>
  <c r="R878" i="1"/>
  <c r="I878" i="1"/>
  <c r="R877" i="1"/>
  <c r="I877" i="1"/>
  <c r="R876" i="1"/>
  <c r="I876" i="1"/>
  <c r="Q875" i="1"/>
  <c r="R875" i="1" s="1"/>
  <c r="I875" i="1"/>
  <c r="R874" i="1"/>
  <c r="I874" i="1"/>
  <c r="R873" i="1"/>
  <c r="I873" i="1"/>
  <c r="R872" i="1"/>
  <c r="I872" i="1"/>
  <c r="R871" i="1"/>
  <c r="I871" i="1"/>
  <c r="R870" i="1"/>
  <c r="I870" i="1"/>
  <c r="AA869" i="1"/>
  <c r="Q869" i="1"/>
  <c r="R869" i="1" s="1"/>
  <c r="I869" i="1"/>
  <c r="AA868" i="1"/>
  <c r="R868" i="1"/>
  <c r="I868" i="1"/>
  <c r="AC867" i="1"/>
  <c r="R867" i="1"/>
  <c r="I867" i="1"/>
  <c r="AC866" i="1"/>
  <c r="R866" i="1"/>
  <c r="I866" i="1"/>
  <c r="AC865" i="1"/>
  <c r="R865" i="1"/>
  <c r="I865" i="1"/>
  <c r="AC864" i="1"/>
  <c r="R864" i="1"/>
  <c r="I864" i="1"/>
  <c r="AC863" i="1"/>
  <c r="R863" i="1"/>
  <c r="I863" i="1"/>
  <c r="AC862" i="1"/>
  <c r="R862" i="1"/>
  <c r="I862" i="1"/>
  <c r="AC861" i="1"/>
  <c r="R861" i="1"/>
  <c r="I861" i="1"/>
  <c r="AC860" i="1"/>
  <c r="R860" i="1"/>
  <c r="I860" i="1"/>
  <c r="AC859" i="1"/>
  <c r="R859" i="1"/>
  <c r="I859" i="1"/>
  <c r="AC858" i="1"/>
  <c r="R858" i="1"/>
  <c r="I858" i="1"/>
  <c r="AC857" i="1"/>
  <c r="R857" i="1"/>
  <c r="I857" i="1"/>
  <c r="AC856" i="1"/>
  <c r="R856" i="1"/>
  <c r="I856" i="1"/>
  <c r="AC855" i="1"/>
  <c r="R855" i="1"/>
  <c r="I855" i="1"/>
  <c r="AC854" i="1"/>
  <c r="R854" i="1"/>
  <c r="I854" i="1"/>
  <c r="AC853" i="1"/>
  <c r="R853" i="1"/>
  <c r="I853" i="1"/>
  <c r="AC852" i="1"/>
  <c r="R852" i="1"/>
  <c r="I852" i="1"/>
  <c r="AC851" i="1"/>
  <c r="R851" i="1"/>
  <c r="I851" i="1"/>
  <c r="AC850" i="1"/>
  <c r="R850" i="1"/>
  <c r="I850" i="1"/>
  <c r="AC849" i="1"/>
  <c r="R849" i="1"/>
  <c r="I849" i="1"/>
  <c r="AC848" i="1"/>
  <c r="R848" i="1"/>
  <c r="I848" i="1"/>
  <c r="AC847" i="1"/>
  <c r="R847" i="1"/>
  <c r="I847" i="1"/>
  <c r="AC846" i="1"/>
  <c r="R846" i="1"/>
  <c r="I846" i="1"/>
  <c r="AC845" i="1"/>
  <c r="R845" i="1"/>
  <c r="I845" i="1"/>
  <c r="AC844" i="1"/>
  <c r="R844" i="1"/>
  <c r="I844" i="1"/>
  <c r="AC843" i="1"/>
  <c r="R843" i="1"/>
  <c r="I843" i="1"/>
  <c r="AC842" i="1"/>
  <c r="R842" i="1"/>
  <c r="I842" i="1"/>
  <c r="AC841" i="1"/>
  <c r="R841" i="1"/>
  <c r="I841" i="1"/>
  <c r="AC840" i="1"/>
  <c r="R840" i="1"/>
  <c r="I840" i="1"/>
  <c r="AC839" i="1"/>
  <c r="R839" i="1"/>
  <c r="I839" i="1"/>
  <c r="AC838" i="1"/>
  <c r="R838" i="1"/>
  <c r="I838" i="1"/>
  <c r="AC837" i="1"/>
  <c r="R837" i="1"/>
  <c r="I837" i="1"/>
  <c r="AC836" i="1"/>
  <c r="R836" i="1"/>
  <c r="I836" i="1"/>
  <c r="AC835" i="1"/>
  <c r="R835" i="1"/>
  <c r="I835" i="1"/>
  <c r="AC834" i="1"/>
  <c r="R834" i="1"/>
  <c r="I834" i="1"/>
  <c r="AC833" i="1"/>
  <c r="R833" i="1"/>
  <c r="I833" i="1"/>
  <c r="AC832" i="1"/>
  <c r="R832" i="1"/>
  <c r="I832" i="1"/>
  <c r="AC831" i="1"/>
  <c r="R831" i="1"/>
  <c r="I831" i="1"/>
  <c r="AC830" i="1"/>
  <c r="R830" i="1"/>
  <c r="I830" i="1"/>
  <c r="AC829" i="1"/>
  <c r="R829" i="1"/>
  <c r="I829" i="1"/>
  <c r="AC828" i="1"/>
  <c r="R828" i="1"/>
  <c r="I828" i="1"/>
  <c r="AC827" i="1"/>
  <c r="R827" i="1"/>
  <c r="I827" i="1"/>
  <c r="AC826" i="1"/>
  <c r="R826" i="1"/>
  <c r="I826" i="1"/>
  <c r="AC825" i="1"/>
  <c r="R825" i="1"/>
  <c r="I825" i="1"/>
  <c r="AC824" i="1"/>
  <c r="R824" i="1"/>
  <c r="I824" i="1"/>
  <c r="AC823" i="1"/>
  <c r="R823" i="1"/>
  <c r="I823" i="1"/>
  <c r="AC822" i="1"/>
  <c r="R822" i="1"/>
  <c r="I822" i="1"/>
  <c r="AC821" i="1"/>
  <c r="R821" i="1"/>
  <c r="I821" i="1"/>
  <c r="AC820" i="1"/>
  <c r="R820" i="1"/>
  <c r="I820" i="1"/>
  <c r="AC819" i="1"/>
  <c r="R819" i="1"/>
  <c r="I819" i="1"/>
  <c r="AC818" i="1"/>
  <c r="R818" i="1"/>
  <c r="I818" i="1"/>
  <c r="AC817" i="1"/>
  <c r="R817" i="1"/>
  <c r="I817" i="1"/>
  <c r="AC816" i="1"/>
  <c r="R816" i="1"/>
  <c r="I816" i="1"/>
  <c r="AC815" i="1"/>
  <c r="R815" i="1"/>
  <c r="I815" i="1"/>
  <c r="AC814" i="1"/>
  <c r="R814" i="1"/>
  <c r="I814" i="1"/>
  <c r="R813" i="1"/>
  <c r="I813" i="1"/>
  <c r="R812" i="1"/>
  <c r="I812" i="1"/>
  <c r="R811" i="1"/>
  <c r="I811" i="1"/>
  <c r="AC810" i="1"/>
  <c r="R810" i="1"/>
  <c r="I810" i="1"/>
  <c r="R809" i="1"/>
  <c r="I809" i="1"/>
  <c r="R808" i="1"/>
  <c r="I808" i="1"/>
  <c r="AC807" i="1"/>
  <c r="R807" i="1"/>
  <c r="I807" i="1"/>
  <c r="R806" i="1"/>
  <c r="I806" i="1"/>
  <c r="AC805" i="1"/>
  <c r="R805" i="1"/>
  <c r="I805" i="1"/>
  <c r="R804" i="1"/>
  <c r="I804" i="1"/>
  <c r="AC803" i="1"/>
  <c r="R803" i="1"/>
  <c r="I803" i="1"/>
  <c r="AC802" i="1"/>
  <c r="R802" i="1"/>
  <c r="I802" i="1"/>
  <c r="R801" i="1"/>
  <c r="I801" i="1"/>
  <c r="R800" i="1"/>
  <c r="I800" i="1"/>
  <c r="R799" i="1"/>
  <c r="I799" i="1"/>
  <c r="AC798" i="1"/>
  <c r="R798" i="1"/>
  <c r="I798" i="1"/>
  <c r="AC797" i="1"/>
  <c r="R797" i="1"/>
  <c r="I797" i="1"/>
  <c r="R796" i="1"/>
  <c r="I796" i="1"/>
  <c r="R795" i="1"/>
  <c r="I795" i="1"/>
  <c r="R794" i="1"/>
  <c r="I794" i="1"/>
  <c r="AC793" i="1"/>
  <c r="R793" i="1"/>
  <c r="I793" i="1"/>
  <c r="AC792" i="1"/>
  <c r="R792" i="1"/>
  <c r="I792" i="1"/>
  <c r="AC791" i="1"/>
  <c r="R791" i="1"/>
  <c r="I791" i="1"/>
  <c r="AC790" i="1"/>
  <c r="R790" i="1"/>
  <c r="I790" i="1"/>
  <c r="AC789" i="1"/>
  <c r="R789" i="1"/>
  <c r="I789" i="1"/>
  <c r="AC788" i="1"/>
  <c r="R788" i="1"/>
  <c r="I788" i="1"/>
  <c r="AC787" i="1"/>
  <c r="R787" i="1"/>
  <c r="I787" i="1"/>
  <c r="AC786" i="1"/>
  <c r="R786" i="1"/>
  <c r="I786" i="1"/>
  <c r="R785" i="1"/>
  <c r="I785" i="1"/>
  <c r="AC784" i="1"/>
  <c r="R784" i="1"/>
  <c r="I784" i="1"/>
  <c r="AC783" i="1"/>
  <c r="R783" i="1"/>
  <c r="I783" i="1"/>
  <c r="AC782" i="1"/>
  <c r="R782" i="1"/>
  <c r="I782" i="1"/>
  <c r="AC781" i="1"/>
  <c r="R781" i="1"/>
  <c r="I781" i="1"/>
  <c r="AC780" i="1"/>
  <c r="R780" i="1"/>
  <c r="I780" i="1"/>
  <c r="AC779" i="1"/>
  <c r="R779" i="1"/>
  <c r="I779" i="1"/>
  <c r="AC778" i="1"/>
  <c r="R778" i="1"/>
  <c r="I778" i="1"/>
  <c r="R777" i="1"/>
  <c r="I777" i="1"/>
  <c r="R776" i="1"/>
  <c r="I776" i="1"/>
  <c r="AC775" i="1"/>
  <c r="R775" i="1"/>
  <c r="I775" i="1"/>
  <c r="AC774" i="1"/>
  <c r="R774" i="1"/>
  <c r="I774" i="1"/>
  <c r="AC773" i="1"/>
  <c r="R773" i="1"/>
  <c r="I773" i="1"/>
  <c r="AC772" i="1"/>
  <c r="R772" i="1"/>
  <c r="I772" i="1"/>
  <c r="AC771" i="1"/>
  <c r="R771" i="1"/>
  <c r="I771" i="1"/>
  <c r="AC770" i="1"/>
  <c r="R770" i="1"/>
  <c r="I770" i="1"/>
  <c r="AC769" i="1"/>
  <c r="R769" i="1"/>
  <c r="I769" i="1"/>
  <c r="AC768" i="1"/>
  <c r="R768" i="1"/>
  <c r="I768" i="1"/>
  <c r="R767" i="1"/>
  <c r="I767" i="1"/>
  <c r="AC766" i="1"/>
  <c r="R766" i="1"/>
  <c r="I766" i="1"/>
  <c r="AC765" i="1"/>
  <c r="R765" i="1"/>
  <c r="I765" i="1"/>
  <c r="AC764" i="1"/>
  <c r="R764" i="1"/>
  <c r="I764" i="1"/>
  <c r="R763" i="1"/>
  <c r="I763" i="1"/>
  <c r="R762" i="1"/>
  <c r="I762" i="1"/>
  <c r="AC761" i="1"/>
  <c r="R761" i="1"/>
  <c r="I761" i="1"/>
  <c r="AC760" i="1"/>
  <c r="R760" i="1"/>
  <c r="I760" i="1"/>
  <c r="AC759" i="1"/>
  <c r="R759" i="1"/>
  <c r="I759" i="1"/>
  <c r="R758" i="1"/>
  <c r="I758" i="1"/>
  <c r="AC757" i="1"/>
  <c r="R757" i="1"/>
  <c r="I757" i="1"/>
  <c r="AC756" i="1"/>
  <c r="R756" i="1"/>
  <c r="I756" i="1"/>
  <c r="R755" i="1"/>
  <c r="I755" i="1"/>
  <c r="AC754" i="1"/>
  <c r="R754" i="1"/>
  <c r="I754" i="1"/>
  <c r="AC753" i="1"/>
  <c r="R753" i="1"/>
  <c r="I753" i="1"/>
  <c r="AC752" i="1"/>
  <c r="R752" i="1"/>
  <c r="I752" i="1"/>
  <c r="AC751" i="1"/>
  <c r="R751" i="1"/>
  <c r="I751" i="1"/>
  <c r="AC750" i="1"/>
  <c r="R750" i="1"/>
  <c r="I750" i="1"/>
  <c r="AC749" i="1"/>
  <c r="R749" i="1"/>
  <c r="I749" i="1"/>
  <c r="AC748" i="1"/>
  <c r="R748" i="1"/>
  <c r="I748" i="1"/>
  <c r="R747" i="1"/>
  <c r="I747" i="1"/>
  <c r="AC746" i="1"/>
  <c r="R746" i="1"/>
  <c r="I746" i="1"/>
  <c r="AC745" i="1"/>
  <c r="R745" i="1"/>
  <c r="I745" i="1"/>
  <c r="AC744" i="1"/>
  <c r="R744" i="1"/>
  <c r="I744" i="1"/>
  <c r="AC743" i="1"/>
  <c r="R743" i="1"/>
  <c r="I743" i="1"/>
  <c r="AC742" i="1"/>
  <c r="R742" i="1"/>
  <c r="I742" i="1"/>
  <c r="AC741" i="1"/>
  <c r="R741" i="1"/>
  <c r="I741" i="1"/>
  <c r="AC740" i="1"/>
  <c r="R740" i="1"/>
  <c r="I740" i="1"/>
  <c r="AC739" i="1"/>
  <c r="R739" i="1"/>
  <c r="I739" i="1"/>
  <c r="AC738" i="1"/>
  <c r="R738" i="1"/>
  <c r="I738" i="1"/>
  <c r="AC737" i="1"/>
  <c r="R737" i="1"/>
  <c r="I737" i="1"/>
  <c r="AC736" i="1"/>
  <c r="R736" i="1"/>
  <c r="I736" i="1"/>
  <c r="AC735" i="1"/>
  <c r="R735" i="1"/>
  <c r="I735" i="1"/>
  <c r="AC734" i="1"/>
  <c r="R734" i="1"/>
  <c r="I734" i="1"/>
  <c r="AC733" i="1"/>
  <c r="R733" i="1"/>
  <c r="I733" i="1"/>
  <c r="AC732" i="1"/>
  <c r="R732" i="1"/>
  <c r="I732" i="1"/>
  <c r="AC731" i="1"/>
  <c r="R731" i="1"/>
  <c r="I731" i="1"/>
  <c r="AC730" i="1"/>
  <c r="R730" i="1"/>
  <c r="I730" i="1"/>
  <c r="AC729" i="1"/>
  <c r="R729" i="1"/>
  <c r="I729" i="1"/>
  <c r="AC728" i="1"/>
  <c r="R728" i="1"/>
  <c r="I728" i="1"/>
  <c r="AC727" i="1"/>
  <c r="R727" i="1"/>
  <c r="I727" i="1"/>
  <c r="AC726" i="1"/>
  <c r="R726" i="1"/>
  <c r="I726" i="1"/>
  <c r="AC725" i="1"/>
  <c r="R725" i="1"/>
  <c r="I725" i="1"/>
  <c r="AC724" i="1"/>
  <c r="R724" i="1"/>
  <c r="I724" i="1"/>
  <c r="AC723" i="1"/>
  <c r="R723" i="1"/>
  <c r="I723" i="1"/>
  <c r="AC722" i="1"/>
  <c r="R722" i="1"/>
  <c r="I722" i="1"/>
  <c r="AC721" i="1"/>
  <c r="R721" i="1"/>
  <c r="I721" i="1"/>
  <c r="AC720" i="1"/>
  <c r="R720" i="1"/>
  <c r="I720" i="1"/>
  <c r="AC719" i="1"/>
  <c r="R719" i="1"/>
  <c r="I719" i="1"/>
  <c r="AC718" i="1"/>
  <c r="R718" i="1"/>
  <c r="I718" i="1"/>
  <c r="AC717" i="1"/>
  <c r="R717" i="1"/>
  <c r="I717" i="1"/>
  <c r="AC716" i="1"/>
  <c r="R716" i="1"/>
  <c r="I716" i="1"/>
  <c r="AC715" i="1"/>
  <c r="R715" i="1"/>
  <c r="I715" i="1"/>
  <c r="AC714" i="1"/>
  <c r="R714" i="1"/>
  <c r="I714" i="1"/>
  <c r="AC713" i="1"/>
  <c r="R713" i="1"/>
  <c r="I713" i="1"/>
  <c r="AC712" i="1"/>
  <c r="R712" i="1"/>
  <c r="I712" i="1"/>
  <c r="AC711" i="1"/>
  <c r="R711" i="1"/>
  <c r="I711" i="1"/>
  <c r="AC710" i="1"/>
  <c r="R710" i="1"/>
  <c r="I710" i="1"/>
  <c r="AC709" i="1"/>
  <c r="R709" i="1"/>
  <c r="I709" i="1"/>
  <c r="AC708" i="1"/>
  <c r="R708" i="1"/>
  <c r="I708" i="1"/>
  <c r="AC707" i="1"/>
  <c r="R707" i="1"/>
  <c r="I707" i="1"/>
  <c r="AC706" i="1"/>
  <c r="R706" i="1"/>
  <c r="I706" i="1"/>
  <c r="AC705" i="1"/>
  <c r="R705" i="1"/>
  <c r="I705" i="1"/>
  <c r="AC704" i="1"/>
  <c r="R704" i="1"/>
  <c r="I704" i="1"/>
  <c r="AC703" i="1"/>
  <c r="R703" i="1"/>
  <c r="I703" i="1"/>
  <c r="AC702" i="1"/>
  <c r="R702" i="1"/>
  <c r="I702" i="1"/>
  <c r="R701" i="1"/>
  <c r="I701" i="1"/>
  <c r="R700" i="1"/>
  <c r="I700" i="1"/>
  <c r="R699" i="1"/>
  <c r="I699" i="1"/>
  <c r="R698" i="1"/>
  <c r="I698" i="1"/>
  <c r="R697" i="1"/>
  <c r="I697" i="1"/>
  <c r="AC696" i="1"/>
  <c r="R696" i="1"/>
  <c r="I696" i="1"/>
  <c r="AC695" i="1"/>
  <c r="R695" i="1"/>
  <c r="I695" i="1"/>
  <c r="AC694" i="1"/>
  <c r="R694" i="1"/>
  <c r="I694" i="1"/>
  <c r="AC693" i="1"/>
  <c r="R693" i="1"/>
  <c r="I693" i="1"/>
  <c r="AC692" i="1"/>
  <c r="R692" i="1"/>
  <c r="I692" i="1"/>
  <c r="AC691" i="1"/>
  <c r="R691" i="1"/>
  <c r="I691" i="1"/>
  <c r="AC690" i="1"/>
  <c r="R690" i="1"/>
  <c r="I690" i="1"/>
  <c r="AC689" i="1"/>
  <c r="R689" i="1"/>
  <c r="I689" i="1"/>
  <c r="AC688" i="1"/>
  <c r="R688" i="1"/>
  <c r="I688" i="1"/>
  <c r="AC687" i="1"/>
  <c r="R687" i="1"/>
  <c r="I687" i="1"/>
  <c r="AC686" i="1"/>
  <c r="R686" i="1"/>
  <c r="I686" i="1"/>
  <c r="AC685" i="1"/>
  <c r="R685" i="1"/>
  <c r="I685" i="1"/>
  <c r="AC684" i="1"/>
  <c r="R684" i="1"/>
  <c r="I684" i="1"/>
  <c r="AC683" i="1"/>
  <c r="R683" i="1"/>
  <c r="I683" i="1"/>
  <c r="AC682" i="1"/>
  <c r="R682" i="1"/>
  <c r="I682" i="1"/>
  <c r="AC681" i="1"/>
  <c r="R681" i="1"/>
  <c r="I681" i="1"/>
  <c r="AC680" i="1"/>
  <c r="R680" i="1"/>
  <c r="I680" i="1"/>
  <c r="AC679" i="1"/>
  <c r="R679" i="1"/>
  <c r="I679" i="1"/>
  <c r="R678" i="1"/>
  <c r="I678" i="1"/>
  <c r="AC677" i="1"/>
  <c r="R677" i="1"/>
  <c r="I677" i="1"/>
  <c r="AC676" i="1"/>
  <c r="R676" i="1"/>
  <c r="I676" i="1"/>
  <c r="AC675" i="1"/>
  <c r="R675" i="1"/>
  <c r="I675" i="1"/>
  <c r="AC674" i="1"/>
  <c r="R674" i="1"/>
  <c r="I674" i="1"/>
  <c r="R673" i="1"/>
  <c r="I673" i="1"/>
  <c r="AC672" i="1"/>
  <c r="R672" i="1"/>
  <c r="I672" i="1"/>
  <c r="AC671" i="1"/>
  <c r="R671" i="1"/>
  <c r="I671" i="1"/>
  <c r="AC670" i="1"/>
  <c r="R670" i="1"/>
  <c r="I670" i="1"/>
  <c r="AC669" i="1"/>
  <c r="R669" i="1"/>
  <c r="I669" i="1"/>
  <c r="AC668" i="1"/>
  <c r="R668" i="1"/>
  <c r="I668" i="1"/>
  <c r="AC667" i="1"/>
  <c r="R667" i="1"/>
  <c r="I667" i="1"/>
  <c r="AC666" i="1"/>
  <c r="R666" i="1"/>
  <c r="I666" i="1"/>
  <c r="AC665" i="1"/>
  <c r="R665" i="1"/>
  <c r="I665" i="1"/>
  <c r="AC664" i="1"/>
  <c r="R664" i="1"/>
  <c r="I664" i="1"/>
  <c r="AC663" i="1"/>
  <c r="R663" i="1"/>
  <c r="I663" i="1"/>
  <c r="AC662" i="1"/>
  <c r="R662" i="1"/>
  <c r="I662" i="1"/>
  <c r="AC661" i="1"/>
  <c r="R661" i="1"/>
  <c r="I661" i="1"/>
  <c r="AC660" i="1"/>
  <c r="R660" i="1"/>
  <c r="I660" i="1"/>
  <c r="R659" i="1"/>
  <c r="I659" i="1"/>
  <c r="AC658" i="1"/>
  <c r="R658" i="1"/>
  <c r="I658" i="1"/>
  <c r="AC657" i="1"/>
  <c r="R657" i="1"/>
  <c r="I657" i="1"/>
  <c r="AC656" i="1"/>
  <c r="R656" i="1"/>
  <c r="I656" i="1"/>
  <c r="AC655" i="1"/>
  <c r="R655" i="1"/>
  <c r="I655" i="1"/>
  <c r="AC654" i="1"/>
  <c r="R654" i="1"/>
  <c r="I654" i="1"/>
  <c r="AC653" i="1"/>
  <c r="R653" i="1"/>
  <c r="I653" i="1"/>
  <c r="R652" i="1"/>
  <c r="I652" i="1"/>
  <c r="AC651" i="1"/>
  <c r="R651" i="1"/>
  <c r="I651" i="1"/>
  <c r="AC650" i="1"/>
  <c r="R650" i="1"/>
  <c r="I650" i="1"/>
  <c r="AC649" i="1"/>
  <c r="R649" i="1"/>
  <c r="I649" i="1"/>
  <c r="AC648" i="1"/>
  <c r="R648" i="1"/>
  <c r="I648" i="1"/>
  <c r="AC647" i="1"/>
  <c r="R647" i="1"/>
  <c r="I647" i="1"/>
  <c r="AC646" i="1"/>
  <c r="R646" i="1"/>
  <c r="I646" i="1"/>
  <c r="AC645" i="1"/>
  <c r="R645" i="1"/>
  <c r="I645" i="1"/>
  <c r="AC644" i="1"/>
  <c r="R644" i="1"/>
  <c r="I644" i="1"/>
  <c r="AC643" i="1"/>
  <c r="R643" i="1"/>
  <c r="I643" i="1"/>
  <c r="AC642" i="1"/>
  <c r="R642" i="1"/>
  <c r="I642" i="1"/>
  <c r="AC641" i="1"/>
  <c r="R641" i="1"/>
  <c r="I641" i="1"/>
  <c r="AC640" i="1"/>
  <c r="R640" i="1"/>
  <c r="I640" i="1"/>
  <c r="AC639" i="1"/>
  <c r="R639" i="1"/>
  <c r="I639" i="1"/>
  <c r="AC638" i="1"/>
  <c r="R638" i="1"/>
  <c r="I638" i="1"/>
  <c r="R637" i="1"/>
  <c r="I637" i="1"/>
  <c r="R636" i="1"/>
  <c r="I636" i="1"/>
  <c r="AC635" i="1"/>
  <c r="R635" i="1"/>
  <c r="I635" i="1"/>
  <c r="AC634" i="1"/>
  <c r="R634" i="1"/>
  <c r="I634" i="1"/>
  <c r="AC633" i="1"/>
  <c r="R633" i="1"/>
  <c r="I633" i="1"/>
  <c r="AC632" i="1"/>
  <c r="R632" i="1"/>
  <c r="I632" i="1"/>
  <c r="R631" i="1"/>
  <c r="I631" i="1"/>
  <c r="R630" i="1"/>
  <c r="I630" i="1"/>
  <c r="AC629" i="1"/>
  <c r="R629" i="1"/>
  <c r="I629" i="1"/>
  <c r="AC628" i="1"/>
  <c r="R628" i="1"/>
  <c r="I628" i="1"/>
  <c r="AC627" i="1"/>
  <c r="R627" i="1"/>
  <c r="I627" i="1"/>
  <c r="AC626" i="1"/>
  <c r="R626" i="1"/>
  <c r="I626" i="1"/>
  <c r="AC625" i="1"/>
  <c r="R625" i="1"/>
  <c r="I625" i="1"/>
  <c r="AC624" i="1"/>
  <c r="R624" i="1"/>
  <c r="I624" i="1"/>
  <c r="AC623" i="1"/>
  <c r="R623" i="1"/>
  <c r="I623" i="1"/>
  <c r="AC622" i="1"/>
  <c r="R622" i="1"/>
  <c r="I622" i="1"/>
  <c r="AC621" i="1"/>
  <c r="R621" i="1"/>
  <c r="I621" i="1"/>
  <c r="AC620" i="1"/>
  <c r="R620" i="1"/>
  <c r="I620" i="1"/>
  <c r="AC619" i="1"/>
  <c r="R619" i="1"/>
  <c r="I619" i="1"/>
  <c r="AC618" i="1"/>
  <c r="R618" i="1"/>
  <c r="I618" i="1"/>
  <c r="AC617" i="1"/>
  <c r="R617" i="1"/>
  <c r="I617" i="1"/>
  <c r="AC616" i="1"/>
  <c r="R616" i="1"/>
  <c r="I616" i="1"/>
  <c r="AC615" i="1"/>
  <c r="R615" i="1"/>
  <c r="I615" i="1"/>
  <c r="AC614" i="1"/>
  <c r="R614" i="1"/>
  <c r="I614" i="1"/>
  <c r="AC613" i="1"/>
  <c r="R613" i="1"/>
  <c r="I613" i="1"/>
  <c r="AC612" i="1"/>
  <c r="R612" i="1"/>
  <c r="I612" i="1"/>
  <c r="AC611" i="1"/>
  <c r="R611" i="1"/>
  <c r="I611" i="1"/>
  <c r="AC610" i="1"/>
  <c r="R610" i="1"/>
  <c r="I610" i="1"/>
  <c r="AC609" i="1"/>
  <c r="R609" i="1"/>
  <c r="I609" i="1"/>
  <c r="AC608" i="1"/>
  <c r="R608" i="1"/>
  <c r="I608" i="1"/>
  <c r="AC607" i="1"/>
  <c r="R607" i="1"/>
  <c r="I607" i="1"/>
  <c r="AC606" i="1"/>
  <c r="R606" i="1"/>
  <c r="I606" i="1"/>
  <c r="AC605" i="1"/>
  <c r="R605" i="1"/>
  <c r="I605" i="1"/>
  <c r="R604" i="1"/>
  <c r="I604" i="1"/>
  <c r="R603" i="1"/>
  <c r="I603" i="1"/>
  <c r="R602" i="1"/>
  <c r="I602" i="1"/>
  <c r="R601" i="1"/>
  <c r="I601" i="1"/>
  <c r="R600" i="1"/>
  <c r="I600" i="1"/>
  <c r="AC599" i="1"/>
  <c r="R599" i="1"/>
  <c r="I599" i="1"/>
  <c r="AC598" i="1"/>
  <c r="R598" i="1"/>
  <c r="I598" i="1"/>
  <c r="AC597" i="1"/>
  <c r="R597" i="1"/>
  <c r="I597" i="1"/>
  <c r="AC596" i="1"/>
  <c r="R596" i="1"/>
  <c r="I596" i="1"/>
  <c r="AC595" i="1"/>
  <c r="R595" i="1"/>
  <c r="I595" i="1"/>
  <c r="AC594" i="1"/>
  <c r="R594" i="1"/>
  <c r="I594" i="1"/>
  <c r="AC593" i="1"/>
  <c r="R593" i="1"/>
  <c r="I593" i="1"/>
  <c r="AC592" i="1"/>
  <c r="R592" i="1"/>
  <c r="I592" i="1"/>
  <c r="AC591" i="1"/>
  <c r="R591" i="1"/>
  <c r="I591" i="1"/>
  <c r="AC590" i="1"/>
  <c r="R590" i="1"/>
  <c r="I590" i="1"/>
  <c r="AC589" i="1"/>
  <c r="R589" i="1"/>
  <c r="I589" i="1"/>
  <c r="AC588" i="1"/>
  <c r="R588" i="1"/>
  <c r="I588" i="1"/>
  <c r="AC587" i="1"/>
  <c r="R587" i="1"/>
  <c r="I587" i="1"/>
  <c r="R586" i="1"/>
  <c r="I586" i="1"/>
  <c r="R585" i="1"/>
  <c r="I585" i="1"/>
  <c r="AC584" i="1"/>
  <c r="R584" i="1"/>
  <c r="I584" i="1"/>
  <c r="AC583" i="1"/>
  <c r="R583" i="1"/>
  <c r="I583" i="1"/>
  <c r="AC582" i="1"/>
  <c r="R582" i="1"/>
  <c r="I582" i="1"/>
  <c r="AC581" i="1"/>
  <c r="R581" i="1"/>
  <c r="I581" i="1"/>
  <c r="AC580" i="1"/>
  <c r="R580" i="1"/>
  <c r="I580" i="1"/>
  <c r="AC579" i="1"/>
  <c r="R579" i="1"/>
  <c r="I579" i="1"/>
  <c r="AC578" i="1"/>
  <c r="R578" i="1"/>
  <c r="I578" i="1"/>
  <c r="AC577" i="1"/>
  <c r="R577" i="1"/>
  <c r="I577" i="1"/>
  <c r="AC576" i="1"/>
  <c r="R576" i="1"/>
  <c r="I576" i="1"/>
  <c r="AC575" i="1"/>
  <c r="R575" i="1"/>
  <c r="I575" i="1"/>
  <c r="AC574" i="1"/>
  <c r="R574" i="1"/>
  <c r="I574" i="1"/>
  <c r="AC573" i="1"/>
  <c r="R573" i="1"/>
  <c r="I573" i="1"/>
  <c r="AC572" i="1"/>
  <c r="R572" i="1"/>
  <c r="I572" i="1"/>
  <c r="AC571" i="1"/>
  <c r="R571" i="1"/>
  <c r="I571" i="1"/>
  <c r="AC570" i="1"/>
  <c r="R570" i="1"/>
  <c r="I570" i="1"/>
  <c r="AC569" i="1"/>
  <c r="R569" i="1"/>
  <c r="I569" i="1"/>
  <c r="AC568" i="1"/>
  <c r="R568" i="1"/>
  <c r="I568" i="1"/>
  <c r="AC567" i="1"/>
  <c r="R567" i="1"/>
  <c r="I567" i="1"/>
  <c r="AC566" i="1"/>
  <c r="R566" i="1"/>
  <c r="I566" i="1"/>
  <c r="AC565" i="1"/>
  <c r="R565" i="1"/>
  <c r="I565" i="1"/>
  <c r="AC564" i="1"/>
  <c r="R564" i="1"/>
  <c r="I564" i="1"/>
  <c r="AC563" i="1"/>
  <c r="R563" i="1"/>
  <c r="I563" i="1"/>
  <c r="AC562" i="1"/>
  <c r="R562" i="1"/>
  <c r="I562" i="1"/>
  <c r="AC561" i="1"/>
  <c r="R561" i="1"/>
  <c r="I561" i="1"/>
  <c r="AC560" i="1"/>
  <c r="R560" i="1"/>
  <c r="I560" i="1"/>
  <c r="AC559" i="1"/>
  <c r="R559" i="1"/>
  <c r="I559" i="1"/>
  <c r="AC558" i="1"/>
  <c r="R558" i="1"/>
  <c r="I558" i="1"/>
  <c r="AC557" i="1"/>
  <c r="R557" i="1"/>
  <c r="I557" i="1"/>
  <c r="AC556" i="1"/>
  <c r="R556" i="1"/>
  <c r="I556" i="1"/>
  <c r="AC555" i="1"/>
  <c r="R555" i="1"/>
  <c r="I555" i="1"/>
  <c r="AC554" i="1"/>
  <c r="R554" i="1"/>
  <c r="I554" i="1"/>
  <c r="AC553" i="1"/>
  <c r="R553" i="1"/>
  <c r="I553" i="1"/>
  <c r="AC552" i="1"/>
  <c r="R552" i="1"/>
  <c r="I552" i="1"/>
  <c r="AC551" i="1"/>
  <c r="R551" i="1"/>
  <c r="I551" i="1"/>
  <c r="AC550" i="1"/>
  <c r="R550" i="1"/>
  <c r="I550" i="1"/>
  <c r="AC549" i="1"/>
  <c r="R549" i="1"/>
  <c r="I549" i="1"/>
  <c r="AC548" i="1"/>
  <c r="R548" i="1"/>
  <c r="I548" i="1"/>
  <c r="AC547" i="1"/>
  <c r="R547" i="1"/>
  <c r="I547" i="1"/>
  <c r="AC546" i="1"/>
  <c r="R546" i="1"/>
  <c r="I546" i="1"/>
  <c r="AC545" i="1"/>
  <c r="R545" i="1"/>
  <c r="I545" i="1"/>
  <c r="AC544" i="1"/>
  <c r="R544" i="1"/>
  <c r="I544" i="1"/>
  <c r="AC543" i="1"/>
  <c r="R543" i="1"/>
  <c r="I543" i="1"/>
  <c r="AC542" i="1"/>
  <c r="R542" i="1"/>
  <c r="I542" i="1"/>
  <c r="AC541" i="1"/>
  <c r="R541" i="1"/>
  <c r="I541" i="1"/>
  <c r="AC540" i="1"/>
  <c r="R540" i="1"/>
  <c r="I540" i="1"/>
  <c r="AC539" i="1"/>
  <c r="R539" i="1"/>
  <c r="I539" i="1"/>
  <c r="AC538" i="1"/>
  <c r="R538" i="1"/>
  <c r="I538" i="1"/>
  <c r="AC537" i="1"/>
  <c r="R537" i="1"/>
  <c r="I537" i="1"/>
  <c r="AC536" i="1"/>
  <c r="R536" i="1"/>
  <c r="I536" i="1"/>
  <c r="AC535" i="1"/>
  <c r="R535" i="1"/>
  <c r="I535" i="1"/>
  <c r="AC534" i="1"/>
  <c r="R534" i="1"/>
  <c r="I534" i="1"/>
  <c r="AC533" i="1"/>
  <c r="R533" i="1"/>
  <c r="I533" i="1"/>
  <c r="AC532" i="1"/>
  <c r="R532" i="1"/>
  <c r="I532" i="1"/>
  <c r="AC531" i="1"/>
  <c r="R531" i="1"/>
  <c r="I531" i="1"/>
  <c r="AC530" i="1"/>
  <c r="R530" i="1"/>
  <c r="I530" i="1"/>
  <c r="AC529" i="1"/>
  <c r="R529" i="1"/>
  <c r="I529" i="1"/>
  <c r="AC528" i="1"/>
  <c r="R528" i="1"/>
  <c r="I528" i="1"/>
  <c r="AC527" i="1"/>
  <c r="R527" i="1"/>
  <c r="I527" i="1"/>
  <c r="AC526" i="1"/>
  <c r="R526" i="1"/>
  <c r="I526" i="1"/>
  <c r="AC525" i="1"/>
  <c r="R525" i="1"/>
  <c r="I525" i="1"/>
  <c r="AC524" i="1"/>
  <c r="R524" i="1"/>
  <c r="I524" i="1"/>
  <c r="AC523" i="1"/>
  <c r="R523" i="1"/>
  <c r="I523" i="1"/>
  <c r="AC522" i="1"/>
  <c r="R522" i="1"/>
  <c r="I522" i="1"/>
  <c r="AC521" i="1"/>
  <c r="R521" i="1"/>
  <c r="I521" i="1"/>
  <c r="AC520" i="1"/>
  <c r="R520" i="1"/>
  <c r="I520" i="1"/>
  <c r="AC519" i="1"/>
  <c r="R519" i="1"/>
  <c r="I519" i="1"/>
  <c r="AC518" i="1"/>
  <c r="R518" i="1"/>
  <c r="I518" i="1"/>
  <c r="AC517" i="1"/>
  <c r="R517" i="1"/>
  <c r="I517" i="1"/>
  <c r="AC516" i="1"/>
  <c r="R516" i="1"/>
  <c r="I516" i="1"/>
  <c r="AC515" i="1"/>
  <c r="R515" i="1"/>
  <c r="I515" i="1"/>
  <c r="AC514" i="1"/>
  <c r="R514" i="1"/>
  <c r="I514" i="1"/>
  <c r="AC513" i="1"/>
  <c r="R513" i="1"/>
  <c r="I513" i="1"/>
  <c r="AC512" i="1"/>
  <c r="R512" i="1"/>
  <c r="I512" i="1"/>
  <c r="AC511" i="1"/>
  <c r="R511" i="1"/>
  <c r="I511" i="1"/>
  <c r="AC510" i="1"/>
  <c r="R510" i="1"/>
  <c r="I510" i="1"/>
  <c r="R509" i="1"/>
  <c r="I509" i="1"/>
  <c r="R508" i="1"/>
  <c r="I508" i="1"/>
  <c r="AC507" i="1"/>
  <c r="R507" i="1"/>
  <c r="I507" i="1"/>
  <c r="AC506" i="1"/>
  <c r="R506" i="1"/>
  <c r="I506" i="1"/>
  <c r="AC505" i="1"/>
  <c r="R505" i="1"/>
  <c r="I505" i="1"/>
  <c r="AC504" i="1"/>
  <c r="R504" i="1"/>
  <c r="I504" i="1"/>
  <c r="AC503" i="1"/>
  <c r="R503" i="1"/>
  <c r="I503" i="1"/>
  <c r="AC502" i="1"/>
  <c r="R502" i="1"/>
  <c r="I502" i="1"/>
  <c r="AC501" i="1"/>
  <c r="R501" i="1"/>
  <c r="I501" i="1"/>
  <c r="AC500" i="1"/>
  <c r="R500" i="1"/>
  <c r="I500" i="1"/>
  <c r="R499" i="1"/>
  <c r="I499" i="1"/>
  <c r="AC498" i="1"/>
  <c r="R498" i="1"/>
  <c r="I498" i="1"/>
  <c r="AC497" i="1"/>
  <c r="R497" i="1"/>
  <c r="I497" i="1"/>
  <c r="AC496" i="1"/>
  <c r="R496" i="1"/>
  <c r="I496" i="1"/>
  <c r="AC495" i="1"/>
  <c r="R495" i="1"/>
  <c r="I495" i="1"/>
  <c r="AC494" i="1"/>
  <c r="R494" i="1"/>
  <c r="I494" i="1"/>
  <c r="AC493" i="1"/>
  <c r="R493" i="1"/>
  <c r="I493" i="1"/>
  <c r="AC492" i="1"/>
  <c r="R492" i="1"/>
  <c r="I492" i="1"/>
  <c r="AC491" i="1"/>
  <c r="R491" i="1"/>
  <c r="I491" i="1"/>
  <c r="AC490" i="1"/>
  <c r="R490" i="1"/>
  <c r="I490" i="1"/>
  <c r="AC489" i="1"/>
  <c r="R489" i="1"/>
  <c r="I489" i="1"/>
  <c r="AC488" i="1"/>
  <c r="R488" i="1"/>
  <c r="I488" i="1"/>
  <c r="AC487" i="1"/>
  <c r="R487" i="1"/>
  <c r="I487" i="1"/>
  <c r="AC486" i="1"/>
  <c r="R486" i="1"/>
  <c r="I486" i="1"/>
  <c r="AC485" i="1"/>
  <c r="R485" i="1"/>
  <c r="I485" i="1"/>
  <c r="R484" i="1"/>
  <c r="I484" i="1"/>
  <c r="AC483" i="1"/>
  <c r="R483" i="1"/>
  <c r="I483" i="1"/>
  <c r="AC482" i="1"/>
  <c r="R482" i="1"/>
  <c r="I482" i="1"/>
  <c r="AC481" i="1"/>
  <c r="R481" i="1"/>
  <c r="I481" i="1"/>
  <c r="AC480" i="1"/>
  <c r="R480" i="1"/>
  <c r="I480" i="1"/>
  <c r="AC479" i="1"/>
  <c r="R479" i="1"/>
  <c r="I479" i="1"/>
  <c r="AC478" i="1"/>
  <c r="R478" i="1"/>
  <c r="I478" i="1"/>
  <c r="AC477" i="1"/>
  <c r="R477" i="1"/>
  <c r="I477" i="1"/>
  <c r="AC476" i="1"/>
  <c r="R476" i="1"/>
  <c r="I476" i="1"/>
  <c r="AC475" i="1"/>
  <c r="R475" i="1"/>
  <c r="I475" i="1"/>
  <c r="AC474" i="1"/>
  <c r="R474" i="1"/>
  <c r="I474" i="1"/>
  <c r="AC473" i="1"/>
  <c r="R473" i="1"/>
  <c r="I473" i="1"/>
  <c r="AC472" i="1"/>
  <c r="R472" i="1"/>
  <c r="I472" i="1"/>
  <c r="AC471" i="1"/>
  <c r="R471" i="1"/>
  <c r="I471" i="1"/>
  <c r="R470" i="1"/>
  <c r="I470" i="1"/>
  <c r="AC469" i="1"/>
  <c r="R469" i="1"/>
  <c r="I469" i="1"/>
  <c r="AC468" i="1"/>
  <c r="R468" i="1"/>
  <c r="I468" i="1"/>
  <c r="AC467" i="1"/>
  <c r="R467" i="1"/>
  <c r="I467" i="1"/>
  <c r="AC466" i="1"/>
  <c r="R466" i="1"/>
  <c r="I466" i="1"/>
  <c r="AC465" i="1"/>
  <c r="R465" i="1"/>
  <c r="I465" i="1"/>
  <c r="AC464" i="1"/>
  <c r="R464" i="1"/>
  <c r="I464" i="1"/>
  <c r="AC463" i="1"/>
  <c r="R463" i="1"/>
  <c r="I463" i="1"/>
  <c r="AC462" i="1"/>
  <c r="R462" i="1"/>
  <c r="I462" i="1"/>
  <c r="AC461" i="1"/>
  <c r="R461" i="1"/>
  <c r="I461" i="1"/>
  <c r="AC460" i="1"/>
  <c r="R460" i="1"/>
  <c r="I460" i="1"/>
  <c r="AC459" i="1"/>
  <c r="R459" i="1"/>
  <c r="I459" i="1"/>
  <c r="AC458" i="1"/>
  <c r="R458" i="1"/>
  <c r="I458" i="1"/>
  <c r="AC457" i="1"/>
  <c r="R457" i="1"/>
  <c r="I457" i="1"/>
  <c r="AC456" i="1"/>
  <c r="R456" i="1"/>
  <c r="I456" i="1"/>
  <c r="AC455" i="1"/>
  <c r="R455" i="1"/>
  <c r="I455" i="1"/>
  <c r="AC454" i="1"/>
  <c r="R454" i="1"/>
  <c r="I454" i="1"/>
  <c r="AC453" i="1"/>
  <c r="R453" i="1"/>
  <c r="I453" i="1"/>
  <c r="AC452" i="1"/>
  <c r="R452" i="1"/>
  <c r="I452" i="1"/>
  <c r="AC451" i="1"/>
  <c r="R451" i="1"/>
  <c r="I451" i="1"/>
  <c r="AC450" i="1"/>
  <c r="R450" i="1"/>
  <c r="I450" i="1"/>
  <c r="AC449" i="1"/>
  <c r="R449" i="1"/>
  <c r="I449" i="1"/>
  <c r="AC448" i="1"/>
  <c r="R448" i="1"/>
  <c r="I448" i="1"/>
  <c r="AC447" i="1"/>
  <c r="R447" i="1"/>
  <c r="I447" i="1"/>
  <c r="AC446" i="1"/>
  <c r="R446" i="1"/>
  <c r="I446" i="1"/>
  <c r="AC445" i="1"/>
  <c r="R445" i="1"/>
  <c r="I445" i="1"/>
  <c r="AC444" i="1"/>
  <c r="R444" i="1"/>
  <c r="I444" i="1"/>
  <c r="AC443" i="1"/>
  <c r="R443" i="1"/>
  <c r="I443" i="1"/>
  <c r="AC442" i="1"/>
  <c r="R442" i="1"/>
  <c r="I442" i="1"/>
  <c r="AC441" i="1"/>
  <c r="R441" i="1"/>
  <c r="I441" i="1"/>
  <c r="AC440" i="1"/>
  <c r="R440" i="1"/>
  <c r="I440" i="1"/>
  <c r="AC439" i="1"/>
  <c r="R439" i="1"/>
  <c r="I439" i="1"/>
  <c r="AC438" i="1"/>
  <c r="R438" i="1"/>
  <c r="I438" i="1"/>
  <c r="AC437" i="1"/>
  <c r="R437" i="1"/>
  <c r="I437" i="1"/>
  <c r="AC436" i="1"/>
  <c r="R436" i="1"/>
  <c r="I436" i="1"/>
  <c r="AC435" i="1"/>
  <c r="R435" i="1"/>
  <c r="I435" i="1"/>
  <c r="AC434" i="1"/>
  <c r="R434" i="1"/>
  <c r="I434" i="1"/>
  <c r="AC433" i="1"/>
  <c r="R433" i="1"/>
  <c r="I433" i="1"/>
  <c r="AC432" i="1"/>
  <c r="R432" i="1"/>
  <c r="I432" i="1"/>
  <c r="AC431" i="1"/>
  <c r="R431" i="1"/>
  <c r="I431" i="1"/>
  <c r="AC430" i="1"/>
  <c r="R430" i="1"/>
  <c r="I430" i="1"/>
  <c r="AC429" i="1"/>
  <c r="R429" i="1"/>
  <c r="I429" i="1"/>
  <c r="AC428" i="1"/>
  <c r="R428" i="1"/>
  <c r="I428" i="1"/>
  <c r="AC427" i="1"/>
  <c r="R427" i="1"/>
  <c r="I427" i="1"/>
  <c r="AC426" i="1"/>
  <c r="R426" i="1"/>
  <c r="I426" i="1"/>
  <c r="AC425" i="1"/>
  <c r="R425" i="1"/>
  <c r="I425" i="1"/>
  <c r="AC424" i="1"/>
  <c r="R424" i="1"/>
  <c r="I424" i="1"/>
  <c r="AC423" i="1"/>
  <c r="R423" i="1"/>
  <c r="I423" i="1"/>
  <c r="AC422" i="1"/>
  <c r="R422" i="1"/>
  <c r="I422" i="1"/>
  <c r="AC421" i="1"/>
  <c r="R421" i="1"/>
  <c r="I421" i="1"/>
  <c r="AC420" i="1"/>
  <c r="R420" i="1"/>
  <c r="I420" i="1"/>
  <c r="AC419" i="1"/>
  <c r="R419" i="1"/>
  <c r="I419" i="1"/>
  <c r="AC418" i="1"/>
  <c r="R418" i="1"/>
  <c r="I418" i="1"/>
  <c r="AC417" i="1"/>
  <c r="R417" i="1"/>
  <c r="I417" i="1"/>
  <c r="AC416" i="1"/>
  <c r="R416" i="1"/>
  <c r="I416" i="1"/>
  <c r="AC415" i="1"/>
  <c r="R415" i="1"/>
  <c r="I415" i="1"/>
  <c r="AC414" i="1"/>
  <c r="R414" i="1"/>
  <c r="I414" i="1"/>
  <c r="AC413" i="1"/>
  <c r="R413" i="1"/>
  <c r="I413" i="1"/>
  <c r="AC412" i="1"/>
  <c r="R412" i="1"/>
  <c r="I412" i="1"/>
  <c r="AC411" i="1"/>
  <c r="R411" i="1"/>
  <c r="I411" i="1"/>
  <c r="AC410" i="1"/>
  <c r="R410" i="1"/>
  <c r="I410" i="1"/>
  <c r="AC409" i="1"/>
  <c r="R409" i="1"/>
  <c r="I409" i="1"/>
  <c r="AC408" i="1"/>
  <c r="R408" i="1"/>
  <c r="I408" i="1"/>
  <c r="AC407" i="1"/>
  <c r="R407" i="1"/>
  <c r="I407" i="1"/>
  <c r="AC406" i="1"/>
  <c r="R406" i="1"/>
  <c r="I406" i="1"/>
  <c r="AC405" i="1"/>
  <c r="R405" i="1"/>
  <c r="I405" i="1"/>
  <c r="AC404" i="1"/>
  <c r="R404" i="1"/>
  <c r="I404" i="1"/>
  <c r="AC403" i="1"/>
  <c r="R403" i="1"/>
  <c r="I403" i="1"/>
  <c r="AC402" i="1"/>
  <c r="R402" i="1"/>
  <c r="I402" i="1"/>
  <c r="AC401" i="1"/>
  <c r="R401" i="1"/>
  <c r="I401" i="1"/>
  <c r="AC400" i="1"/>
  <c r="R400" i="1"/>
  <c r="I400" i="1"/>
  <c r="AC399" i="1"/>
  <c r="R399" i="1"/>
  <c r="I399" i="1"/>
  <c r="AC398" i="1"/>
  <c r="R398" i="1"/>
  <c r="I398" i="1"/>
  <c r="AC397" i="1"/>
  <c r="R397" i="1"/>
  <c r="I397" i="1"/>
  <c r="AC396" i="1"/>
  <c r="R396" i="1"/>
  <c r="I396" i="1"/>
  <c r="AC395" i="1"/>
  <c r="R395" i="1"/>
  <c r="I395" i="1"/>
  <c r="AC394" i="1"/>
  <c r="R394" i="1"/>
  <c r="I394" i="1"/>
  <c r="AC393" i="1"/>
  <c r="R393" i="1"/>
  <c r="I393" i="1"/>
  <c r="AC392" i="1"/>
  <c r="R392" i="1"/>
  <c r="I392" i="1"/>
  <c r="AC391" i="1"/>
  <c r="R391" i="1"/>
  <c r="I391" i="1"/>
  <c r="AC390" i="1"/>
  <c r="R390" i="1"/>
  <c r="I390" i="1"/>
  <c r="AC389" i="1"/>
  <c r="R389" i="1"/>
  <c r="I389" i="1"/>
  <c r="AC388" i="1"/>
  <c r="R388" i="1"/>
  <c r="I388" i="1"/>
  <c r="AC387" i="1"/>
  <c r="R387" i="1"/>
  <c r="I387" i="1"/>
  <c r="AC386" i="1"/>
  <c r="R386" i="1"/>
  <c r="I386" i="1"/>
  <c r="AC385" i="1"/>
  <c r="R385" i="1"/>
  <c r="I385" i="1"/>
  <c r="AC384" i="1"/>
  <c r="R384" i="1"/>
  <c r="I384" i="1"/>
  <c r="AC383" i="1"/>
  <c r="R383" i="1"/>
  <c r="I383" i="1"/>
  <c r="AC382" i="1"/>
  <c r="R382" i="1"/>
  <c r="I382" i="1"/>
  <c r="AC381" i="1"/>
  <c r="R381" i="1"/>
  <c r="I381" i="1"/>
  <c r="AC380" i="1"/>
  <c r="R380" i="1"/>
  <c r="I380" i="1"/>
  <c r="AC379" i="1"/>
  <c r="R379" i="1"/>
  <c r="I379" i="1"/>
  <c r="AC378" i="1"/>
  <c r="R378" i="1"/>
  <c r="I378" i="1"/>
  <c r="AC377" i="1"/>
  <c r="R377" i="1"/>
  <c r="I377" i="1"/>
  <c r="AC376" i="1"/>
  <c r="R376" i="1"/>
  <c r="I376" i="1"/>
  <c r="AC375" i="1"/>
  <c r="R375" i="1"/>
  <c r="I375" i="1"/>
  <c r="AC374" i="1"/>
  <c r="R374" i="1"/>
  <c r="I374" i="1"/>
  <c r="AC373" i="1"/>
  <c r="R373" i="1"/>
  <c r="I373" i="1"/>
  <c r="AC372" i="1"/>
  <c r="R372" i="1"/>
  <c r="I372" i="1"/>
  <c r="AC371" i="1"/>
  <c r="R371" i="1"/>
  <c r="I371" i="1"/>
  <c r="AC370" i="1"/>
  <c r="R370" i="1"/>
  <c r="I370" i="1"/>
  <c r="AC369" i="1"/>
  <c r="R369" i="1"/>
  <c r="I369" i="1"/>
  <c r="AC368" i="1"/>
  <c r="R368" i="1"/>
  <c r="I368" i="1"/>
  <c r="AC367" i="1"/>
  <c r="R367" i="1"/>
  <c r="I367" i="1"/>
  <c r="AC366" i="1"/>
  <c r="R366" i="1"/>
  <c r="I366" i="1"/>
  <c r="AC365" i="1"/>
  <c r="R365" i="1"/>
  <c r="I365" i="1"/>
  <c r="AC364" i="1"/>
  <c r="R364" i="1"/>
  <c r="I364" i="1"/>
  <c r="AC363" i="1"/>
  <c r="R363" i="1"/>
  <c r="I363" i="1"/>
  <c r="AC362" i="1"/>
  <c r="R362" i="1"/>
  <c r="I362" i="1"/>
  <c r="AC361" i="1"/>
  <c r="R361" i="1"/>
  <c r="I361" i="1"/>
  <c r="AC360" i="1"/>
  <c r="R360" i="1"/>
  <c r="I360" i="1"/>
  <c r="AC359" i="1"/>
  <c r="R359" i="1"/>
  <c r="I359" i="1"/>
  <c r="AC358" i="1"/>
  <c r="R358" i="1"/>
  <c r="I358" i="1"/>
  <c r="AC357" i="1"/>
  <c r="R357" i="1"/>
  <c r="I357" i="1"/>
  <c r="AC356" i="1"/>
  <c r="R356" i="1"/>
  <c r="I356" i="1"/>
  <c r="AC355" i="1"/>
  <c r="R355" i="1"/>
  <c r="I355" i="1"/>
  <c r="AC354" i="1"/>
  <c r="R354" i="1"/>
  <c r="I354" i="1"/>
  <c r="AC353" i="1"/>
  <c r="R353" i="1"/>
  <c r="I353" i="1"/>
  <c r="AC352" i="1"/>
  <c r="R352" i="1"/>
  <c r="I352" i="1"/>
  <c r="AC351" i="1"/>
  <c r="R351" i="1"/>
  <c r="I351" i="1"/>
  <c r="AC350" i="1"/>
  <c r="R350" i="1"/>
  <c r="I350" i="1"/>
  <c r="AC349" i="1"/>
  <c r="R349" i="1"/>
  <c r="I349" i="1"/>
  <c r="AC348" i="1"/>
  <c r="R348" i="1"/>
  <c r="I348" i="1"/>
  <c r="AC347" i="1"/>
  <c r="R347" i="1"/>
  <c r="I347" i="1"/>
  <c r="AC346" i="1"/>
  <c r="R346" i="1"/>
  <c r="I346" i="1"/>
  <c r="AC345" i="1"/>
  <c r="R345" i="1"/>
  <c r="I345" i="1"/>
  <c r="AC344" i="1"/>
  <c r="R344" i="1"/>
  <c r="I344" i="1"/>
  <c r="AC343" i="1"/>
  <c r="R343" i="1"/>
  <c r="I343" i="1"/>
  <c r="AC342" i="1"/>
  <c r="R342" i="1"/>
  <c r="I342" i="1"/>
  <c r="AC341" i="1"/>
  <c r="R341" i="1"/>
  <c r="I341" i="1"/>
  <c r="AC340" i="1"/>
  <c r="R340" i="1"/>
  <c r="I340" i="1"/>
  <c r="AC339" i="1"/>
  <c r="R339" i="1"/>
  <c r="I339" i="1"/>
  <c r="AC338" i="1"/>
  <c r="R338" i="1"/>
  <c r="I338" i="1"/>
  <c r="AC337" i="1"/>
  <c r="R337" i="1"/>
  <c r="I337" i="1"/>
  <c r="AC336" i="1"/>
  <c r="R336" i="1"/>
  <c r="I336" i="1"/>
  <c r="AC335" i="1"/>
  <c r="R335" i="1"/>
  <c r="I335" i="1"/>
  <c r="AC334" i="1"/>
  <c r="R334" i="1"/>
  <c r="I334" i="1"/>
  <c r="AC333" i="1"/>
  <c r="R333" i="1"/>
  <c r="I333" i="1"/>
  <c r="AC332" i="1"/>
  <c r="R332" i="1"/>
  <c r="I332" i="1"/>
  <c r="AC331" i="1"/>
  <c r="R331" i="1"/>
  <c r="I331" i="1"/>
  <c r="AC330" i="1"/>
  <c r="R330" i="1"/>
  <c r="I330" i="1"/>
  <c r="AC329" i="1"/>
  <c r="R329" i="1"/>
  <c r="I329" i="1"/>
  <c r="AC328" i="1"/>
  <c r="R328" i="1"/>
  <c r="I328" i="1"/>
  <c r="AC327" i="1"/>
  <c r="R327" i="1"/>
  <c r="I327" i="1"/>
  <c r="AC326" i="1"/>
  <c r="R326" i="1"/>
  <c r="I326" i="1"/>
  <c r="AC325" i="1"/>
  <c r="R325" i="1"/>
  <c r="I325" i="1"/>
  <c r="AC324" i="1"/>
  <c r="R324" i="1"/>
  <c r="I324" i="1"/>
  <c r="AC323" i="1"/>
  <c r="R323" i="1"/>
  <c r="I323" i="1"/>
  <c r="AC322" i="1"/>
  <c r="R322" i="1"/>
  <c r="I322" i="1"/>
  <c r="AC321" i="1"/>
  <c r="R321" i="1"/>
  <c r="I321" i="1"/>
  <c r="AC320" i="1"/>
  <c r="R320" i="1"/>
  <c r="I320" i="1"/>
  <c r="AC319" i="1"/>
  <c r="R319" i="1"/>
  <c r="I319" i="1"/>
  <c r="AC318" i="1"/>
  <c r="R318" i="1"/>
  <c r="I318" i="1"/>
  <c r="AC317" i="1"/>
  <c r="R317" i="1"/>
  <c r="I317" i="1"/>
  <c r="AC316" i="1"/>
  <c r="R316" i="1"/>
  <c r="I316" i="1"/>
  <c r="AC315" i="1"/>
  <c r="R315" i="1"/>
  <c r="I315" i="1"/>
  <c r="AC314" i="1"/>
  <c r="R314" i="1"/>
  <c r="I314" i="1"/>
  <c r="AC313" i="1"/>
  <c r="R313" i="1"/>
  <c r="I313" i="1"/>
  <c r="AC312" i="1"/>
  <c r="R312" i="1"/>
  <c r="I312" i="1"/>
  <c r="AC311" i="1"/>
  <c r="R311" i="1"/>
  <c r="I311" i="1"/>
  <c r="AC310" i="1"/>
  <c r="R310" i="1"/>
  <c r="I310" i="1"/>
  <c r="AC309" i="1"/>
  <c r="R309" i="1"/>
  <c r="I309" i="1"/>
  <c r="R308" i="1"/>
  <c r="I308" i="1"/>
  <c r="AC307" i="1"/>
  <c r="R307" i="1"/>
  <c r="I307" i="1"/>
  <c r="AC306" i="1"/>
  <c r="R306" i="1"/>
  <c r="I306" i="1"/>
  <c r="AC305" i="1"/>
  <c r="R305" i="1"/>
  <c r="I305" i="1"/>
  <c r="AC304" i="1"/>
  <c r="R304" i="1"/>
  <c r="I304" i="1"/>
  <c r="AC303" i="1"/>
  <c r="R303" i="1"/>
  <c r="I303" i="1"/>
  <c r="AC302" i="1"/>
  <c r="R302" i="1"/>
  <c r="I302" i="1"/>
  <c r="AC301" i="1"/>
  <c r="R301" i="1"/>
  <c r="I301" i="1"/>
  <c r="AC300" i="1"/>
  <c r="R300" i="1"/>
  <c r="I300" i="1"/>
  <c r="AC299" i="1"/>
  <c r="R299" i="1"/>
  <c r="I299" i="1"/>
  <c r="AC298" i="1"/>
  <c r="R298" i="1"/>
  <c r="I298" i="1"/>
  <c r="AC297" i="1"/>
  <c r="R297" i="1"/>
  <c r="I297" i="1"/>
  <c r="AC296" i="1"/>
  <c r="R296" i="1"/>
  <c r="I296" i="1"/>
  <c r="R295" i="1"/>
  <c r="I295" i="1"/>
  <c r="AC294" i="1"/>
  <c r="R294" i="1"/>
  <c r="I294" i="1"/>
  <c r="R293" i="1"/>
  <c r="I293" i="1"/>
  <c r="R292" i="1"/>
  <c r="I292" i="1"/>
  <c r="AC291" i="1"/>
  <c r="R291" i="1"/>
  <c r="I291" i="1"/>
  <c r="AC290" i="1"/>
  <c r="R290" i="1"/>
  <c r="I290" i="1"/>
  <c r="AC289" i="1"/>
  <c r="R289" i="1"/>
  <c r="I289" i="1"/>
  <c r="AC288" i="1"/>
  <c r="R288" i="1"/>
  <c r="I288" i="1"/>
  <c r="AC287" i="1"/>
  <c r="R287" i="1"/>
  <c r="I287" i="1"/>
  <c r="AC286" i="1"/>
  <c r="R286" i="1"/>
  <c r="I286" i="1"/>
  <c r="AC285" i="1"/>
  <c r="R285" i="1"/>
  <c r="I285" i="1"/>
  <c r="AC284" i="1"/>
  <c r="R284" i="1"/>
  <c r="I284" i="1"/>
  <c r="AC283" i="1"/>
  <c r="R283" i="1"/>
  <c r="I283" i="1"/>
  <c r="AC282" i="1"/>
  <c r="R282" i="1"/>
  <c r="I282" i="1"/>
  <c r="R281" i="1"/>
  <c r="I281" i="1"/>
  <c r="AC280" i="1"/>
  <c r="R280" i="1"/>
  <c r="I280" i="1"/>
  <c r="AC279" i="1"/>
  <c r="R279" i="1"/>
  <c r="I279" i="1"/>
  <c r="AC278" i="1"/>
  <c r="R278" i="1"/>
  <c r="I278" i="1"/>
  <c r="AC277" i="1"/>
  <c r="R277" i="1"/>
  <c r="I277" i="1"/>
  <c r="AC276" i="1"/>
  <c r="R276" i="1"/>
  <c r="I276" i="1"/>
  <c r="R275" i="1"/>
  <c r="I275" i="1"/>
  <c r="AC274" i="1"/>
  <c r="R274" i="1"/>
  <c r="I274" i="1"/>
  <c r="AC273" i="1"/>
  <c r="R273" i="1"/>
  <c r="I273" i="1"/>
  <c r="R272" i="1"/>
  <c r="I272" i="1"/>
  <c r="AC271" i="1"/>
  <c r="R271" i="1"/>
  <c r="I271" i="1"/>
  <c r="AC270" i="1"/>
  <c r="R270" i="1"/>
  <c r="I270" i="1"/>
  <c r="AC269" i="1"/>
  <c r="R269" i="1"/>
  <c r="I269" i="1"/>
  <c r="AC268" i="1"/>
  <c r="R268" i="1"/>
  <c r="I268" i="1"/>
  <c r="AC267" i="1"/>
  <c r="R267" i="1"/>
  <c r="I267" i="1"/>
  <c r="AC266" i="1"/>
  <c r="R266" i="1"/>
  <c r="I266" i="1"/>
  <c r="R265" i="1"/>
  <c r="I265" i="1"/>
  <c r="AC264" i="1"/>
  <c r="R264" i="1"/>
  <c r="I264" i="1"/>
  <c r="AC263" i="1"/>
  <c r="R263" i="1"/>
  <c r="I263" i="1"/>
  <c r="AC262" i="1"/>
  <c r="R262" i="1"/>
  <c r="I262" i="1"/>
  <c r="AC261" i="1"/>
  <c r="R261" i="1"/>
  <c r="I261" i="1"/>
  <c r="AC260" i="1"/>
  <c r="R260" i="1"/>
  <c r="I260" i="1"/>
  <c r="AC259" i="1"/>
  <c r="R259" i="1"/>
  <c r="I259" i="1"/>
  <c r="AC258" i="1"/>
  <c r="Q258" i="1"/>
  <c r="R258" i="1" s="1"/>
  <c r="I258" i="1"/>
  <c r="AC257" i="1"/>
  <c r="R257" i="1"/>
  <c r="I257" i="1"/>
  <c r="AC256" i="1"/>
  <c r="R256" i="1"/>
  <c r="I256" i="1"/>
  <c r="AC255" i="1"/>
  <c r="R255" i="1"/>
  <c r="I255" i="1"/>
  <c r="AC254" i="1"/>
  <c r="R254" i="1"/>
  <c r="I254" i="1"/>
  <c r="AC253" i="1"/>
  <c r="R253" i="1"/>
  <c r="I253" i="1"/>
  <c r="AC252" i="1"/>
  <c r="R252" i="1"/>
  <c r="I252" i="1"/>
  <c r="AC251" i="1"/>
  <c r="R251" i="1"/>
  <c r="I251" i="1"/>
  <c r="AC250" i="1"/>
  <c r="R250" i="1"/>
  <c r="I250" i="1"/>
  <c r="AC249" i="1"/>
  <c r="R249" i="1"/>
  <c r="I249" i="1"/>
  <c r="AC248" i="1"/>
  <c r="R248" i="1"/>
  <c r="I248" i="1"/>
  <c r="AC247" i="1"/>
  <c r="R247" i="1"/>
  <c r="I247" i="1"/>
  <c r="AC246" i="1"/>
  <c r="R246" i="1"/>
  <c r="I246" i="1"/>
  <c r="AC245" i="1"/>
  <c r="R245" i="1"/>
  <c r="I245" i="1"/>
  <c r="AC244" i="1"/>
  <c r="R244" i="1"/>
  <c r="I244" i="1"/>
  <c r="AC243" i="1"/>
  <c r="R243" i="1"/>
  <c r="I243" i="1"/>
  <c r="AC242" i="1"/>
  <c r="R242" i="1"/>
  <c r="I242" i="1"/>
  <c r="AC241" i="1"/>
  <c r="R241" i="1"/>
  <c r="I241" i="1"/>
  <c r="AC240" i="1"/>
  <c r="R240" i="1"/>
  <c r="I240" i="1"/>
  <c r="AC239" i="1"/>
  <c r="R239" i="1"/>
  <c r="I239" i="1"/>
  <c r="AC238" i="1"/>
  <c r="R238" i="1"/>
  <c r="I238" i="1"/>
  <c r="AC237" i="1"/>
  <c r="R237" i="1"/>
  <c r="I237" i="1"/>
  <c r="AC236" i="1"/>
  <c r="R236" i="1"/>
  <c r="I236" i="1"/>
  <c r="AC235" i="1"/>
  <c r="R235" i="1"/>
  <c r="I235" i="1"/>
  <c r="AC234" i="1"/>
  <c r="R234" i="1"/>
  <c r="I234" i="1"/>
  <c r="AC233" i="1"/>
  <c r="R233" i="1"/>
  <c r="I233" i="1"/>
  <c r="AC232" i="1"/>
  <c r="R232" i="1"/>
  <c r="I232" i="1"/>
  <c r="AC231" i="1"/>
  <c r="R231" i="1"/>
  <c r="I231" i="1"/>
  <c r="AC230" i="1"/>
  <c r="R230" i="1"/>
  <c r="I230" i="1"/>
  <c r="AC229" i="1"/>
  <c r="R229" i="1"/>
  <c r="I229" i="1"/>
  <c r="AC228" i="1"/>
  <c r="R228" i="1"/>
  <c r="I228" i="1"/>
  <c r="AC227" i="1"/>
  <c r="R227" i="1"/>
  <c r="I227" i="1"/>
  <c r="AC226" i="1"/>
  <c r="R226" i="1"/>
  <c r="I226" i="1"/>
  <c r="AC225" i="1"/>
  <c r="R225" i="1"/>
  <c r="I225" i="1"/>
  <c r="AC224" i="1"/>
  <c r="R224" i="1"/>
  <c r="I224" i="1"/>
  <c r="AC223" i="1"/>
  <c r="R223" i="1"/>
  <c r="I223" i="1"/>
  <c r="AC222" i="1"/>
  <c r="R222" i="1"/>
  <c r="I222" i="1"/>
  <c r="R221" i="1"/>
  <c r="I221" i="1"/>
  <c r="AC220" i="1"/>
  <c r="R220" i="1"/>
  <c r="I220" i="1"/>
  <c r="AC219" i="1"/>
  <c r="R219" i="1"/>
  <c r="I219" i="1"/>
  <c r="AC218" i="1"/>
  <c r="R218" i="1"/>
  <c r="I218" i="1"/>
  <c r="AC217" i="1"/>
  <c r="R217" i="1"/>
  <c r="I217" i="1"/>
  <c r="Q216" i="1"/>
  <c r="R216" i="1" s="1"/>
  <c r="I216" i="1"/>
  <c r="Q215" i="1"/>
  <c r="R215" i="1" s="1"/>
  <c r="I215" i="1"/>
  <c r="Q214" i="1"/>
  <c r="R214" i="1" s="1"/>
  <c r="I214" i="1"/>
  <c r="Q213" i="1"/>
  <c r="R213" i="1" s="1"/>
  <c r="I213" i="1"/>
  <c r="R212" i="1"/>
  <c r="Q212" i="1"/>
  <c r="I212" i="1"/>
  <c r="R211" i="1"/>
  <c r="Q211" i="1"/>
  <c r="I211" i="1"/>
  <c r="Q210" i="1"/>
  <c r="R210" i="1" s="1"/>
  <c r="I210" i="1"/>
  <c r="Q209" i="1"/>
  <c r="R209" i="1" s="1"/>
  <c r="I209" i="1"/>
  <c r="Q208" i="1"/>
  <c r="R208" i="1" s="1"/>
  <c r="I208" i="1"/>
  <c r="Q207" i="1"/>
  <c r="R207" i="1" s="1"/>
  <c r="I207" i="1"/>
  <c r="Q206" i="1"/>
  <c r="R206" i="1" s="1"/>
  <c r="I206" i="1"/>
  <c r="Q205" i="1"/>
  <c r="R205" i="1" s="1"/>
  <c r="I205" i="1"/>
  <c r="R204" i="1"/>
  <c r="Q204" i="1"/>
  <c r="I204" i="1"/>
  <c r="R203" i="1"/>
  <c r="Q203" i="1"/>
  <c r="I203" i="1"/>
  <c r="Q202" i="1"/>
  <c r="R202" i="1" s="1"/>
  <c r="I202" i="1"/>
  <c r="R201" i="1"/>
  <c r="I201" i="1"/>
  <c r="R200" i="1"/>
  <c r="Q200" i="1"/>
  <c r="I200" i="1"/>
  <c r="Q199" i="1"/>
  <c r="R199" i="1" s="1"/>
  <c r="I199" i="1"/>
  <c r="R198" i="1"/>
  <c r="I198" i="1"/>
  <c r="AC197" i="1"/>
  <c r="R197" i="1"/>
  <c r="I197" i="1"/>
  <c r="AC196" i="1"/>
  <c r="R196" i="1"/>
  <c r="I196" i="1"/>
  <c r="AC195" i="1"/>
  <c r="R195" i="1"/>
  <c r="I195" i="1"/>
  <c r="AC194" i="1"/>
  <c r="R194" i="1"/>
  <c r="I194" i="1"/>
  <c r="AC193" i="1"/>
  <c r="R193" i="1"/>
  <c r="I193" i="1"/>
  <c r="R192" i="1"/>
  <c r="I192" i="1"/>
  <c r="R191" i="1"/>
  <c r="I191" i="1"/>
  <c r="R190" i="1"/>
  <c r="I190" i="1"/>
  <c r="R189" i="1"/>
  <c r="I189" i="1"/>
  <c r="R188" i="1"/>
  <c r="I188" i="1"/>
  <c r="AC187" i="1"/>
  <c r="R187" i="1"/>
  <c r="I187" i="1"/>
  <c r="AC186" i="1"/>
  <c r="R186" i="1"/>
  <c r="I186" i="1"/>
  <c r="AC185" i="1"/>
  <c r="R185" i="1"/>
  <c r="I185" i="1"/>
  <c r="AC184" i="1"/>
  <c r="R184" i="1"/>
  <c r="I184" i="1"/>
  <c r="R183" i="1"/>
  <c r="I183" i="1"/>
  <c r="R182" i="1"/>
  <c r="I182" i="1"/>
  <c r="R181" i="1"/>
  <c r="I181" i="1"/>
  <c r="R180" i="1"/>
  <c r="I180" i="1"/>
  <c r="R179" i="1"/>
  <c r="I179" i="1"/>
  <c r="R178" i="1"/>
  <c r="I178" i="1"/>
  <c r="R177" i="1"/>
  <c r="I177" i="1"/>
  <c r="AC176" i="1"/>
  <c r="R176" i="1"/>
  <c r="I176" i="1"/>
  <c r="AC175" i="1"/>
  <c r="R175" i="1"/>
  <c r="I175" i="1"/>
  <c r="AC174" i="1"/>
  <c r="R174" i="1"/>
  <c r="I174" i="1"/>
  <c r="AC173" i="1"/>
  <c r="R173" i="1"/>
  <c r="I173" i="1"/>
  <c r="AC172" i="1"/>
  <c r="R172" i="1"/>
  <c r="I172" i="1"/>
  <c r="AC171" i="1"/>
  <c r="R171" i="1"/>
  <c r="I171" i="1"/>
  <c r="R170" i="1"/>
  <c r="I170" i="1"/>
  <c r="R169" i="1"/>
  <c r="I169" i="1"/>
  <c r="R168" i="1"/>
  <c r="I168" i="1"/>
  <c r="R167" i="1"/>
  <c r="I167" i="1"/>
  <c r="AC166" i="1"/>
  <c r="R166" i="1"/>
  <c r="I166" i="1"/>
  <c r="R165" i="1"/>
  <c r="I165" i="1"/>
  <c r="R164" i="1"/>
  <c r="I164" i="1"/>
  <c r="AC163" i="1"/>
  <c r="R163" i="1"/>
  <c r="I163" i="1"/>
  <c r="AC162" i="1"/>
  <c r="R162" i="1"/>
  <c r="I162" i="1"/>
  <c r="AC161" i="1"/>
  <c r="R161" i="1"/>
  <c r="I161" i="1"/>
  <c r="AC160" i="1"/>
  <c r="R160" i="1"/>
  <c r="I160" i="1"/>
  <c r="AC159" i="1"/>
  <c r="R159" i="1"/>
  <c r="I159" i="1"/>
  <c r="AC158" i="1"/>
  <c r="R158" i="1"/>
  <c r="I158" i="1"/>
  <c r="AC157" i="1"/>
  <c r="R157" i="1"/>
  <c r="I157" i="1"/>
  <c r="AC156" i="1"/>
  <c r="R156" i="1"/>
  <c r="I156" i="1"/>
  <c r="AC155" i="1"/>
  <c r="R155" i="1"/>
  <c r="I155" i="1"/>
  <c r="R154" i="1"/>
  <c r="I154" i="1"/>
  <c r="R153" i="1"/>
  <c r="I153" i="1"/>
  <c r="AC152" i="1"/>
  <c r="R152" i="1"/>
  <c r="I152" i="1"/>
  <c r="R151" i="1"/>
  <c r="I151" i="1"/>
  <c r="R150" i="1"/>
  <c r="I150" i="1"/>
  <c r="R149" i="1"/>
  <c r="I149" i="1"/>
  <c r="AC148" i="1"/>
  <c r="R148" i="1"/>
  <c r="I148" i="1"/>
  <c r="R147" i="1"/>
  <c r="I147" i="1"/>
  <c r="AC146" i="1"/>
  <c r="R146" i="1"/>
  <c r="I146" i="1"/>
  <c r="AC145" i="1"/>
  <c r="R145" i="1"/>
  <c r="I145" i="1"/>
  <c r="AC144" i="1"/>
  <c r="R144" i="1"/>
  <c r="I144" i="1"/>
  <c r="I143" i="1"/>
  <c r="AC142" i="1"/>
  <c r="R142" i="1"/>
  <c r="I142" i="1"/>
  <c r="AC141" i="1"/>
  <c r="R141" i="1"/>
  <c r="I141" i="1"/>
  <c r="AC140" i="1"/>
  <c r="R140" i="1"/>
  <c r="I140" i="1"/>
  <c r="R139" i="1"/>
  <c r="I139" i="1"/>
  <c r="R138" i="1"/>
  <c r="I138" i="1"/>
  <c r="AC137" i="1"/>
  <c r="R137" i="1"/>
  <c r="I137" i="1"/>
  <c r="AC136" i="1"/>
  <c r="R136" i="1"/>
  <c r="I136" i="1"/>
  <c r="R135" i="1"/>
  <c r="I135" i="1"/>
  <c r="R134" i="1"/>
  <c r="I134" i="1"/>
  <c r="R133" i="1"/>
  <c r="I133" i="1"/>
  <c r="R132" i="1"/>
  <c r="I132" i="1"/>
  <c r="R131" i="1"/>
  <c r="I131" i="1"/>
  <c r="R130" i="1"/>
  <c r="I130" i="1"/>
  <c r="R129" i="1"/>
  <c r="I129" i="1"/>
  <c r="R128" i="1"/>
  <c r="I128" i="1"/>
  <c r="R127" i="1"/>
  <c r="I127" i="1"/>
  <c r="R126" i="1"/>
  <c r="I126" i="1"/>
  <c r="R125" i="1"/>
  <c r="I125" i="1"/>
  <c r="R124" i="1"/>
  <c r="I124" i="1"/>
  <c r="R123" i="1"/>
  <c r="I123" i="1"/>
  <c r="R122" i="1"/>
  <c r="I122" i="1"/>
  <c r="R121" i="1"/>
  <c r="I121" i="1"/>
  <c r="R120" i="1"/>
  <c r="I120" i="1"/>
  <c r="AC119" i="1"/>
  <c r="R119" i="1"/>
  <c r="I119" i="1"/>
  <c r="R118" i="1"/>
  <c r="I118" i="1"/>
  <c r="R117" i="1"/>
  <c r="I117" i="1"/>
  <c r="AC116" i="1"/>
  <c r="R116" i="1"/>
  <c r="I116" i="1"/>
  <c r="R115" i="1"/>
  <c r="I115" i="1"/>
  <c r="R114" i="1"/>
  <c r="I114" i="1"/>
  <c r="R113" i="1"/>
  <c r="I113" i="1"/>
  <c r="R112" i="1"/>
  <c r="I112" i="1"/>
  <c r="R111" i="1"/>
  <c r="I111" i="1"/>
  <c r="R110" i="1"/>
  <c r="I110" i="1"/>
  <c r="R109" i="1"/>
  <c r="I109" i="1"/>
  <c r="R108" i="1"/>
  <c r="I108" i="1"/>
  <c r="R107" i="1"/>
  <c r="I107" i="1"/>
  <c r="AC106" i="1"/>
  <c r="R106" i="1"/>
  <c r="I106" i="1"/>
  <c r="R105" i="1"/>
  <c r="I105" i="1"/>
  <c r="AC104" i="1"/>
  <c r="R104" i="1"/>
  <c r="I104" i="1"/>
  <c r="R103" i="1"/>
  <c r="I103" i="1"/>
  <c r="R102" i="1"/>
  <c r="I102" i="1"/>
  <c r="R101" i="1"/>
  <c r="I101" i="1"/>
  <c r="R100" i="1"/>
  <c r="I100" i="1"/>
  <c r="R99" i="1"/>
  <c r="I99" i="1"/>
  <c r="R98" i="1"/>
  <c r="I98" i="1"/>
  <c r="AC97" i="1"/>
  <c r="R97" i="1"/>
  <c r="I97" i="1"/>
  <c r="R96" i="1"/>
  <c r="I96" i="1"/>
  <c r="R95" i="1"/>
  <c r="I95" i="1"/>
  <c r="AC94" i="1"/>
  <c r="R94" i="1"/>
  <c r="I94" i="1"/>
  <c r="R93" i="1"/>
  <c r="I93" i="1"/>
  <c r="R92" i="1"/>
  <c r="I92" i="1"/>
  <c r="R91" i="1"/>
  <c r="I91" i="1"/>
  <c r="R90" i="1"/>
  <c r="I90" i="1"/>
  <c r="R89" i="1"/>
  <c r="I89" i="1"/>
  <c r="R88" i="1"/>
  <c r="I88" i="1"/>
  <c r="AC87" i="1"/>
  <c r="R87" i="1"/>
  <c r="I87" i="1"/>
  <c r="AC86" i="1"/>
  <c r="R86" i="1"/>
  <c r="I86" i="1"/>
  <c r="AA85" i="1"/>
  <c r="R85" i="1"/>
  <c r="I85" i="1"/>
  <c r="R84" i="1"/>
  <c r="I84" i="1"/>
  <c r="AA83" i="1"/>
  <c r="R83" i="1"/>
  <c r="I83" i="1"/>
  <c r="AA82" i="1"/>
  <c r="R82" i="1"/>
  <c r="I82" i="1"/>
  <c r="R81" i="1"/>
  <c r="I81" i="1"/>
  <c r="R80" i="1"/>
  <c r="I80" i="1"/>
  <c r="R79" i="1"/>
  <c r="I79" i="1"/>
  <c r="AC78" i="1"/>
  <c r="R78" i="1"/>
  <c r="I78" i="1"/>
  <c r="R77" i="1"/>
  <c r="I77" i="1"/>
  <c r="R76" i="1"/>
  <c r="I76" i="1"/>
  <c r="R75" i="1"/>
  <c r="I75" i="1"/>
  <c r="R74" i="1"/>
  <c r="I74" i="1"/>
  <c r="R73" i="1"/>
  <c r="I73" i="1"/>
  <c r="R72" i="1"/>
  <c r="I72" i="1"/>
  <c r="R71" i="1"/>
  <c r="I71" i="1"/>
  <c r="R70" i="1"/>
  <c r="I70" i="1"/>
  <c r="R69" i="1"/>
  <c r="I69" i="1"/>
  <c r="R68" i="1"/>
  <c r="I68" i="1"/>
  <c r="R67" i="1"/>
  <c r="I67" i="1"/>
  <c r="R66" i="1"/>
  <c r="I66" i="1"/>
  <c r="R65" i="1"/>
  <c r="I65" i="1"/>
  <c r="R64" i="1"/>
  <c r="I64" i="1"/>
  <c r="R63" i="1"/>
  <c r="I63" i="1"/>
  <c r="R62" i="1"/>
  <c r="I62" i="1"/>
  <c r="R61" i="1"/>
  <c r="I61" i="1"/>
  <c r="R60" i="1"/>
  <c r="I60" i="1"/>
  <c r="R59" i="1"/>
  <c r="I59" i="1"/>
  <c r="R58" i="1"/>
  <c r="I58" i="1"/>
  <c r="R57" i="1"/>
  <c r="I57" i="1"/>
  <c r="R56" i="1"/>
  <c r="I56" i="1"/>
  <c r="R55" i="1"/>
  <c r="I55" i="1"/>
  <c r="R54" i="1"/>
  <c r="I54" i="1"/>
  <c r="R53" i="1"/>
  <c r="I53" i="1"/>
  <c r="R52" i="1"/>
  <c r="I52" i="1"/>
  <c r="R51" i="1"/>
  <c r="I51" i="1"/>
  <c r="R50" i="1"/>
  <c r="I50" i="1"/>
  <c r="I49" i="1"/>
  <c r="R48" i="1"/>
  <c r="I48" i="1"/>
  <c r="R47" i="1"/>
  <c r="I47" i="1"/>
  <c r="R46" i="1"/>
  <c r="I46" i="1"/>
  <c r="R45" i="1"/>
  <c r="I45" i="1"/>
  <c r="R44" i="1"/>
  <c r="I44" i="1"/>
  <c r="R43" i="1"/>
  <c r="I43" i="1"/>
  <c r="R42" i="1"/>
  <c r="I42" i="1"/>
  <c r="R41" i="1"/>
  <c r="I41" i="1"/>
  <c r="R40" i="1"/>
  <c r="I40" i="1"/>
  <c r="R39" i="1"/>
  <c r="I39" i="1"/>
  <c r="R38" i="1"/>
  <c r="I38" i="1"/>
  <c r="R37" i="1"/>
  <c r="I37" i="1"/>
  <c r="R36" i="1"/>
  <c r="I36" i="1"/>
  <c r="R35" i="1"/>
  <c r="I35" i="1"/>
  <c r="R34" i="1"/>
  <c r="I34" i="1"/>
  <c r="R33" i="1"/>
  <c r="I33" i="1"/>
  <c r="R32" i="1"/>
  <c r="I32" i="1"/>
  <c r="R31" i="1"/>
  <c r="I31" i="1"/>
  <c r="R30" i="1"/>
  <c r="I30" i="1"/>
  <c r="R29" i="1"/>
  <c r="I29" i="1"/>
  <c r="R28" i="1"/>
  <c r="I28" i="1"/>
  <c r="R27" i="1"/>
  <c r="I27" i="1"/>
  <c r="R26" i="1"/>
  <c r="I26" i="1"/>
  <c r="R25" i="1"/>
  <c r="I25" i="1"/>
  <c r="R24" i="1"/>
  <c r="I24" i="1"/>
  <c r="R23" i="1"/>
  <c r="I23" i="1"/>
  <c r="R22" i="1"/>
  <c r="I22" i="1"/>
  <c r="R21" i="1"/>
  <c r="I21" i="1"/>
  <c r="R20" i="1"/>
  <c r="I20" i="1"/>
  <c r="R19" i="1"/>
  <c r="I19" i="1"/>
  <c r="R18" i="1"/>
  <c r="I18" i="1"/>
  <c r="R17" i="1"/>
  <c r="I17" i="1"/>
  <c r="R16" i="1"/>
  <c r="I16" i="1"/>
  <c r="R15" i="1"/>
  <c r="I15" i="1"/>
  <c r="R14" i="1"/>
  <c r="I14" i="1"/>
  <c r="R13" i="1"/>
  <c r="I13" i="1"/>
  <c r="R12" i="1"/>
  <c r="I12" i="1"/>
  <c r="R11" i="1"/>
  <c r="I11" i="1"/>
  <c r="R10" i="1"/>
  <c r="I10" i="1"/>
  <c r="R9" i="1"/>
  <c r="I9" i="1"/>
  <c r="R8" i="1"/>
  <c r="I8" i="1"/>
  <c r="R7" i="1"/>
  <c r="I7" i="1"/>
  <c r="R6" i="1"/>
  <c r="I6" i="1"/>
  <c r="R5" i="1"/>
  <c r="I5" i="1"/>
  <c r="R4" i="1"/>
  <c r="I4" i="1"/>
  <c r="R3" i="1"/>
  <c r="I3" i="1"/>
  <c r="R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Wu,Rui</author>
  </authors>
  <commentList>
    <comment ref="AC16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Wu,Rui:</t>
        </r>
        <r>
          <rPr>
            <sz val="9"/>
            <rFont val="宋体"/>
            <family val="3"/>
            <charset val="134"/>
          </rPr>
          <t xml:space="preserve">
2023.6保底
200G*0.4+300G*0.4*23/30=172G</t>
        </r>
      </text>
    </comment>
  </commentList>
</comments>
</file>

<file path=xl/sharedStrings.xml><?xml version="1.0" encoding="utf-8"?>
<sst xmlns="http://schemas.openxmlformats.org/spreadsheetml/2006/main" count="16463" uniqueCount="5680">
  <si>
    <t>体系</t>
  </si>
  <si>
    <t>地区</t>
  </si>
  <si>
    <t>省份</t>
  </si>
  <si>
    <t>BD</t>
  </si>
  <si>
    <t>供应商</t>
  </si>
  <si>
    <t>合作单位</t>
  </si>
  <si>
    <t>机架/带宽/裸光纤/电路/工位&amp;库房/其他</t>
  </si>
  <si>
    <t>当前计提合同</t>
  </si>
  <si>
    <t>费用类型（机架、带宽、光纤/电路、其他）</t>
  </si>
  <si>
    <t>地点</t>
  </si>
  <si>
    <t>TCO机房名称（带宽）</t>
  </si>
  <si>
    <t>机房（机架）</t>
  </si>
  <si>
    <t>起始日期</t>
  </si>
  <si>
    <t>规格</t>
  </si>
  <si>
    <t>计费单位</t>
  </si>
  <si>
    <t>数量/长度</t>
  </si>
  <si>
    <t>金额</t>
  </si>
  <si>
    <t>费用期间</t>
  </si>
  <si>
    <t>业务备注</t>
  </si>
  <si>
    <t>财务备注</t>
  </si>
  <si>
    <t>SYS统计</t>
  </si>
  <si>
    <t>运营商统计</t>
  </si>
  <si>
    <t>合同开始日期</t>
  </si>
  <si>
    <t>合同结束时间</t>
  </si>
  <si>
    <t>TCO机房英文</t>
  </si>
  <si>
    <t>保底率</t>
  </si>
  <si>
    <t>带宽量</t>
  </si>
  <si>
    <t>保底量</t>
  </si>
  <si>
    <t>第三方</t>
  </si>
  <si>
    <t>吴蕊</t>
  </si>
  <si>
    <t>全国</t>
  </si>
  <si>
    <t>王冬雨</t>
  </si>
  <si>
    <t>阿里云计算有限公司</t>
  </si>
  <si>
    <t>阿里云</t>
  </si>
  <si>
    <t>带宽</t>
  </si>
  <si>
    <t>182215IDC00508</t>
  </si>
  <si>
    <t>CDN带宽</t>
  </si>
  <si>
    <t>换量</t>
  </si>
  <si>
    <t>阿里云_feed</t>
  </si>
  <si>
    <t>1M颗粒度，无保底。95计费，1000进制，系数1.1</t>
  </si>
  <si>
    <t>aliyun_feed</t>
  </si>
  <si>
    <t>阿里云_oppo</t>
  </si>
  <si>
    <t>aliyun_oppo</t>
  </si>
  <si>
    <t>阿里云_微软更新下载</t>
  </si>
  <si>
    <t>aliyun_msdl</t>
  </si>
  <si>
    <t>换量（错峰下载）-换量</t>
  </si>
  <si>
    <t>阿里云_小米</t>
  </si>
  <si>
    <t>错峰下载业务，小米。1M颗粒度，无保底。95计费，1000进制，系数1.1</t>
  </si>
  <si>
    <t>aliyun_xiaomi</t>
  </si>
  <si>
    <t>L20230630001</t>
  </si>
  <si>
    <t>阿里云_快手_移动</t>
  </si>
  <si>
    <t>1M颗粒度，无保底。日95月均，1000进制，系数1</t>
  </si>
  <si>
    <t>aliyun_kuaishou_cmnet</t>
  </si>
  <si>
    <t>北京超巨云威科技有限公司</t>
  </si>
  <si>
    <t>超巨云威</t>
  </si>
  <si>
    <t>182315IDC00213</t>
  </si>
  <si>
    <t>单采</t>
  </si>
  <si>
    <t>超巨云威_快手_非电信</t>
  </si>
  <si>
    <t>1M颗粒度，无保底，1000进制，系数1，月95计费</t>
  </si>
  <si>
    <t>cjcdn_kuaishou_not_ct</t>
  </si>
  <si>
    <t>超巨云威_快手_电信</t>
  </si>
  <si>
    <t>cjcdn_kuaishou_ct</t>
  </si>
  <si>
    <t>北京创世云科技股份有限公司</t>
  </si>
  <si>
    <t>创世云</t>
  </si>
  <si>
    <t>182315IDC00180</t>
  </si>
  <si>
    <t>百度国内CDN-换量</t>
  </si>
  <si>
    <t>创世云华为应用市场</t>
  </si>
  <si>
    <t>1M颗粒度，无保底。95计费，1000进制，系数1.2</t>
  </si>
  <si>
    <t>csyun_hwapp</t>
  </si>
  <si>
    <t>华北-吴蕊</t>
  </si>
  <si>
    <t>北京</t>
  </si>
  <si>
    <t>纪博宇</t>
  </si>
  <si>
    <t>北京皓宽网络科技有限公司</t>
  </si>
  <si>
    <t>皓宽</t>
  </si>
  <si>
    <t>182015IDC00230</t>
  </si>
  <si>
    <t>BGP带宽</t>
  </si>
  <si>
    <t>北京
BB-CNIX_BGP</t>
  </si>
  <si>
    <t>皓宽IXBGP</t>
  </si>
  <si>
    <t>30G</t>
  </si>
  <si>
    <t>30G包3端口，每个端口单价5000,每月固定15000，修改计提流量为3G。2022.4与SYS核对，实际带宽量为80G，其中50G免费</t>
  </si>
  <si>
    <t>BB-CNIX_BGP</t>
  </si>
  <si>
    <t>包端口</t>
  </si>
  <si>
    <t>北京火山引擎科技有限公司</t>
  </si>
  <si>
    <t>火山引擎</t>
  </si>
  <si>
    <t>L20230408004</t>
  </si>
  <si>
    <t>火山引擎_爱奇艺（移动+非移动）-换量</t>
  </si>
  <si>
    <t>火山引擎_爱奇艺</t>
  </si>
  <si>
    <t>包头系数1，1000进制，95计费</t>
  </si>
  <si>
    <t>volc_iqiyi</t>
  </si>
  <si>
    <t>L20230511004</t>
  </si>
  <si>
    <t>火山引擎_vivo_移动_联通</t>
  </si>
  <si>
    <t>vivo联通、移动-火山，包头系数1.0，进制1000，日95月均计费，计费起始日期为2022年6月1日。</t>
  </si>
  <si>
    <t>volc_vivo_cmnet_cnc</t>
  </si>
  <si>
    <t>北京蓝乔科技有限公司</t>
  </si>
  <si>
    <t>蓝乔科技</t>
  </si>
  <si>
    <t>182115IDC00215</t>
  </si>
  <si>
    <t>咪咕1CDN</t>
  </si>
  <si>
    <t>20210301开始计费，颗粒度1M，无保底；202105开始无此节点数据</t>
  </si>
  <si>
    <t>北京朗玛峰科技有限公司</t>
  </si>
  <si>
    <t>朗玛峰</t>
  </si>
  <si>
    <t>182315IDC00063</t>
  </si>
  <si>
    <t>快手电信</t>
  </si>
  <si>
    <t>朗玛峰_快手_广州电信</t>
  </si>
  <si>
    <t>不计提。包头系数1.0，进制1000，月95计费，合作期为2022年8月1日 至 2023年7月31日</t>
  </si>
  <si>
    <t>lmfcdn_kuaishou_gzct</t>
  </si>
  <si>
    <t>快手移动联通</t>
  </si>
  <si>
    <t>朗玛峰_快手_非广州电信</t>
  </si>
  <si>
    <t>不计提。包头系数1.0，进制1000，月95计费</t>
  </si>
  <si>
    <t>lmfcdn_kuaishou_not_gzct</t>
  </si>
  <si>
    <t>L20220804001</t>
  </si>
  <si>
    <t>异网带宽</t>
  </si>
  <si>
    <t>广东电信与异网（全国电信除广东、全国联通、全国移动）比例为40%比60%，如异网带宽使用量超出60%比例，超出部分费用为（全量-本网/40%)*单价。
算法举例：广东电信80G，异网120G，那这200G都是5300，如果异网到了130G，多出来的10G就是6500</t>
  </si>
  <si>
    <t>182315IDC00217</t>
  </si>
  <si>
    <t>朗玛峰_快手_非电信</t>
  </si>
  <si>
    <t>3个1000进制 系数:1</t>
  </si>
  <si>
    <t>lmfcdn_kuaishou_not_ct</t>
  </si>
  <si>
    <t>朗玛峰_快手_电信</t>
  </si>
  <si>
    <t>lmfcdn_kuaishou_ct</t>
  </si>
  <si>
    <t>北京云端智度科技有限公司</t>
  </si>
  <si>
    <t>云端</t>
  </si>
  <si>
    <t>182115IDC00384</t>
  </si>
  <si>
    <t>云端_换量</t>
  </si>
  <si>
    <t>端口关闭。颗粒度1M，无保底，95计费，1000进制，系数1.08。换量</t>
  </si>
  <si>
    <t>yd_exchange</t>
  </si>
  <si>
    <t>福建省越享互联网络科技有限公司</t>
  </si>
  <si>
    <t>越享互联</t>
  </si>
  <si>
    <t>182215IDC00579</t>
  </si>
  <si>
    <t>快手移动</t>
  </si>
  <si>
    <t>唯一_快手_移动</t>
  </si>
  <si>
    <t>wycdn_kuaishou_cmnet</t>
  </si>
  <si>
    <t>杭州又拍云科技有限公司</t>
  </si>
  <si>
    <t>杭州又拍云</t>
  </si>
  <si>
    <t>182115IDC00603</t>
  </si>
  <si>
    <t>咪咕新壹云2</t>
  </si>
  <si>
    <t>变更供应商，202108开始计费，颗粒度1M，无保底</t>
  </si>
  <si>
    <t>miguxyycdn2</t>
  </si>
  <si>
    <t>182215IDC00506</t>
  </si>
  <si>
    <t>中移国际cdn</t>
  </si>
  <si>
    <t>0G-16000000G 0.04854
16000000-40000000G 0.0436
40000000G-100000000G 0.0388
100000000G以上0.0339</t>
  </si>
  <si>
    <t>西安，1P=1000000G。销售合同已签署，合同期2022年7月1日-2023年6月30日</t>
  </si>
  <si>
    <t>zygjcdn</t>
  </si>
  <si>
    <t>中移国际_又拍_南昌</t>
  </si>
  <si>
    <t>南昌，1P=1000000G</t>
  </si>
  <si>
    <t>cmiyp-nc</t>
  </si>
  <si>
    <t>江苏朝宁网络科技有限公司</t>
  </si>
  <si>
    <t>江苏朝宁</t>
  </si>
  <si>
    <t>182315IDC00103</t>
  </si>
  <si>
    <t>朝宁_小红书_移动</t>
  </si>
  <si>
    <t>不计提。2023.1调整单价。颗粒度1M，95峰值计费，计费进制1000，包头系数1.0，中间层带宽不计费</t>
  </si>
  <si>
    <t>zaocdn_xhs_cmnet</t>
  </si>
  <si>
    <t>L20230204007</t>
  </si>
  <si>
    <t>朝宁_快手_电信</t>
  </si>
  <si>
    <t>不计提。2023.3.1调整单价，2个1024进制；需要注意20220801执行电联拆分计费。包头系数1.0，进制1024三遍，月95计费，合作期为2022年5月1日-2023年4月30日</t>
  </si>
  <si>
    <t>zaocdn_kuaishou_ct</t>
  </si>
  <si>
    <t>L20230204006</t>
  </si>
  <si>
    <t>爱奇艺电信（广东）-朝宁</t>
  </si>
  <si>
    <t>朝宁通用302_爱奇艺_电信</t>
  </si>
  <si>
    <t>2023.3.1调整单价，2个1024进制，流量并入快手电信；爱奇艺电信（广东）-朝宁，包头系数1.0，进制1024三遍，月95计费，合作期为2022年8月1日 至 2023年7月31日。</t>
  </si>
  <si>
    <t>zao302cdn_iqiyi_ct</t>
  </si>
  <si>
    <t>朝宁_快手_联通</t>
  </si>
  <si>
    <t>不计提。需要注意20220801执行电联拆分计费。包头系数1.0，进制1024三遍，月95计费，合作期为2022年5月1日-2023年4月30日</t>
  </si>
  <si>
    <t>zaocdn_kuaishou_cnc</t>
  </si>
  <si>
    <t>朝宁_爱奇艺_非移动</t>
  </si>
  <si>
    <t>爱奇艺电联-朝宁，包头系数1.0，进制1024三遍，月95计费，计费起始日期为2022年6月1日。</t>
  </si>
  <si>
    <t>zaocdn_iqiyi_not_cmnet</t>
  </si>
  <si>
    <t>爱奇艺（免流）电联-朝宁</t>
  </si>
  <si>
    <t>朝宁_爱奇艺_定向_非移动</t>
  </si>
  <si>
    <t>包头系数1.0，进制1024三遍，月95计费，合作期为2022年8月1日 至 2023年7月31日</t>
  </si>
  <si>
    <t>zaocdn_iqiyi_dx_not_cmnet</t>
  </si>
  <si>
    <t>江苏睿鸿网络技术股份有限公司</t>
  </si>
  <si>
    <t>江苏睿鸿</t>
  </si>
  <si>
    <t>182315IDC00114</t>
  </si>
  <si>
    <t>睿鸿CDN_汽车之家</t>
  </si>
  <si>
    <t>2023.1.1调整单价。2022年8月1日，进制调整为1024三遍，包头系数1.0，月95计费</t>
  </si>
  <si>
    <t>rhcdn_autohome</t>
  </si>
  <si>
    <t>182215IDC00534</t>
  </si>
  <si>
    <t>爱奇艺</t>
  </si>
  <si>
    <t>睿鸿CDN_爱奇艺_非移动</t>
  </si>
  <si>
    <t>需要注意202207价格变动。爱奇艺电信切睿鸿，月95计费，包头系数1，进制1024</t>
  </si>
  <si>
    <t>rhcdn_iqiyi_not_cmnet</t>
  </si>
  <si>
    <t>已退租</t>
  </si>
  <si>
    <t>睿鸿CDN_爱奇艺_移动</t>
  </si>
  <si>
    <t>需要注意202207价格变动。爱奇艺移动切睿鸿，月95计费，包头系数1，进制1024</t>
  </si>
  <si>
    <t>rhcdn_iqiyi_cmnet</t>
  </si>
  <si>
    <t>江苏意如信息科技有限公司</t>
  </si>
  <si>
    <t>江苏意如</t>
  </si>
  <si>
    <t>182315IDC00214</t>
  </si>
  <si>
    <t>意如CDN_爱奇艺_移动_山东</t>
  </si>
  <si>
    <t>1M颗粒度，无保底，1000进制，系数1。2022.10月计费方式为日95月均，2022.11月起执行月95</t>
  </si>
  <si>
    <t>yrcdn_iqiyi_cmnet_sd</t>
  </si>
  <si>
    <t>意如CDN_爱奇艺_移动_内蒙古</t>
  </si>
  <si>
    <t>1M颗粒度，无保底，1000进制，系数1</t>
  </si>
  <si>
    <t>yrcdn_iqiyi_cmnet_nmg</t>
  </si>
  <si>
    <t>江阴市普尔网络信息技术有限公司</t>
  </si>
  <si>
    <t>江阴普尔</t>
  </si>
  <si>
    <t>L20221215006</t>
  </si>
  <si>
    <t>江阴普尔换量</t>
  </si>
  <si>
    <t>1M，95计费，1000进制，系数1.05。业务类型为feed</t>
  </si>
  <si>
    <t>jyprcdn_exchange</t>
  </si>
  <si>
    <t>京东云计算有限公司</t>
  </si>
  <si>
    <t>京东云</t>
  </si>
  <si>
    <t>182115IDC00590</t>
  </si>
  <si>
    <t>爱奇艺移动</t>
  </si>
  <si>
    <t>京东云_爱奇艺_移动</t>
  </si>
  <si>
    <t>0-500G 6200
500G-1000G 6100
1000G以上 6000</t>
  </si>
  <si>
    <t>1000进制，系数1，95计费</t>
  </si>
  <si>
    <t>jdyun_iqiyi_cmnet</t>
  </si>
  <si>
    <t>L20221215002</t>
  </si>
  <si>
    <t>京东云换量feed</t>
  </si>
  <si>
    <t>京东云换量</t>
  </si>
  <si>
    <t>不计提。1000进制，系数1.1，95计费</t>
  </si>
  <si>
    <t>jdyun_exchange</t>
  </si>
  <si>
    <t>联通</t>
  </si>
  <si>
    <t>华东-吴蕊</t>
  </si>
  <si>
    <t>江苏</t>
  </si>
  <si>
    <t>王阳</t>
  </si>
  <si>
    <t>联通（江苏）产业互联网有限公司</t>
  </si>
  <si>
    <t>江苏联通</t>
  </si>
  <si>
    <t>L20230311027</t>
  </si>
  <si>
    <t>凤凰机房 NJ02-UNICOM_BGP</t>
  </si>
  <si>
    <t>BGP南京联通</t>
  </si>
  <si>
    <t>历史累计开通
NJ02-UNICOM_BGP</t>
  </si>
  <si>
    <t>20G</t>
  </si>
  <si>
    <t>中值计提。保底2G。100M颗粒度。3%认乙方，超过协商</t>
  </si>
  <si>
    <t>NJ02-UNICOM_BGP</t>
  </si>
  <si>
    <t>L20230311026</t>
  </si>
  <si>
    <t>徐州机房 XZUNCACHE</t>
  </si>
  <si>
    <t>徐洲联通</t>
  </si>
  <si>
    <t>历史累计开通
XZUNCACH</t>
  </si>
  <si>
    <t>160G
80G</t>
  </si>
  <si>
    <t>保底计提。3%认乙方，超过协商。2021.9.1保底降为72G。100M颗粒度</t>
  </si>
  <si>
    <t>XZUNCACHE</t>
  </si>
  <si>
    <t>L20230107007</t>
  </si>
  <si>
    <t>IDC带宽（静态）</t>
  </si>
  <si>
    <t>南京凤凰
NJ02-联通 120G
NJ02-联通代播 120G</t>
  </si>
  <si>
    <t>NJ02-联通</t>
  </si>
  <si>
    <t>历史累计开通
2019/9/7
NJM2+SZWGUNICOM</t>
  </si>
  <si>
    <t>240G</t>
  </si>
  <si>
    <t>中值计提。2022.7 原南京联通【NJM2】拆分为【 NJ02-联通代播】及【NJ02-联通IDC】南京联通与苏州万国联通合并保底56G，100M</t>
  </si>
  <si>
    <t>NJ02-CU-ST-2</t>
  </si>
  <si>
    <t>苏州花桥</t>
  </si>
  <si>
    <t>苏州万国联通</t>
  </si>
  <si>
    <t>历史累计开通
2019/9/7
NJM2+SZWGUNICOM
2022/8/10</t>
  </si>
  <si>
    <t>80G
-40G</t>
  </si>
  <si>
    <t>中值计提。从2022.2保底调整为20%。南京联通与苏州万国联通合并保底56G，100M</t>
  </si>
  <si>
    <t>SZWGUNICOM</t>
  </si>
  <si>
    <t>苏州太湖三线-江苏联通</t>
  </si>
  <si>
    <t>182115IDC00520</t>
  </si>
  <si>
    <t>苏州太湖三线-联通（CDN代静态）</t>
  </si>
  <si>
    <t>SZTH-联通CDN</t>
  </si>
  <si>
    <t>180G</t>
  </si>
  <si>
    <t>中值计提。保底54G，100M</t>
  </si>
  <si>
    <t>SZTH-CU-ST-1</t>
  </si>
  <si>
    <t>182015IDC00387</t>
  </si>
  <si>
    <t>常州软件园机房 CZIXUN</t>
  </si>
  <si>
    <t>常州三级联通</t>
  </si>
  <si>
    <t>2017/9/21
2019/4/25
2020/1/1</t>
  </si>
  <si>
    <t>80G
40G
60G</t>
  </si>
  <si>
    <t>30%保底，2020.1.19扩容60G，送15天测试前，扩容后保底54G，100M</t>
  </si>
  <si>
    <t>CZIXUN</t>
  </si>
  <si>
    <t>电信</t>
  </si>
  <si>
    <t>常州软件园机房 CZIXCT</t>
  </si>
  <si>
    <t>常州电信</t>
  </si>
  <si>
    <t>2017/9/21
2020/1/1
2021/6/1</t>
  </si>
  <si>
    <t>160G
100G
20G</t>
  </si>
  <si>
    <t>中值计提。2022.11调整单价。2021/6/1扩容20G。30%保底，扩容后保底84G。100M</t>
  </si>
  <si>
    <t>CZIXCT</t>
  </si>
  <si>
    <t>移动</t>
  </si>
  <si>
    <t>常州软件园机房 CZIXCM</t>
  </si>
  <si>
    <t>常州移动</t>
  </si>
  <si>
    <t>2017/9/21
2019/4/25
2020/1/1
2021/6/1</t>
  </si>
  <si>
    <t>80G
80G
40G
60G</t>
  </si>
  <si>
    <t>中值计提。2021/6/1扩容60G。30%保底，扩容后保底78G。100M颗粒度</t>
  </si>
  <si>
    <t>CZIXCM</t>
  </si>
  <si>
    <t>徐州机房</t>
  </si>
  <si>
    <t>徐州2联通</t>
  </si>
  <si>
    <t>CDNXZUN2</t>
  </si>
  <si>
    <t>100G</t>
  </si>
  <si>
    <t>中值计提。【BEC新建】徐州联通新增100G 节点正式上线  (XZ2UN)，保底30G，3%认乙方，超过协商。100M颗粒度。分端口计费</t>
  </si>
  <si>
    <t>XZ2UN</t>
  </si>
  <si>
    <t>L20230504028</t>
  </si>
  <si>
    <t>苏州</t>
  </si>
  <si>
    <t>苏州联通</t>
  </si>
  <si>
    <t>CDNSUZUN</t>
  </si>
  <si>
    <t>2023/4/10
2023/4/29</t>
  </si>
  <si>
    <t>1G
9G</t>
  </si>
  <si>
    <t>【BEC新建】苏州联通新增1G 2023-4-10节点正式上线 (CDNSUZUN)；
【BEC扩容】苏州联通新增9G 2023-4-29节点正式上线 (CDNSUZUN)</t>
  </si>
  <si>
    <t>SUZUN</t>
  </si>
  <si>
    <t>厦门哇哩科技有限公司</t>
  </si>
  <si>
    <t>哇哩科技</t>
  </si>
  <si>
    <t>182315IDC00249</t>
  </si>
  <si>
    <t>唯一CDN_小红书</t>
  </si>
  <si>
    <t>wycdn_xhs</t>
  </si>
  <si>
    <t>厦门网宿有限公司</t>
  </si>
  <si>
    <t>网宿</t>
  </si>
  <si>
    <t>L20230311030</t>
  </si>
  <si>
    <t>百度国内直播</t>
  </si>
  <si>
    <t>网宿国内直播</t>
  </si>
  <si>
    <t>分段计费
0-1G 9300
1G以上 10800</t>
  </si>
  <si>
    <t>1M，无保底。95计费，1000进制，无系数。（1）2022年4月1日开始，1.直播业务：月95%值计费 1000进制  无包头系数
0-1000M 执行9.3元/月/M。 超出1000M 以上，超出部分执行10.8元。 例如：带宽1500M  0-1000M执行9.3元  500M执行10.8元。
2.直播录制时间：每月免费赠送1000小时，超出1000小时0.2元/小时收费。
3.服务期限：2022年4月1日至2023年3月31日；（2）国内直播业务：0-1000M 执行9.8元。超出1000M 以上，超出部分执行11.5元。海外直播业务：0.32元/M/天
SYS 无数据，若月初可获得运营商账单，暂时以运营商数据计提。后续BD发邮件请SYS确认流量后结算</t>
  </si>
  <si>
    <t>直播录制时间</t>
  </si>
  <si>
    <t>直播录制时间：每月免费赠送1000小时， 超出1000小时，0.2元/小时收费</t>
  </si>
  <si>
    <t>海外直播</t>
  </si>
  <si>
    <t>网宿海外直播</t>
  </si>
  <si>
    <t>0.30元/天/M</t>
  </si>
  <si>
    <t>（1）20220401开始单价为0.3/M/天：按每日的第一峰值计费 1000进制 无包头系数；（2）按每日的第一峰值计费。海外直播业务：0.32元/M/天
SYS 无数据，若月初可获得运营商账单，暂时以运营商数据计提。后续BD发邮件请SYS确认流量后结算</t>
  </si>
  <si>
    <t>上海竞信网络科技有限公司</t>
  </si>
  <si>
    <t>上海竞信</t>
  </si>
  <si>
    <t>182215IDC00597</t>
  </si>
  <si>
    <t>竞信_快手_电信</t>
  </si>
  <si>
    <t>不计提。包头系数1.0，进制1024三遍，日95月均计费，合作期为2022年8月1日 至 2023年7月31日</t>
  </si>
  <si>
    <t>jxcdn_kuaishou_ct</t>
  </si>
  <si>
    <t>快手联通</t>
  </si>
  <si>
    <t>竞信_快手_联通</t>
  </si>
  <si>
    <t>jxcdn_kuaishou_cnc</t>
  </si>
  <si>
    <t>竞信_快手_移动</t>
  </si>
  <si>
    <t>jxcdn_kuaishou_cmnet</t>
  </si>
  <si>
    <t>上海七牛信息技术有限公司</t>
  </si>
  <si>
    <t>七牛云</t>
  </si>
  <si>
    <t>L20220305004</t>
  </si>
  <si>
    <t>七牛云爱奇艺移动</t>
  </si>
  <si>
    <t>七牛云_爱奇艺_移动</t>
  </si>
  <si>
    <t>95计费，1M，1000进制，无包头</t>
  </si>
  <si>
    <t>qnyun_iqiyi_cmnet</t>
  </si>
  <si>
    <t>L20220627002</t>
  </si>
  <si>
    <t>七牛云爱奇艺非移动-换量</t>
  </si>
  <si>
    <t>七牛云_爱奇艺_非移动</t>
  </si>
  <si>
    <t>qnyun_iqiyi_not_cmnet</t>
  </si>
  <si>
    <t>上海翌旭网络科技有限公司</t>
  </si>
  <si>
    <t>新壹云</t>
  </si>
  <si>
    <t>L20230408009</t>
  </si>
  <si>
    <t>新壹云_爱奇艺_非移动</t>
  </si>
  <si>
    <t>不计提。需要注意202206价格变动。202108按照预审合同调整计提单价。1M，无保底，95计费，1000进制，无系数
2021.1 原“新壹云”端口更名为“新壹云_爱奇艺_非移动”</t>
  </si>
  <si>
    <t>xyyun_iqiyi_not_cmnet</t>
  </si>
  <si>
    <t>182315IDC00212</t>
  </si>
  <si>
    <t>新壹云_爱奇艺_移动</t>
  </si>
  <si>
    <t>202205价格变动。需要注意202207价格变动。2022.1调整单价。月95计费，包头系数1，1000进制）</t>
  </si>
  <si>
    <t>xyyun_iqiyi_cmnet</t>
  </si>
  <si>
    <t>上海中传网络技术股份有限公司</t>
  </si>
  <si>
    <t>上海中传</t>
  </si>
  <si>
    <t>L20220506002</t>
  </si>
  <si>
    <t>咪咕中传</t>
  </si>
  <si>
    <t>20210401开始计费，颗粒度1M，无保底，202109开始无此节点数据</t>
  </si>
  <si>
    <t>miguzccdn</t>
  </si>
  <si>
    <t>上饶天利清洁技术有限公司</t>
  </si>
  <si>
    <t>上饶天利</t>
  </si>
  <si>
    <t>182215IDC00029</t>
  </si>
  <si>
    <t>咪咕方月1</t>
  </si>
  <si>
    <t xml:space="preserve">migufy1 </t>
  </si>
  <si>
    <t>咪咕华余1</t>
  </si>
  <si>
    <t>miguhycdn1</t>
  </si>
  <si>
    <t>深圳市梦网云臻科技有限公司</t>
  </si>
  <si>
    <t>梦网云</t>
  </si>
  <si>
    <t>182315IDC00010</t>
  </si>
  <si>
    <t>梦网_点播</t>
  </si>
  <si>
    <t>点播类业务电联-梦网，包头系数1.0，进制1000，月95计费</t>
  </si>
  <si>
    <t>mwcdn_video</t>
  </si>
  <si>
    <t>腾讯云计算（北京）有限责任公司</t>
  </si>
  <si>
    <t>腾讯云</t>
  </si>
  <si>
    <t>182315IDC00181</t>
  </si>
  <si>
    <t>腾讯云_换量</t>
  </si>
  <si>
    <t>包头系数1.1，1000进制，计费方式：月95计费</t>
  </si>
  <si>
    <t>txyun_exchange</t>
  </si>
  <si>
    <t>天翼云科技有限公司</t>
  </si>
  <si>
    <t>天翼云</t>
  </si>
  <si>
    <t>182315IDC00104</t>
  </si>
  <si>
    <t>小红书电联-天翼云</t>
  </si>
  <si>
    <t>电信CDN_小红书</t>
  </si>
  <si>
    <t>包头系数1.0，进制1024（两遍），月95计费</t>
  </si>
  <si>
    <t>ctcdn_xhs</t>
  </si>
  <si>
    <t>L20230311033</t>
  </si>
  <si>
    <t>天翼云换量</t>
  </si>
  <si>
    <t>电信CDN</t>
  </si>
  <si>
    <t>天翼云换量，OPPO业务，日峰月均，1M，1000进制，无包头</t>
  </si>
  <si>
    <t>ctcdn</t>
  </si>
  <si>
    <t>L20230311032</t>
  </si>
  <si>
    <t>优酷电信-天翼云-换量</t>
  </si>
  <si>
    <t>电信CDN_优酷</t>
  </si>
  <si>
    <t>包头系数1.0，进制1024两遍，月95计费，合作期为2022年8月1日 至 2023年7月31日</t>
  </si>
  <si>
    <t>ctcdn_youku</t>
  </si>
  <si>
    <t>乌兰察布华为云计算技术有限公司</t>
  </si>
  <si>
    <t>华为</t>
  </si>
  <si>
    <t>L20230107005</t>
  </si>
  <si>
    <t>快手三网-华为云</t>
  </si>
  <si>
    <t>华为云快手</t>
  </si>
  <si>
    <t>颗粒度1M，包头系数1.0，进制1000，日95月均计费。乙方自建资源承接，禁止融合；
资源比例是4（电信）3（移动）3（联通）。</t>
  </si>
  <si>
    <t>hwyun_kuaishou</t>
  </si>
  <si>
    <t>182315IDC00154</t>
  </si>
  <si>
    <t>华为云换量</t>
  </si>
  <si>
    <t>1000进制，95计费，系数1.1，颗粒度1M
1M颗粒度，无保底</t>
  </si>
  <si>
    <t>hwyun_exchange</t>
  </si>
  <si>
    <t>L20230204011</t>
  </si>
  <si>
    <t>华为-小米换量</t>
  </si>
  <si>
    <t>华为云_小米</t>
  </si>
  <si>
    <t>不计提。华为，小米业务，包头系数1.0，进制1024两遍，月95计费，计费起始日期为2022年3月1日。</t>
  </si>
  <si>
    <t>hwyun_xiaomi</t>
  </si>
  <si>
    <t>武汉拓研信息技术有限公司</t>
  </si>
  <si>
    <t>武汉拓研</t>
  </si>
  <si>
    <t>182315IDC00102</t>
  </si>
  <si>
    <t>拓研_快手_联通_移动</t>
  </si>
  <si>
    <t>1个1024，月95计费，包头1</t>
  </si>
  <si>
    <t>tycdn_kuaishou_cnc_cmnet</t>
  </si>
  <si>
    <t>拓研_快手_电信</t>
  </si>
  <si>
    <t>不计提。1个1024，月95计费，包头1</t>
  </si>
  <si>
    <t>tycdn_kuaishou_ct</t>
  </si>
  <si>
    <t>西安乐高云智能科技有限公司</t>
  </si>
  <si>
    <t>西安乐高</t>
  </si>
  <si>
    <t>182115IDC00421</t>
  </si>
  <si>
    <t>咪咕华余</t>
  </si>
  <si>
    <t>202105开始计费，颗粒度1M，无保底，95计费。202107开始无此节点数据</t>
  </si>
  <si>
    <t>miguhycdn</t>
  </si>
  <si>
    <t>有帮信息科技（北京）有限公司</t>
  </si>
  <si>
    <t>有帮</t>
  </si>
  <si>
    <t>182315IDC00098</t>
  </si>
  <si>
    <t>微软云_作业帮</t>
  </si>
  <si>
    <t>有帮（微软、蓝云），1M颗粒度，无保底，1000进制，系数1，月95计费</t>
  </si>
  <si>
    <t>wryun_zuoyebang</t>
  </si>
  <si>
    <t>山东</t>
  </si>
  <si>
    <t>付瑶</t>
  </si>
  <si>
    <t>中国电信股份有限公司济南分公司</t>
  </si>
  <si>
    <t>济南电信</t>
  </si>
  <si>
    <t>182115IDC00559</t>
  </si>
  <si>
    <t>高防带宽</t>
  </si>
  <si>
    <t>高防带宽
JNLXCT-CT-ST-1</t>
  </si>
  <si>
    <t>济南电信高防节点</t>
  </si>
  <si>
    <t>JNLXCT-电信（交付邮件与SYS建议计费表不一致，以SYS建议计费表为准，此名称作为备注）</t>
  </si>
  <si>
    <t>2017/8/18
2021/1/29</t>
  </si>
  <si>
    <t>400G+100G+100G</t>
  </si>
  <si>
    <t>颗粒度10M，120G保底。2019年6月CDN复用高防100G，自2020年12月CDN复用增至400G，高防使用200G。对应OSS 济南电信二级 节点</t>
  </si>
  <si>
    <t>JNLXCT-CT-ST-1</t>
  </si>
  <si>
    <t>L20230119002</t>
  </si>
  <si>
    <t>济南3电信</t>
  </si>
  <si>
    <t>CDNJNCT2</t>
  </si>
  <si>
    <t>2023/1/1
2023/3/31</t>
  </si>
  <si>
    <t>200G</t>
  </si>
  <si>
    <t>2023/3/31退租。【CDN新建】山东济南电信  新建200G  2023-1-1 节点正式上线  (JN3CT)，保底60G，10M</t>
  </si>
  <si>
    <t>JN3CT</t>
  </si>
  <si>
    <t>中国电信股份有限公司江苏分公司</t>
  </si>
  <si>
    <t>苏州电信</t>
  </si>
  <si>
    <t>L20221215009</t>
  </si>
  <si>
    <t>SSL带宽</t>
  </si>
  <si>
    <t>苏州-南施街</t>
  </si>
  <si>
    <t>苏州电信SSL南施街</t>
  </si>
  <si>
    <t>—
2019/11/30
2021/9/15</t>
  </si>
  <si>
    <t>50G
-30G
-20G</t>
  </si>
  <si>
    <t>该端口已退租。2021/9/19机房搬迁，退租20G，带宽保底按照30%来计费,6G，100M</t>
  </si>
  <si>
    <t>苏州昆山</t>
  </si>
  <si>
    <t>苏州电信SSL</t>
  </si>
  <si>
    <t>SSL节点无保底，由CDN承担，每月按实际流量计提。2021/9/23机房搬迁，开通20G，100M，与CDN合并保底</t>
  </si>
  <si>
    <t>SUSSLTELECOM</t>
  </si>
  <si>
    <t>昆山 
SUZCT 160G</t>
  </si>
  <si>
    <t>历史开通
2022/5/31
2022/8/31</t>
  </si>
  <si>
    <t>320G
-20G（SZ2CT）
-140G</t>
  </si>
  <si>
    <t>2022.8.1原SUZCT 160+SUZ2CT 140G合并计费，拆分为单节点计费，苏州电信节点需要帮SSL跑20G保底 。2022/5/31 SUZ2CT退租20G，从2022.5带宽量为300G，保底90G,100M；SUZCT 160G与SUZ2CT 140G合并计费</t>
  </si>
  <si>
    <t>SUZCT</t>
  </si>
  <si>
    <t>昆山 
SUZ2CT 140G</t>
  </si>
  <si>
    <t>苏州电信2</t>
  </si>
  <si>
    <t>历史开通
2022/5/31
2022/8/1</t>
  </si>
  <si>
    <t>140G</t>
  </si>
  <si>
    <t>保底计提。2022.8.1原SUZCT 160+SUZ2CT 140G合并计费，拆分为单节点计费 。</t>
  </si>
  <si>
    <t>SUZ2CT</t>
  </si>
  <si>
    <t>宿迁电信</t>
  </si>
  <si>
    <t>L20221215008</t>
  </si>
  <si>
    <t>宿迁电信+宿迁2
SQCT 200G
SQ2CT 200G</t>
  </si>
  <si>
    <t>宿迁2电信</t>
  </si>
  <si>
    <t>2018/9/21
2022/6/17</t>
  </si>
  <si>
    <t>200G+200G
-200G-200G</t>
  </si>
  <si>
    <t>2022/6/17 宿迁电信 宿迁2电信调整为宿迁电信二级。中值计提。保底120G,100M。
SQCT 200G与SQ2CT 200G合并计费
共配送40个机柜，每万兆送32个IP</t>
  </si>
  <si>
    <t>SQ2CT</t>
  </si>
  <si>
    <t>宿迁电信二级</t>
  </si>
  <si>
    <t>400G</t>
  </si>
  <si>
    <t>保底计提。2022/6/17 宿迁电信 宿迁2电信调整为宿迁电信二级。保底120G,100M。
SQCT 200G与SQ2CT 200G合并计费
共配送40个机柜，每万兆送32个IP</t>
  </si>
  <si>
    <t>SQCTCACHE</t>
  </si>
  <si>
    <t>南京电信</t>
  </si>
  <si>
    <t>L20220910002</t>
  </si>
  <si>
    <t>南京
NJ02-电信 140G
NJ02-电信代播 200G
NJ03 80G</t>
  </si>
  <si>
    <t>NJ02-电信</t>
  </si>
  <si>
    <t>420G</t>
  </si>
  <si>
    <t>阶梯计费
0-100G   15000
100G以上   14000</t>
  </si>
  <si>
    <t>2022.7原NJ02【南京凤凰】拆分为【NJ02-电信代播】和【NJ02-电信IDC】。颗粒度1M,与南京吉山电信合并保底85G，合并计算阶梯价格
原南京凤凰节点流量，拆分出到南京凤凰、南京吉山电信2个节点上。NJ02 300G
NJ03 80G合并至NJ02</t>
  </si>
  <si>
    <t>NJ02-CT-ST-2</t>
  </si>
  <si>
    <t>南京凤凰与南京吉山电信合并保底85G</t>
  </si>
  <si>
    <t>南京
NJJS 200G</t>
  </si>
  <si>
    <t>南京吉山电信</t>
  </si>
  <si>
    <t>颗粒度1M,与南京凤凰合并保底85G，合并计算阶梯价格
原南京凤凰节点流量，拆分出到南京凤凰、南京吉山电信2个节点上</t>
  </si>
  <si>
    <t>NJJSTELECOM</t>
  </si>
  <si>
    <t>河西二长NJ03
NJ02-TELECOM_BGP</t>
  </si>
  <si>
    <t>BGP南京电信</t>
  </si>
  <si>
    <t>颗粒度1M,保底2G</t>
  </si>
  <si>
    <t>NJ02-TELECOM_BGP</t>
  </si>
  <si>
    <t>L20220910003</t>
  </si>
  <si>
    <t>太湖机房
苏州万国电信 40G
太湖电信 80G</t>
  </si>
  <si>
    <t>太湖电信</t>
  </si>
  <si>
    <t>40G
80G</t>
  </si>
  <si>
    <t>阶梯计费
0-16G   15000
16G以上   14000</t>
  </si>
  <si>
    <t xml:space="preserve">保底16G。1M
SZTH-TELECOM 80G与SZWG 40合并计费，计入SZTH-TELECOM </t>
  </si>
  <si>
    <t>SZTH-TELECOM</t>
  </si>
  <si>
    <t>苏州太湖三线-苏州电信</t>
  </si>
  <si>
    <t>L20220910005</t>
  </si>
  <si>
    <t>苏州太湖三线-电信（CDN代静态）</t>
  </si>
  <si>
    <t>SZTH-电信CDN</t>
  </si>
  <si>
    <t>2021/10/1
2023/4/1</t>
  </si>
  <si>
    <t>280G
120G</t>
  </si>
  <si>
    <t>2023.4.1扩容120G，扩容后共400G，保底120G，颗粒度100M，2021/10/1开通苏州太湖三线</t>
  </si>
  <si>
    <t>SZTH-CT-ST-2</t>
  </si>
  <si>
    <t>中国电信股份有限公司连云港分公司</t>
  </si>
  <si>
    <t>连云港电信</t>
  </si>
  <si>
    <t>L20230227001</t>
  </si>
  <si>
    <t>连云港</t>
  </si>
  <si>
    <t>连云港三线电信</t>
  </si>
  <si>
    <t>CDNLYGIX</t>
  </si>
  <si>
    <t>50G</t>
  </si>
  <si>
    <t>【BEC新建】连云港三线电信新建50G 2023-2-1节点正式上线  (LYGIXCT)：保底30%即15G，100M。3个1024</t>
  </si>
  <si>
    <t>LYGIXCT</t>
  </si>
  <si>
    <t>中国电信股份有限公司青岛分公司</t>
  </si>
  <si>
    <t>青岛电信</t>
  </si>
  <si>
    <t>L20230331002</t>
  </si>
  <si>
    <t>青岛电信
QDIXCT</t>
  </si>
  <si>
    <t>2016/1/1 2019-12-31
2021/6/10</t>
  </si>
  <si>
    <t>180G
+80G
+20G</t>
  </si>
  <si>
    <t>颗粒度100M，保底84G。直接降价，流量不打折，青岛三级电信2021.6.10扩容20G带宽</t>
  </si>
  <si>
    <t>QDIXCT</t>
  </si>
  <si>
    <t>青岛电信2+3
QD2CT</t>
  </si>
  <si>
    <t>青岛电信2</t>
  </si>
  <si>
    <t>2018/3/29
2019/12/31
2021/6/30</t>
  </si>
  <si>
    <t>240G
-100G
-140G</t>
  </si>
  <si>
    <t>已退租。2019-12-31青岛2电信关闭100G,剩余140G.颗粒度100M，保底42G;2021.6.30退租140G带宽</t>
  </si>
  <si>
    <t>QD2CT</t>
  </si>
  <si>
    <t>青岛滨海电信（云盘）
QDBHTELECOM</t>
  </si>
  <si>
    <t>青岛滨海电信</t>
  </si>
  <si>
    <t>2018/7/19 2020/3/28</t>
  </si>
  <si>
    <t>180G+60G</t>
  </si>
  <si>
    <t>颗粒度100M，原保底72G；2020-3-28扩容60G</t>
  </si>
  <si>
    <t>QDBHTELECOM</t>
  </si>
  <si>
    <t>青岛4电信
QD4CT</t>
  </si>
  <si>
    <t>青岛4电信</t>
  </si>
  <si>
    <t>2018/10/13
2021/6/30</t>
  </si>
  <si>
    <t>240G
-60G</t>
  </si>
  <si>
    <t>保底计提。颗粒度100M，保底54G，2021.6.30退租60G</t>
  </si>
  <si>
    <t>QD4CT</t>
  </si>
  <si>
    <t>青岛电信
QDSSLTELECOM</t>
  </si>
  <si>
    <t>青岛电信SSL</t>
  </si>
  <si>
    <t>10G</t>
  </si>
  <si>
    <t>颗粒度100M，保底1G</t>
  </si>
  <si>
    <t>QDSSLTELECOM</t>
  </si>
  <si>
    <t>上海</t>
  </si>
  <si>
    <t>中国电信股份有限公司上海分公司</t>
  </si>
  <si>
    <t>上海电信</t>
  </si>
  <si>
    <t>L20230527001</t>
  </si>
  <si>
    <t>上海电信-华信 SHCT</t>
  </si>
  <si>
    <t>2017/6/29
2019/7/8
2019/12/31
2022/7/31</t>
  </si>
  <si>
    <t>160G
160G
-20G
-300G</t>
  </si>
  <si>
    <t>2022/7/31 退租300G，节点关闭。100M。40%保底， SHCT  SH4CT合并计费，合并保底224G</t>
  </si>
  <si>
    <t>SHCT</t>
  </si>
  <si>
    <t>上海电信-华信
SH4CT</t>
  </si>
  <si>
    <t>上海4电信</t>
  </si>
  <si>
    <t>2019/7/14
2019/12/31
2021/10/1
2022/7/31</t>
  </si>
  <si>
    <t>240G
-40G
60G
-200G</t>
  </si>
  <si>
    <t>2022/7/31退租200G，剩余60G（其中SSL复用40G）保底24G。2021.10扩容60G，无机架 IP等资源增加。100M。40%保底， SHCT  SH4CT合并计费，合并保底224G</t>
  </si>
  <si>
    <t>SH4CT</t>
  </si>
  <si>
    <t>中国电信股份有限公司苏州分公司</t>
  </si>
  <si>
    <t>181915IDC00358</t>
  </si>
  <si>
    <t>苏州4电信</t>
  </si>
  <si>
    <t>免费节点。江苏苏州电信 增量100G完成业务测试，已于2020-02-28开始正式切流量上线,所有资源均免费</t>
  </si>
  <si>
    <t>SUZ4CT</t>
  </si>
  <si>
    <t>免费节点</t>
  </si>
  <si>
    <t>中国电信集团有限公司济南分公司</t>
  </si>
  <si>
    <t>182015IDC00231</t>
  </si>
  <si>
    <t>JNGFTELECOM-SDTELECOM_BGP</t>
  </si>
  <si>
    <t>济南高防电信山东电信BGP</t>
  </si>
  <si>
    <t>分段计费
0-5G 50000
5G以上 40000</t>
  </si>
  <si>
    <t>保底计提。颗粒度500M，保底2G，峰值计费。按照2Gbps/月保底计费，不足2Gbps按照2Gbps保底流量费用收取。</t>
  </si>
  <si>
    <t>中国联合网络通信有限公司济南市分公司</t>
  </si>
  <si>
    <t>济南联通</t>
  </si>
  <si>
    <t>182215IDC00348</t>
  </si>
  <si>
    <t>济南</t>
  </si>
  <si>
    <t>济南联通2</t>
  </si>
  <si>
    <t>历史开通
2017/1/20
2017/11/28
2019/1/26
2021/10/1
2022/5/31
2022/8/31</t>
  </si>
  <si>
    <t>CDN&amp;云：380G
240G
60G
-200G(JN2UN)
-300G（JNUNCACHE）</t>
  </si>
  <si>
    <t>2022.9.1开始JN2UN和JNUNCACHE单独计费，JN2UN保底24G。2022/5/31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</si>
  <si>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JN2UN</t>
  </si>
  <si>
    <t>济南联通二级</t>
  </si>
  <si>
    <t>300G</t>
  </si>
  <si>
    <t>2022.9.1开始JN2UN和JNUNCACHE单独计费，JNUNCACHE保底90G。2022/5/31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</si>
  <si>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JNUNCACHE</t>
  </si>
  <si>
    <t>济南
JNSSLUNICOM-2</t>
  </si>
  <si>
    <t>济南联通-2SSL</t>
  </si>
  <si>
    <t>JN_SSL</t>
  </si>
  <si>
    <t>2017/11/28
2022/5/31</t>
  </si>
  <si>
    <t>20G
-20G</t>
  </si>
  <si>
    <t>2022.5.31节点退租，复用高防节点。颗粒度100M.济南联通2、济南联通二级与SSL合并保底120G。按实际流量计提。</t>
  </si>
  <si>
    <t>JNSSLUNICOM-2</t>
  </si>
  <si>
    <t>高防带宽-济南
JNGFUNICOM</t>
  </si>
  <si>
    <t>济南联通高防节点</t>
  </si>
  <si>
    <t>保底共48G，颗粒度100M。CDN复用高防80G（济南4联通JN4UN）</t>
  </si>
  <si>
    <t>JNGFUNICOM</t>
  </si>
  <si>
    <t>L20211025001</t>
  </si>
  <si>
    <t>JN6UN</t>
  </si>
  <si>
    <t>济南6联通</t>
  </si>
  <si>
    <t>CDNJNUN</t>
  </si>
  <si>
    <t>2021/10/1
2021/11/30</t>
  </si>
  <si>
    <t>500G
-500G</t>
  </si>
  <si>
    <t xml:space="preserve">2021.10.1开通500G带宽、22个机柜、544个IP。临时免费节点（2021.10.1~2021.11.30）；于2021.11.30退租
</t>
  </si>
  <si>
    <t>L20220710006</t>
  </si>
  <si>
    <t>济南8联通</t>
  </si>
  <si>
    <t>2022/7/1
2023/4/1</t>
  </si>
  <si>
    <t>100G
40G</t>
  </si>
  <si>
    <t>免费节点。 2023-04-01扩容40G，扩容后共140G；【CDN新建】山东济南联通  新建100G  2022-07-01 节点正式上线  (JN8UN)</t>
  </si>
  <si>
    <t>JN8UN</t>
  </si>
  <si>
    <t>济南9联通</t>
  </si>
  <si>
    <t>500G</t>
  </si>
  <si>
    <t>保底计提。【BEC新建】济南联通新建500G，100M，保底150G。计提参考</t>
  </si>
  <si>
    <t>JN9UN</t>
  </si>
  <si>
    <t>中国联合网络通信有限公司连云港市分公司</t>
  </si>
  <si>
    <t>连云港联通</t>
  </si>
  <si>
    <t>L20230227003</t>
  </si>
  <si>
    <t>连云港三线联通</t>
  </si>
  <si>
    <t>按运营商计提。【BEC新建】连云港三线联通新建30G 2023-2-1节点正式上线  (LYGIXUN)：保底30%即9G，100M</t>
  </si>
  <si>
    <t>LYGIXUN</t>
  </si>
  <si>
    <t>中国联合网络通信有限公司青岛市分公司</t>
  </si>
  <si>
    <t>青岛联通</t>
  </si>
  <si>
    <t>L20230204004</t>
  </si>
  <si>
    <t>滨海机房
QDBHUNICOM</t>
  </si>
  <si>
    <t>青岛滨海联通</t>
  </si>
  <si>
    <t>QDBH</t>
  </si>
  <si>
    <t>保底72G，500M颗粒度，0-1以百度为准，超出取中值。争议解决条款及颗粒度来源于181715IDC00215</t>
  </si>
  <si>
    <t>QDBHUNICOM</t>
  </si>
  <si>
    <t>L20230311036</t>
  </si>
  <si>
    <t>QD5UN 200G 二枢纽
QD6UN 0G  二枢纽
QDIXUN 180G 崂山
QD2UN 160G 崂山QDUNGROUP2</t>
  </si>
  <si>
    <t>青岛2联通</t>
  </si>
  <si>
    <t xml:space="preserve">2012/12/25
2021/6/30
2021/8/13
2018/5/9
2016/8/12
2011/6/11
2018/9/11
2021/8/13
2019/1/25
2022/5/31
2022/8/1 </t>
  </si>
  <si>
    <t>460G
-260G+80
100G
180G
80G-80
240G
-80G(QD5UN)-80G(QD2UN)-100G(QD6UN)
-380G(拆分节点)</t>
  </si>
  <si>
    <t>保底计提。3%认乙方，超过协商。2022.8.1原QD5UN 200G+QDIXUN 180G +QD2UN 160G 合并计费，本月拆分为单节点计费，青岛2联通需要帮SSL跑保底。2022/5/31 QD5UN退租80G，QD2UN退租80G，QD6UN退租100G即全部退租。从2022.5带宽总量为540G，与SSL、QD8UN合并保底255G，计费颗粒度500M；包含青岛三级联通节点;2021.5.1从QD3UN节点迁移120G至QD5UN节点；2021.6.30退租260G带宽；自2022.1.20起，QD6UN节点100G带宽转BEC使用</t>
  </si>
  <si>
    <t>QD2UN</t>
  </si>
  <si>
    <t>QD5UN 200G 二枢纽</t>
  </si>
  <si>
    <t>青岛5联通</t>
  </si>
  <si>
    <t>保底计提。3%认乙方，超过协商。2022.8.1原QD5UN 200G+QDIXUN 180G +QD2UN 160G 合并计费，本月拆分为单节点计费。</t>
  </si>
  <si>
    <t>QD5UN</t>
  </si>
  <si>
    <t>QDIXUN 180G 崂山</t>
  </si>
  <si>
    <t>2022.8.1原QD5UN 200G+QDIXUN 180G +QD2UN 160G 合并计费，本月拆分为单节点计费。</t>
  </si>
  <si>
    <t>QDIXUN</t>
  </si>
  <si>
    <t>二枢纽机房
QDSSLUNICOM</t>
  </si>
  <si>
    <t>青岛联通SSL</t>
  </si>
  <si>
    <t>QD_SSL 二枢纽</t>
  </si>
  <si>
    <t>2018/9/11
2022/8/31</t>
  </si>
  <si>
    <t>10G
-10G</t>
  </si>
  <si>
    <t>2022/8/31退租10G，节点下线。青岛2 青岛8 青岛SSL合并保底255G。SSL按实际流量计提。计费颗粒度500M；与CDN 合并保底</t>
  </si>
  <si>
    <t>QDSSLUNICOM</t>
  </si>
  <si>
    <t xml:space="preserve">青岛8联通 </t>
  </si>
  <si>
    <t>QD8UN  二枢纽</t>
  </si>
  <si>
    <t>2021/12/1
2022/9/1
2022/12/31</t>
  </si>
  <si>
    <t>300G
-150G
-150G</t>
  </si>
  <si>
    <t>2022.12.31节点退租。2022.9.1从青岛8联通迁移150G至新建节点青岛9联通。2021.12.1开始计费300G，保底90G、开通4个机柜、288个IP</t>
  </si>
  <si>
    <t xml:space="preserve">QD8UN </t>
  </si>
  <si>
    <t xml:space="preserve">青岛9联通 </t>
  </si>
  <si>
    <t>QD9UN  二枢纽</t>
  </si>
  <si>
    <t>2022/9/1
2022/12/31</t>
  </si>
  <si>
    <t>150G
-150G</t>
  </si>
  <si>
    <t>2022.12.31节点退租。2022.9.1从青岛8联通迁移150G至新建节点青岛9联通。保底45G，500M</t>
  </si>
  <si>
    <t xml:space="preserve">QD9UN </t>
  </si>
  <si>
    <t>L20210323002</t>
  </si>
  <si>
    <t>二枢纽机房</t>
  </si>
  <si>
    <t xml:space="preserve">青岛7联通 </t>
  </si>
  <si>
    <t>2021/2/1
2022/11/18
2022/12/1</t>
  </si>
  <si>
    <t>100G
-100G
100G</t>
  </si>
  <si>
    <t>此节点免费，于2022/12/1重新上线。2022/11/18关停，增量100G、开通4个机柜、288个IP，于2021-02-01开始正式切流量上线</t>
  </si>
  <si>
    <t>QD7UN</t>
  </si>
  <si>
    <t>L20230204002</t>
  </si>
  <si>
    <t>青岛10联通</t>
  </si>
  <si>
    <t>CDNQD2</t>
  </si>
  <si>
    <t>120G</t>
  </si>
  <si>
    <t>免费节点。 【CDN新建】山东青岛联通  新建120G  2023-02-01 节点正式上线  (QD10UN)</t>
  </si>
  <si>
    <t>QD10UN</t>
  </si>
  <si>
    <t>中国联合网络通信有限公司上海市分公司</t>
  </si>
  <si>
    <t>上海联通</t>
  </si>
  <si>
    <t>L20221215017</t>
  </si>
  <si>
    <t>上海SHUN</t>
  </si>
  <si>
    <t>2014/1/14
2015/1/10
2019/7/1
2022/8/31</t>
  </si>
  <si>
    <t>60G
40G
60G
-60G</t>
  </si>
  <si>
    <t>保底计提。2022/8/31退租60G，退租后剩余100G，保底由50%降为30%，即30G，100M颗粒度</t>
  </si>
  <si>
    <t>SHUN</t>
  </si>
  <si>
    <t>中国联合网络通信有限公司烟台市分公司</t>
  </si>
  <si>
    <t>烟台联通</t>
  </si>
  <si>
    <t>L20221106003</t>
  </si>
  <si>
    <t>烟台联通IDC机房
YTUN</t>
  </si>
  <si>
    <t>2018/8/21
2022/3/31
2022/5/31</t>
  </si>
  <si>
    <t>160G
-60G
-40G</t>
  </si>
  <si>
    <t>保底计提。2022/3/31退租后保底变为30G，2022/5/31退租40G，从2022.5带宽总量为60G，保底18G，100M颗粒度；</t>
  </si>
  <si>
    <t>YTUN</t>
  </si>
  <si>
    <t>中国移动通信集团江苏有限公司连云港分公司</t>
  </si>
  <si>
    <t>连云港移动</t>
  </si>
  <si>
    <t>182315IDC00184</t>
  </si>
  <si>
    <t>连云港三线移动</t>
  </si>
  <si>
    <t>70G</t>
  </si>
  <si>
    <t>【BEC新建】连云港三线移动新建70G 2023-2-1节点正式上线  (LYGIXCM)：保底40%即28G，10M。3个1024</t>
  </si>
  <si>
    <t>LYGIXCM</t>
  </si>
  <si>
    <t>中国移动通信集团江苏有限公司南京分公司</t>
  </si>
  <si>
    <t>南京移动</t>
  </si>
  <si>
    <t>L20221215010</t>
  </si>
  <si>
    <t>南京 NJ02-MOBCOM_BGP</t>
  </si>
  <si>
    <t>BGP南京移动</t>
  </si>
  <si>
    <t>2017/4/10
2020/12/15</t>
  </si>
  <si>
    <t>40G
-20G</t>
  </si>
  <si>
    <t>保底计提。颗粒度10M，南京凤凰机房，保底20%，4G。计费带宽以G为单位保留至个位，小数点后四舍五入</t>
  </si>
  <si>
    <t>NJ02-MOBCOM_BGP</t>
  </si>
  <si>
    <t>L20230408005</t>
  </si>
  <si>
    <t>南京 NJ02-MOBCOM</t>
  </si>
  <si>
    <t>历史开通
2021/1/6
2021/6/1</t>
  </si>
  <si>
    <t>200G
200G
-200G</t>
  </si>
  <si>
    <t>颗粒度10M，保底为200G*10%=20G
与集团签署200G，提出限速。省内实际开通400G不限速，2021/1/6扩容的200G，无法体现，故2021.6已将端口恢复为200G</t>
  </si>
  <si>
    <t>NJ02-MOBCOM</t>
  </si>
  <si>
    <t>中国移动通信集团江苏有限公司苏州分公司</t>
  </si>
  <si>
    <t>苏州太湖三线-苏州移动</t>
  </si>
  <si>
    <t>L20221215007</t>
  </si>
  <si>
    <t>苏州太湖三线-移动（CDN代静态）</t>
  </si>
  <si>
    <t>SZTH-移动CDN</t>
  </si>
  <si>
    <t>2021/9/11
2023/4/8</t>
  </si>
  <si>
    <t>260G
140G</t>
  </si>
  <si>
    <t>保底计提。2023/4/8扩容140G，扩容后共400G，保底160G，颗粒度10M,CDN代静态。2021/9/11开通苏州太湖三线。保底104G</t>
  </si>
  <si>
    <t>SZTH-CM-ST-1</t>
  </si>
  <si>
    <t>中国移动通信集团江苏有限公司宿迁分公司</t>
  </si>
  <si>
    <t>宿迁移动</t>
  </si>
  <si>
    <t>L20230408006</t>
  </si>
  <si>
    <t>宿迁</t>
  </si>
  <si>
    <t>宿迁3移动</t>
  </si>
  <si>
    <t>CDNSQCM</t>
  </si>
  <si>
    <t>2022/5/1
2023/4/30</t>
  </si>
  <si>
    <t>200G
-200G</t>
  </si>
  <si>
    <t>2023/4/30节点退租，由BEC转为CDN 宿迁5移动。2022/6/24该节点转BEC使用。
2022/5/1【CDN新建】江苏宿迁移动新建200G，40%保底，80G,10M</t>
  </si>
  <si>
    <t>SQ3CM</t>
  </si>
  <si>
    <t>中国移动通信集团江苏有限公司泰州分公司</t>
  </si>
  <si>
    <t>泰州移动</t>
  </si>
  <si>
    <t>182215IDC00693</t>
  </si>
  <si>
    <t>泰州</t>
  </si>
  <si>
    <t>CDNTAIZCM</t>
  </si>
  <si>
    <t>220G</t>
  </si>
  <si>
    <t>【BEC新建】泰州移动新建220G 2022-12-30节点正式上线 (TAIZCM)，保底88G，10M</t>
  </si>
  <si>
    <t>TAIZCM</t>
  </si>
  <si>
    <t>中国移动通信集团江苏有限公司无锡分公司</t>
  </si>
  <si>
    <t>无锡移动</t>
  </si>
  <si>
    <t>182315IDC00075</t>
  </si>
  <si>
    <t>无锡 WXCM</t>
  </si>
  <si>
    <t>2015/11/1
2022/4/30
2022/5/31</t>
  </si>
  <si>
    <t>240G
-60G
-180G</t>
  </si>
  <si>
    <t>2022/5/31退租180G，截止2022.5已全部退租
2022/4/30退租60G，10M</t>
  </si>
  <si>
    <t>WXCM</t>
  </si>
  <si>
    <t>无锡</t>
  </si>
  <si>
    <t>无锡移动SSL</t>
  </si>
  <si>
    <t>2016/3/1
2022/7/31</t>
  </si>
  <si>
    <t>40G
-30G</t>
  </si>
  <si>
    <t>保底计提，2022/7/31 退租30G，剩余10G，保底4G，10M。无锡移动整体保底计提。（若与CDN合并达结算达到总量的40%保底，则该节点流量可以按实际流量计提，否则要按保底计提）</t>
  </si>
  <si>
    <t>WXSSLMOBCOM</t>
  </si>
  <si>
    <t>无锡 WX2CM</t>
  </si>
  <si>
    <t>无锡2移动</t>
  </si>
  <si>
    <t>2019/12/23
2020/5/31</t>
  </si>
  <si>
    <t>30G
-30G</t>
  </si>
  <si>
    <t>2020/5/31退租端口及160个IP
江苏无锡移动 增量30G，新增160个IP,于2019-12-23开始正式切流量上线，均免费
12.25.83.0/25 112.25.85.32/27</t>
  </si>
  <si>
    <t>WX2CM</t>
  </si>
  <si>
    <t>无锡 WX3CM</t>
  </si>
  <si>
    <t>无锡3移动</t>
  </si>
  <si>
    <t>2020/7/1
2022/7/31</t>
  </si>
  <si>
    <t>100G
-70G</t>
  </si>
  <si>
    <t>保底计提。2022/7/31 退租70G，剩余30G，10M，保底12G。江苏无锡移动 增量100G完成业务测试，已于2020-05-15开始正式切流量上线。2020/7/1开始计费</t>
  </si>
  <si>
    <t>WX3CM</t>
  </si>
  <si>
    <t>中国移动通信集团江苏有限公司盐城分公司</t>
  </si>
  <si>
    <t>盐城移动</t>
  </si>
  <si>
    <t>L20230511002</t>
  </si>
  <si>
    <t>盐城</t>
  </si>
  <si>
    <t>2019/2/1
2022/4/30</t>
  </si>
  <si>
    <t>240G
-40G</t>
  </si>
  <si>
    <t>2022.6该节点转为BEC使用。
2022/4/30退租40G，退租后保底80G,10M</t>
  </si>
  <si>
    <t>YANCCM</t>
  </si>
  <si>
    <t>182315IDC00077</t>
  </si>
  <si>
    <t>盐城3移动</t>
  </si>
  <si>
    <t>CDNYANCCM2</t>
  </si>
  <si>
    <t>100G+200G分两组核算，需根据各自实际流量分别计算保底【BEC新建】300G，保底120G。计提参考值</t>
  </si>
  <si>
    <t>YANC3CM</t>
  </si>
  <si>
    <t>中国移动通信集团江苏有限公司扬州分公司</t>
  </si>
  <si>
    <t>扬州移动</t>
  </si>
  <si>
    <t>182315IDC00076</t>
  </si>
  <si>
    <t>扬州</t>
  </si>
  <si>
    <t>2018/4/20
2022/4/30</t>
  </si>
  <si>
    <t>80G
-80G</t>
  </si>
  <si>
    <t>2022/4/30 扬州移动节点全部退租</t>
  </si>
  <si>
    <t>YANGZCM</t>
  </si>
  <si>
    <t>扬州2</t>
  </si>
  <si>
    <t>扬州移动二级</t>
  </si>
  <si>
    <t>2018/11/1
2022/8/1</t>
  </si>
  <si>
    <t>200G
140G</t>
  </si>
  <si>
    <t>2022/7/31 扬州3移动退租140G迁移至扬州移动二级，剩余带宽340G， 保底136G，颗粒度10M</t>
  </si>
  <si>
    <t>YANGZCMCACHE</t>
  </si>
  <si>
    <t>扬州3</t>
  </si>
  <si>
    <t>扬州3移动</t>
  </si>
  <si>
    <t>2019/4/25
2022/4/30
2022/5/12
2022/5/31
2022/7/31</t>
  </si>
  <si>
    <t>480G
-20G
-220G
-80G
-140G</t>
  </si>
  <si>
    <t>2022/7/31 扬州3移动退租140G迁移至扬州移动二级，剩余带宽20G，保底8G。  2022/4/30 扬州3移动退租20G，2022/5/12退租80G，2022/5/31退租220G，从2022.5退租后160G，保底64G，10M</t>
  </si>
  <si>
    <t>YANGZ3CM</t>
  </si>
  <si>
    <t>中国移动通信集团山东有限公司济南分公司</t>
  </si>
  <si>
    <t>济南移动</t>
  </si>
  <si>
    <t>182315IDC00078</t>
  </si>
  <si>
    <t>JN4CM 100G
JNCMCACHE 400G
JNCM 0G
JNCMGROUP3</t>
  </si>
  <si>
    <t>济南4移动</t>
  </si>
  <si>
    <t>2018/1/1
2020/12/29
2021/9/1
2022/5/31
2022/5/31
2022/7/31</t>
  </si>
  <si>
    <t>500G
+120G
+80G
-20G(JNCM)
-80G(JNCM)
-100G(JNCM)</t>
  </si>
  <si>
    <t>2022/7/31 JNCM退租100G，该节点下线。剩余500G，保底200G。2022/5/31 JNCM退租20G，JN4CM退租80G，2022.5开始带宽总量为600G，40%保底，即240G；95计费；颗粒度10M。2020.12.31济南移动二级扩容120G</t>
  </si>
  <si>
    <t>JN4CM</t>
  </si>
  <si>
    <t>182115IDC00402</t>
  </si>
  <si>
    <t>山东
JNGFTELECOM-SDMOBCOM_BGP</t>
  </si>
  <si>
    <t>济南高防电信山东移动BGP</t>
  </si>
  <si>
    <t>保底计提。500M颗粒度，4G保底</t>
  </si>
  <si>
    <t>JNGFTELECOM-SDMOBCOM_BGP</t>
  </si>
  <si>
    <t>济南10移动</t>
  </si>
  <si>
    <t>CDNJNCM3</t>
  </si>
  <si>
    <t>保底计提。【BEC新建】济南移动新建  (JN10CM)节点正式上线，200G，保底80G，10M</t>
  </si>
  <si>
    <t>JN10CM</t>
  </si>
  <si>
    <t>中国移动通信集团山东有限公司青岛分公司</t>
  </si>
  <si>
    <t>青岛移动</t>
  </si>
  <si>
    <t>182315IDC00079</t>
  </si>
  <si>
    <t>青岛4移动</t>
  </si>
  <si>
    <t>2020/1/24
2020/12/31
2021/1/31
2022/7/31</t>
  </si>
  <si>
    <t>400G
200G
-200G
-100G</t>
  </si>
  <si>
    <t>2022/7/31 退租100G，剩余300G，保底120G，颗粒度10M，于2020.12.31扩容200G，于2021.2.1迁移至青岛移动二级200G；</t>
  </si>
  <si>
    <t>QD4CM</t>
  </si>
  <si>
    <t>青岛移动二级</t>
  </si>
  <si>
    <t>青岛2移动二级</t>
  </si>
  <si>
    <t>保底计提。于2021.2.1从青岛4移动节点迁移至青岛移动二级200G，颗粒度10M，保底80G</t>
  </si>
  <si>
    <t>QD2CMCACHE</t>
  </si>
  <si>
    <t>中国移动通信集团山东有限公司潍坊分公司</t>
  </si>
  <si>
    <t>潍坊移动</t>
  </si>
  <si>
    <t>182315IDC00113</t>
  </si>
  <si>
    <t>潍坊</t>
  </si>
  <si>
    <t>潍坊3移动</t>
  </si>
  <si>
    <t>CDNWFCM</t>
  </si>
  <si>
    <t>600G</t>
  </si>
  <si>
    <t>【BEC新建】潍坊移动增量600G 2023-2-1节点正式上线  (WF3CM)，保底40%即240G，10M。3个1024</t>
  </si>
  <si>
    <t>WF3CM</t>
  </si>
  <si>
    <t>中国移动通信集团山东有限公司淄博分公司</t>
  </si>
  <si>
    <t>淄博移动</t>
  </si>
  <si>
    <t>182315IDC00239</t>
  </si>
  <si>
    <t>淄博</t>
  </si>
  <si>
    <t>淄博三级移动</t>
  </si>
  <si>
    <t>CDNZBIX</t>
  </si>
  <si>
    <t>【CDN新建】山东淄博三级移动新建200G  2023-04-06 节点正式上线  (ZBIXCM)，保底80G</t>
  </si>
  <si>
    <t>ZBIXCM</t>
  </si>
  <si>
    <t>中国移动通信集团上海有限公司</t>
  </si>
  <si>
    <t>上海移动</t>
  </si>
  <si>
    <t>L20221215016</t>
  </si>
  <si>
    <t>上海4移动</t>
  </si>
  <si>
    <t>CDNSHCM2</t>
  </si>
  <si>
    <t>2020/6/29
2022/5/31</t>
  </si>
  <si>
    <t>100G
-80G</t>
  </si>
  <si>
    <t>2022/5/31退租80G，从2022.5开始带宽量为20G，保底8G，10M。计费带宽以Gbps为单位保留两位小数点，小数点后第三位四舍五入
上海移动 增量100G完成业务测试，已于2020-06-28开始正式切流量上线,2020.6.29开始计费</t>
  </si>
  <si>
    <t>SH4CM</t>
  </si>
  <si>
    <t>L20211203016</t>
  </si>
  <si>
    <t>上海 SH01</t>
  </si>
  <si>
    <t>2019/12/31
2021/12/31
2022/1/31
2022/3/31</t>
  </si>
  <si>
    <t>200G
-120G
-60G
-20G</t>
  </si>
  <si>
    <t>该节点退租。6G。颗粒度1G。2020.1改为95计费</t>
  </si>
  <si>
    <t>SH01</t>
  </si>
  <si>
    <t>代理商-电信</t>
  </si>
  <si>
    <t>浙江</t>
  </si>
  <si>
    <t>浙江挚云信息科技有限公司</t>
  </si>
  <si>
    <t>温州三线-电信</t>
  </si>
  <si>
    <t>L20230504002</t>
  </si>
  <si>
    <t>温州三线</t>
  </si>
  <si>
    <t>温州三级电信</t>
  </si>
  <si>
    <t>CDNWZIX</t>
  </si>
  <si>
    <t>2022/6/1
2022/8/1</t>
  </si>
  <si>
    <t>160G
120G</t>
  </si>
  <si>
    <t>20220801扩容120G，扩容后带宽280G，保底30%，84G，100M。不达保底可按实际流量计提</t>
  </si>
  <si>
    <t>WZIXCT</t>
  </si>
  <si>
    <t>代理商-联通</t>
  </si>
  <si>
    <t>温州三线-联通</t>
  </si>
  <si>
    <t>L20230504001</t>
  </si>
  <si>
    <t>温州三级联通</t>
  </si>
  <si>
    <t>160G
20G</t>
  </si>
  <si>
    <t>20220801扩容20G，扩容后带宽180G，保底30%，54G，100M</t>
  </si>
  <si>
    <t>WZIXUN</t>
  </si>
  <si>
    <t>代理商-移动</t>
  </si>
  <si>
    <t>温州三线-移动</t>
  </si>
  <si>
    <t>L20230511005</t>
  </si>
  <si>
    <t>温州三级移动</t>
  </si>
  <si>
    <t>160G
100G</t>
  </si>
  <si>
    <t>按实际流量计提。20220801扩容100G，扩容后带宽260G，保底40%，104G，100M。不达保底可按实际流量计提</t>
  </si>
  <si>
    <t>WZIXCM</t>
  </si>
  <si>
    <t>中国电信股份有限公司杭州分公司</t>
  </si>
  <si>
    <t>杭州电信</t>
  </si>
  <si>
    <t>181915IDC00039</t>
  </si>
  <si>
    <t>杭州
HZ01</t>
  </si>
  <si>
    <t>2012/10/16
2019/8/16</t>
  </si>
  <si>
    <t>120G
-120G</t>
  </si>
  <si>
    <t>分段计价</t>
  </si>
  <si>
    <t>该端口于19.8.16关闭</t>
  </si>
  <si>
    <t>中国电信股份有限公司湖州分公司</t>
  </si>
  <si>
    <t>湖州电信</t>
  </si>
  <si>
    <t>182315IDC00041</t>
  </si>
  <si>
    <t>湖州</t>
  </si>
  <si>
    <t>湖州2电信</t>
  </si>
  <si>
    <t>CDNHUZCT</t>
  </si>
  <si>
    <t>保底计提。20230108开始计费。颗粒度1M，保底90G</t>
  </si>
  <si>
    <t>HUZ2CT</t>
  </si>
  <si>
    <t>中国电信股份有限公司宁波分公司</t>
  </si>
  <si>
    <t>宁波电信</t>
  </si>
  <si>
    <t>182315IDC00258</t>
  </si>
  <si>
    <t>宁波电信
NB2CTCACHE 340G
NB4CT 80G
NB5CT 20G</t>
  </si>
  <si>
    <t>宁波电信CACHE2</t>
  </si>
  <si>
    <t>2014/3/20
2018/6/1
2020/6/30
2020/6/30
2020/9/16
2020/9/16
2022/8/1</t>
  </si>
  <si>
    <t>160G
80G
-160G
-80G
160G
80G
180G</t>
  </si>
  <si>
    <t xml:space="preserve">2022/8/1从 NB5CT 迁移180G至NB2CTCACHE。20220701NB4CT迁移80G至宁波电信二级。 NB2CTCACHE NB4CT NB5CT合并计费，共440G，30%，保底132G。100M颗粒度。
2021.1 NB2CTCACHE NB4CT NB5CT合并计费，共440G
2020.6.30NB4CT 80G NB2CTCACHE 160G退租；2020.9.16NB4CT 80G NB2CTCACHE 160G重新上线开始计费
NB2CTCACHE 160G与NB4CT 80G合并计费
</t>
  </si>
  <si>
    <t>NB2CTCACHE</t>
  </si>
  <si>
    <t>宁波
NB5CT
与NB2CTCACHE 160G
NB4CT 80G合并计费</t>
  </si>
  <si>
    <t>宁波5电信</t>
  </si>
  <si>
    <t>2018/10/2
2022/7/31
2022/7/31</t>
  </si>
  <si>
    <t>200G
-180G
-20G与NB2CTCACHE合并计费</t>
  </si>
  <si>
    <t>2022/7/31 退租180G迁移至NB2CTCACHE 。剩余20G与NB2CTCACHE 
NB4CT合并计费，100M颗粒度。
2021.1 NB2CTCACHE NB4CT NB5CT合并计费</t>
  </si>
  <si>
    <t>宁波电信SSL</t>
  </si>
  <si>
    <t>CDNNBCT2</t>
  </si>
  <si>
    <t>保底计提。100M颗粒度，从19.4.1开始保底降为3G</t>
  </si>
  <si>
    <t>NBSSLTELECOM</t>
  </si>
  <si>
    <t>中国电信股份有限公司温州分公司</t>
  </si>
  <si>
    <t>温州电信</t>
  </si>
  <si>
    <t>L20221110002</t>
  </si>
  <si>
    <t>温州电信2</t>
  </si>
  <si>
    <t>CDNWZCT</t>
  </si>
  <si>
    <t>2010/8/1
2019/12/31
2020/6/1
2020/7/7
2022/4/30</t>
  </si>
  <si>
    <t>320G
-80G
80G
-80G
-220G</t>
  </si>
  <si>
    <t>保底计提。20220430退租 220G，退租后保底为6G,100M。每万兆赠送32个IP</t>
  </si>
  <si>
    <t>WZ2CT</t>
  </si>
  <si>
    <t>L20211203012</t>
  </si>
  <si>
    <t>温州8电信</t>
  </si>
  <si>
    <t>2020/7/7
2020/8/31</t>
  </si>
  <si>
    <t>20200831节点下线
从WZ2CT节点拆出来80G免费带宽，使用存量机柜以及IP，已于20200707开始正式切流量上线</t>
  </si>
  <si>
    <t>温州</t>
  </si>
  <si>
    <t>温州5电信</t>
  </si>
  <si>
    <t>2018/8/10
2019/12/31</t>
  </si>
  <si>
    <t>20191231退租。与温州电信2合并计费</t>
  </si>
  <si>
    <t>L20220220001</t>
  </si>
  <si>
    <t>温州10电信</t>
  </si>
  <si>
    <t>CDNWZCT2</t>
  </si>
  <si>
    <t>2022/2/1
2022/3/31</t>
  </si>
  <si>
    <t>免费节点退租：20220201新建WZ10CT，该节点为免费节点</t>
  </si>
  <si>
    <t>中国联合网络通信有限公司杭州市分公司</t>
  </si>
  <si>
    <t>杭州联通</t>
  </si>
  <si>
    <t>L20230223031</t>
  </si>
  <si>
    <t>杭州2联通</t>
  </si>
  <si>
    <t>CDNHZUN3</t>
  </si>
  <si>
    <t>2022/5/15
2023/3/31</t>
  </si>
  <si>
    <t>120G-40G</t>
  </si>
  <si>
    <t>边缘计算。20230331退租40G。20220515开始计费。保底20%，24G，从2022.9开始执行10M颗粒度</t>
  </si>
  <si>
    <t>HZ2UN</t>
  </si>
  <si>
    <t>中国联合网络通信有限公司湖州市分公司</t>
  </si>
  <si>
    <t>湖州联通</t>
  </si>
  <si>
    <t>182115IDC00406</t>
  </si>
  <si>
    <t>湖州联通SSL</t>
  </si>
  <si>
    <t>SSLHUZHOUUN</t>
  </si>
  <si>
    <t>2020/5/22
2023/3/31</t>
  </si>
  <si>
    <t>10G-10G</t>
  </si>
  <si>
    <t>20230331退租。湖州联通SSL保底2.8G,100M</t>
  </si>
  <si>
    <t>湖州联通 HUZUN
湖州2联通</t>
  </si>
  <si>
    <t>湖州2联通</t>
  </si>
  <si>
    <t>CDNHUZUN</t>
  </si>
  <si>
    <t xml:space="preserve">2018/6/20
2019/1/20
2020/4/30
2022/5/31
</t>
  </si>
  <si>
    <t>40G
40G
-40G
-40G</t>
  </si>
  <si>
    <t>20220531退租40G，截止2022.5节点已全部退租。湖州2联通和湖州联通SSL合并保底14G,100M
2020.4.30湖州联通40G退租，退租后只剩湖州2联通40G</t>
  </si>
  <si>
    <t>中国联合网络通信有限公司嘉兴市分公司</t>
  </si>
  <si>
    <t>嘉兴联通</t>
  </si>
  <si>
    <t>L20230511003</t>
  </si>
  <si>
    <t>CDNJIAXUN</t>
  </si>
  <si>
    <t>2022/10/1
2022/11/1</t>
  </si>
  <si>
    <t>100G+100G</t>
  </si>
  <si>
    <t xml:space="preserve"> 【BEC新建】嘉兴联通边缘计算节点新建100G正式交付  (JIAXUN)，20221101扩容100G，保底40G，100M</t>
  </si>
  <si>
    <t>JIAXUN</t>
  </si>
  <si>
    <t>中国联合网络通信有限公司金华市分公司</t>
  </si>
  <si>
    <t>金华联通</t>
  </si>
  <si>
    <t>L20230224002</t>
  </si>
  <si>
    <t>CDNJHUN</t>
  </si>
  <si>
    <t>2022/10/16
2023/2/16</t>
  </si>
  <si>
    <t>200G+100G</t>
  </si>
  <si>
    <t>20230216扩容100G（30%保底）。【BEC新建】新建200G，保底60G，10M</t>
  </si>
  <si>
    <t>JHUN</t>
  </si>
  <si>
    <t>中国联合网络通信有限公司绍兴市分公司</t>
  </si>
  <si>
    <t>绍兴联通</t>
  </si>
  <si>
    <t>L20230330006</t>
  </si>
  <si>
    <t>绍兴2联通</t>
  </si>
  <si>
    <t>CDNSHAOXUN</t>
  </si>
  <si>
    <t>2018/6/20
2019/1/20
2020/4/30</t>
  </si>
  <si>
    <t>40G
40G
-40G</t>
  </si>
  <si>
    <t>保底计提。按集约约定，3%认乙方。颗粒度100M,保底12G
2020.4.30绍兴联通40G退租，退租后只剩绍兴2联通40G</t>
  </si>
  <si>
    <t>SHAOX2UN</t>
  </si>
  <si>
    <t>L20230306001</t>
  </si>
  <si>
    <t>绍兴3联通</t>
  </si>
  <si>
    <t>中值计提。按集约约定，3%认乙方。20230316开始计费。边缘计算，保底30G</t>
  </si>
  <si>
    <t>SHAOX3UN</t>
  </si>
  <si>
    <t>中国联合网络通信有限公司台州市分公司</t>
  </si>
  <si>
    <t>台州联通</t>
  </si>
  <si>
    <t>182215IDC00615</t>
  </si>
  <si>
    <t>CDNTZUN</t>
  </si>
  <si>
    <t>2022/8/1
2022/10/1</t>
  </si>
  <si>
    <t>100G+
100G</t>
  </si>
  <si>
    <t>【BEC扩容】台州联通扩容100G 节点正式上线。保底20%即40G，10M
【BEC新建】台州联通新增100G 节点正式上线</t>
  </si>
  <si>
    <t>TZUN</t>
  </si>
  <si>
    <t>中国联合网络通信有限公司温州市分公司</t>
  </si>
  <si>
    <t>温州联通</t>
  </si>
  <si>
    <t>L20230223029</t>
  </si>
  <si>
    <t>CDNWZUN</t>
  </si>
  <si>
    <t>2022/4/15
2022/6/15
2022/10/15
2023/5/31</t>
  </si>
  <si>
    <t>300G
100G
100G
-100G</t>
  </si>
  <si>
    <t>按运营商计提。2023/5/31退租100G，退租后保底80G。100M。
20221015扩容100G，扩容后保底100G，100M。
边缘计算20220615扩容100G，累计带宽400G，保底20%，80G，100M</t>
  </si>
  <si>
    <t>WZUN</t>
  </si>
  <si>
    <t>中国联合网络通信有限公司舟山市分公司</t>
  </si>
  <si>
    <t>舟山联通</t>
  </si>
  <si>
    <t>182215IDC00614</t>
  </si>
  <si>
    <t>CDNZHOUSUN</t>
  </si>
  <si>
    <t>保底计提【BEC新建】舟山联通新增100G ，20%保底即20G，10M</t>
  </si>
  <si>
    <t>ZHOUSHUN</t>
  </si>
  <si>
    <t>中国移动通信集团浙江有限公司杭州分公司</t>
  </si>
  <si>
    <t>杭州移动</t>
  </si>
  <si>
    <t>L20230604007</t>
  </si>
  <si>
    <t>CDNHZCM</t>
  </si>
  <si>
    <t>2017/1/1
2019/12/10
2020/9/1</t>
  </si>
  <si>
    <t>80G
20G
10G</t>
  </si>
  <si>
    <t>保底计提。保底44G，10M。
117.148.160.128/25；117.148.161.0/24</t>
  </si>
  <si>
    <t>HZCM</t>
  </si>
  <si>
    <t>杭州4移动</t>
  </si>
  <si>
    <t>CDNHZCM2</t>
  </si>
  <si>
    <t>2022/11/3
2023/6/8</t>
  </si>
  <si>
    <t>200G
300G</t>
  </si>
  <si>
    <t>【BEC扩容】BEC浙江杭州移动扩容300G 2023-5-30 节点正式上线 (BECHZ4CM)，从6.8计费。累计500G，保底200G
边缘计算，20221103开始计费。颗粒度10M，保底80G</t>
  </si>
  <si>
    <t>HZ4CM</t>
  </si>
  <si>
    <t>中国移动通信集团浙江有限公司嘉兴分公司</t>
  </si>
  <si>
    <t>嘉兴移动</t>
  </si>
  <si>
    <t>182115IDC00160</t>
  </si>
  <si>
    <t xml:space="preserve">嘉兴 </t>
  </si>
  <si>
    <t>CDNJIAXCM</t>
  </si>
  <si>
    <t>2020/1/1
2022/4/30
2022/5/31</t>
  </si>
  <si>
    <t>120G
-40G
-80G</t>
  </si>
  <si>
    <t>20220430退租40G，20220531退租80G。截止2022.5已全部退租</t>
  </si>
  <si>
    <t>中国移动通信集团浙江有限公司金华分公司</t>
  </si>
  <si>
    <t>金华移动</t>
  </si>
  <si>
    <t>182315IDC00087</t>
  </si>
  <si>
    <t>CDNJHCM</t>
  </si>
  <si>
    <t>2017/8/31
2020/5/15
2022/4/30
2022/5/31</t>
  </si>
  <si>
    <t>100G
90G
-50
-140G</t>
  </si>
  <si>
    <t>20220430退租50G，20220531退租140G，截止2022.5已全部退租。10M颗粒度</t>
  </si>
  <si>
    <t>金华2移动</t>
  </si>
  <si>
    <t>CDNJHCM2</t>
  </si>
  <si>
    <t>2020/5/19
2020/7/20
2022/4/30
2022/5/31
2022/7/31</t>
  </si>
  <si>
    <t>190G
-10G
-50G
-30G
-20G</t>
  </si>
  <si>
    <t>保底计提。20220731退租20G，剩余80G，保底32G，10M。20220430退租50G，20220531退租30G，2022.5退租后带宽量100G；20200720切给SSL10G，金华2移动及金华移动SSL合并计费</t>
  </si>
  <si>
    <t>JH2CM</t>
  </si>
  <si>
    <t>金华移动SSL</t>
  </si>
  <si>
    <t>SSLJHCM</t>
  </si>
  <si>
    <t>2020/7/20
2022/11/30</t>
  </si>
  <si>
    <t>2020/7/20切给SSL10G，金华2移动及金华移动SSL合并计费</t>
  </si>
  <si>
    <t>中国移动通信集团浙江有限公司丽水分公司</t>
  </si>
  <si>
    <t>丽水移动</t>
  </si>
  <si>
    <t>182115IDC00161</t>
  </si>
  <si>
    <t>丽水2移动</t>
  </si>
  <si>
    <t>CDNLSCM</t>
  </si>
  <si>
    <t>2019/11/6
2020/1/1
2020/5/15
2022/4/30
2022/5/31
2022/7/31</t>
  </si>
  <si>
    <t>80G
40G
80G
-80G
-60G
-60G</t>
  </si>
  <si>
    <t>20220731退租60G，节点下线。2022/4/30退租80G，20220531退租60G，从2022.5开始带宽量60G，保底24G，10M</t>
  </si>
  <si>
    <t>中国移动通信集团浙江有限公司宁波分公司</t>
  </si>
  <si>
    <t>宁波移动</t>
  </si>
  <si>
    <t>182115IDC00162</t>
  </si>
  <si>
    <t>鄞州机房</t>
  </si>
  <si>
    <t>CDNNBCM</t>
  </si>
  <si>
    <t>2017/3/29
2022/5/31
2022/7/31</t>
  </si>
  <si>
    <t>160G
-80G
-80G</t>
  </si>
  <si>
    <t>20220731退租80G，节点下线。20220531退租80G，从2022.5开始带宽量为80G，保底32G，10M</t>
  </si>
  <si>
    <t>宁波杭州湾</t>
  </si>
  <si>
    <t>宁波2移动</t>
  </si>
  <si>
    <t>XACDNNBCM</t>
  </si>
  <si>
    <t>2018/8/17
2022/4/30</t>
  </si>
  <si>
    <t>20220430宁波2移动全部退租。保底32G，10M</t>
  </si>
  <si>
    <t>中国移动通信集团浙江有限公司衢州分公司</t>
  </si>
  <si>
    <t>衢州移动</t>
  </si>
  <si>
    <t>L20230418001</t>
  </si>
  <si>
    <t>衢州</t>
  </si>
  <si>
    <t>CDNQUZHOUCM</t>
  </si>
  <si>
    <t>20230401开始计费，保底80G</t>
  </si>
  <si>
    <t>QUZCM</t>
  </si>
  <si>
    <t>中国移动通信集团浙江有限公司绍兴分公司</t>
  </si>
  <si>
    <t>绍兴移动</t>
  </si>
  <si>
    <t>182215IDC00611</t>
  </si>
  <si>
    <t>绍兴</t>
  </si>
  <si>
    <t>绍兴3移动</t>
  </si>
  <si>
    <t>CDNSHAOXCM3</t>
  </si>
  <si>
    <t>【BEC新建】绍兴移动新建(SHAOX3CM)：200G，保底40%即80G，10M</t>
  </si>
  <si>
    <t>SHAOX3CM</t>
  </si>
  <si>
    <t>中国移动通信集团浙江有限公司台州分公司</t>
  </si>
  <si>
    <t>台州移动</t>
  </si>
  <si>
    <t>182315IDC00069</t>
  </si>
  <si>
    <t>台州2移动</t>
  </si>
  <si>
    <t>CDNTZCM</t>
  </si>
  <si>
    <t>2020/5/14
2022/5/12
2022/5/31
2022/7/31</t>
  </si>
  <si>
    <t>340G
-50G
-150
-20G</t>
  </si>
  <si>
    <t>20220731退租20G，剩余120G，保底48G，10M。20220512退租50G，202205311退租,150G，从2022.6开始带宽量为140G</t>
  </si>
  <si>
    <t>TZ2CM</t>
  </si>
  <si>
    <t>台州</t>
  </si>
  <si>
    <t>台州3移动</t>
  </si>
  <si>
    <t>260G</t>
  </si>
  <si>
    <t>【BEC新建】台州移动 (TZ3CM)：保底40%，即104G，10M</t>
  </si>
  <si>
    <t>TZ3CM</t>
  </si>
  <si>
    <t>中国移动通信集团浙江有限公司温州分公司</t>
  </si>
  <si>
    <t>温州移动</t>
  </si>
  <si>
    <t>182315IDC00118</t>
  </si>
  <si>
    <t>温州2移动</t>
  </si>
  <si>
    <t>CDNWZCM</t>
  </si>
  <si>
    <t>2020/5/15
2022/5/31
2022/7/31</t>
  </si>
  <si>
    <t>300G
-200G
-20G</t>
  </si>
  <si>
    <t>保底计提。20220731退租20G，剩余80G，保底32G，10M。20220531退租200G，从2022.5带宽量为100G，保底40%，即40G，10M</t>
  </si>
  <si>
    <t>WZ2CM</t>
  </si>
  <si>
    <t>中国移动通信集团浙江有限公司舟山分公司</t>
  </si>
  <si>
    <t>舟山移动</t>
  </si>
  <si>
    <t>L20230622001</t>
  </si>
  <si>
    <t>舟山</t>
  </si>
  <si>
    <t>CDNZHOUSCM</t>
  </si>
  <si>
    <t>2022/6/26
2022/9/1
2023/6/8</t>
  </si>
  <si>
    <t>240G+
60G
400G</t>
  </si>
  <si>
    <t>保底计提（保底折天）【BEC扩容】BEC浙江舟山移动扩容400G  2023-06-01 节点正式上线  (ZHOUSCM)，累计700G，保底280G；
20220901扩容60G，共300G，保底120G，10M。【BEC新建】舟山移动新建240G</t>
  </si>
  <si>
    <t>ZHOUSCM</t>
  </si>
  <si>
    <t>华南-吴蕊</t>
  </si>
  <si>
    <t>福建</t>
  </si>
  <si>
    <t>中国电信股份有限公司福建分公司</t>
  </si>
  <si>
    <t>福州电信</t>
  </si>
  <si>
    <t>182315IDC00246</t>
  </si>
  <si>
    <t>福州仓科机房</t>
  </si>
  <si>
    <t>福州电信SSL</t>
  </si>
  <si>
    <t>CDNFZCT</t>
  </si>
  <si>
    <t>2013/6/26
2019/10/10
2022/8/31</t>
  </si>
  <si>
    <t>2022/8/31退租10G，2022年5月1日-15日免费，颗粒度100M，保底3G，与CDN合并计费；8月让CDN帮SSL跑了保底，SSL无成本，9月不需要</t>
  </si>
  <si>
    <t>FZSSLTELECOM</t>
  </si>
  <si>
    <t>福州</t>
  </si>
  <si>
    <t>福州电信二级</t>
  </si>
  <si>
    <t>2020/1/31
2022/8/31</t>
  </si>
  <si>
    <t>320G-120G
-100G</t>
  </si>
  <si>
    <t>2022/8/31退租100G，2022年5月1日-15日免费，需要注意周睿发邮件2020年1月31日退租120G,颗粒度100M，保底60G。存量240，扩容80G20190711开始计费，存量同时降价；SSL与CDN合并计费；8月让CDN帮SSL跑了保底，SSL无成本，9月不需要</t>
  </si>
  <si>
    <t>FZCTCACHE</t>
  </si>
  <si>
    <t>厦门</t>
  </si>
  <si>
    <t>厦门2电信</t>
  </si>
  <si>
    <t>CDNXMCT</t>
  </si>
  <si>
    <t>2019/6/14
2020/1/31
2022/4/30</t>
  </si>
  <si>
    <t>240G-120G-90G</t>
  </si>
  <si>
    <t>需要注意周睿发邮件2020年1月31日退租120G。颗粒度100M，保底36G.2019-6-14日起正式计费。</t>
  </si>
  <si>
    <t>XM2CT</t>
  </si>
  <si>
    <t>中国联合网络通信有限公司福州市分公司</t>
  </si>
  <si>
    <t>福州联通</t>
  </si>
  <si>
    <t>L20230327007</t>
  </si>
  <si>
    <t>福州3联通</t>
  </si>
  <si>
    <t>CDNFZUN2</t>
  </si>
  <si>
    <t>2019/6/26
2020/1/31</t>
  </si>
  <si>
    <t>80G-60G</t>
  </si>
  <si>
    <t>需要注意2020年1月31日退租60G。颗粒度100M，保底6G</t>
  </si>
  <si>
    <t>FZ3UN</t>
  </si>
  <si>
    <t>中国移动通信集团福建有限公司福州分公司</t>
  </si>
  <si>
    <t>福州移动</t>
  </si>
  <si>
    <t>L20221228012</t>
  </si>
  <si>
    <t>CDNFZCM</t>
  </si>
  <si>
    <t>2017/9/30
2020/6/29
2022/7/31</t>
  </si>
  <si>
    <t>40G+
20G
-60G</t>
  </si>
  <si>
    <t>（1）需要注意20200629扩容20G，颗粒度10M，保底40%；（2）202006开始合并了福州移动2+福州3移动</t>
  </si>
  <si>
    <t>FZCM</t>
  </si>
  <si>
    <t>福州2</t>
  </si>
  <si>
    <t>福州移动2</t>
  </si>
  <si>
    <t>CDNFZCM2</t>
  </si>
  <si>
    <t>2017/9/30
2020/6/29
2022/5/13
2022/7/31</t>
  </si>
  <si>
    <t>80G+50G-30G
-80G</t>
  </si>
  <si>
    <t>(1)需要注意20200629扩容50G，颗粒度10M，保底40%；（2）历史备注信息：2018年9月11日扩容80G，2019年10月11日计费。以后此节点保底64G。2022.7.31退租后此节点剩余带宽是BEC使用</t>
  </si>
  <si>
    <t>FZ2CM</t>
  </si>
  <si>
    <t>福州3</t>
  </si>
  <si>
    <t>福州3移动</t>
  </si>
  <si>
    <t>2018/9/11
2020/6/29
2022/4/30
2022/5/13</t>
  </si>
  <si>
    <t>80G+90G-100G-70G</t>
  </si>
  <si>
    <t>（1）需要注意20200629扩容90G，颗粒度10M，保底40%；（2）历史备注信息：2018年9月11日扩容80G，2019年10月11日计费。以后此节点保底64G。</t>
  </si>
  <si>
    <t>FZ3CM</t>
  </si>
  <si>
    <t>中国移动通信集团福建有限公司厦门分公司</t>
  </si>
  <si>
    <t>厦门移动</t>
  </si>
  <si>
    <t>L20221230001</t>
  </si>
  <si>
    <t>厦门2</t>
  </si>
  <si>
    <t>厦门2移动</t>
  </si>
  <si>
    <t>CDNXMCM2</t>
  </si>
  <si>
    <t>2023/1/1
2023/6/8</t>
  </si>
  <si>
    <t>600G
200G</t>
  </si>
  <si>
    <t>【BEC扩容】BEC福建厦门移动扩容200G 2023-6-1 节点正式上线 (BECXM2CM )，累计800G，保底320G，从6.8开始计费。
【BEC新建】厦门移动新建600G 2022-12-3节点正式上线  (XM2CM)，增量600G</t>
  </si>
  <si>
    <t>2023.7更新L20221230001</t>
  </si>
  <si>
    <t>XM2CM</t>
  </si>
  <si>
    <t>L20230514001</t>
  </si>
  <si>
    <t>宿迁5移动</t>
  </si>
  <si>
    <t>保底计提。2023/4/30节点退租，由BEC转为CDN 宿迁5移动。2022/6/24该节点转BEC使用。
2022/5/1【CDN新建】江苏宿迁移动新建200G，40%保底，80G,10M</t>
  </si>
  <si>
    <t>SQ5CM</t>
  </si>
  <si>
    <t>L20230514002</t>
  </si>
  <si>
    <t>福州6移动</t>
  </si>
  <si>
    <t>CDNFZCM3</t>
  </si>
  <si>
    <t>BEC福州移动新增400G 2023-5-1节点正式上线 (FZ6CM)，保底160G</t>
  </si>
  <si>
    <t>FZ6CM</t>
  </si>
  <si>
    <t>L20230514003</t>
  </si>
  <si>
    <t>潍坊4移动</t>
  </si>
  <si>
    <t>【BEC-新建】潍坊移动 新建200G 2023-05-01 节点正式上线 (WF4CM)，保底80G</t>
  </si>
  <si>
    <t>WF4CM</t>
  </si>
  <si>
    <t>新壹云_小红书_移动</t>
  </si>
  <si>
    <t>1M颗粒度，无保底，3个1000进制，系数1</t>
  </si>
  <si>
    <t>xyyun_xhs_cmnet</t>
  </si>
  <si>
    <t>L20230630003</t>
  </si>
  <si>
    <t>新壹云_帆一</t>
  </si>
  <si>
    <t>1M颗粒度，无保底。95计费，1000进制，系数1</t>
  </si>
  <si>
    <t>xyyun_fanyi</t>
  </si>
  <si>
    <t>L20230601012</t>
  </si>
  <si>
    <t>华为云_快手_移动</t>
  </si>
  <si>
    <t>hwyun_kuaishou_cmnet</t>
  </si>
  <si>
    <t>贵州白山云科技股份有限公司</t>
  </si>
  <si>
    <t>白山云</t>
  </si>
  <si>
    <t>L20230601013</t>
  </si>
  <si>
    <t>白山CDN_爱奇艺_移动</t>
  </si>
  <si>
    <t>bscdn_iqiyi_cmnet</t>
  </si>
  <si>
    <t>182315IDC00216</t>
  </si>
  <si>
    <t>意如CDN_快手_联通</t>
  </si>
  <si>
    <t>yrcdn_kuaishou_cnc</t>
  </si>
  <si>
    <t>L20230604003</t>
  </si>
  <si>
    <t>丽水4移动</t>
  </si>
  <si>
    <t>CDNLSCM2</t>
  </si>
  <si>
    <t>【BEC新建】BEC浙江丽水移动新建400G 2023-6-1 节点正式上线 (BECLS4CM )，保底160G</t>
  </si>
  <si>
    <t>LS4CM</t>
  </si>
  <si>
    <t>中国移动通信集团福建有限公司泉州分公司</t>
  </si>
  <si>
    <t>泉州移动</t>
  </si>
  <si>
    <t>L20230604004</t>
  </si>
  <si>
    <t>CDNQZCM</t>
  </si>
  <si>
    <t>【CDN新建】BEC泉州移动新增200G 2023-4-27节点正式上线 (QZCM)，保底80G</t>
  </si>
  <si>
    <t>QZCM</t>
  </si>
  <si>
    <t>中国移动通信集团江苏有限公司徐州分公司</t>
  </si>
  <si>
    <t>徐州移动</t>
  </si>
  <si>
    <t>L20230604005</t>
  </si>
  <si>
    <t>徐州2移动</t>
  </si>
  <si>
    <t>CDNXZCM</t>
  </si>
  <si>
    <t>保底计提【BEC新建】BEC江苏徐州移动新建200G  2023-05-30 节点正式上线  (BECXZ2CM)，保底80G</t>
  </si>
  <si>
    <t>XZ2CM</t>
  </si>
  <si>
    <t>L20230604006</t>
  </si>
  <si>
    <t>杭州6移动</t>
  </si>
  <si>
    <t>CDNHZCM3</t>
  </si>
  <si>
    <t>保底计提(保底折天)【BEC新建】BEC浙江杭州移动新建400G  2023-06-01 节点正式上线  (HZ6CM)，保底160G</t>
  </si>
  <si>
    <t>HZ6CM</t>
  </si>
  <si>
    <t>L20230604008</t>
  </si>
  <si>
    <t>济南13移动</t>
  </si>
  <si>
    <t>CDNJNCM2</t>
  </si>
  <si>
    <t>保底计提(保底折天)【BEC新建】BEC山东济南移动新建100G 2023-6-1 节点正式上线 (BECJN13CM )，保底40G</t>
  </si>
  <si>
    <t>JN13CM</t>
  </si>
  <si>
    <t>L20230604009</t>
  </si>
  <si>
    <t>烟台2联通</t>
  </si>
  <si>
    <t>CDNYTUN2</t>
  </si>
  <si>
    <t>60G</t>
  </si>
  <si>
    <t>【CDN新建】山东烟台联通新建60G  2023-06-01 节点正式上线  (YT2UN)，免费节点</t>
  </si>
  <si>
    <t>YT2UN</t>
  </si>
  <si>
    <t>CDN 带宽</t>
  </si>
  <si>
    <t>补提5月苏州联通带宽结算差异，结算5.9G，提5.8G，补0.1G</t>
  </si>
  <si>
    <t>补提5月网宿国内直播流量带宽结算差异，结算1.36055G，补1.36055G</t>
  </si>
  <si>
    <t>补提5月网宿海外直播流量带宽结算差异，结算0.1G，补0.1G</t>
  </si>
  <si>
    <t>补提5月华为云换量带宽结算差异，结算1048.258338G，提1048.24G，补0.018338G</t>
  </si>
  <si>
    <t>补提5月青岛电信带宽结算差异，暂按双方均值计提，结算111.9G，提111.1G，补0.8G</t>
  </si>
  <si>
    <t>补提5月青岛滨海电信带宽结算差异，暂按双方均值计提，结算97.5G，提96.5G，补1G</t>
  </si>
  <si>
    <t>182315IDC00158</t>
  </si>
  <si>
    <t>补提5月盐城移动带宽结算差异，结算116.46G，提115.62G，补0.84G</t>
  </si>
  <si>
    <t>补提5月盐城3移动带宽结算差异，结算166.84G，提120.74G，补46.1G(更新流量)</t>
  </si>
  <si>
    <t>补提5月济南4移动带宽结算差异，结算206.92G，提205.19G，补1.73G</t>
  </si>
  <si>
    <t>补提5月青岛4移动带宽结算差异，结算125.6G，提121.11G，补4.49G</t>
  </si>
  <si>
    <t>补提5月青岛2移动二级带宽结算差异，结算83.89G，提81.62G，补2.27G</t>
  </si>
  <si>
    <t>补提5月金华联通带宽结算差异，暂按运营商流量74.2G补提，已提72.78G，补1.42G</t>
  </si>
  <si>
    <t>182315IDC00117</t>
  </si>
  <si>
    <t>杭州</t>
  </si>
  <si>
    <t>补提5月杭州移动带宽结算差异，暂按双方中值44.75G，提44.68G，补0.07G</t>
  </si>
  <si>
    <t>补提5月杭州4移动带宽结算差异，暂按双方均值120.86G补提，提119.77G，补1.09G</t>
  </si>
  <si>
    <t>补提5月金华移动带宽结算差异，暂按双方中值33.19G补提，已提32.92G，补0.27G</t>
  </si>
  <si>
    <t>补提5月台州2移动带宽结算差异，结算48.95G，提48.58G，补0.37G</t>
  </si>
  <si>
    <t>182215IDC00399</t>
  </si>
  <si>
    <t>2022/6/26
2022/9/1</t>
  </si>
  <si>
    <t>240G+
60G</t>
  </si>
  <si>
    <t>补提5月舟山移动带宽结算差异，结算152.4G，提149.76G，补2.64G</t>
  </si>
  <si>
    <t>补提4月苏州联通带宽，调整计费逻辑4.10-4.28按1G固定流量折天计费，4.29-4.30按10G保底折天计费，结算金额（1G*19/30+10G*0.3*2/30）*9000，补提差额</t>
  </si>
  <si>
    <t>华南</t>
  </si>
  <si>
    <t>湖南</t>
  </si>
  <si>
    <t>王腾</t>
  </si>
  <si>
    <t>中国电信股份有限公司湖南分公司</t>
  </si>
  <si>
    <t>湖南电信</t>
  </si>
  <si>
    <t>182315IDC00267</t>
  </si>
  <si>
    <t>衡阳</t>
  </si>
  <si>
    <t>衡阳电信SSL</t>
  </si>
  <si>
    <t>CDNHY</t>
  </si>
  <si>
    <t>2013/5/14
2021/5/31</t>
  </si>
  <si>
    <t>20210531退租，20210301开始价格变动；颗粒度100M，保底3G</t>
  </si>
  <si>
    <t>株洲</t>
  </si>
  <si>
    <t>株洲电信SSL</t>
  </si>
  <si>
    <t>CDNZHUZCT</t>
  </si>
  <si>
    <t>2016/4/1
2023/3/31</t>
  </si>
  <si>
    <t>20230331退租。20210301开始价格变动；颗粒度100M，保底3G</t>
  </si>
  <si>
    <t>岳阳</t>
  </si>
  <si>
    <t>岳阳2电信</t>
  </si>
  <si>
    <t>CDNYYCT2</t>
  </si>
  <si>
    <t>2019/1/15
2021/3/1</t>
  </si>
  <si>
    <t>100G+80G</t>
  </si>
  <si>
    <t>需要注意202107故障扣减，需要注意202103扩容后存量价格变动；（1）颗粒度100M，保底54G；（2）20210301扩容80G开始计费</t>
  </si>
  <si>
    <t>YY2CT</t>
  </si>
  <si>
    <t>长沙</t>
  </si>
  <si>
    <t>长沙三级电信</t>
  </si>
  <si>
    <t>CDNCSIX</t>
  </si>
  <si>
    <t>2022/9/6
2022/10/1</t>
  </si>
  <si>
    <t>180G+100G</t>
  </si>
  <si>
    <t>20220906开始计费180G，20221001开始计费100G颗粒度100M，保底84G</t>
  </si>
  <si>
    <t>CSIXCT</t>
  </si>
  <si>
    <t>补202305，已计提57，先按照均值57.3，补0.3</t>
  </si>
  <si>
    <t>广东</t>
  </si>
  <si>
    <t>中国电信股份有限公司广东分公司</t>
  </si>
  <si>
    <t>广东电信</t>
  </si>
  <si>
    <t>182315IDC00175</t>
  </si>
  <si>
    <t>东莞2电信（东莞-樟木头机房）+东莞3电信</t>
  </si>
  <si>
    <t>东莞3电信</t>
  </si>
  <si>
    <t>CDNDGCT</t>
  </si>
  <si>
    <t>2010/6/20
2022/1/31
2022/5/31</t>
  </si>
  <si>
    <t>200G+200G-200G-140G</t>
  </si>
  <si>
    <t>sys已核对历史560G，201909月底退租160G，剩余400G(DG2CT200+DG3CT200G)，20220131DG2CT退租200G，20220531退租DG3CT140G；颗粒度100M，保底每个万兆3G，DG2CT与DG3CT合并计费</t>
  </si>
  <si>
    <t>DG3CT</t>
  </si>
  <si>
    <t>云-广州电信（河源）-河源IDC中心</t>
  </si>
  <si>
    <t>云自采-河源电信</t>
  </si>
  <si>
    <t>CBUCDNHYCT</t>
  </si>
  <si>
    <t>历史开通
2019/9/30
2022/1/31
2022/4/30
2022/5/31</t>
  </si>
  <si>
    <t>400G
-100G-100G-100G-100G</t>
  </si>
  <si>
    <t>sys已核对历史400G，201909月底退100G，20220131退租100G，20220430退租100G，20220531退租100G.颗粒度100M ，保底30G</t>
  </si>
  <si>
    <t>潮州枫桥idc中心</t>
  </si>
  <si>
    <t>潮州电信</t>
  </si>
  <si>
    <t>CDNCHAOZCT</t>
  </si>
  <si>
    <t>2018/10/17
2022/5/31</t>
  </si>
  <si>
    <t>200G-200G</t>
  </si>
  <si>
    <t>20220531退租200G。sys已核对200G，颗粒度100M，保底60G</t>
  </si>
  <si>
    <t>阳江</t>
  </si>
  <si>
    <t>阳江电信</t>
  </si>
  <si>
    <t>CDNYJCT</t>
  </si>
  <si>
    <t>历史开通
2022/4/30
2022/5/31</t>
  </si>
  <si>
    <t>200G-100G-100G</t>
  </si>
  <si>
    <t>20220430退租100G。20220531退租100G.颗粒度100M，保底30G</t>
  </si>
  <si>
    <t>东莞-大朗机房</t>
  </si>
  <si>
    <t>东莞电信SSL</t>
  </si>
  <si>
    <t>CDNCZCT</t>
  </si>
  <si>
    <t>5.1日起2个万兆，无保底</t>
  </si>
  <si>
    <t>DGSSLTELECOM</t>
  </si>
  <si>
    <t>佛山</t>
  </si>
  <si>
    <t>佛山电信SSL</t>
  </si>
  <si>
    <t>FS9F</t>
  </si>
  <si>
    <t>2012/6/29
2021/8/18</t>
  </si>
  <si>
    <t>无保底，搬迁机房</t>
  </si>
  <si>
    <t>SSLFSCT</t>
  </si>
  <si>
    <t>2021/8/19
2022/11/30</t>
  </si>
  <si>
    <t>20221130退租；202108原佛山电信SSL搬迁至此机房SSLFSCT</t>
  </si>
  <si>
    <t>云自采-江门2电信</t>
  </si>
  <si>
    <t>CDNJINZCT</t>
  </si>
  <si>
    <t>之前是 JM2CT，JM3CT，JMCT 一起合并计费，受下游系统限制，只能用JM2CT做代表。然后8月账期，JM2CT 下线了。 变成了 JM3CT JMCT 合并计费，同样受系统限制，只能用 JM3CT 做代表了。</t>
  </si>
  <si>
    <t>江门3电信</t>
  </si>
  <si>
    <t>CBUCDNJMCT</t>
  </si>
  <si>
    <t>2018/7/30
2019/11/30
2020/3/31
2021/3/31</t>
  </si>
  <si>
    <t>600G
-200G-200G-160G</t>
  </si>
  <si>
    <t>202306按照保底计提。需要注意20210331退租160G；需要注意20200331退租200G。sys已核对带宽600G，20191130退租200G，颗粒度100M ，保底12G</t>
  </si>
  <si>
    <t>JM3CT</t>
  </si>
  <si>
    <t>IDC带宽</t>
  </si>
  <si>
    <t>GZNS-电信CDN</t>
  </si>
  <si>
    <t>GZNS</t>
  </si>
  <si>
    <t>2021/11/5
2023/1/1</t>
  </si>
  <si>
    <t>20230101扩容100G，20211105开始计费，颗粒度100M，保底60G</t>
  </si>
  <si>
    <t>GZNS-CT-ST-2</t>
  </si>
  <si>
    <t>L20221025014</t>
  </si>
  <si>
    <t>BGP广州南沙电信</t>
  </si>
  <si>
    <t>2017/3/25--2017/4/24
2020年新增</t>
  </si>
  <si>
    <t>20G+20G</t>
  </si>
  <si>
    <t>202011-12单价为18W，与高峰确认目前GZNS在用40G带宽。新合同为95计费，颗粒度100M 。无保底，0-5G（包含5G），250000元/G/月；5G-10G（包含10G），220000元/G/月；10G-15G，200000元/G/月，15G-20G，190000元/G/月，20G以上，180000元/G/月。[注：如BGP带宽使用量超过5G，则前5G带宽费用变更为22万元/G/月；如BGP带宽使用量超过10G，则前10G带宽费用变更为20万元/G/月]。</t>
  </si>
  <si>
    <t>GZNSCT_BGP</t>
  </si>
  <si>
    <t>182315IDC00179</t>
  </si>
  <si>
    <t>南沙电信</t>
  </si>
  <si>
    <t>2017/3/25--2017/4/24
2020/3/20</t>
  </si>
  <si>
    <t>300G（20200320扩容60G）</t>
  </si>
  <si>
    <t>BD反馈此节点存量+扩容一共300G。20210316开始为95计费，需要注意2020年3月20日扩容60G。30个万兆口，每端口保底1G，颗粒度1G</t>
  </si>
  <si>
    <t>贵州</t>
  </si>
  <si>
    <t>中国电信股份有限公司贵州分公司</t>
  </si>
  <si>
    <t>贵州电信</t>
  </si>
  <si>
    <t>L20230330004</t>
  </si>
  <si>
    <t>安顺电信5</t>
  </si>
  <si>
    <t>安顺5电信</t>
  </si>
  <si>
    <t>CDNASCT</t>
  </si>
  <si>
    <t>2019/1/3
2022/4/30
2022/5/31</t>
  </si>
  <si>
    <t>160G-40G-100G</t>
  </si>
  <si>
    <t>（1）20220430退租40G,20220531退租100G，颗粒度100M，保底36G；（2）计费粒度为100M（不满100M 按照100M 计算） （3）双方确认流量出现偏差时，偏差值在1%之内，以甲方提供的流量值为准；偏差值在1%-3%之内，双方流量数据取中值；偏差值在3%之上的，双方协商解决。</t>
  </si>
  <si>
    <t>AS5CT</t>
  </si>
  <si>
    <t>四川</t>
  </si>
  <si>
    <t>中国电信股份有限公司四川分公司</t>
  </si>
  <si>
    <t>四川电信</t>
  </si>
  <si>
    <t>L20230223026</t>
  </si>
  <si>
    <t>成都1</t>
  </si>
  <si>
    <t>成都电信</t>
  </si>
  <si>
    <t>CDNCDCT</t>
  </si>
  <si>
    <t>2010/2/1
2019/11/30</t>
  </si>
  <si>
    <t>160G
-160G</t>
  </si>
  <si>
    <t>需要注意2019年11月30日退租，颗粒度100M，保底48G。</t>
  </si>
  <si>
    <t>成都2</t>
  </si>
  <si>
    <t>成都2电信</t>
  </si>
  <si>
    <t>CDNCDCT2</t>
  </si>
  <si>
    <t>2018/3/31
2019/11/30
2019/1/25
2021/4/2
2022/1/1
2022/4/1
2022/5/31
2022/7/31</t>
  </si>
  <si>
    <t>280G
-20G+
300G+100G+100G+100G-400G-260G</t>
  </si>
  <si>
    <t>20220731退租260G。20220401扩容100G开始计费，20220101扩容100G开始计费，20210402扩容100G开始计费，202009-202010带宽不计费，与系统部核实成都6电信与成都2电信合并计费，需要注意2019年11月30日成都2退租20G，20220601开始CD6CT&amp;CD2CT不合并计费。颗粒度100M，保底60G</t>
  </si>
  <si>
    <t>CD2CT</t>
  </si>
  <si>
    <t>成都6</t>
  </si>
  <si>
    <t>成都电信6</t>
  </si>
  <si>
    <t>2022/6/1
2022/7/31</t>
  </si>
  <si>
    <t>400G-200G</t>
  </si>
  <si>
    <t>202306按照保底计提。20220731退租200G。202206从成都电信2拆分，颗粒度100M，保底60G</t>
  </si>
  <si>
    <t>CD6CT</t>
  </si>
  <si>
    <t>成都5</t>
  </si>
  <si>
    <t>成都5电信</t>
  </si>
  <si>
    <t>2019/1/25
2021/4/1
2022/7/31</t>
  </si>
  <si>
    <t>300G+100G-200G</t>
  </si>
  <si>
    <t>20220731退租200G。需要注意资源变动。需要注意单价打折后每月保底情况；20210401扩容100G开始计费，202009-202010带宽不计费，与系统部核实成都5电信单独计费，颗粒度100M，保底60G</t>
  </si>
  <si>
    <t>CD5CT</t>
  </si>
  <si>
    <t>云自采-资阳电信</t>
  </si>
  <si>
    <t>CBUCDNZYCT</t>
  </si>
  <si>
    <t>2017/10/26
2019/11/30</t>
  </si>
  <si>
    <t>需要注意2019年11月30日退租，颗粒度100M，保底36G</t>
  </si>
  <si>
    <t>云自采-泸州电信</t>
  </si>
  <si>
    <t>CBUCDNLUZCT</t>
  </si>
  <si>
    <t>40G
-40G</t>
  </si>
  <si>
    <t>需要注意2019年11月30日退租，颗粒度100M，保底12G</t>
  </si>
  <si>
    <t>德阳2电信</t>
  </si>
  <si>
    <t>CDNDYCT</t>
  </si>
  <si>
    <t>202009-202010带宽不计费，2019年9月27日起开始计费,颗粒度100M，保底120G。</t>
  </si>
  <si>
    <t>DY2CT</t>
  </si>
  <si>
    <t>成都</t>
  </si>
  <si>
    <t>成都8电信</t>
  </si>
  <si>
    <t>CDNCDCT3</t>
  </si>
  <si>
    <t>2022/12/25
2023/1/20</t>
  </si>
  <si>
    <t>10G+10G</t>
  </si>
  <si>
    <t>边缘计算。20221225开始计费10G+20230120开始计费10G。保底6G</t>
  </si>
  <si>
    <t>CD8CT</t>
  </si>
  <si>
    <t>L20230417001</t>
  </si>
  <si>
    <t>成都三级电信</t>
  </si>
  <si>
    <t>CDNCDIX</t>
  </si>
  <si>
    <t>2023/4/6
2023/5/1</t>
  </si>
  <si>
    <t>160G+120G</t>
  </si>
  <si>
    <t>20230406开始计费，20230501扩容120G开始计费。颗粒度100M，保底84G</t>
  </si>
  <si>
    <t>CDMT-电信CDN</t>
  </si>
  <si>
    <t>CDMT</t>
  </si>
  <si>
    <t>CDMT-电信CDN=成都三级电信。2023年6月开始看IDC出数</t>
  </si>
  <si>
    <t>CDMT-CT-ST-1</t>
  </si>
  <si>
    <t>重庆</t>
  </si>
  <si>
    <t>中国电信股份有限公司重庆分公司</t>
  </si>
  <si>
    <t>重庆电信</t>
  </si>
  <si>
    <t>L20230330005</t>
  </si>
  <si>
    <t>重庆电信2+重庆3电信+重庆4电信</t>
  </si>
  <si>
    <t>2019/7/4
2018/11/1
2018/11/1
2019/6/27
2019/4/1
2019/12/31
2022/5/31
2022/7/31
2023/3/31</t>
  </si>
  <si>
    <t>80G+160G+80G+160G
-160-220G-80G-20G</t>
  </si>
  <si>
    <t xml:space="preserve">20230331退租转给重庆5电信。20220731退租80G。20220531退租200G。202009sys出数在重庆电信2上，因为合并问题数据应该是在重庆电信3上出（1）颗粒度100M，保底6G；（2）20200914重庆电信2下线合并至重庆电信3，CDN320+SSL10G；（3）重庆电信2存量80转移到重庆电信3，并扩容80G,2019年7月4日开始计费，2019年9月1日开始重庆节点合并计费；2019年12月31日重庆4电信退租160G
</t>
  </si>
  <si>
    <t>重庆电信SSL</t>
  </si>
  <si>
    <t>CDNCQCT</t>
  </si>
  <si>
    <t>历史开通</t>
  </si>
  <si>
    <t>202306按照保底差额计提。颗粒度100M，保底3G</t>
  </si>
  <si>
    <t>CQSSLTELECOM</t>
  </si>
  <si>
    <t>重庆5电信</t>
  </si>
  <si>
    <t>CDNCQCT5</t>
  </si>
  <si>
    <t>颗粒度100M，保底6G</t>
  </si>
  <si>
    <t>CQ5CT</t>
  </si>
  <si>
    <t>中国联合网络通信有限公司株洲市分公司</t>
  </si>
  <si>
    <t>株洲联通</t>
  </si>
  <si>
    <t>L20221025026</t>
  </si>
  <si>
    <t>株洲联通2</t>
  </si>
  <si>
    <t>CDNZHUZUN</t>
  </si>
  <si>
    <t>2016/7/1
2020/1/31
2022/7/31</t>
  </si>
  <si>
    <t>240G-80G-80G</t>
  </si>
  <si>
    <t>20220731退租80G。需要注意202107故障（1）需要注意周睿反馈20200131退租80G；（2）颗粒度100M，保底24G</t>
  </si>
  <si>
    <t>ZHUZUNCACHE</t>
  </si>
  <si>
    <t>中国联合网络通信有限公司成都市分公司</t>
  </si>
  <si>
    <t>成都联通</t>
  </si>
  <si>
    <t>182015IDC00170</t>
  </si>
  <si>
    <t>CDNCDUN</t>
  </si>
  <si>
    <t>2017/9/13
2020/3/31</t>
  </si>
  <si>
    <t>40G-30G</t>
  </si>
  <si>
    <t>（1）颗粒度100M，保底3G；（2）需要注意20200331退租30G；（3）依据合同差异在1%-3%取双方平均值；（4）181915IDC00338
此合同为备忘录需要注意后期新合同降价后金额抵扣</t>
  </si>
  <si>
    <t>CDUN</t>
  </si>
  <si>
    <t>L20230417002</t>
  </si>
  <si>
    <t>成都三级联通</t>
  </si>
  <si>
    <t>2023/4/6
2023/5/1
2023/6/1</t>
  </si>
  <si>
    <t>40G+80G+60G</t>
  </si>
  <si>
    <t>20230406开始计费，20230501扩容80G开始计费。20230601扩容60G开始计费。颗粒度100M，保底54G</t>
  </si>
  <si>
    <t>CDMT-联通CDN</t>
  </si>
  <si>
    <t>CDMT-联通CDN=成都三级联通。2023年6月开始看IDC出数</t>
  </si>
  <si>
    <t>CDMT-CU-ST-1</t>
  </si>
  <si>
    <t>L20230613001</t>
  </si>
  <si>
    <t>CDMT-联通BGP</t>
  </si>
  <si>
    <t>0.1G</t>
  </si>
  <si>
    <t>202306按照保底折天计提。20230603开始计费，包端口。</t>
  </si>
  <si>
    <t>CDMT-CU-BGP-1</t>
  </si>
  <si>
    <t>中国联合网络通信有限公司重庆市分公司</t>
  </si>
  <si>
    <t>重庆联通</t>
  </si>
  <si>
    <t>L20221025027</t>
  </si>
  <si>
    <t>重庆4联通</t>
  </si>
  <si>
    <t>CDNCQUN</t>
  </si>
  <si>
    <t>2021/6/1
2022/7/31</t>
  </si>
  <si>
    <t>40G-40G</t>
  </si>
  <si>
    <t>20220731退租40G。202108开始40G从原CDN重庆3联通拆分，重庆4联通新扩容的40G按照备忘录价格</t>
  </si>
  <si>
    <t>重庆联通
重庆联通2
重庆3联通</t>
  </si>
  <si>
    <t>重庆3联通</t>
  </si>
  <si>
    <t>2016/8/25
2017/10
2018/9/11
2019/9/30
2022/7/31</t>
  </si>
  <si>
    <t>10G+
30G+
60G
-40G-20G</t>
  </si>
  <si>
    <t>20220731退租20G（1）颗粒度100M，30%保底；（2）重庆3联通20181025开始计费；（3）20190930退租CQ2UN40G</t>
  </si>
  <si>
    <t>CQ3UN</t>
  </si>
  <si>
    <t>重庆水土</t>
  </si>
  <si>
    <t>重庆联通SSL</t>
  </si>
  <si>
    <t>SSLCQUN</t>
  </si>
  <si>
    <t>202306按照保底差额计提。2019.8.1-2019.9.30租用110G独享带宽，单价10833；2019.10.1-2019．12.31租用70G独享带宽，单价10000</t>
  </si>
  <si>
    <t>CQSSLUNICOM</t>
  </si>
  <si>
    <t>联通（广东）产业互联网有限公司</t>
  </si>
  <si>
    <t>广州联通</t>
  </si>
  <si>
    <t>182115IDC00471</t>
  </si>
  <si>
    <t>M3A</t>
  </si>
  <si>
    <t>BGP广州联通</t>
  </si>
  <si>
    <t>202306按照保底计提。颗粒度100M，保底2G</t>
  </si>
  <si>
    <t>GZNSCNC_BGP</t>
  </si>
  <si>
    <t>182115IDC00140</t>
  </si>
  <si>
    <t>广州</t>
  </si>
  <si>
    <t>广州联通SSL</t>
  </si>
  <si>
    <t>CDNGZUN</t>
  </si>
  <si>
    <t>202306按照保底差额计提。需要注意2020年4月1日开始新合同颗粒度100M，保底3G</t>
  </si>
  <si>
    <t>GZSSLUNICOM</t>
  </si>
  <si>
    <t>广州联通产业互联网</t>
  </si>
  <si>
    <t>广州联通4</t>
  </si>
  <si>
    <t>广州3联通</t>
  </si>
  <si>
    <t>2019/1/27
2022/3/31</t>
  </si>
  <si>
    <t>160G-80G</t>
  </si>
  <si>
    <t>20220331退租80G。颗粒度100M，保底24G。与广州联通3合并，新增160G带宽，自2019年1月27日开始计费</t>
  </si>
  <si>
    <t>GZ3UN</t>
  </si>
  <si>
    <t>L20221025021</t>
  </si>
  <si>
    <t>化龙机房</t>
  </si>
  <si>
    <t>广州华龙联通</t>
  </si>
  <si>
    <t>GZHL</t>
  </si>
  <si>
    <t>需要注意20191001合并到广州南沙联通计费，颗粒度100M，保底6G，静态带宽，合并到广州南沙联通计费</t>
  </si>
  <si>
    <t>化龙机房（原南沙机房转）</t>
  </si>
  <si>
    <t>广州南沙联通</t>
  </si>
  <si>
    <t>120G+60G</t>
  </si>
  <si>
    <t>需要注意20191001合并广州华龙联通计费，颗粒度100M，合并后保底18G，静态带宽，2018.10月开始正常计费。</t>
  </si>
  <si>
    <t>GZNSUNICOM</t>
  </si>
  <si>
    <t>GZNJ-联通CDN</t>
  </si>
  <si>
    <t>GZNJ</t>
  </si>
  <si>
    <t>20211108开始计费，颗粒度100M，保底30G</t>
  </si>
  <si>
    <t>GZNJ-CU-ST-1</t>
  </si>
  <si>
    <t>182215IDC00478</t>
  </si>
  <si>
    <t>揭阳</t>
  </si>
  <si>
    <t>揭阳联通</t>
  </si>
  <si>
    <t>CDNJIEYUN</t>
  </si>
  <si>
    <t>2022/7/1
2022/9/30</t>
  </si>
  <si>
    <t>300G-300G</t>
  </si>
  <si>
    <t>20220930退租。20220701开始计费，颗粒度10M，保底90G</t>
  </si>
  <si>
    <t>潮州</t>
  </si>
  <si>
    <t>潮州联通</t>
  </si>
  <si>
    <t>CDNCHAOZUN</t>
  </si>
  <si>
    <t>2022/7/1
2022/9/3</t>
  </si>
  <si>
    <t>20220701开始计费100G，20220903扩容100G开始计费。颗粒度10M，保底60G</t>
  </si>
  <si>
    <t>CHAOZUN</t>
  </si>
  <si>
    <t>L20230306003</t>
  </si>
  <si>
    <t>揭阳2联通</t>
  </si>
  <si>
    <t>CDNJIEYUN2</t>
  </si>
  <si>
    <t>颗粒度100M，保底60G</t>
  </si>
  <si>
    <t>JIEY2UN</t>
  </si>
  <si>
    <t>补202305，已计提48.3，结算48.75，补0.45</t>
  </si>
  <si>
    <t>中国联合网络通信有限公司贵州省分公司</t>
  </si>
  <si>
    <t>贵州联通</t>
  </si>
  <si>
    <t>182215IDC00582</t>
  </si>
  <si>
    <t>贵阳</t>
  </si>
  <si>
    <t>贵阳联通</t>
  </si>
  <si>
    <t>CDNGYUN</t>
  </si>
  <si>
    <t>GYUN</t>
  </si>
  <si>
    <t>中国联合网络通信有限公司广安市分公司</t>
  </si>
  <si>
    <t>广安联通</t>
  </si>
  <si>
    <t>182015IDC00171</t>
  </si>
  <si>
    <t>广安</t>
  </si>
  <si>
    <t>广安2联通</t>
  </si>
  <si>
    <t>CBUCDNGAUN</t>
  </si>
  <si>
    <t>2020/4/2
2021/8/31</t>
  </si>
  <si>
    <t>2021年8月31日退租；20200402开始计费，颗粒度100M，保底12G</t>
  </si>
  <si>
    <t>中国联合网络通信有限公司长沙市分公司</t>
  </si>
  <si>
    <t>长沙联通</t>
  </si>
  <si>
    <t>182315IDC00242</t>
  </si>
  <si>
    <t>长沙三级联通</t>
  </si>
  <si>
    <t>202306按照保底计提。20220906开始计费，颗粒度100M，保底54G</t>
  </si>
  <si>
    <t>CSIXUN</t>
  </si>
  <si>
    <t>中国移动通信集团广东有限公司广州分公司</t>
  </si>
  <si>
    <t>广州移动</t>
  </si>
  <si>
    <t>182315IDC00203</t>
  </si>
  <si>
    <t>广州5移动</t>
  </si>
  <si>
    <t>CDNGZCM3</t>
  </si>
  <si>
    <t>2019/6/1
2019/12/31
2022/5/31
2022/7/31</t>
  </si>
  <si>
    <t>400G-80G-200G-100G</t>
  </si>
  <si>
    <t>20220731退租100G。需要注意20191231退租80G，20220531退租200G，颗粒度10M，保底8G（181915IDC00129这份合同cdn有720G，ssl有30G）</t>
  </si>
  <si>
    <t>GZ5CM</t>
  </si>
  <si>
    <t>广州移动SSL</t>
  </si>
  <si>
    <t>CDNGZCM2</t>
  </si>
  <si>
    <t>2015/9/1
2021/5/31</t>
  </si>
  <si>
    <t>30G-20G</t>
  </si>
  <si>
    <t>202306按照保底差额计提。20210531退租20G，颗粒度10M，带宽保底4G</t>
  </si>
  <si>
    <t>GZSSLMOBCOM</t>
  </si>
  <si>
    <t>181815IDC00115
182215IDC00268
182315IDC00162</t>
  </si>
  <si>
    <t>博浩</t>
  </si>
  <si>
    <t>广州博浩移动</t>
  </si>
  <si>
    <t>GZBH</t>
  </si>
  <si>
    <t>2018/3/31
历史开通</t>
  </si>
  <si>
    <t>181515IDC0038合同20210731到期；合并到GZHXY出流量，sys反馈gzhxy+gzbh=22+40=62个端口</t>
  </si>
  <si>
    <t>GZBH-MOBCOM</t>
  </si>
  <si>
    <t>GZHXY</t>
  </si>
  <si>
    <t>20200601开始保底80G。颗粒度1G。从1月起执行合并保底51G。每月带宽赠送4G</t>
  </si>
  <si>
    <t>合同约定80G保底</t>
  </si>
  <si>
    <t>广州南沙</t>
  </si>
  <si>
    <t>BGP广州南沙移动</t>
  </si>
  <si>
    <t>2015/10/1
2020/4/1
2020/9/9
2020/11/3</t>
  </si>
  <si>
    <t>60G-10G-20G-10G</t>
  </si>
  <si>
    <t>202306按照保底计提。需要注意20200909关闭20G+20201103关闭10G，20200401开始15W/G/月，20%保底，颗粒度10M，50G端口；BGP，优惠前价格24万，1、2019年8月1日起，按照补充协议执行。1.5G保底，0.5G颗粒度，不足6G时，每0.5G带宽赠送2万，6G或以上时，前3个G按10万元/0.5G执行，第4个G及以上带宽，每0.5G赠送3万元。
2、2019年8月1日前，0.5G保底，0.5G颗粒度，第1个G每0.5G带宽赠送2万，第2个G及以上每0.5G带宽赠送3万，</t>
  </si>
  <si>
    <t>GZNSCM_BGP</t>
  </si>
  <si>
    <t>GZBH移动CDN</t>
  </si>
  <si>
    <t>20230202开始计费，保底40G</t>
  </si>
  <si>
    <t>GZBH-CM-ST-2</t>
  </si>
  <si>
    <t>补202305，已计提59.46，结算60.09，补0.63</t>
  </si>
  <si>
    <t>中国移动通信集团湖南有限公司长沙分公司</t>
  </si>
  <si>
    <t>长沙移动</t>
  </si>
  <si>
    <t>182315IDC00083</t>
  </si>
  <si>
    <t>长沙2</t>
  </si>
  <si>
    <t>长沙移动2</t>
  </si>
  <si>
    <t>CDNCSCM2</t>
  </si>
  <si>
    <t>2018/11/1
2020/12/31
2021/9/12
2021/11/1</t>
  </si>
  <si>
    <t>160G+160G+80G+80G</t>
  </si>
  <si>
    <t>（1）20201231扩容160G开始计费；202109012扩容80G（2）长沙移动2+长沙3移动2021年11月1日开始合并计费。颗粒度10M，保底192G；（3）存量已争取在2019年赠送2个月免费测试期，执行时间2019年7月25日-9月24日，该时间段免费，不用给运营商支付费用</t>
  </si>
  <si>
    <t>CS2CM</t>
  </si>
  <si>
    <t>长沙3</t>
  </si>
  <si>
    <t>长沙3移动</t>
  </si>
  <si>
    <t>2019/8/1
2019/11/30
2019/12/31
2020/3/31
2021/10/31</t>
  </si>
  <si>
    <t>240G
-160G
+160G
-160G-80G</t>
  </si>
  <si>
    <t>长沙移动2+长沙3移动2021年11月1日开始合并计费。需要注意sys反馈20191231上160G，20200331退160G。颗粒度10M，保底40%，2019年6月1日至2019年8月1日带宽赠送.2019年11月30日退租160G</t>
  </si>
  <si>
    <t>湘潭</t>
  </si>
  <si>
    <t>湘潭移动</t>
  </si>
  <si>
    <t>CDNXIANGTCM</t>
  </si>
  <si>
    <t>2019/3/1
2022/7/31</t>
  </si>
  <si>
    <t>320G-280G</t>
  </si>
  <si>
    <t>20220731退租280G。颗粒度10M，保底16G</t>
  </si>
  <si>
    <t>XIANGTCM</t>
  </si>
  <si>
    <t>岳阳移动</t>
  </si>
  <si>
    <t>CDNYYCM</t>
  </si>
  <si>
    <t>2019/8/1
2022/7/31</t>
  </si>
  <si>
    <t>320G-320G</t>
  </si>
  <si>
    <t>20220731退租320G（1）颗粒度10M，保底128G；（2）201908-201910免费，201911开始计费</t>
  </si>
  <si>
    <t>长沙三级移动</t>
  </si>
  <si>
    <t>160G+100G</t>
  </si>
  <si>
    <t>20220906开始计费160G，20221001开始计费100G，颗粒度10M，保底104G</t>
  </si>
  <si>
    <t>CSIXCM</t>
  </si>
  <si>
    <t>补202305，已计提215.74，结算217.6，补1.86</t>
  </si>
  <si>
    <t>中国移动通信集团重庆有限公司</t>
  </si>
  <si>
    <t>重庆移动</t>
  </si>
  <si>
    <t>182315IDC00084</t>
  </si>
  <si>
    <t>重庆2移动+重庆移动+重庆移动二级+重庆4移动</t>
  </si>
  <si>
    <t>重庆2移动</t>
  </si>
  <si>
    <t>CDNCQCM2</t>
  </si>
  <si>
    <t>2015/11
2019/2/1
2019/2/1
2020/7/1
2020/11/20
2020/11/20
2022/7/31
2022/7/31
2022/12/31</t>
  </si>
  <si>
    <t>200G+
140G+
160G+200G+60G+20G-260G-40G-320G</t>
  </si>
  <si>
    <t>202301开始取消合并计费。20220731重庆4移动退租40G&amp;重庆移动退租260G(1)需要注意20201120重庆2移动扩容20G，重庆移动扩60G；（2）颗粒度10M，保底40%。20200801开始合并重庆4移动200G合并计费，重庆移动+重庆2移动+重庆移动二级+重庆4移动合并计费，颗粒度</t>
  </si>
  <si>
    <t>CQ2CM</t>
  </si>
  <si>
    <t>重庆移动二级</t>
  </si>
  <si>
    <t>CQCMCACHE</t>
  </si>
  <si>
    <t>160G</t>
  </si>
  <si>
    <t>重庆4移动</t>
  </si>
  <si>
    <t>2020/7/1
2020/8/1
2023/1/1</t>
  </si>
  <si>
    <t>200G-200G+160G</t>
  </si>
  <si>
    <t>20200801开始合并到重庆2移动计费，20200701开始计费，颗粒度10M，保底40%</t>
  </si>
  <si>
    <t>CQ4CM</t>
  </si>
  <si>
    <t>重庆移动SSL</t>
  </si>
  <si>
    <t>SSLCQCM</t>
  </si>
  <si>
    <t>20200801开始计费，颗粒度10M，保底40%</t>
  </si>
  <si>
    <t>中国移动通信集团四川有限公司</t>
  </si>
  <si>
    <t>成都移动</t>
  </si>
  <si>
    <t>182315IDC00128</t>
  </si>
  <si>
    <t>成都2+3+4+5</t>
  </si>
  <si>
    <t>成都移动3</t>
  </si>
  <si>
    <t>CDNCDCM3</t>
  </si>
  <si>
    <t>2019/2/1 2019/2/1 2019/2/1 2019/3/1
2020/7/1
2022/5/15
2022/5/31
2022/5/31
2022/8/31</t>
  </si>
  <si>
    <t>120G+120G+240G +200G+100G-100G-80G-20G-440G</t>
  </si>
  <si>
    <t xml:space="preserve">（1）需要注意成都3移动20200701扩容100G，20220515成都2移动退租100G，20220531成都3移动退租80G.颗粒度10M，20220531成都2移动退租20G.保底40%。（2）历史备注信息：1. 2019年1月3日扩容的CD2CM + CD3+ CD4CM总计160G，2019年2月1日开始计费，因存增量达到400G以上，故2月份账期存增量同步降价为6000元/G/月；
2. 2019年2月1日新建CD5CM节点200G，2019年3月1日开始计费，且提供为期5个月无保底优惠策略）
</t>
  </si>
  <si>
    <t>CD3CM</t>
  </si>
  <si>
    <t>成都4移动</t>
  </si>
  <si>
    <t>20220901开始拆分计费。颗粒度10M，保底96G</t>
  </si>
  <si>
    <t>CD4CM</t>
  </si>
  <si>
    <t>成都5移动</t>
  </si>
  <si>
    <t>CDNCDCM4</t>
  </si>
  <si>
    <t>20220901开始拆分计费。颗粒度10M，保底80G</t>
  </si>
  <si>
    <t>CD5CM</t>
  </si>
  <si>
    <t>成都11移动</t>
  </si>
  <si>
    <t>CDNCDCM5</t>
  </si>
  <si>
    <t>2022/12/22
2023/1/13</t>
  </si>
  <si>
    <t>202306按照保底计提。20221222开始计费。20230113扩容10G开始机房。边缘计算，保底8G</t>
  </si>
  <si>
    <t>CD11CM</t>
  </si>
  <si>
    <t>L20230417003</t>
  </si>
  <si>
    <t>成都三级移动</t>
  </si>
  <si>
    <t>2023/4/6
2023/5/4</t>
  </si>
  <si>
    <t>160G+40G</t>
  </si>
  <si>
    <t>20230406开始计费，20230504扩容40G开始计费。颗粒度10M，保底80G</t>
  </si>
  <si>
    <t>CDMT-移动CDN</t>
  </si>
  <si>
    <t>CDMT-移动CDN=成都三级移动。2023年6月开始看IDC出数</t>
  </si>
  <si>
    <t>CDMT-CM-ST-1</t>
  </si>
  <si>
    <t>补202305，已计提63.62，结算63.93，补0.31</t>
  </si>
  <si>
    <t>补202305，已计提106.91，结算107.29，补0.38</t>
  </si>
  <si>
    <t>中国移动通信集团贵州有限公司贵阳分公司</t>
  </si>
  <si>
    <t>贵阳移动</t>
  </si>
  <si>
    <t>182315IDC00082</t>
  </si>
  <si>
    <t>CDNGYCM</t>
  </si>
  <si>
    <t>2019/1/25
2020/7/1
2022/5/31</t>
  </si>
  <si>
    <t>240G+40G-180G</t>
  </si>
  <si>
    <t>（1）需要注意20200701扩容40G；20220531退租180G.（2）颗粒度10M，保底40G</t>
  </si>
  <si>
    <t>GYCM</t>
  </si>
  <si>
    <t>补202305，已计提46.07，结算46.44，补0.37</t>
  </si>
  <si>
    <t>中国移动通信集团广东有限公司东莞分公司</t>
  </si>
  <si>
    <t>东莞移动</t>
  </si>
  <si>
    <t>182315IDC00081</t>
  </si>
  <si>
    <t>东莞</t>
  </si>
  <si>
    <t>东莞5移动</t>
  </si>
  <si>
    <t>CDNDGCM</t>
  </si>
  <si>
    <t>2019/6/1
2019/12/31
2020/7/1
2022/5/31
2022/7/31</t>
  </si>
  <si>
    <t>400G-60G+20G-260G-20G</t>
  </si>
  <si>
    <t>20220731退租20G（1）20220531退租260G，颗粒度10M，保底32G；（2）需要注意20200701扩容20G，需要注意20191231退租60G</t>
  </si>
  <si>
    <t>DG5CM</t>
  </si>
  <si>
    <t>中国移动通信集团广东有限公司深圳分公司</t>
  </si>
  <si>
    <t>深圳移动</t>
  </si>
  <si>
    <t>182115IDC00187</t>
  </si>
  <si>
    <t>深圳</t>
  </si>
  <si>
    <t>CDNSZCM</t>
  </si>
  <si>
    <t>2019/9/1
2019/12/31
2022/5/31</t>
  </si>
  <si>
    <t>400G-60G-340G</t>
  </si>
  <si>
    <t>（1）20200901开始计费，20220531退租。颗粒度10M，保底136G;（3）需要注意20191231退租60G；</t>
  </si>
  <si>
    <t>LJ</t>
  </si>
  <si>
    <t>深圳市前海新型互联网交换中心有限公司</t>
  </si>
  <si>
    <t>深圳前海</t>
  </si>
  <si>
    <t>182215IDC00152</t>
  </si>
  <si>
    <t>前海IXP</t>
  </si>
  <si>
    <t>SZM3B-前海IX_BGP</t>
  </si>
  <si>
    <t>实行免收端口费优惠政策，优惠期至2023年12月31日止</t>
  </si>
  <si>
    <t>成都旭荣云科技有限公司</t>
  </si>
  <si>
    <t>成都旭荣</t>
  </si>
  <si>
    <t>L20230223039</t>
  </si>
  <si>
    <t>成都2联通</t>
  </si>
  <si>
    <t>CACDNCDUN</t>
  </si>
  <si>
    <t>2022/4/1
2023/2/28</t>
  </si>
  <si>
    <t>60G-60G</t>
  </si>
  <si>
    <t>20230301开始换成和顺泰。边缘计算：20220401开始计费，保底30%，18G，1M颗粒度计提
后续待CDN上量后关注交付邮件，应该扩容了40G给CDN使用</t>
  </si>
  <si>
    <t>辽宁</t>
  </si>
  <si>
    <t>陈媛媛</t>
  </si>
  <si>
    <t>鞍山灵动网络科技有限公司</t>
  </si>
  <si>
    <t>鞍山灵动</t>
  </si>
  <si>
    <t>182215IDC00363</t>
  </si>
  <si>
    <t>鞍山</t>
  </si>
  <si>
    <t>鞍山联通</t>
  </si>
  <si>
    <t>CACDNANSHANUN</t>
  </si>
  <si>
    <t>2018/7/1
2020/11/30
2023/2/28</t>
  </si>
  <si>
    <t>160G-60G-100G</t>
  </si>
  <si>
    <t>20230228退租。需要注意20220401开始价格变动。需要注意20210901价格变动，需要注意系统部发邮件20201130退租60G。且2020年12月1日开始价格变动（1）需要注意20200401开始价格变动；（2）颗粒度100M，保底40G；（3）甲乙双方实际流量以100M为结算单位，不足50M按照0M收取，大于等于50M按100M收取。</t>
  </si>
  <si>
    <t>安徽</t>
  </si>
  <si>
    <t>北京奥普奈特网络科技有限公司</t>
  </si>
  <si>
    <t>安徽奥普奈特</t>
  </si>
  <si>
    <t>182015IDC00269
182115IDC00103</t>
  </si>
  <si>
    <t>淮南移动
淮南2移动
淮南3移动</t>
  </si>
  <si>
    <t>淮南2移动</t>
  </si>
  <si>
    <t>CACDNHNCM</t>
  </si>
  <si>
    <t>2018/4/9 
2018/7/26 
2019/5/25
2020/3/1 
2020/3/1
2020/3/31
2020/3/31
2021/1/31
2021/2/28</t>
  </si>
  <si>
    <t>160G+
160G+
240G+
30G+
20G-30G-20G-560G</t>
  </si>
  <si>
    <t>20210301开始变更为上海翱骋信息（1）颗粒度100M，保底224G；淮南移动160+淮南2移动160+淮南3移动240=560（2）需要注意周睿发邮件20200331退租HNCM30G，HN2CM20G；（3）2020年3月1日HNCM扩容30G，HM2CM扩容20G。（4）甲乙双方实际流量以100M为结算单位，不足50M按0M收取，大于等于50M按100M收取。</t>
  </si>
  <si>
    <t>上海翱骋信息科技有限公司</t>
  </si>
  <si>
    <t>翱骋信息</t>
  </si>
  <si>
    <t>182115IDC00104</t>
  </si>
  <si>
    <t>2018/4/9 
2018/7/26 
2019/5/25
2020/3/1 
2020/3/1
2020/3/31
2020/3/31
2021/1/31
2022/2/28</t>
  </si>
  <si>
    <t xml:space="preserve">20220228退租。20210301开始奥普奈特转为上海翱骋信息，颗粒度100M，保底224G；甲乙双方实际流量以100M为结算单位，不足50M按照0M收取，大于等于50M按100M收取 </t>
  </si>
  <si>
    <t>北京承启通科技有限公司</t>
  </si>
  <si>
    <t>北京承启通</t>
  </si>
  <si>
    <t>182215IDC00304</t>
  </si>
  <si>
    <t>扬州电信</t>
  </si>
  <si>
    <t>CACDNYANGZCT</t>
  </si>
  <si>
    <t>2018/6/7
2022/9/30</t>
  </si>
  <si>
    <t>160G-160G</t>
  </si>
  <si>
    <t xml:space="preserve">20220930退租。需要注意202209无保底&amp;后期资源变动（1）颗粒度100M，保底48G ；（2） 甲乙双方实际流量以100M为结算单位，不足50M按照50M收取，大于等于50M按100M收取
</t>
  </si>
  <si>
    <t>北京互联港湾科技有限公司</t>
  </si>
  <si>
    <t>互联港湾</t>
  </si>
  <si>
    <t>182215IDC00094</t>
  </si>
  <si>
    <t>中山</t>
  </si>
  <si>
    <t>中山移动</t>
  </si>
  <si>
    <t>CACDNZSCM</t>
  </si>
  <si>
    <t>2021/3/1
2021/6/1
2022/2/28</t>
  </si>
  <si>
    <t>200G+100G-300G</t>
  </si>
  <si>
    <t>20220228退租，20220201价格为5200。202103需要注意对账时候故障扣减，3月17日14:50发生网络中断22:30恢复；202104需要注意对账时候故障扣减（1）20210301开始计费200G，20210601开始计费扩容100G，颗粒度100M，保底120G；（2）甲乙双方实际流量以100M为结算单位，不足50M按照0M收取，大于等于50M按100M收取</t>
  </si>
  <si>
    <t>湖北</t>
  </si>
  <si>
    <t>王超越</t>
  </si>
  <si>
    <t>佰云互联（北京）科技有限公司</t>
  </si>
  <si>
    <t>佰云互联</t>
  </si>
  <si>
    <t>L20230330003</t>
  </si>
  <si>
    <t>宜昌</t>
  </si>
  <si>
    <t>宜昌2联通</t>
  </si>
  <si>
    <t>CACDNYICUN</t>
  </si>
  <si>
    <t>40G</t>
  </si>
  <si>
    <t>需要注意202207供应商变动（原龙云天下换佰云互联）。需要注意202205价格变动。需要注意20210801价格变动（1）20200101开始计费，颗粒度100M，保底12G；（2）甲乙双方实际流量以100M为结算单位，不足50M按0M收取；大于等于50M按100M收取</t>
  </si>
  <si>
    <t>YIC2UN</t>
  </si>
  <si>
    <t>青海</t>
  </si>
  <si>
    <t>182215IDC00618</t>
  </si>
  <si>
    <t>西宁</t>
  </si>
  <si>
    <t>西宁2联通</t>
  </si>
  <si>
    <t>CACDNXNUN</t>
  </si>
  <si>
    <t>2020/7/1
2022/10/1</t>
  </si>
  <si>
    <t>80G+40G</t>
  </si>
  <si>
    <t>202306按照均值计提。（1）20200701开始计费80G,20221001开始计费扩容40G，颗粒度100M，保底36G；（2）甲乙双方实际流量以100M为结算单位，不足50M按照0M收取，大于等于50M按100M收取。</t>
  </si>
  <si>
    <t>XN2UN</t>
  </si>
  <si>
    <t>L20230308004</t>
  </si>
  <si>
    <t>枣庄</t>
  </si>
  <si>
    <t>枣庄联通</t>
  </si>
  <si>
    <t xml:space="preserve">CACDNZAOZUN </t>
  </si>
  <si>
    <t>2022/5/1
2022/7/31
2022/8/1</t>
  </si>
  <si>
    <t>200G-100G+100G</t>
  </si>
  <si>
    <t>202306按照保底计提。20220731BEC退租100G。20220801CDN新增100G；20220501开始计费，颗粒度100M，保底60G</t>
  </si>
  <si>
    <t>ZAOZUN</t>
  </si>
  <si>
    <t>补202305，已计提14.3，结算14.4，补0.1</t>
  </si>
  <si>
    <t>北京数据互通科技有限公司</t>
  </si>
  <si>
    <t>数据互通</t>
  </si>
  <si>
    <t>182115IDC00445</t>
  </si>
  <si>
    <t>广州3移动</t>
  </si>
  <si>
    <t>CACDNGZCM2</t>
  </si>
  <si>
    <t>2019/1/25
2020/3/1
2021/10/31</t>
  </si>
  <si>
    <t>200G
+20G-220G</t>
  </si>
  <si>
    <t>20211031退租。202107价格为5000（1）颗粒度100M，保底66G；（2）20200301扩容20G开始计费；（3）2019年11月1日调整价格为5500元；（4）甲乙双方实际流量以100M为结算单位，不足50M按照0M收取，大于等于50M按100M收取</t>
  </si>
  <si>
    <t>182215IDC00648</t>
  </si>
  <si>
    <t>中山3移动</t>
  </si>
  <si>
    <t>CACDNZSCM3</t>
  </si>
  <si>
    <t>2021/11/1
2022/8/31
2023/2/28</t>
  </si>
  <si>
    <t>220G-60G-160G</t>
  </si>
  <si>
    <t>20230228退租。20220831退租60G（1）20211101开始计费，颗粒度100M，保底88G；（2）甲乙双方实际流量以100M为结算单位，不足50M按照0M收取，大于等于50M按100M收取</t>
  </si>
  <si>
    <t>182315IDC00177</t>
  </si>
  <si>
    <t>广州8移动</t>
  </si>
  <si>
    <t>CACDNGZCM5</t>
  </si>
  <si>
    <t>20230301开始计费。颗粒度100M，保底64G</t>
  </si>
  <si>
    <t>GZ8CM</t>
  </si>
  <si>
    <t>河北</t>
  </si>
  <si>
    <t>北京中瑞云祥信息科技发展有限公司</t>
  </si>
  <si>
    <t>中瑞云祥</t>
  </si>
  <si>
    <t>182315IDC00101</t>
  </si>
  <si>
    <t>廊坊</t>
  </si>
  <si>
    <t>廊坊6电信</t>
  </si>
  <si>
    <t>CACDNLFCT</t>
  </si>
  <si>
    <t>2021/2/7
2021/3/1
2021/4/1
2021/6/1
2021/10/1
2022/4/30
2022/6/30
2022/9/30
2023/6/30</t>
  </si>
  <si>
    <t>100G+40G+160G+140G+200G-100G-260G-60G-200G</t>
  </si>
  <si>
    <t>202306按照保底计提。20230630退租200G。需要注意20230301价格变动。20220201价格变动.（1）20210207开始计费100G，20210301开始计费40G，20210401开始计费160G，20210601开始计费140G，20211001开始计费200G，20220430退租100G.。20220930退租60G.颗粒度100M，保底256G；（2）20210401开始廊坊6电信&amp;廊坊7电信合并计费,20220701开始廊坊6电信&amp;廊坊7电信拆分计费（2）甲乙双方实际流量以100M为结算单位，不足50M按照0M收取，大于等于50M按100M收取</t>
  </si>
  <si>
    <t>LF6CT</t>
  </si>
  <si>
    <t>廊坊7电信</t>
  </si>
  <si>
    <t>2021/4/1
2021/10/1
2022/7/1
2022/9/30
2023/6/30</t>
  </si>
  <si>
    <t>160G-160G+200G-200G+260-40-200G</t>
  </si>
  <si>
    <t>202306按照保底计提。20230630退租200G。需要注意20230301价格变动。20220201价格变动。20210401开始计费160G，20211001扩容200G开始计费，20220930退租40G.颗粒度100M，保底108G；20210401合并至廊坊7电信</t>
  </si>
  <si>
    <t>LF7CT</t>
  </si>
  <si>
    <t>182215IDC00416</t>
  </si>
  <si>
    <t>淄博联通</t>
  </si>
  <si>
    <t>CACDNZBUN</t>
  </si>
  <si>
    <t>2022/2/1
2022/8/31
2022/11/30</t>
  </si>
  <si>
    <t>400G-200G-200G</t>
  </si>
  <si>
    <t>20220825挪给ZB2UN200G。需要注意20220401价格变动（1）20220201开始计费，颗粒度100M，保底80G；（2）甲乙双方实际流量以100M为结算单位，不足50M按照0M收取，大于等于50M按100M收取</t>
  </si>
  <si>
    <t>淄博2联通</t>
  </si>
  <si>
    <t>2022/9/1
2022/10/31</t>
  </si>
  <si>
    <t>20221031退租。颗粒度100M，保底80G</t>
  </si>
  <si>
    <t>182315IDC00016</t>
  </si>
  <si>
    <t>泰安</t>
  </si>
  <si>
    <t>泰安联通</t>
  </si>
  <si>
    <t>CACDNTAUN</t>
  </si>
  <si>
    <t>2022/11/1
2022/12/31</t>
  </si>
  <si>
    <t>20230101从CDN转给BEC。20221101开始计费，颗粒度100M，保底80G</t>
  </si>
  <si>
    <t>泰安2联通</t>
  </si>
  <si>
    <t>2022/12/1
2023/1/1</t>
  </si>
  <si>
    <t>200G+200G</t>
  </si>
  <si>
    <t>20230101从CDN转给BEC。20221201开始计费。颗粒度100M，保底80G</t>
  </si>
  <si>
    <t>TA2UN</t>
  </si>
  <si>
    <t>广东力通网络科技有限公司</t>
  </si>
  <si>
    <t>广东力通</t>
  </si>
  <si>
    <t>182115IDC00428</t>
  </si>
  <si>
    <t>岳阳联通</t>
  </si>
  <si>
    <t>CACDNYYUN</t>
  </si>
  <si>
    <t>2020/7/1
2021/12/31</t>
  </si>
  <si>
    <t>100G-100G</t>
  </si>
  <si>
    <t>20211231退租，20210701开始价格为5667，需要注意202107故障扣减（1）20200701开始计费，颗粒度100M，保底30G；
（2）甲乙双方实际流量以100M为结算单位，不足50M按照0M收取，大于等于50M按100M收取。</t>
  </si>
  <si>
    <t>黑龙江</t>
  </si>
  <si>
    <t>182115IDC00076</t>
  </si>
  <si>
    <t>佳木斯</t>
  </si>
  <si>
    <t>佳木斯2联通</t>
  </si>
  <si>
    <t>CACDNJMSUN</t>
  </si>
  <si>
    <t>2021/2/15
2021/12/31</t>
  </si>
  <si>
    <t>20211231退租（1）20210215开始计费，颗粒度100M，保底60G；（2）甲乙双方实际流量以100M为结算单位，不足50M按照0M收取，大于等于50M按100M收取</t>
  </si>
  <si>
    <t>广东图纪网络科技有限公司</t>
  </si>
  <si>
    <t>广东图纪</t>
  </si>
  <si>
    <t>182215IDC00014</t>
  </si>
  <si>
    <t>郴州</t>
  </si>
  <si>
    <t>郴州联通二级</t>
  </si>
  <si>
    <t>CACDNCHENZUN</t>
  </si>
  <si>
    <t>2020/1/22
2022/1/31</t>
  </si>
  <si>
    <t>240G-240G</t>
  </si>
  <si>
    <t>20220131退租。20211001价格为5666.67。需要注意202104-202105故障扣减，20210301价格为5833.33（1）20200122开始计费，颗粒度100M，保底72G；（2）甲乙双方实际流量以100M为结算单位，不足50M按0M收取；大于等于50M按100M收取</t>
  </si>
  <si>
    <t>长沙3联通</t>
  </si>
  <si>
    <t>CACDNCSUN</t>
  </si>
  <si>
    <t>2020/3/11
2022/7/31</t>
  </si>
  <si>
    <t>20220731退租。20211001价格为5666.67。20210301价格为5833.33（1）需要202008暂停不计费；（2）20200311开始计费，颗粒度100M，保底60G；（3）甲乙双方实际流量以100M为结算单位，不足50M按0M收取；大于等于50M按100M收取</t>
  </si>
  <si>
    <t>河南</t>
  </si>
  <si>
    <t>L20230530004</t>
  </si>
  <si>
    <t>洛阳</t>
  </si>
  <si>
    <t>洛阳4电信</t>
  </si>
  <si>
    <t>CACDNLYCT</t>
  </si>
  <si>
    <t>2020/11/1
2021/2/1
2021/9/1
2022/1/31</t>
  </si>
  <si>
    <t>100G+200G+100G-100G</t>
  </si>
  <si>
    <t>注意资源变动。202305保底率降为35%。需要注意202206价格变化。需要注意202202开始价格变动。20210901扩容后降价（1）20201101存量100G开始计费，20210201扩容200G开始计费，20210901扩容100G开始计费，20220131缩容100G，颗粒度100M，保底120G；（2）甲乙双方实际流量以100M为结算单位，不足50M按0M收取，大于等于50M按100M收取</t>
  </si>
  <si>
    <t>LY4CT</t>
  </si>
  <si>
    <t>洛阳5电信</t>
  </si>
  <si>
    <t>2021/10/1
2022/2/1</t>
  </si>
  <si>
    <t>202306按照保底计提。注意资源变动。202305保底率降为35%。需要注意202206价格变化。需要注意202202开始价格变动。（1）20211001开始计费100G，20220201扩容100G开始计费，颗粒度100M，保底80G</t>
  </si>
  <si>
    <t>LY5CT</t>
  </si>
  <si>
    <t>L20230504017</t>
  </si>
  <si>
    <t>郴州电信</t>
  </si>
  <si>
    <t>CACDNCHENZCT</t>
  </si>
  <si>
    <t>300G+100G</t>
  </si>
  <si>
    <t>需要注意202306价格变动。202305保底率降为25%。需要注意202207价格变动（1）20211001开始计费300G，20220201开始计费100G，颗粒度100M，保底120G；（2）甲乙双方实际流量以100M为结算单位，不足50M按照0M收取，大于等于50M按100M收取</t>
  </si>
  <si>
    <t>CHENZCT</t>
  </si>
  <si>
    <t>182315IDC00193</t>
  </si>
  <si>
    <t>株洲2联通</t>
  </si>
  <si>
    <t>CACDNZHUZUN</t>
  </si>
  <si>
    <t>440G</t>
  </si>
  <si>
    <t>20220201开始计费，颗粒度100M，保底132G</t>
  </si>
  <si>
    <t>ZHUZ2UN</t>
  </si>
  <si>
    <t>L20230504009</t>
  </si>
  <si>
    <t>洛阳2联通</t>
  </si>
  <si>
    <t>CACDNLYUN</t>
  </si>
  <si>
    <t>2022/6/1
2023/6/30</t>
  </si>
  <si>
    <t>300G-100G</t>
  </si>
  <si>
    <t>202306按照保底计提。需要注意202306价格变动。20230630退租100G。20220601开始计费，颗粒度100M，保底90G</t>
  </si>
  <si>
    <t>LY2UN</t>
  </si>
  <si>
    <t>L20230504021</t>
  </si>
  <si>
    <t>株洲3联通</t>
  </si>
  <si>
    <t>20220802开始计费，颗粒度100M，保底60G</t>
  </si>
  <si>
    <t>ZHUZ3UN</t>
  </si>
  <si>
    <t>L20230305001</t>
  </si>
  <si>
    <t>重庆5移动</t>
  </si>
  <si>
    <t>CACDNCQCM5</t>
  </si>
  <si>
    <t>80G</t>
  </si>
  <si>
    <t>202306暂停计费。20230302开始计费。颗粒度100M，包端口，保底80G</t>
  </si>
  <si>
    <t>CQ5CM</t>
  </si>
  <si>
    <t>厦门市唯云网络科技有限公司</t>
  </si>
  <si>
    <t>厦门唯云</t>
  </si>
  <si>
    <t>182215IDC00643</t>
  </si>
  <si>
    <t>东莞4移动</t>
  </si>
  <si>
    <t>CACDNDGCM2</t>
  </si>
  <si>
    <t>2019/1/28 
2020/3/1</t>
  </si>
  <si>
    <t>200G
+20G</t>
  </si>
  <si>
    <t>20220101价格为5000（1）颗粒度100M，保底88G；（2）20200301扩容20G开始计费；（3）甲乙双方实际流量以100M为结算单位，不足50M按0M收取，大于等于50M按100M收取；（4）2019年11月1日起调整为：5500元/G/月；</t>
  </si>
  <si>
    <t>DG4CM</t>
  </si>
  <si>
    <t>L20230223024</t>
  </si>
  <si>
    <t>无锡联通</t>
  </si>
  <si>
    <t>CACDNWXUN</t>
  </si>
  <si>
    <t>2019/10/1
2020/11/1
2022/6/30</t>
  </si>
  <si>
    <t>160G+40G-100G</t>
  </si>
  <si>
    <t>202306按照保底计提。需要注意202207价格变动。20220630退租100G。20201001价格为7000（1）存量160G20191001开始计费，扩容40G20201101开始计费，颗粒度100M，保底60G；（2）甲乙双方实际流量以100M为结算单位，不足50M按0M收取，大于等于50M按100M收取。</t>
  </si>
  <si>
    <t>WXUN</t>
  </si>
  <si>
    <t>182215IDC00649</t>
  </si>
  <si>
    <t>贵阳电信</t>
  </si>
  <si>
    <t>CACDNGYCT</t>
  </si>
  <si>
    <t>2019/10/1
2021/4/1</t>
  </si>
  <si>
    <t>200G+60G</t>
  </si>
  <si>
    <t>202306按照保底计提。（1）20191001开始计费200G，20210401扩容60G开始计费，颗粒度100M，保底52G（平均流量计费）；（2）甲乙双方实际流量以100M为结算单位，不足50M按0M收取，大于等于50M按100M收取。</t>
  </si>
  <si>
    <t>GYCT</t>
  </si>
  <si>
    <t>贵阳2电信</t>
  </si>
  <si>
    <t xml:space="preserve">CACDNGYCT </t>
  </si>
  <si>
    <t>2020/1/17
2021/4/1</t>
  </si>
  <si>
    <t>202306按照保底计提。（1）20200117开始计费200G，20210401扩容60G开始计费，颗粒度100M，保底52G（平均流量计费）；（2）甲乙双方实际流量以100M为结算单位，不足50M按0M收取，大于等于50M按100M收取。</t>
  </si>
  <si>
    <t>GY2CT</t>
  </si>
  <si>
    <t>江西</t>
  </si>
  <si>
    <t>L20230223022</t>
  </si>
  <si>
    <t>吉安</t>
  </si>
  <si>
    <t>吉安电信</t>
  </si>
  <si>
    <t>CACDNJACT</t>
  </si>
  <si>
    <t>2020/6/1
2020/12/1</t>
  </si>
  <si>
    <t>（1）20200601存量80G开始计费，20201201扩容40G开始计费，颗粒度100M，保底36G；（2）甲乙双方实际流量以100M为结算单位，不足50M按0M收取，大于等于50M按100M收取。</t>
  </si>
  <si>
    <t>JACT</t>
  </si>
  <si>
    <t>182215IDC00289</t>
  </si>
  <si>
    <t>大连</t>
  </si>
  <si>
    <t>大连3电信</t>
  </si>
  <si>
    <t>CACDNDLCT</t>
  </si>
  <si>
    <t>2021/4/2
2022/4/30</t>
  </si>
  <si>
    <t>20220430退租。202111对账需要注意故障是否扣减（1）20210402开始计费，颗粒度100M，保底30G；（2）甲乙双方实际流量以100M为结算单位，不足50M按照0M收取，大于等于50M按100M收取</t>
  </si>
  <si>
    <t>182115IDC00610</t>
  </si>
  <si>
    <t>贵阳3电信</t>
  </si>
  <si>
    <t>CACDNGYCT2</t>
  </si>
  <si>
    <t>2021/8/2
2021/10/1
2022/9/30</t>
  </si>
  <si>
    <t>100G+200G-300G</t>
  </si>
  <si>
    <t>20220930退租。20210802开始计费100G，20211001开始计费扩容200G，颗粒度100M，保底90G</t>
  </si>
  <si>
    <t>182215IDC00642</t>
  </si>
  <si>
    <t>绍兴电信</t>
  </si>
  <si>
    <t>CACDNSHAOXCT</t>
  </si>
  <si>
    <t>2021/10/1
2023/5/31</t>
  </si>
  <si>
    <t>（1）20211001开始计费，颗粒度100M，保底200G。包端口；（2）甲乙双方实际流量以100M为结算单位，不足50M按照0M收取，大于等于50M按100M收取</t>
  </si>
  <si>
    <t>182315IDC00008</t>
  </si>
  <si>
    <t>泉州</t>
  </si>
  <si>
    <t>泉州2联通</t>
  </si>
  <si>
    <t>CACDNQZUN2</t>
  </si>
  <si>
    <t>2021/12/2
2022/1/1
2022/2/1</t>
  </si>
  <si>
    <t>60G+40G+40G</t>
  </si>
  <si>
    <t>（1）20211202开始计费60G，20220101扩容40G开始计费；20220201扩容40G开始计费，颗粒度100M，保底42G（2）甲乙双方实际流量以100M为结算单位，不足50M按照0M收取，大于等于50M按100M收取</t>
  </si>
  <si>
    <t>QZ2UN</t>
  </si>
  <si>
    <t>182215IDC00082</t>
  </si>
  <si>
    <t>沧州</t>
  </si>
  <si>
    <t>沧州电信</t>
  </si>
  <si>
    <t>CACDNCANGZCT</t>
  </si>
  <si>
    <t>2022/2/1
2022/6/30</t>
  </si>
  <si>
    <t>20220630退租。（1）20220201开始计费，颗粒度100M，保底60G；（2）甲乙双方实际流量以100M为结算单位，不足50M按照0M收取，大于等于50M按100M收取</t>
  </si>
  <si>
    <t>L20230223014</t>
  </si>
  <si>
    <t>常州</t>
  </si>
  <si>
    <t>常州3电信</t>
  </si>
  <si>
    <t>CACDNCZCT</t>
  </si>
  <si>
    <t>202305保底率降为25%。20220901开始计费，颗粒度100M，保底30G</t>
  </si>
  <si>
    <t>CZ3CT</t>
  </si>
  <si>
    <t>云南</t>
  </si>
  <si>
    <t>182315IDC00007</t>
  </si>
  <si>
    <t>昆明</t>
  </si>
  <si>
    <t>昆明7电信</t>
  </si>
  <si>
    <t>CACDNKMCT</t>
  </si>
  <si>
    <t>2022/11/1
2023/6/30</t>
  </si>
  <si>
    <t>20230630退租。20221101开始计费，颗粒度100M，保底60G</t>
  </si>
  <si>
    <t>KM7CT</t>
  </si>
  <si>
    <t>广州大一互联网络科技有限公司</t>
  </si>
  <si>
    <t>广州大一</t>
  </si>
  <si>
    <t>182115IDC00064</t>
  </si>
  <si>
    <t>中山电信</t>
  </si>
  <si>
    <t xml:space="preserve">CACDNZSCT </t>
  </si>
  <si>
    <t>2019/9/1
2019/12/1
2021/2/1</t>
  </si>
  <si>
    <t>200G
+100G-300G</t>
  </si>
  <si>
    <t>202110转为广州贝云供应商，需要注意202102价格变化且202102开始合并至中山2电信（1）20200801开始价格为12000；（2）20200901开始计费，颗粒度100M，保底90G；（3）20191201扩容100G开始计费，扩容的100G正式合同181915IDC00343不包含；（4）乙双方实际流量以100M为结算单位，不足50M按0M收取，大于等于50M按100M收取。</t>
  </si>
  <si>
    <t>中山2电信</t>
  </si>
  <si>
    <t>CACDNZSCT</t>
  </si>
  <si>
    <t>2019/9/1
2019/12/1
2021/2/1
2021/9/30</t>
  </si>
  <si>
    <t>200G+200G+100G-500G</t>
  </si>
  <si>
    <t>202110转为广州贝云供应商（1）2021年2月开始中山电信&amp;中山2电信500G合并计费；（2）20210201开始计费，颗粒度100M，保底150G</t>
  </si>
  <si>
    <t>182115IDC00070</t>
  </si>
  <si>
    <t>佛山联通</t>
  </si>
  <si>
    <t>CACDNFSUN</t>
  </si>
  <si>
    <t>2019/9/25
2021/2/28</t>
  </si>
  <si>
    <t>20210228退租160G（1）需要注意2020年4月1日开始降价为10000；（2）20190925开始计费，颗粒度100M，保底48G；（3）甲乙双方实际流量以100M为结算单位，不足50M按0M收取，大于等于50M按100M收取。</t>
  </si>
  <si>
    <t>梅州</t>
  </si>
  <si>
    <t>梅州联通</t>
  </si>
  <si>
    <t>CACDNMZUN</t>
  </si>
  <si>
    <t>2020/5/1
2021/1/31</t>
  </si>
  <si>
    <t>需要注意20210201开始换为广州宏云供应商（1）20200501开始计费，颗粒度100M，保底80G；（2）甲乙双方实际流量以100M为结算单位，不足50M按0M收取，大于等于50M按100M收取。</t>
  </si>
  <si>
    <t>182315IDC00059</t>
  </si>
  <si>
    <t>东莞6移动</t>
  </si>
  <si>
    <t>CACDNDGCM3</t>
  </si>
  <si>
    <t>需要注意202205价格变动（1）20200101开始计费，颗粒度100M，保底80G；（2）甲乙双方实际流量以100M为结算单位，不足50M按0M收取，大于等于50M按100M收取。</t>
  </si>
  <si>
    <t>DG6CM</t>
  </si>
  <si>
    <t>广州宏云互联网络科技有限公司</t>
  </si>
  <si>
    <t>广州宏云</t>
  </si>
  <si>
    <t>182015IDC00327</t>
  </si>
  <si>
    <t>揭阳移动</t>
  </si>
  <si>
    <t>CACDNJIEYCM</t>
  </si>
  <si>
    <t>2020/5/5
2020/10/1
2021/6/30</t>
  </si>
  <si>
    <t>80G+120G-200G</t>
  </si>
  <si>
    <t>20210630退租（1）扩容120G20201001开始计费，存量80G20200505开始计费，包端口，颗粒度100M，保底200G；（2）甲乙双方实际流量以100M为结算单位，不足50M按0M收取，大于等于50M按100M收取</t>
  </si>
  <si>
    <t>182115IDC00102</t>
  </si>
  <si>
    <t>合肥</t>
  </si>
  <si>
    <t>合肥3移动</t>
  </si>
  <si>
    <t>CACDNHFCM</t>
  </si>
  <si>
    <t>2020/5/1
2021/5/31</t>
  </si>
  <si>
    <t>20210531退租，需要注意202102价格变化为4300（1）20200501开始计费，颗粒度100M，保底30G；（2）甲乙双方实际流量以100M为结算单位，不足50M按照0M收取，大于等于50M按100M收取。</t>
  </si>
  <si>
    <t>182115IDC00107</t>
  </si>
  <si>
    <t>佛山2电信</t>
  </si>
  <si>
    <t>CACDNFSCT</t>
  </si>
  <si>
    <t>2020/10/1
2021/9/30</t>
  </si>
  <si>
    <t>202110转为广州贝云供应商.需要注意202103价格变化为11250（1）20201001开始计费，颗粒度100M，保底30G；（2）甲乙双方实际流量以100M为结算单位，不足50M按0M收取，大于等于50M按100M收取。</t>
  </si>
  <si>
    <t>182115IDC00492</t>
  </si>
  <si>
    <t>许昌</t>
  </si>
  <si>
    <t>许昌联通</t>
  </si>
  <si>
    <t>CACDNXUCUN</t>
  </si>
  <si>
    <t>2020/9/2
2022/5/31</t>
  </si>
  <si>
    <t>（1）20200902开始计费，20220531退租，颗粒度100M，保底60G；（2）甲乙双方实际流量以100M为结算单位，不足50M按0M收取，大于等于50M按100M收取</t>
  </si>
  <si>
    <t>182215IDC00105</t>
  </si>
  <si>
    <t>2021/2/1
2022/4/30</t>
  </si>
  <si>
    <t>20220430退租，自20210201开始从原广州大一转移到广州宏云；（1）颗粒度100M，保底80G；（2）甲乙双方实际流量以100M为结算单位，不足50M按照0M收取，大于等于50M按100M收取</t>
  </si>
  <si>
    <t>182215IDC00103</t>
  </si>
  <si>
    <t>惠州</t>
  </si>
  <si>
    <t>惠州联通</t>
  </si>
  <si>
    <t>CACDNHUIZUN</t>
  </si>
  <si>
    <t>2021/3/2
2022/6/30</t>
  </si>
  <si>
    <t>120G-120G</t>
  </si>
  <si>
    <t>20220630退租（1）20210302开始计费，颗粒度100M，保底48G；（2）甲乙双方实际流量以100M为结算单位，不足50M按照0M收取，大于等于50M按100M收取</t>
  </si>
  <si>
    <t>182215IDC00024</t>
  </si>
  <si>
    <t>潮州2电信</t>
  </si>
  <si>
    <t>CACDNCHAOZCT</t>
  </si>
  <si>
    <t>2021/4/2
2021/12/31</t>
  </si>
  <si>
    <t>20211231退租，20211101开始价格为10417（1）20210402开始计费，颗粒度100M，保底60G；（2）甲乙双方实际流量以100M为结算单位，不足50M按照0M收取，大于等于50M按100M收取</t>
  </si>
  <si>
    <t>182215IDC00699</t>
  </si>
  <si>
    <t>九江</t>
  </si>
  <si>
    <t>九江电信</t>
  </si>
  <si>
    <t>CACDNJJCT</t>
  </si>
  <si>
    <t>2021/4/1
2023/1/31</t>
  </si>
  <si>
    <t>20230201开始转给广州贝云。需要注意202210价格变动（1）20210401开始计费，颗粒度100M，保底30G；（2）甲乙双方实际流量以100M为结算单位，不足50M按照0M收取，大于等于50M按100M收取。</t>
  </si>
  <si>
    <t>182215IDC00698</t>
  </si>
  <si>
    <t>金华</t>
  </si>
  <si>
    <t>金华2电信</t>
  </si>
  <si>
    <t>CACDNJHCT2</t>
  </si>
  <si>
    <t>20230201开始转给广州贝云。需要注意202210价格变动（1）20210401开始计费，颗粒度100M，保底60G；（2）甲乙双方实际流量以100M为结算单位，不足50M按照0M收取，大于等于50M按100M收取</t>
  </si>
  <si>
    <t>182115IDC00638</t>
  </si>
  <si>
    <t>周口</t>
  </si>
  <si>
    <t>周口2联通</t>
  </si>
  <si>
    <t>CACDNZKUN</t>
  </si>
  <si>
    <t>2021/10/1
2022/5/31</t>
  </si>
  <si>
    <t>（1）20211001开始计费，20220531退租，颗粒度100M，保底30G；（2）甲乙双方实际流量以100M为结算单位，不足50M按照0M收取，大于等于50M按100M收取</t>
  </si>
  <si>
    <t>佛山3电信</t>
  </si>
  <si>
    <t>CACDNFSCT2</t>
  </si>
  <si>
    <t>2022/1/1
2022/8/31
2023/1/31</t>
  </si>
  <si>
    <t>20230201开始转给广州贝云。需要注意后期资源变动。20220831退租100G（1）20220101开始计费，颗粒度100M，保底60G；（2）甲乙双方实际流量以100M为结算单位，不足50M按照0M收取，大于等于50M按100M收取</t>
  </si>
  <si>
    <t>国网信息通信产业集团有限公司北京分公司</t>
  </si>
  <si>
    <t>国网信息</t>
  </si>
  <si>
    <t>182115IDC00470</t>
  </si>
  <si>
    <t>大连移动</t>
  </si>
  <si>
    <t>CACDNDLCM</t>
  </si>
  <si>
    <t>2021/2/9
2021/12/31</t>
  </si>
  <si>
    <t>20211231退租，需要注意20210802-0804费用是否免除，月付。需要注意20210901价格变动保底5400元，超保底5050，需要注意20210401开始保底4200；(1)20210209开始计费，颗粒度100M，保底80G;(2)甲乙双方实际流量以100M为结算单位，不足50M按照0M收取，大于等于50M按100M收取。</t>
  </si>
  <si>
    <t>大连移动超保底</t>
  </si>
  <si>
    <t>20211231退租，需要注意20210401开始保底4200，需要注意20210901超保底5050</t>
  </si>
  <si>
    <t>哈尔滨臻云科技有限公司</t>
  </si>
  <si>
    <t>臻云科技</t>
  </si>
  <si>
    <t>182315IDC00160</t>
  </si>
  <si>
    <t>哈尔滨</t>
  </si>
  <si>
    <t>哈尔滨4电信</t>
  </si>
  <si>
    <t>CACDNHEBCT</t>
  </si>
  <si>
    <t>2019/11/5
2020/11/1
2023/5/31
2023/6/30</t>
  </si>
  <si>
    <t>200G+40G-120G-20G</t>
  </si>
  <si>
    <t>20230630退租20G。20230601拆分120G到哈尔滨5电信。202303开始价格变动。202103价格变动（1）20191105存量200G开始计费，2020年11月1日扩容40G开始计费，颗粒度100M，保底36G；（2）甲乙双方实际流量以100M为结算单位，不足100M按100M收取。</t>
  </si>
  <si>
    <t>HRB4CT</t>
  </si>
  <si>
    <t>哈尔滨5电信</t>
  </si>
  <si>
    <t>2023/6/1
2023/6/30</t>
  </si>
  <si>
    <t>120G-20G</t>
  </si>
  <si>
    <t>202306按照保底计提。20230630退租20G。颗粒度100M，20230601开始从哈尔滨4电信拆分120G给哈尔滨5电信，保底36G</t>
  </si>
  <si>
    <t>HRB5CT</t>
  </si>
  <si>
    <t>杭州天舰信息技术股份有限公司</t>
  </si>
  <si>
    <t>杭州天舰</t>
  </si>
  <si>
    <t>L20230223017</t>
  </si>
  <si>
    <t>丽水</t>
  </si>
  <si>
    <t>丽水电信</t>
  </si>
  <si>
    <t>CACDNLSCT</t>
  </si>
  <si>
    <t>202306按照保底计提。202304开始价格变动。202209价格变动（1）颗粒度100M，保底32G；20230501开始保底36G （2）甲乙双方实际流量以100M为结算单位，不足50M按照0M收取，大于等于50M按100M收取。</t>
  </si>
  <si>
    <t>LSCT</t>
  </si>
  <si>
    <t>L20230223018</t>
  </si>
  <si>
    <t>台州电信</t>
  </si>
  <si>
    <t>CACDNTZCT</t>
  </si>
  <si>
    <t>202306按照保底计提。202304开始价格变动。202209价格变动（1）颗粒度100M，保底32G；20230501开始保底36G （2）甲乙双方实际流量以100M为结算单位，不足50M按照0M收取，大于等于50M按100M收取</t>
  </si>
  <si>
    <t>TZCT</t>
  </si>
  <si>
    <t>L20230223032</t>
  </si>
  <si>
    <t>丽水3移动</t>
  </si>
  <si>
    <t>CACDNLSCM2</t>
  </si>
  <si>
    <t>2021/4/1
2021/5/1</t>
  </si>
  <si>
    <t>202304开始价格变动。需要注意2022年3-4月故障扣减（1）20210401开始计费100G，20210501新增100G开始计费，颗粒度100M，保底100G；（2）甲乙双方实际流量以100M为结算单位，不足50M按照0M收取，大于等于50M按100M收取</t>
  </si>
  <si>
    <t>LS3CM</t>
  </si>
  <si>
    <t>杭州优云科技有限公司</t>
  </si>
  <si>
    <t>杭州优云</t>
  </si>
  <si>
    <t>L20230504006</t>
  </si>
  <si>
    <t>CACDNHUZCT</t>
  </si>
  <si>
    <t>注意资源变动。202306保底率降为25%。需要注意202206价格变动（1）20200401开始计费，颗粒度100M，保底30G；（2）甲乙双方实际流量以100M为结算单位，不足50M按照0M收取，大于等于50M按100M收取。</t>
  </si>
  <si>
    <t>HUZCT</t>
  </si>
  <si>
    <t>182315IDC00049</t>
  </si>
  <si>
    <t>CACDNTZCM</t>
  </si>
  <si>
    <t>需要注意202102价格为5500（1）20200401开始计费，颗粒度100M，保底60G；（2）甲乙双方实际流量以100M为结算单位，不足50M按照0M收取，大于等于50M按100M收取。</t>
  </si>
  <si>
    <t>TZCM</t>
  </si>
  <si>
    <t>杭州云之盟科技有限公司</t>
  </si>
  <si>
    <t>云之盟</t>
  </si>
  <si>
    <t>182215IDC00301</t>
  </si>
  <si>
    <t>绍兴2移动</t>
  </si>
  <si>
    <t>CACDNSHAOXCM2</t>
  </si>
  <si>
    <t>2020/4/15
2022/12/31</t>
  </si>
  <si>
    <t>20221231退租。。需要注意202105价格5000和保底50%变动情况（1）20200415开始计费，颗粒度100M，保底50G；（2）甲乙双方实际流量以100M为结算单位，不足50M按照0M收取，大于等于50M按100M收取。</t>
  </si>
  <si>
    <t>天津</t>
  </si>
  <si>
    <t>L20230516001</t>
  </si>
  <si>
    <t>天津4联通</t>
  </si>
  <si>
    <t>CACDNTJUN</t>
  </si>
  <si>
    <t>2020/11/3
2021/1/1</t>
  </si>
  <si>
    <t>202306按照保底计提。需要注意202306价格变动（1）存量100G20201103开始计费，扩容100G2021010开始计费，颗粒度100M，保底80G；（2）甲乙双方实际流量以100M为结算单位，不足50M按照0M收取，大于等于50M按100M收取。</t>
  </si>
  <si>
    <t>TJ4UN</t>
  </si>
  <si>
    <t>L20230308007</t>
  </si>
  <si>
    <t>宁波</t>
  </si>
  <si>
    <t>宁波4移动</t>
  </si>
  <si>
    <t>CACDNNBCM2</t>
  </si>
  <si>
    <t>需要注意202306价格变动。202111对账需要注意故障是否扣减；（1）20210601开始计费，颗粒度100M，保底100G；（2）甲乙双方实际流量以100M为结算单位，不足50M按照0M收取，大于等于50M按100M收取</t>
  </si>
  <si>
    <t>NB4CM</t>
  </si>
  <si>
    <t>182215IDC00652</t>
  </si>
  <si>
    <t>金华3电信</t>
  </si>
  <si>
    <t>CACDNJHCT3</t>
  </si>
  <si>
    <t>注意202307价格变动。20221001开始计费。颗粒度100M，保底90G</t>
  </si>
  <si>
    <t>JH3CT</t>
  </si>
  <si>
    <t>182315IDC00046</t>
  </si>
  <si>
    <t>舟山2移动</t>
  </si>
  <si>
    <t>CACDNZHOUSCM</t>
  </si>
  <si>
    <t>20230101开始计费。颗粒度100M，保底80G</t>
  </si>
  <si>
    <t>ZHOUS2CM</t>
  </si>
  <si>
    <t>湖南风云通达信息科技有限公司</t>
  </si>
  <si>
    <t>风云通达</t>
  </si>
  <si>
    <t>L20230501001</t>
  </si>
  <si>
    <t>长沙3电信</t>
  </si>
  <si>
    <t>CACDNCSCT2</t>
  </si>
  <si>
    <t>202305保底率降为20%，202306保底率为25%。需要注意202305-202306保底率。需要注意202206价格变化（1）20200201开始计费，颗粒度100M，保底30G；（2）甲乙双方实际流量以100M为结算单位，不足50M按照0M收取，大于等于50M按100M收取。</t>
  </si>
  <si>
    <t>CS3CT</t>
  </si>
  <si>
    <t>内蒙古</t>
  </si>
  <si>
    <t>182315IDC00236</t>
  </si>
  <si>
    <t>包头电信</t>
  </si>
  <si>
    <t>CACDNBAOTCT</t>
  </si>
  <si>
    <t>202306按照保底计提。（1）202010不计费，需要注意202011对账扣减20200928-20200930故障费用。BD反馈202007扣减2天费用；（2）20200702开始计费，包端口，60G保底；（3）甲乙双方实际流量以100M为结算单位，不足50M按照0M收取，大于等于50M按100M收取。</t>
  </si>
  <si>
    <t>BAOTCT</t>
  </si>
  <si>
    <t>182115IDC00051</t>
  </si>
  <si>
    <t>吉首</t>
  </si>
  <si>
    <t>吉首移动</t>
  </si>
  <si>
    <t>CACDNJSCM</t>
  </si>
  <si>
    <t>2020/12/3
2021/8/31</t>
  </si>
  <si>
    <t>20210831退租，202107需要注意故障扣减（1）20201203开始计费，颗粒度100M，保底40G；（2）甲乙双方实际流量以100M为结算单位，不足50M按照0M收取，大于等于50M按100M收取</t>
  </si>
  <si>
    <t>182315IDC00144</t>
  </si>
  <si>
    <t>长沙4移动</t>
  </si>
  <si>
    <t>CACDNCSCM</t>
  </si>
  <si>
    <t>2021/2/7
2021/10/1
2021/10/1
2021/12/1
2022/2/1
2022/2/1
2023/2/28
2023/6/30
2023/6/30</t>
  </si>
  <si>
    <t>200G+160G+200G+200G+120G+200G-200G-200G-200G</t>
  </si>
  <si>
    <t>20230630长沙4移动退租200G。20230630长沙5移动退租。20230228退租长沙7移动200G.20211001开始价格变动，需要注意202108故障是否扣减（1）20210207的200G开始计费，20211001扩容100G开始计费，20211001长沙5移动200G开始计费并合并到长沙4移动，20211201长沙6移动合并到长沙4移动,20220201扩容120G，20220201开始长沙7移动200G合并至此计费。颗粒度100M，保底432G；（2）甲乙双方实际流量以100M为结算单位，不足50M按照0M收取，大于等于50M按100M收取。</t>
  </si>
  <si>
    <t>CS4CM</t>
  </si>
  <si>
    <t>长沙5移动</t>
  </si>
  <si>
    <t>2021/10/1
2021/10/1</t>
  </si>
  <si>
    <t>边缘计算，20211001开始计费，颗粒度100M，保底80G，合并到长沙4移动计费</t>
  </si>
  <si>
    <t>长沙6移动</t>
  </si>
  <si>
    <t>2021/12/1
2022/2/1</t>
  </si>
  <si>
    <t>200G-200G+120G-120G</t>
  </si>
  <si>
    <t>202112对账需要注意故障是否需要扣减。20211201开始计费200G，20220201扩容120G开始计费，合并到长沙4移动计费，颗粒度100M，保底128G</t>
  </si>
  <si>
    <t>长沙7移动</t>
  </si>
  <si>
    <t>2022/2/1
2022/2/1</t>
  </si>
  <si>
    <t>20220201开始计费，颗粒度100M，保底80G。202202开始合并至长沙4移动计费</t>
  </si>
  <si>
    <t>湖南省泛泰巨网信息技术有限公司</t>
  </si>
  <si>
    <t>泛泰巨网</t>
  </si>
  <si>
    <t>L20230308006</t>
  </si>
  <si>
    <t>衡阳电信</t>
  </si>
  <si>
    <t>CACDNHENGYCT</t>
  </si>
  <si>
    <t>2018/7/18
2019/9/1
2020/4/30
2023/6/30</t>
  </si>
  <si>
    <t>80G+
180G-60G-200G</t>
  </si>
  <si>
    <t>注意资源变动。202305保底率降为20%。2个月一付。需要注意202206价格变动。202111对账需要注意故障是否扣减（1）20200501开始价格为7083.33；（2）颗粒度100M，保底60G；（3）需要注意20200430退60G；（4）.扩容180G新合同 181915IDC00229， 2018年7月18日至2019年7月24日，资源与价格均不作变更； 2019年7月25日至2019年8月31日，带宽价格更新为：7500元/月/G， 2019年9月1日开始带宽7500元；（5）甲乙双方实际流量以100M为结算单位，不足50M按照0M收取，大于等于50M按100M收取。</t>
  </si>
  <si>
    <t>HENGYCT</t>
  </si>
  <si>
    <t>衡阳2电信</t>
  </si>
  <si>
    <t>2020/6/1
2023/6/30</t>
  </si>
  <si>
    <t>注意资源变动。202305保底率降为20%。需要注意202206价格变动。（1）20200601开始计费，颗粒度100M，保底18G，（2）甲乙双方实际流量以100M为结算单位，不足50M按照0M收取，大于等于50M按100M收取。</t>
  </si>
  <si>
    <t>HENGY2CT</t>
  </si>
  <si>
    <t>吉林</t>
  </si>
  <si>
    <t>吉林省高升科技有限公司</t>
  </si>
  <si>
    <t>高升科技</t>
  </si>
  <si>
    <t>L20230506003</t>
  </si>
  <si>
    <t>长春</t>
  </si>
  <si>
    <t>长春3联通</t>
  </si>
  <si>
    <t>CACDNCCUN</t>
  </si>
  <si>
    <t>202306按照保底计提。注意202108价格变化5000。20210101开始价格为5833（1）20200122开始计费，颗粒度100M，保底40G；（2）甲乙双方实际流量以100M为结算单位，不足50M按照0M收取，大于等于50M按100M收取</t>
  </si>
  <si>
    <t>CC3UN</t>
  </si>
  <si>
    <t>吉林省优果网络传媒有限公司</t>
  </si>
  <si>
    <t>吉林优果</t>
  </si>
  <si>
    <t>L20230504022</t>
  </si>
  <si>
    <t>哈尔滨4移动</t>
  </si>
  <si>
    <t>CACDNHEBCM3</t>
  </si>
  <si>
    <t>202306关停。需要注意后期资源变动（1）20200801开始计费，颗粒度100M，保底50G；（2）甲乙双方实际流量以100M为结算单位，不足50M按照0M收取，大于等于50M按100M收取</t>
  </si>
  <si>
    <t>HRB4CM</t>
  </si>
  <si>
    <t>182015IDC00326</t>
  </si>
  <si>
    <t>鞍山电信</t>
  </si>
  <si>
    <t>CACDNANSHANCT</t>
  </si>
  <si>
    <t>2020/10/1
2021/6/30</t>
  </si>
  <si>
    <t>（1）20201001开始计费，颗粒度100M，保底12G；（2）甲乙双方实际流量以100M为结算单位，不足50M按照0M收取，大于等于50M按100M收取。</t>
  </si>
  <si>
    <t>L20230504015</t>
  </si>
  <si>
    <t>沈阳</t>
  </si>
  <si>
    <t>沈阳3电信</t>
  </si>
  <si>
    <t>CACDNSYCT</t>
  </si>
  <si>
    <t>202306按照保底计提。需要注意202306价格变动。202111对账需要注意故障是否扣减；20210601开始计费，颗粒度100M，保底18G</t>
  </si>
  <si>
    <t>SY3CT</t>
  </si>
  <si>
    <t>L20230504023</t>
  </si>
  <si>
    <t>天津4移动</t>
  </si>
  <si>
    <t>CACDNTJCM2</t>
  </si>
  <si>
    <t>2021/6/10
2022/7/31</t>
  </si>
  <si>
    <t>200G-160G</t>
  </si>
  <si>
    <t>202306按照保底计提。20220731退租160G。需要注意202208价格变动（1）20210610开始计费，颗粒度100M，保底100G；20220801开始为包端口（2）甲乙双方实际流量以100M为结算单位，不足50M按照0M收取，大于等于50M按100M收取</t>
  </si>
  <si>
    <t>TJ4CM</t>
  </si>
  <si>
    <t>江苏恒杰网络科技有限公司</t>
  </si>
  <si>
    <t>江苏恒杰</t>
  </si>
  <si>
    <t>182315IDC00006</t>
  </si>
  <si>
    <t>厦门3电信</t>
  </si>
  <si>
    <t>CACDNXMCT2</t>
  </si>
  <si>
    <t>2021/2/1
2021/5/1
2021/12/1
2022/6/30
2023/4/30
2023/5/31</t>
  </si>
  <si>
    <t>200G+120G+60G-100G-80G-190G</t>
  </si>
  <si>
    <t>20230531退租190G。20230430退租80G。20220630退租100G。202112对账需要注意故障是否需要扣减（1）20210201开始计费200G，20210501新增120G开始计费，20211201新增60G，颗粒度100M，保底114G；（2）甲乙双方实际流量以100M为结算单位，不足50M按照0M收取，大于等于50M按100M收取</t>
  </si>
  <si>
    <t>XM3CT</t>
  </si>
  <si>
    <t>182315IDC00096</t>
  </si>
  <si>
    <t>郑州</t>
  </si>
  <si>
    <t>郑州6电信</t>
  </si>
  <si>
    <t>CACDNZZCT</t>
  </si>
  <si>
    <t>2021/11/1
2023/1/1</t>
  </si>
  <si>
    <t>100G+160G</t>
  </si>
  <si>
    <t>202306按照保底计提。需注意202206价格变化。20211101开始计费100G，20230101开始计费160G.颗粒度100M，保底60G</t>
  </si>
  <si>
    <t>ZZ6CT</t>
  </si>
  <si>
    <t>L20230504016</t>
  </si>
  <si>
    <t>芜湖</t>
  </si>
  <si>
    <t>芜湖联通</t>
  </si>
  <si>
    <t>CACDNWUHUN</t>
  </si>
  <si>
    <t>100G+60G</t>
  </si>
  <si>
    <t>202306按照保底计提。需要注意后期扩容并降价。需要注意202206价格变化（1）20211001开始计费100G，20220201开始计费60G，颗粒度100M，保底48G；（2）甲乙双方实际流量以100M为结算单位，不足50M按照0M收取，大于等于50M按100M收取</t>
  </si>
  <si>
    <t>WUHUN</t>
  </si>
  <si>
    <t>L20230331005</t>
  </si>
  <si>
    <t>郑州5联通</t>
  </si>
  <si>
    <t>CACDNZZUN</t>
  </si>
  <si>
    <t>颗粒度100M，保底12G</t>
  </si>
  <si>
    <t>ZZ5UN</t>
  </si>
  <si>
    <t>江苏云工场信息技术有限公司</t>
  </si>
  <si>
    <t>江苏云工场</t>
  </si>
  <si>
    <t>L20230223015</t>
  </si>
  <si>
    <t>青岛</t>
  </si>
  <si>
    <t>青岛移动2</t>
  </si>
  <si>
    <t>CACDNQDCM</t>
  </si>
  <si>
    <t>2018/8/6
2019/10/1
2021/2/1</t>
  </si>
  <si>
    <t>160G
+200G+70G</t>
  </si>
  <si>
    <t>需要注意202109价格变动5500（1）需要注意2020年5月1日开始价格为5000，2020年1月1日开始单价为4500；（2）颗粒度100M，保底129G；（3）扩容200G20191001开始计费；扩容70G20210201开始计费，（4）甲乙双方实际流量以100M为结算单位，不足50M按照0M收取，大于等于50M按100M收取。</t>
  </si>
  <si>
    <t>QDCM</t>
  </si>
  <si>
    <t>L20230223011</t>
  </si>
  <si>
    <t>济南2移动二级</t>
  </si>
  <si>
    <t>CACDNJNCM</t>
  </si>
  <si>
    <t>202306按照均值计提。需要注意202109价格变动5500（1）需要注意2020年5月1日开始价格为5000，2020年1月1日开始单价为4500；（2）颗粒度100M，保底90G；（3）甲乙双方实际流量以100M为结算单位，不足50M按照0M收取，大于等于50M按100M收取。</t>
  </si>
  <si>
    <t>JN2CMCACHE</t>
  </si>
  <si>
    <t>182015IDC00367</t>
  </si>
  <si>
    <t>济南6移动</t>
  </si>
  <si>
    <t>2019/1/26
2020/10/31</t>
  </si>
  <si>
    <t>202009不计费，（1）需要注意BD反馈2020年8月暂停不计费；（2）需要注意2020年5月1日开始价格为5000；（3）颗粒度100M，202001前无保底。2020年1月1日开始单价为4500，保底60G；（4）201908与济南5拆开计费；（5）甲乙双方实际流量以100M为结算单位，不足50M按照0M收取，大于等于50M按100M收取。</t>
  </si>
  <si>
    <t>青岛三线</t>
  </si>
  <si>
    <t>青岛三级移动</t>
  </si>
  <si>
    <t>CDNQDCT</t>
  </si>
  <si>
    <t>2018/9/25 
2019/7/25 
2020/1/1
2021/6/1</t>
  </si>
  <si>
    <t>80G
+80G
+40G+60G</t>
  </si>
  <si>
    <t>202306按照均值计提。需要注意202109价格变动5500（1）需要注意2020年5月1日开始价格为5000；（2）颗粒度100M，保底78G；（3）20190725扩容80G开始计费，202001扩容40G开始计费；20210601扩容60G开始计费；4）2020年1月1日开始单价4500；（5）甲乙双方实际流量以100M为结算单位，不足50M按照0M收取，大于等于50M按100M收取。</t>
  </si>
  <si>
    <t>QDIXCM</t>
  </si>
  <si>
    <t>原青岛高防转为青岛CDN使用</t>
  </si>
  <si>
    <t>QDWNQ</t>
  </si>
  <si>
    <t>需要注意202109价格变动5500（1）20200901开始200G CDN出口；（2）需要注意2020年5月1日开始价格为5000；（3）颗粒度100M，保底60G；（4）2020年1月1日开始单价为4500；（5）甲乙双方实际流量以100M为结算单位，不足50M按照0M收取，大于等于50M按100M收取。</t>
  </si>
  <si>
    <t>QDCMCACHE</t>
  </si>
  <si>
    <t>青岛高防</t>
  </si>
  <si>
    <t>青岛高防（青岛万年泉移动）</t>
  </si>
  <si>
    <t>高防复用CDN60G</t>
  </si>
  <si>
    <t>（1）20210101开始无此费用；（2）复用CDN的60G，保底18G，固定费用，按照5500*18</t>
  </si>
  <si>
    <t>L20230223012</t>
  </si>
  <si>
    <t>青岛滨海</t>
  </si>
  <si>
    <t>QDBH-移动</t>
  </si>
  <si>
    <t>需要注意202109价格变动5500（1）需要注意2020年5月1日开始价格为5000；（2）20191104开始计费，颗粒度100M，保底30G，甲乙双方实际流量以100M为结算单位，不足50M按照0M收取，大于等于50M按100M收取。</t>
  </si>
  <si>
    <t>QDBH-MOBCOM</t>
  </si>
  <si>
    <t>青岛3移动</t>
  </si>
  <si>
    <t>2020/1/22
2020/3/1
2021/2/1
2021/9/30
2021/10/1
2022/12/31</t>
  </si>
  <si>
    <t>260G
+10G-70G-100G+100G-200G</t>
  </si>
  <si>
    <t>20221231挪200G给青岛6移动。需要注意202109价格变动5500，（1）颗粒度100M，保底30G；（2）需要注意2020年5月1日开始价格为5000；（3）20200122存量260G开始计费，20200301扩容10G开始计费，20210201有70G迁移到青岛移动2；20211001开始有100G迁移到青岛6移动。青岛3移动100G合并青岛6移动计费（4）甲乙双方实际流量以100M为结算单位，不足50M按照0M收取，大于等于50M按100M收取。</t>
  </si>
  <si>
    <t>青岛6移动</t>
  </si>
  <si>
    <t>CACDNQDCM2</t>
  </si>
  <si>
    <t>2021/10/1
2021/10/1
2023/1/1</t>
  </si>
  <si>
    <t>100G-100G+200G</t>
  </si>
  <si>
    <t>20230101开始200G全在青岛6移动。20211001开始计费，颗粒度100M，保底60G；此节点为青岛3移动拆除的100G。且青岛6移动剩余100G合并到青岛3移动节点合并计费</t>
  </si>
  <si>
    <t>QD6CM</t>
  </si>
  <si>
    <t>L20230223016</t>
  </si>
  <si>
    <t>呼和浩特</t>
  </si>
  <si>
    <t>呼和浩特5移动</t>
  </si>
  <si>
    <t>CACDNHHHTCM</t>
  </si>
  <si>
    <t>2020/1/1
2020/5/1</t>
  </si>
  <si>
    <t>160G+60G</t>
  </si>
  <si>
    <t>（1）颗粒度100M，保底66G；（2）20200101存量160G开始计费，20200501扩容60G开始计费；（3）甲乙双方实际流量以100M为结算单位，不足50M按照0M收取，大于等于50M按100M收取。</t>
  </si>
  <si>
    <t>HHHT5CM</t>
  </si>
  <si>
    <t>山西</t>
  </si>
  <si>
    <t>182115IDC00062</t>
  </si>
  <si>
    <t>太原</t>
  </si>
  <si>
    <t>太原6移动</t>
  </si>
  <si>
    <t>CACDNTYCM</t>
  </si>
  <si>
    <t>2020/1/22
2021/1/1
2021/3/31</t>
  </si>
  <si>
    <t>160G+100G-260G</t>
  </si>
  <si>
    <t>202306按照均值计提。需要注意20210701开始济南7移动&amp;济南8移动合并到济南7移动计费；需要注意202104故障是否需要扣减（1）20210105开始计费，颗粒度100M，保底120G；（2）甲乙双方实际流量以100M为结算单位，不足50M按照0M收取，大于等于50M按100M收取。</t>
  </si>
  <si>
    <t>广西</t>
  </si>
  <si>
    <t>182115IDC00233</t>
  </si>
  <si>
    <t>南宁</t>
  </si>
  <si>
    <t>南宁4移动+南宁5移动</t>
  </si>
  <si>
    <t>CACDNNNCM</t>
  </si>
  <si>
    <t>2020/5/1
2021/1/1
2021/4/1
2021/9/30</t>
  </si>
  <si>
    <t>150G+50G+160G-360G</t>
  </si>
  <si>
    <t>20210930退租，20210101价格为5500（1）存量150G20200501开始计费，扩容20210101开始计费，颗粒度100M，保底60G；（2）20210401开始南宁5移动合并至南宁4移动（3）甲乙双方实际流量以100M为结算单位，不足50M按照0M收取，大于等于50M按100M收取。</t>
  </si>
  <si>
    <t>南宁5移动</t>
  </si>
  <si>
    <t>（1）20210401开始计费，颗粒度100M，保底48G；20210401合并至南宁4移动；（2）甲乙双方实际流量以100M为结算单位，不足50M按照0M收取，大于等于50M按100M收取</t>
  </si>
  <si>
    <t>182215IDC00646</t>
  </si>
  <si>
    <t>青岛5移动</t>
  </si>
  <si>
    <t>2021/2/1
2021/10/1
2022/9/30</t>
  </si>
  <si>
    <t>100G+200G-100G</t>
  </si>
  <si>
    <t>202306按照保底计提。需要注意202109价格变动（1）20210201开始计费100G，20211001开始计费扩容200G颗粒度100M，20220930退租100G.包端口，保底300G；（2）甲乙双方实际流量以100M为结算单位，不足50M按照0M收取，大于等于50M按100M收取</t>
  </si>
  <si>
    <t>QD5CM</t>
  </si>
  <si>
    <t>182315IDC00062</t>
  </si>
  <si>
    <t>济南7移动</t>
  </si>
  <si>
    <t>CACDNJNCM2</t>
  </si>
  <si>
    <t>2021/1/5
2021/4/1</t>
  </si>
  <si>
    <t>需要注意20210701开始济南7移动&amp;济南8移动合并到济南7移动计费；需要注意202104故障是否需要扣减（1）20210105开始计费，颗粒度100M，保底120G；（2）甲乙双方实际流量以100M为结算单位，不足50M按照0M收取，大于等于50M按100M收取。</t>
  </si>
  <si>
    <t>JN7CM</t>
  </si>
  <si>
    <t>济南8移动</t>
  </si>
  <si>
    <t>需要注意20210701开始济南7移动&amp;济南8移动合并到济南7移动计费（1）需要注意202104故障是否需要扣减，20210401开始计费，颗粒度100M，保底60G；（2）甲乙双方实际流量以100M为结算单位，不足50M按照0M收取，大于等于50M按100M收取。</t>
  </si>
  <si>
    <t>L20230223020</t>
  </si>
  <si>
    <t>徐州</t>
  </si>
  <si>
    <t>CACDNXZCM</t>
  </si>
  <si>
    <t>202306按照保底计提。（1）20210601开始计费，颗粒度100M，包端口，保底160G；（2）甲乙双方实际流量以100M为结算单位，不足50M按照0M收取，大于等于50M按100M收取</t>
  </si>
  <si>
    <t>XZCM</t>
  </si>
  <si>
    <t>182315IDC00047</t>
  </si>
  <si>
    <t>潍坊2移动</t>
  </si>
  <si>
    <t>CACDNWFCM2</t>
  </si>
  <si>
    <t>202306按照均值计提。（1）20220130开始计费，颗粒度100M，保底60G；（2）甲乙双方实际流量以100M为结算单位，不足50M按照0M收取，大于等于50M按100M收取</t>
  </si>
  <si>
    <t>WF2CM</t>
  </si>
  <si>
    <t>182315IDC00056</t>
  </si>
  <si>
    <t>济南9移动</t>
  </si>
  <si>
    <t>CACDNJNCM3</t>
  </si>
  <si>
    <t>2022/1/30
2023/6/30</t>
  </si>
  <si>
    <t>202306按照均值计提。20230630退租（1）20220130开始计费，颗粒度100M，保底60G；（2）甲乙双方实际流量以100M为结算单位，不足50M按照0M收取，大于等于50M按100M收取。</t>
  </si>
  <si>
    <t>JN9CM</t>
  </si>
  <si>
    <t>L20230223034</t>
  </si>
  <si>
    <t>潍坊联通</t>
  </si>
  <si>
    <t>CACDNWFUN</t>
  </si>
  <si>
    <t>2022/2/1
2022/3/31
2022/8/31</t>
  </si>
  <si>
    <t>400G-100G-150G</t>
  </si>
  <si>
    <t>202306按照保底计提。202304开始价格变动。20220829记录挪150G给WF2UN。需要注意20220401价格变动。（1）20220201开始计费400G，20220331退租100G，颗粒度100M，保底90G；（2）甲乙双方实际流量以100M为结算单位，不足50M按照0M收取，大于等于50M按100M收取</t>
  </si>
  <si>
    <t>WFUN</t>
  </si>
  <si>
    <t>潍坊2联通</t>
  </si>
  <si>
    <t>150G</t>
  </si>
  <si>
    <t>202306按照保底计提。202304开始价格变动。WFUN拆出150G给WF2UN。颗粒度100M，保底45G</t>
  </si>
  <si>
    <t>WF2UN</t>
  </si>
  <si>
    <t>182215IDC00651</t>
  </si>
  <si>
    <t>威海</t>
  </si>
  <si>
    <t>威海移动</t>
  </si>
  <si>
    <t>CACDNWEIHCM</t>
  </si>
  <si>
    <t>202306按照保底计提。20221001开始计费。颗粒度100M，包端口，保底100G</t>
  </si>
  <si>
    <t>WEIHCM</t>
  </si>
  <si>
    <t>南通云数网络科技有限公司</t>
  </si>
  <si>
    <t>南通云数</t>
  </si>
  <si>
    <t>182315IDC00054</t>
  </si>
  <si>
    <t>常州移动2</t>
  </si>
  <si>
    <t>CACDNCZCM</t>
  </si>
  <si>
    <t>需要注意20220101开始由江阴普尔变更为南通云数，需要注意20210801价格为4800（1）20200801开始价格为4400，颗粒度100M，保底24G；（2）甲乙双方实际流量以100M为结算单位，不足50M按照0M收取，大于等于50M按100M收取。</t>
  </si>
  <si>
    <t>CZCM</t>
  </si>
  <si>
    <t>182215IDC00163</t>
  </si>
  <si>
    <t>扬州2电信</t>
  </si>
  <si>
    <t>CACDNYANGZCT2</t>
  </si>
  <si>
    <t>2021/5/1
2022/6/30</t>
  </si>
  <si>
    <t>20220630退租。需要注意20220101开始由江阴普尔变更为南通云数，20220120转为边缘计算（1）20210501开始计费，颗粒度100M，保底40G；（2）甲乙双方实际流量以100M为结算单位，不足50M按照0M收取，大于等于50M按100M收取</t>
  </si>
  <si>
    <t>182315IDC00051</t>
  </si>
  <si>
    <t>无锡4移动</t>
  </si>
  <si>
    <t>CACDNWXCM</t>
  </si>
  <si>
    <t>2020/7/6
2021/1/1
2023/6/30</t>
  </si>
  <si>
    <t>80G+80G-160G</t>
  </si>
  <si>
    <t>需要注意20220101开始由江阴普尔变更为南通云数，20210101价格为4800（1）20200706存量80G开始计费，20210101扩容80G开始计费，颗粒度100M，保底64G；（2）甲乙双方实际流量以100M为结算单位，不足50M按照0M收取，大于等于50M按100M收取。</t>
  </si>
  <si>
    <t>WX4CM</t>
  </si>
  <si>
    <t>182215IDC00548</t>
  </si>
  <si>
    <t>中山4移动</t>
  </si>
  <si>
    <t>CACDNZSCM4</t>
  </si>
  <si>
    <t>2022/1/1
2022/10/31</t>
  </si>
  <si>
    <t>需要注意202207价格变动（1）20220101开始计费，颗粒度100M，保底80G；（2）	
甲乙双方实际流量以100M为结算单位，不足50M按照0M收取，大于等于50M按100M收取</t>
  </si>
  <si>
    <t>青岛燚汇信达通讯科技有限公司</t>
  </si>
  <si>
    <t>燚汇信达</t>
  </si>
  <si>
    <t>L20230308009</t>
  </si>
  <si>
    <t>青岛5电信</t>
  </si>
  <si>
    <t>CACDNQDCT</t>
  </si>
  <si>
    <t>2020/9/8
2021/8/2
2022/5/30</t>
  </si>
  <si>
    <t>160G+200G-200G</t>
  </si>
  <si>
    <t>202306按照保底计提。注意资源变动。需要注意202305价格变动。需要注意202205价格变动。（1）青岛5电信20200908开始计费，青岛6电信20210802开始计费，颗粒度100M，保底108G；02108开始青岛5电信与青岛6电信合并计费。202206开始青岛5电信&amp;青岛6电信不合并计费（2）甲乙双方实际流量以100M为结算单位，不足50M按照0M收取，大于等于50M按100M收取</t>
  </si>
  <si>
    <t>QD5CT</t>
  </si>
  <si>
    <t>青岛6电信</t>
  </si>
  <si>
    <t>2021/8/2
2022/6/1</t>
  </si>
  <si>
    <t>200G-200G+200G</t>
  </si>
  <si>
    <t>202306按照保底计提。需要注意202305价格变动。需要注意202205价格变动。（1）20210802开始计费，颗粒度100M，保底60G，青岛6电信与青岛5电信合并计费；202206开始青岛5电信&amp;青岛6电信不合并计费（2）甲乙双方实际流量以100M为结算单位，不足50M按照0M收取，大于等于50M按100M收取</t>
  </si>
  <si>
    <t>QD6CT</t>
  </si>
  <si>
    <t>L20230308005</t>
  </si>
  <si>
    <t>烟台</t>
  </si>
  <si>
    <t>烟台电信</t>
  </si>
  <si>
    <t>CACDNYTCT</t>
  </si>
  <si>
    <t>2021/10/1
2023/6/30</t>
  </si>
  <si>
    <t>202306按照保底计提。20230630退租。需要注意202207价格变动（1）20211001开始计费，颗粒度100M，保底30G；（2）甲乙双方实际流量以100M为结算单位，不足50M按照0M收取，大于等于50M按100M收取</t>
  </si>
  <si>
    <t>YTCT</t>
  </si>
  <si>
    <t>182315IDC00058</t>
  </si>
  <si>
    <t>青岛8联通</t>
  </si>
  <si>
    <t>CACDNQDUN</t>
  </si>
  <si>
    <t>202306按照保底计提。20230101开始计费。颗粒度100M，保底45G</t>
  </si>
  <si>
    <t>QD8UN</t>
  </si>
  <si>
    <t>青岛9联通</t>
  </si>
  <si>
    <t>QD9UN</t>
  </si>
  <si>
    <t>山西卡伏科技有限公司</t>
  </si>
  <si>
    <t>山西卡伏</t>
  </si>
  <si>
    <t>182315IDC00055</t>
  </si>
  <si>
    <t>太原8移动</t>
  </si>
  <si>
    <t>CACDNTYCM3</t>
  </si>
  <si>
    <t>2021/1/1
2021/4/1</t>
  </si>
  <si>
    <t>100G+200G</t>
  </si>
  <si>
    <t>20220301开始价格为5400。20210401价格5200元/G/月。（1）20210101开始计费100G，20210401开始计费扩容200G，颗粒度100M，保底120G；（2）甲乙双方实际流量以100M为结算单位，不足50M按照0M收取，大于等于50M按100M收取</t>
  </si>
  <si>
    <t>TY8CM</t>
  </si>
  <si>
    <t>182315IDC00150</t>
  </si>
  <si>
    <t>太原9移动</t>
  </si>
  <si>
    <t>202306按照保底计提。20220305开始计费，颗粒度100M，保底100G，包端口</t>
  </si>
  <si>
    <t>TY9CM</t>
  </si>
  <si>
    <t>上海云瑞智通实业有限公司</t>
  </si>
  <si>
    <t>云瑞智通</t>
  </si>
  <si>
    <t>182215IDC00016</t>
  </si>
  <si>
    <t>沈阳4移动</t>
  </si>
  <si>
    <t>CACDNSYCM</t>
  </si>
  <si>
    <t>2020/12/4
2021/10/1
2021/12/31</t>
  </si>
  <si>
    <t>200G+200G-200G-200G</t>
  </si>
  <si>
    <t>20220101开始沈阳4移动节点退租（1）20201204开始计费200G，20211001开始计费200G，沈阳4移动&amp;沈阳5移动合并计费，颗粒度100M，保底160G；（2）甲乙双方实际流量以100M为结算单位，不足50M按照0M收取，大于等于50M按100M收取。</t>
  </si>
  <si>
    <t>沈阳5移动</t>
  </si>
  <si>
    <t>2021/10/1
2022/1/1
2022/1/31</t>
  </si>
  <si>
    <t>200G+200G-400G</t>
  </si>
  <si>
    <t>20220131退租（1）20211001开始计费200G，20220101扩容200G开始计费，颗粒度100，保底160G；（2）甲乙双方实际流量以100M为结算单位，不足50M按照0M收取，大于等于50M按100M收取</t>
  </si>
  <si>
    <t>182315IDC00138</t>
  </si>
  <si>
    <t>南通</t>
  </si>
  <si>
    <t>南通电信</t>
  </si>
  <si>
    <t>CACDNNTCT</t>
  </si>
  <si>
    <t>2021/2/1
2023/5/31</t>
  </si>
  <si>
    <t>20230531退租（1）20210201开始计费，颗粒度100M，保底30G；（2）甲乙双方实际流量以100M为结算单位，不足50M按照0M收取，大于等于50M按100M收取</t>
  </si>
  <si>
    <t>182315IDC00048</t>
  </si>
  <si>
    <t>南通2电信</t>
  </si>
  <si>
    <t>CACDNNTCT2</t>
  </si>
  <si>
    <t>202306按照保底计提。（1）20210201开始计费，颗粒度100M，保底50G，平均流量;（2）甲乙双方实际流量以100M为结算单位，不足50M按照0M收取，大于等于50M按100M收取</t>
  </si>
  <si>
    <t>NT2CT</t>
  </si>
  <si>
    <t>甘肃</t>
  </si>
  <si>
    <t>L20230223013</t>
  </si>
  <si>
    <t>兰州</t>
  </si>
  <si>
    <t>兰州6电信</t>
  </si>
  <si>
    <t>CACDNLZCT</t>
  </si>
  <si>
    <t>需要注意202307价格变动。（1）20210902开始计费，颗粒度100M，保底30G</t>
  </si>
  <si>
    <t>LZ6CT</t>
  </si>
  <si>
    <t>182315IDC00137</t>
  </si>
  <si>
    <t>黄石</t>
  </si>
  <si>
    <t>黄石6电信</t>
  </si>
  <si>
    <t>CACDNHSCT</t>
  </si>
  <si>
    <t>202306按照保底计提。（1）2022年4月1日起为平均流量计费，保底40G（2）20211001开始计费，95计费，颗粒度100，保底60G；（3）甲乙双方实际流量以100M为结算单位，不足50M按照0M收取，大于等于50M按100M收取</t>
  </si>
  <si>
    <t>HS6CT</t>
  </si>
  <si>
    <t>四川奔云行科技有限公司</t>
  </si>
  <si>
    <t>奔云行</t>
  </si>
  <si>
    <t>182115IDC00106</t>
  </si>
  <si>
    <t>成都7移动</t>
  </si>
  <si>
    <t>CACDNCDCM2</t>
  </si>
  <si>
    <t>2021/2/7
2021/9/30</t>
  </si>
  <si>
    <t>2021年9月30日退租（1）20210207开始计费，颗粒度100M，包端口，保底200G；（2）甲乙双方实际流量以100M为结算单位，不足50M按照0M收取，大于等于50M按100M收取。</t>
  </si>
  <si>
    <t>武汉鸿扬通信技术有限公司</t>
  </si>
  <si>
    <t>武汉鸿扬</t>
  </si>
  <si>
    <t>182015IDC00348</t>
  </si>
  <si>
    <t>宜昌电信</t>
  </si>
  <si>
    <t>CACDNYICCT</t>
  </si>
  <si>
    <t>2018/8/13
2021/8/31</t>
  </si>
  <si>
    <t>20210831退租（1）颗粒度100M，保底40G；（2）2018年8月13日至2019年7月24日执行原合同价格8333元/G/月；2019年7月25日至2020年8月31日执行新价格，即6667元/G/月；（3）甲乙双方实际流量以100M为结算单位，不足50M按照0M收取，大于等于50M按100M收取。</t>
  </si>
  <si>
    <t>新疆</t>
  </si>
  <si>
    <t>新疆众合云尚网络股份有限公司</t>
  </si>
  <si>
    <t>众合云尚</t>
  </si>
  <si>
    <t>182215IDC00540</t>
  </si>
  <si>
    <t>阿克苏</t>
  </si>
  <si>
    <t>阿克苏2移动（原名克拉玛依5移动）</t>
  </si>
  <si>
    <t>CACDNKLMYCM2</t>
  </si>
  <si>
    <t>202306按照保底计提。需要注意202207价格变动。需要注意20210701价格变动5500；需要注意202102无保底；需要注意202104故障是否需要扣减（1）20210101开始计费100G，20210401扩容100G开始计费，颗粒度100M，保底80G；（2）甲乙双方实际流量以100M为结算单位，不足50M按照0M收取，大于等于50M按100M收取</t>
  </si>
  <si>
    <t>AKS2CM</t>
  </si>
  <si>
    <t>182215IDC00549</t>
  </si>
  <si>
    <t>阿克苏移动</t>
  </si>
  <si>
    <t>CACDNAKSCM</t>
  </si>
  <si>
    <t>2021/9/1
2022/11/30
2023/4/30</t>
  </si>
  <si>
    <t>（1）边缘计算,20210901开始计费200G，20221130退租100G.颗粒度100M，保底80G；（2）甲乙双方实际流量以100M为结算单位，不足50M按照0M收取，大于等于50M按100M收取</t>
  </si>
  <si>
    <t>182215IDC00186</t>
  </si>
  <si>
    <t>乌鲁木齐</t>
  </si>
  <si>
    <t>乌鲁木齐移动</t>
  </si>
  <si>
    <t>CACDNWLMQCM</t>
  </si>
  <si>
    <t>2022/1/1
2022/1/31
2022/4/30
2022/6/30
2023/2/28</t>
  </si>
  <si>
    <t>100G-40G-20G-30G-10G</t>
  </si>
  <si>
    <t>20230228退租。20220701开始无保底。20220101开始计费，20220131退租40G，20220430退租20G，20220630退租30G，颗粒度100M，保底24G</t>
  </si>
  <si>
    <t>云端互联（西安）计算机技术有限公司</t>
  </si>
  <si>
    <t>云端互联</t>
  </si>
  <si>
    <t>L20230223027</t>
  </si>
  <si>
    <t>昆明2联通</t>
  </si>
  <si>
    <t>CACDNKMUN</t>
  </si>
  <si>
    <t>202304价格变动（1）需要注意20200401开始价格为5416.67；（2）颗粒度100M，保底16G；（3） 甲乙双方实际流量以100M为结算单位，不足50M按照0M收取，大于等于50M按100M收取</t>
  </si>
  <si>
    <t>KM2UN</t>
  </si>
  <si>
    <t>浙江山迅网络科技有限公司</t>
  </si>
  <si>
    <t>浙江山迅</t>
  </si>
  <si>
    <t>182115IDC00274</t>
  </si>
  <si>
    <t>泉州联通</t>
  </si>
  <si>
    <t>CACDNQZUN</t>
  </si>
  <si>
    <t>2018/6/11
2021/12/31</t>
  </si>
  <si>
    <t>80G-80G</t>
  </si>
  <si>
    <t>20211231退租（1）需要注意海口2020年4月30日退租原带宽优惠20200501-20200524在泉州上抵扣；（2）颗粒度100M，保底32G ；（3）甲乙双方实际流量以100M为结算单位，不足50M按照0M收取，大于等于50M按100M收取。</t>
  </si>
  <si>
    <t>浙江挚云</t>
  </si>
  <si>
    <t>182115IDC00098</t>
  </si>
  <si>
    <t>杭州3移动</t>
  </si>
  <si>
    <t>CACDNHZCM2</t>
  </si>
  <si>
    <t>2018/10/1
2020/4/30
2021/10/31</t>
  </si>
  <si>
    <t>120G-20G-100G</t>
  </si>
  <si>
    <t>20211031退租，需要注意202107故障扣减；需要注意202102价格变化为5500及保底30%变为40%（1）需要注意2020年5月1日开始价格为4800；（2）需要注意20200430退租20G；（3）颗粒度100M，保底40G ；（4）甲乙双方实际流量以100M为结算单位，不足50M按照0M收取，大于等于50M按100M收取。</t>
  </si>
  <si>
    <t>182315IDC00165</t>
  </si>
  <si>
    <t>XACDNWZCM</t>
  </si>
  <si>
    <t>2018-10-1
2020/4/30</t>
  </si>
  <si>
    <t>需要注意20230301开始价格变动。20220101开始价格为5400.需要注意202102价格变化为5500及保底30%变为40%（1）需要注意2020年5月1日开始价格为4800；（2）需要注意20200430退租40G；（3）颗粒度100M，保底80G；（4）甲乙双方实际流量以100M为结算单位，不足50M按照0M收取，大于等于50M按100M收取。</t>
  </si>
  <si>
    <t>WZCM</t>
  </si>
  <si>
    <t>182315IDC00166</t>
  </si>
  <si>
    <t>温州电信二级</t>
  </si>
  <si>
    <t>CACDNWZCT</t>
  </si>
  <si>
    <t>2019/7/23
2020/12/1
2022/7/1</t>
  </si>
  <si>
    <t>80G+40G+200G</t>
  </si>
  <si>
    <t>202306按照保底计提。202305保底降为25%。20230201开始价格变动（1）20201201扩容40G开始计费；20220701扩容200G且从温州6电信变更为温州电信二级（2）需要注意20200801开始价格为7000；（3）颗粒度100M，保底36G；（4）1907新增资源（4）甲乙双方实际流量以100M为结算单位，不足50M按照0M收取，大于等于50M按100M收取。</t>
  </si>
  <si>
    <t>WZCTCACHE</t>
  </si>
  <si>
    <t>182315IDC00164</t>
  </si>
  <si>
    <t>温州3移动</t>
  </si>
  <si>
    <t>CACDNWZCM</t>
  </si>
  <si>
    <t>202306按照保底计提。需要注意202112是否扣减搬迁费用。需要注意202104故障是否需要扣减（1）20200601开始计费，包端口，颗粒度100M，保底100G；（2）甲乙双方实际流量以100M为结算单位，不足50M按照0M收取，大于等于50M按100M收取。</t>
  </si>
  <si>
    <t>WZ3CM</t>
  </si>
  <si>
    <t>182115IDC00432</t>
  </si>
  <si>
    <t>天津3移动</t>
  </si>
  <si>
    <t>CACDNTJCM</t>
  </si>
  <si>
    <t>2020/9/1
2021/12/31</t>
  </si>
  <si>
    <t>20211231退租，需要注意20210901价格变动5500（1）20200901开始计费，颗粒度100M，保底80G；（2）甲乙双方实际流量以100M为结算单位，不足50M按照0M收取，大于等于50M按100M收取。</t>
  </si>
  <si>
    <t>182115IDC00431</t>
  </si>
  <si>
    <t>温州7电信</t>
  </si>
  <si>
    <t>CACDNWZCT2</t>
  </si>
  <si>
    <t>2020/10/1
2022/6/30</t>
  </si>
  <si>
    <t>20220630退租，20220120转为边缘计算。（1）20201001开始计费，颗粒度100M，保底60G；（2）甲乙双方实际流量以100M为结算单位，不足50M按照0M收取，大于等于50M按100M收取。（3）2020年7月6日，且2020年7月6日-2020年8月31日为100G资源，2020年9月1日-2020年9月30日暂停使用，2020年10月1日起节点资源恢复使用并扩容为200G；（3）20201128-20201202不计费</t>
  </si>
  <si>
    <t>182115IDC00250</t>
  </si>
  <si>
    <t>苏州移动</t>
  </si>
  <si>
    <t>CACDNSUZCM</t>
  </si>
  <si>
    <t>2021/5/1
2021/10/31</t>
  </si>
  <si>
    <t>（1）20211031退租，20210501开始计费，颗粒度100M，保底80G；（2）甲乙双方实际流量以100M为结算单位，不足50M按照0M收取，大于等于50M按100M收取</t>
  </si>
  <si>
    <t>182115IDC00441</t>
  </si>
  <si>
    <t>淮南</t>
  </si>
  <si>
    <t>淮南7移动</t>
  </si>
  <si>
    <t>CACDNHNCM2</t>
  </si>
  <si>
    <t>2021/8/2
2022/4/30</t>
  </si>
  <si>
    <t>（1）20210802开始计费，20220501开始合并到淮南5移动。20220630退租。颗粒度100M，保底40G；（2）甲乙双方实际流量以100M为结算单位，不足50M按照0M收取，大于等于50M按100M收取</t>
  </si>
  <si>
    <t>淮南5移动</t>
  </si>
  <si>
    <t>2020/4/1
2021/2/1
2022/3/31
2022/5/1
2022/6/30</t>
  </si>
  <si>
    <t>100G+200G-200G+100G-100G-100G</t>
  </si>
  <si>
    <t>20220630退租HN7CM100G。HN5CM100G20210901价格为4300（1）20210101价格为4000且保底30%变为40%（2）20200401开始计费100G，20210201扩容200G开始计费，20220331退租200G，20220501开始淮南5移动&amp;淮南7移动合并计费。颗粒度100M，保底80G；（3）甲乙双方实际流量以100M为结算单位，不足50M按照0M收取，大于等于50M按100M收取</t>
  </si>
  <si>
    <t>182315IDC00005</t>
  </si>
  <si>
    <t>苏州3移动</t>
  </si>
  <si>
    <t>CACDNSUZCM3</t>
  </si>
  <si>
    <t>2021/11/2
2023/4/30</t>
  </si>
  <si>
    <t>200G-180G</t>
  </si>
  <si>
    <t>202306按照保底计提。20220120转为边缘计算。20220701转回CDN（1）20211102开始计费，颗粒度100M，保底80G；（2）甲乙双方实际流量以100M为结算单位，不足50M按照0M收取，大于等于50M按100M收取</t>
  </si>
  <si>
    <t>SUZ3CM</t>
  </si>
  <si>
    <t>182215IDC00207</t>
  </si>
  <si>
    <t>广州7移动</t>
  </si>
  <si>
    <t>CACDNGZCM4</t>
  </si>
  <si>
    <t>2022/3/1
2023/3/31</t>
  </si>
  <si>
    <t>20230331退租。20220301开始计费，颗粒度100M，保底80G</t>
  </si>
  <si>
    <t>广东华云世纪科技有限公司</t>
  </si>
  <si>
    <t>华云世纪</t>
  </si>
  <si>
    <t>182215IDC00631</t>
  </si>
  <si>
    <t>福州5移动</t>
  </si>
  <si>
    <t>CACDNFZCM2</t>
  </si>
  <si>
    <t>2021/5/1
2022/1/30
2022/9/1</t>
  </si>
  <si>
    <t>200G+100G+100G</t>
  </si>
  <si>
    <t>需要注意202307价格变动。需要注意20210901价格变化（1）20210501开始计费200G，20220130扩容100G开始计费，20220901扩容100G开始计费。颗粒度100M，保底120G；（2）甲乙双方实际流量以100M为结算单位，不足50M按照0M收取，大于等于50M按100M收取</t>
  </si>
  <si>
    <t>FZ5CM</t>
  </si>
  <si>
    <t>182215IDC00647</t>
  </si>
  <si>
    <t>南昌</t>
  </si>
  <si>
    <t>南昌6移动</t>
  </si>
  <si>
    <t>CACDNNCCM</t>
  </si>
  <si>
    <t>2021/11/1
2021/12/1
2023/4/30</t>
  </si>
  <si>
    <t>100G+100G-140G</t>
  </si>
  <si>
    <t>需要注意资源变动&amp;保底（1）20211101开始计费100G，20211201开始计费100G，20230430退租140G。颗粒度100M，保底80G；（2）甲乙双方实际流量以100M为结算单位，不足50M按照0M收取，大于等于50M按100M收取</t>
  </si>
  <si>
    <t>NC6CM</t>
  </si>
  <si>
    <t>182215IDC00632</t>
  </si>
  <si>
    <t>中山5移动</t>
  </si>
  <si>
    <t>CACDNZSCM5</t>
  </si>
  <si>
    <t>2022/1/30
2022/9/1
2023/5/31</t>
  </si>
  <si>
    <t>400G+100G-200G</t>
  </si>
  <si>
    <t>202305资源变化。20220130开始计费，20220901开始计费扩容100G颗粒度100M，保底200G</t>
  </si>
  <si>
    <t>ZS5CM</t>
  </si>
  <si>
    <t>182315IDC00066</t>
  </si>
  <si>
    <t>天津5移动</t>
  </si>
  <si>
    <t>CACDNTJCM4</t>
  </si>
  <si>
    <t>TJ5CM</t>
  </si>
  <si>
    <t>182315IDC00050</t>
  </si>
  <si>
    <t>北海</t>
  </si>
  <si>
    <t>北海移动</t>
  </si>
  <si>
    <t>CACDNBHCM</t>
  </si>
  <si>
    <t>20230101开始计费。颗粒度100M，保底40G</t>
  </si>
  <si>
    <t>BHCM</t>
  </si>
  <si>
    <t>L20230522003</t>
  </si>
  <si>
    <t>南昌7移动</t>
  </si>
  <si>
    <t>CACDNNCCM2</t>
  </si>
  <si>
    <t>颗粒度100M，保底56G</t>
  </si>
  <si>
    <t>NC7CM</t>
  </si>
  <si>
    <t>南昌首页科技股份有限公司</t>
  </si>
  <si>
    <t>南昌首页</t>
  </si>
  <si>
    <t>182215IDC00650</t>
  </si>
  <si>
    <t>襄樊</t>
  </si>
  <si>
    <t>襄樊电信</t>
  </si>
  <si>
    <t>CACDNXIANGFCT</t>
  </si>
  <si>
    <t>2021/5/1
2021/9/1
2021/11/1
2023/6/30</t>
  </si>
  <si>
    <t>160G+100G+100G-60G</t>
  </si>
  <si>
    <t>需要注意202307价格变动。20230630退租60G（1）20210501开始计费160G，20210901开始计费100G，20211101开始计费100G，颗粒度100M，保底108G；（2）甲乙双方实际流量以100M为结算单位，不足50M按照0M收取，大于等于50M按100M收取</t>
  </si>
  <si>
    <t>XIANGFCT</t>
  </si>
  <si>
    <t>L20230223028</t>
  </si>
  <si>
    <t>上饶</t>
  </si>
  <si>
    <t>上饶电信</t>
  </si>
  <si>
    <t>CACDNSRCT</t>
  </si>
  <si>
    <t>202306按照保底计提。20220401开始计费，颗粒度100M，保底25G，平均流量</t>
  </si>
  <si>
    <t>SRCT</t>
  </si>
  <si>
    <t>L20230701015</t>
  </si>
  <si>
    <t>抚顺</t>
  </si>
  <si>
    <t>抚顺联通</t>
  </si>
  <si>
    <t>CACDNFUSUN</t>
  </si>
  <si>
    <t>202306按照保底计提。颗粒度100M，保底28G，平均流量</t>
  </si>
  <si>
    <t>FUSUN</t>
  </si>
  <si>
    <t>深圳市新国都万联科技通信有限公司</t>
  </si>
  <si>
    <t>新国都</t>
  </si>
  <si>
    <t>182315IDC00123</t>
  </si>
  <si>
    <t>乌鲁木齐3电信</t>
  </si>
  <si>
    <t>CACDNWLMQCT</t>
  </si>
  <si>
    <t>2021/6/1
2022/2/1
2022/6/30</t>
  </si>
  <si>
    <t>100G+60G-40G</t>
  </si>
  <si>
    <t>202301开始价格变动。20230701价格变动。20220630退租40G（1）20210601开始计费100G，20220201扩容60G开始计费，颗粒度100M，保底64G；（2）甲乙双方实际流量以100M为结算单位，不足50M按照0M收取，大于等于50M按100M收取；（覆盖其他省业务不得超过开通带宽的5%，超出部分带宽按照11000元/月/G结算）覆盖其他省业务不得超过开通带宽的5%，超出部分带宽按照11000元/月/G结算</t>
  </si>
  <si>
    <t>WLMQ3CT</t>
  </si>
  <si>
    <t>云端智度</t>
  </si>
  <si>
    <t>182115IDC00444</t>
  </si>
  <si>
    <t>温州9电信</t>
  </si>
  <si>
    <t>CACDNWZCT3</t>
  </si>
  <si>
    <t>2021/7/1
2021/12/31</t>
  </si>
  <si>
    <t>20211231退租（1）20210701开始计费，颗粒度100M，保底40G；（2）甲乙双方实际流量以100M为结算单位，不足50M按照0M收取，大于等于50M按100M收取</t>
  </si>
  <si>
    <t>南昌市恒州科技有限公司</t>
  </si>
  <si>
    <t>南昌恒州</t>
  </si>
  <si>
    <t>182215IDC00550</t>
  </si>
  <si>
    <t>萍乡</t>
  </si>
  <si>
    <t>萍乡电信</t>
  </si>
  <si>
    <t>CACDNPXCT</t>
  </si>
  <si>
    <t>2021/8/3
2022/9/30</t>
  </si>
  <si>
    <t>（1）20210803开始计费，颗粒度100M，保底30G；（2）甲乙双方实际流量以100M为结算单位，不足50M按照0M收取，大于等于50M按100M收取</t>
  </si>
  <si>
    <t>182115IDC00587</t>
  </si>
  <si>
    <t>九江2电信</t>
  </si>
  <si>
    <t>CACDNJJCT2</t>
  </si>
  <si>
    <t>2021/10/1
2022/9/30</t>
  </si>
  <si>
    <t>（1）20211001开始计费，颗粒度100M，保底60G；（2）甲乙双方实际流量以100M为结算单位，不足50M按照0M收取，大于等于50M按100M收取</t>
  </si>
  <si>
    <t>广东玖云网络科技有限公司</t>
  </si>
  <si>
    <t>广东玖云</t>
  </si>
  <si>
    <t>182115IDC00399</t>
  </si>
  <si>
    <t>中山2移动</t>
  </si>
  <si>
    <t>CACDNZSCM2</t>
  </si>
  <si>
    <t>2021/8/1
2021/12/31</t>
  </si>
  <si>
    <t>20211231退租（1）20210801开始计费，颗粒度100M，保底80G；（2）甲乙双方实际流量以100M为结算单位，不足50M按照0M收取，大于等于50M按100M收取</t>
  </si>
  <si>
    <t>深圳网腾云计算科技有限公司</t>
  </si>
  <si>
    <t>深圳网腾</t>
  </si>
  <si>
    <t>182115IDC00497</t>
  </si>
  <si>
    <t>成都8移动</t>
  </si>
  <si>
    <t>2021/8/1
2022/5/31</t>
  </si>
  <si>
    <t>月付。（1）20210801开始计费，20220531退租，颗粒度100M，保底80G；（2）甲乙双方实际流量以100M为结算单位，不足50M按照0M收取，大于等于50M按100M收取</t>
  </si>
  <si>
    <t>成都9移动</t>
  </si>
  <si>
    <t>CACDNCDCM3</t>
  </si>
  <si>
    <t>2021/9/1
2022/5/31</t>
  </si>
  <si>
    <t>（1）20210901开始计费，20220531退租，颗粒度100M，保底80G；（2）甲乙双方实际流量以100M为结算单位，不足50M按照0M收取，大于等于50M按100M收取</t>
  </si>
  <si>
    <t>四川云互未来科技有限公司</t>
  </si>
  <si>
    <t>云互未来</t>
  </si>
  <si>
    <t>182115IDC00494</t>
  </si>
  <si>
    <t>眉山</t>
  </si>
  <si>
    <t>眉山联通</t>
  </si>
  <si>
    <t>CACDNMSUN</t>
  </si>
  <si>
    <t>2021/9/1
2022/3/31</t>
  </si>
  <si>
    <t>20220331退租（1）20210901开始计费，颗粒度100M，保底12G；（2）甲乙双方实际流量以100M为结算单位，不足50M按照0M收取，大于等于50M按100M收取。</t>
  </si>
  <si>
    <t>陕西</t>
  </si>
  <si>
    <t>北京天云联动科技有限公司</t>
  </si>
  <si>
    <t>天云联动</t>
  </si>
  <si>
    <t>182215IDC00200</t>
  </si>
  <si>
    <t>西安</t>
  </si>
  <si>
    <t>西安3联通</t>
  </si>
  <si>
    <t>CACDNXAUN</t>
  </si>
  <si>
    <t>2021/10/1
2022/2/1
2022/5/31</t>
  </si>
  <si>
    <t>100G+40G-140G</t>
  </si>
  <si>
    <t>（1）20211001开始计费，20220201扩容40G开始计费，20220531退租。颗粒度100M，保底70G；（2）（2）甲乙双方实际流量以100M为结算单位，不足50M按照0M收取，大于等于50M按100M收取</t>
  </si>
  <si>
    <t>北京庭宇科技有限公司</t>
  </si>
  <si>
    <t>庭宇科技</t>
  </si>
  <si>
    <t>L20230620008</t>
  </si>
  <si>
    <t>CACDNSQCM</t>
  </si>
  <si>
    <t>2021/10/1
2021/11/1
2022/8/31</t>
  </si>
  <si>
    <t>200G+100G-150G</t>
  </si>
  <si>
    <t>202306按照保底计提。需要注意202306价格变动。先按照20220826记录挪给SQ4CM150G（1）20211001开始计费200G，20211101开始计费新增100G，颗粒度100M，保底120G；（2）甲乙双方实际流量以100M为结算单位，不足50M按照0M收取，大于等于50M按100M收取</t>
  </si>
  <si>
    <t>SQCM</t>
  </si>
  <si>
    <t>宿迁4移动</t>
  </si>
  <si>
    <t>202306按照保底计提。需要注意202306价格变动。SQCM拆出150G给SQ4CM。颗粒度100M，保底60G</t>
  </si>
  <si>
    <t>SQ4CM</t>
  </si>
  <si>
    <t>L20230308008</t>
  </si>
  <si>
    <t>宿迁2移动</t>
  </si>
  <si>
    <t>20220501开始计费，颗粒度100M，保底80G</t>
  </si>
  <si>
    <t>SQ2CM</t>
  </si>
  <si>
    <t>霍尔果斯云网联商科技有限公司</t>
  </si>
  <si>
    <t>云网联商</t>
  </si>
  <si>
    <t>L20230625005</t>
  </si>
  <si>
    <t>通化</t>
  </si>
  <si>
    <t>通化联通</t>
  </si>
  <si>
    <t>CACDNTHUN</t>
  </si>
  <si>
    <t>202306按照保底计提。注意202307价格变动。（1）20211001开始计费，颗粒度100M，保底30G；（2）甲乙双方实际流量以100M为结算单位，不足50M按照0M收取，大于等于50M按100M收取</t>
  </si>
  <si>
    <t>THUN</t>
  </si>
  <si>
    <t>182215IDC00019</t>
  </si>
  <si>
    <t>保定</t>
  </si>
  <si>
    <t>保定3移动</t>
  </si>
  <si>
    <t>CACDNBDCM</t>
  </si>
  <si>
    <t>2021/10/1
2021/11/26</t>
  </si>
  <si>
    <t>月付。（1）20211126退租，20211001开始计费实际交付60G，20211020业务切走，颗粒度100M，保底24G；（2）甲乙双方实际流量以100M为结算单位，不足50M按照0M收取，大于等于50M按100M收取</t>
  </si>
  <si>
    <t>L20230504005</t>
  </si>
  <si>
    <t>保定4移动</t>
  </si>
  <si>
    <t>20220601开始计费100G，20220801扩容100G，颗粒度100，保底40G</t>
  </si>
  <si>
    <t>BD4CM</t>
  </si>
  <si>
    <t>182215IDC00411</t>
  </si>
  <si>
    <t>补202305，已计提41.9，结算42.56，补0.99</t>
  </si>
  <si>
    <t>182315IDC00234</t>
  </si>
  <si>
    <t>大连2联通</t>
  </si>
  <si>
    <t>CACDNDLUN</t>
  </si>
  <si>
    <t>202306按照保底计提。需要注意202206价格变动（1）20211101开始计费，颗粒度100M，保底60G；（2）甲乙双方实际流量以100M为结算单位，不足50M按照0M收取，大于等于50M按100M收取</t>
  </si>
  <si>
    <t>DL2UN</t>
  </si>
  <si>
    <t>大连3联通</t>
  </si>
  <si>
    <t>202306按照保底计提。需要注意202206价格变动（1）20220201开始计费，颗粒度100M，保底60G</t>
  </si>
  <si>
    <t>DL3UN</t>
  </si>
  <si>
    <t>182215IDC00367</t>
  </si>
  <si>
    <t>鞍山2联通</t>
  </si>
  <si>
    <t>2022/4/3
2022/7/15</t>
  </si>
  <si>
    <t>20220715退租。20220403开始计费，颗粒度100M，保底30G</t>
  </si>
  <si>
    <t>182215IDC00559</t>
  </si>
  <si>
    <t>锦州</t>
  </si>
  <si>
    <t>锦州3电信</t>
  </si>
  <si>
    <t>CACDNJZCT</t>
  </si>
  <si>
    <t>2022/7/2
2023/2/28</t>
  </si>
  <si>
    <t>20230228退租。20220702开始计费，颗粒度100M，保底80G</t>
  </si>
  <si>
    <t>182315IDC00233</t>
  </si>
  <si>
    <t>辽阳</t>
  </si>
  <si>
    <t>辽阳联通</t>
  </si>
  <si>
    <t>CACDNLIAOYUN</t>
  </si>
  <si>
    <t>202306按照保底计提。20220902开始计费，颗粒度100M，保底30G</t>
  </si>
  <si>
    <t>LIAOYUN</t>
  </si>
  <si>
    <t>182215IDC00561</t>
  </si>
  <si>
    <t>辽阳2电信</t>
  </si>
  <si>
    <t>CACDNLIAOYCT</t>
  </si>
  <si>
    <t>2022/9/1
2023/3/31</t>
  </si>
  <si>
    <t>20230331退租。20220901开始计费，颗粒度100M，保底40G</t>
  </si>
  <si>
    <t>广州贝云信息科技有限公司</t>
  </si>
  <si>
    <t>广州贝云</t>
  </si>
  <si>
    <t>182115IDC00650</t>
  </si>
  <si>
    <t xml:space="preserve">2021/10/1
</t>
  </si>
  <si>
    <t>（1）20211001开始从广州大一转到广州贝云，20220331中山电信退租100G，20220531中山电信退200G&amp;中山2电信退租200G.颗粒度100M，保底80G。与中山2电信合并计费；（2）甲乙双方实际流量以100M为结算单位，不足50M按照0M收取，大于等于50M按100M收取</t>
  </si>
  <si>
    <t>2021/10/1
2022/3/31
2022/5/31</t>
  </si>
  <si>
    <t>200G+200G+100G-100G-200G-200G</t>
  </si>
  <si>
    <t>（1）20211001开始从广州大一转到广州贝云，20220331中山电信退租100G，20220531中山电信退200G&amp;中山2电信退200G.颗粒度100M，保底120G。与中山电信合并计费；（2）甲乙双方实际流量以100M为结算单位，不足50M按照0M收取，大于等于50M按100M收取</t>
  </si>
  <si>
    <t>182215IDC00153</t>
  </si>
  <si>
    <t>2021/10/1
2022/2/1
2022/5/31
2022/6/30</t>
  </si>
  <si>
    <t>100G+100G-100G-100G</t>
  </si>
  <si>
    <t>20220630退租100G。202110开始从广州宏云转到广州贝云，(1)20211001开始计费100G，20220201开始计费100G，20220531退100G.颗粒度100M，保底60G</t>
  </si>
  <si>
    <t>182315IDC00125</t>
  </si>
  <si>
    <t>20230201从宏云转贝云。需要注意202210价格变动（1）20210401开始计费，颗粒度100M，保底30G；（2）甲乙双方实际流量以100M为结算单位，不足50M按照0M收取，大于等于50M按100M收取。</t>
  </si>
  <si>
    <t>JJCT</t>
  </si>
  <si>
    <t>L20230607002</t>
  </si>
  <si>
    <t>需要注意202306价格变动。20230201从宏云转贝云。需要注意202210价格变动（1）20210401开始计费，颗粒度100M，保底60G；（2）甲乙双方实际流量以100M为结算单位，不足50M按照0M收取，大于等于50M按100M收取</t>
  </si>
  <si>
    <t>JH2CT</t>
  </si>
  <si>
    <t>182315IDC00127</t>
  </si>
  <si>
    <t>20230201从宏云转贝云。需要注意后期资源变动。20220831退租100G（1）20220101开始计费，颗粒度100M，保底60G；（2）甲乙双方实际流量以100M为结算单位，不足50M按照0M收取，大于等于50M按100M收取</t>
  </si>
  <si>
    <t>FS3CT</t>
  </si>
  <si>
    <t>河北燕云数据有限公司</t>
  </si>
  <si>
    <t>河北燕云</t>
  </si>
  <si>
    <t>L20230330008</t>
  </si>
  <si>
    <t>秦皇岛</t>
  </si>
  <si>
    <t>秦皇岛电信</t>
  </si>
  <si>
    <t>CACDNQHDCT</t>
  </si>
  <si>
    <t>2021/12/1
2023/6/30</t>
  </si>
  <si>
    <t>202306按照保底计提。20230630退租。注意20230401开始价格变动。20220120转为边缘计算。20220701转回CDN（1）20211201开始计费，颗粒度100M，保底30G；（2）甲乙双方实际流量以100M为结算单位，不足50M按照0M收取，大于等于50M按100M收取</t>
  </si>
  <si>
    <t>QHDCT</t>
  </si>
  <si>
    <t>补202305，已计提30.1，结算30.6，补0.5</t>
  </si>
  <si>
    <t>银联商务股份有限公司湖北分公司</t>
  </si>
  <si>
    <t>银联商务</t>
  </si>
  <si>
    <t>L20220924003</t>
  </si>
  <si>
    <t>武汉</t>
  </si>
  <si>
    <t>WHGG-电信</t>
  </si>
  <si>
    <t>WHGG</t>
  </si>
  <si>
    <t>202306按照保底计提。（1）20211215开始计费，颗粒度100M，保底12G，首月无保底；（2）甲乙双方实际流量以100M为结算单位，不足50M按照0M收取，大于等于50M按100M收取</t>
  </si>
  <si>
    <t>WHGG-CT-ST-1</t>
  </si>
  <si>
    <t>WHGG-联通</t>
  </si>
  <si>
    <t>WHGG-CU-ST-1</t>
  </si>
  <si>
    <t>WHGG-移动</t>
  </si>
  <si>
    <t>202306按照保底计提。（1）20211215开始计费，颗粒度100M，保底16G，首月有保底；（2）甲乙双方实际流量以100M为结算单位，不足50M按照0M收取，大于等于50M按100M收取</t>
  </si>
  <si>
    <t>WHGG-CM-ST-1</t>
  </si>
  <si>
    <t>广东奥飞数据科技股份有限公司</t>
  </si>
  <si>
    <t>广东奥飞</t>
  </si>
  <si>
    <t>182215IDC00364</t>
  </si>
  <si>
    <t>济南7联通</t>
  </si>
  <si>
    <t>CACDNJNUN</t>
  </si>
  <si>
    <t>2022/1/1
2022/4/18</t>
  </si>
  <si>
    <t>需要注意20220401开始价格变动（1）20220101开始计费100G，20220418退租，颗粒度100M，保底30G；（2）甲乙双方实际流量以100M为结算单位，不足50M按照0M收取，大于等于50M按100M收取</t>
  </si>
  <si>
    <t>甘肃柏隆电子商务科技有限责任公司</t>
  </si>
  <si>
    <t>甘肃柏隆</t>
  </si>
  <si>
    <t>182215IDC00062</t>
  </si>
  <si>
    <t>兰州4移动</t>
  </si>
  <si>
    <t>CACDNLZCM</t>
  </si>
  <si>
    <t>2022/1/1
2022/1/31</t>
  </si>
  <si>
    <t>20220131退租。月付（1）20220101开始计费，颗粒度100M，保底100G；（2）甲乙双方实际流量以100M为结算单位，不足50M按照0M收取，大于等于50M按100M收取</t>
  </si>
  <si>
    <t>深圳腾华数据中心科技有限公司</t>
  </si>
  <si>
    <t>深圳腾华</t>
  </si>
  <si>
    <t>182215IDC00176</t>
  </si>
  <si>
    <t>广州4电信</t>
  </si>
  <si>
    <t>CACDNGZCT</t>
  </si>
  <si>
    <t>2022/2/1
2022/7/31</t>
  </si>
  <si>
    <t>20220731退租。20220201开始计费，颗粒度100M，保底60G</t>
  </si>
  <si>
    <t>广西阳晨伟业科技有限公司</t>
  </si>
  <si>
    <t>广西阳晨</t>
  </si>
  <si>
    <t>182315IDC00060</t>
  </si>
  <si>
    <t>南宁6移动</t>
  </si>
  <si>
    <t>CACDNNNCM2</t>
  </si>
  <si>
    <t>202306按照保底计提。（1）20220201开始计费，颗粒度100M，保底100G，包端口；（2）甲乙双方实际流量以100M为结算单位，不足50M按照0M收取，大于等于50M按100M收取</t>
  </si>
  <si>
    <t>NN6CM</t>
  </si>
  <si>
    <t>上海恩晴信息技术有限公司</t>
  </si>
  <si>
    <t>上海恩晴</t>
  </si>
  <si>
    <t>182315IDC00095</t>
  </si>
  <si>
    <t>上海2联通</t>
  </si>
  <si>
    <t>CACDNSHUN</t>
  </si>
  <si>
    <t>202306按照保底计提。20220201开始计费，颗粒度100M，保底24G</t>
  </si>
  <si>
    <t>SH2UN</t>
  </si>
  <si>
    <t>北京和顺泰科技有限公司</t>
  </si>
  <si>
    <t>和顺泰</t>
  </si>
  <si>
    <t>182315IDC00136</t>
  </si>
  <si>
    <t>武汉4电信</t>
  </si>
  <si>
    <t>CACDNWHCT3</t>
  </si>
  <si>
    <t>需要注意202304开始价格变动。20220401开始计费，颗粒度100M，保底60G</t>
  </si>
  <si>
    <t>WH4CT</t>
  </si>
  <si>
    <t>182315IDC00015</t>
  </si>
  <si>
    <t>天津5电信</t>
  </si>
  <si>
    <t>CACDNTJCT</t>
  </si>
  <si>
    <t>202306按照保底计提。20221001开始计费。颗粒度100M，保底30G</t>
  </si>
  <si>
    <t>TJ5CT</t>
  </si>
  <si>
    <t>L20230512001</t>
  </si>
  <si>
    <t>20220401开始计费，保底30%，18G，颗粒度100M
后续待CDN上量后关注交付邮件，应该扩容了40G给CDN使用</t>
  </si>
  <si>
    <t>CD2UN</t>
  </si>
  <si>
    <t>杭州盈为网络科技有限公司</t>
  </si>
  <si>
    <t>杭州盈为</t>
  </si>
  <si>
    <t>L20230504018</t>
  </si>
  <si>
    <t>榆林</t>
  </si>
  <si>
    <t>榆林联通</t>
  </si>
  <si>
    <t>CACDNYLUN</t>
  </si>
  <si>
    <t>需要注意202306价格变动。20220602开始计费，颗粒度100M，保底30G</t>
  </si>
  <si>
    <t>YLUN</t>
  </si>
  <si>
    <t>成都震汉科技有限公司</t>
  </si>
  <si>
    <t>成都震汉</t>
  </si>
  <si>
    <t>182215IDC00413</t>
  </si>
  <si>
    <t>成都10移动</t>
  </si>
  <si>
    <t>CACDNCDCM4</t>
  </si>
  <si>
    <t>2022/6/1
2023/5/31</t>
  </si>
  <si>
    <t>20220601开始计费，颗粒度100M，包端口，保底100G</t>
  </si>
  <si>
    <t>泰州云下科技有限公司</t>
  </si>
  <si>
    <t>云下科技</t>
  </si>
  <si>
    <t>182215IDC00547</t>
  </si>
  <si>
    <t>泰州3电信</t>
  </si>
  <si>
    <t>CACDNTAIZCT</t>
  </si>
  <si>
    <t>280G</t>
  </si>
  <si>
    <t>注意资源变动。20220801开始计费，颗粒度100M，保底84G。月付</t>
  </si>
  <si>
    <t>TAIZ3CT</t>
  </si>
  <si>
    <t>补202305，已计提84.6，先按照均值87，补2.4</t>
  </si>
  <si>
    <t>江苏网擎信息技术有限公司</t>
  </si>
  <si>
    <t>江苏网擎</t>
  </si>
  <si>
    <t>182315IDC00011</t>
  </si>
  <si>
    <t>常州4电信</t>
  </si>
  <si>
    <t>CACDNCZCT2</t>
  </si>
  <si>
    <t>202306按照保底计提。注意资源变动，20221001开始计费，颗粒度100M，保底30G</t>
  </si>
  <si>
    <t>CZ4CT</t>
  </si>
  <si>
    <t>182315IDC00013</t>
  </si>
  <si>
    <t>常州2移动</t>
  </si>
  <si>
    <t>CACDNCZCM2</t>
  </si>
  <si>
    <t>20221001开始计费。颗粒度100M，保底30G</t>
  </si>
  <si>
    <t>CZ2CM</t>
  </si>
  <si>
    <t>182315IDC00012</t>
  </si>
  <si>
    <t>常州联通</t>
  </si>
  <si>
    <t xml:space="preserve">   CACDNCZUN</t>
  </si>
  <si>
    <t>20221001开始计费。颗粒度100M，保底12G</t>
  </si>
  <si>
    <t>CZUN</t>
  </si>
  <si>
    <t>L20230602010</t>
  </si>
  <si>
    <t>常州2三级电信</t>
  </si>
  <si>
    <t>CACDNCZIX</t>
  </si>
  <si>
    <t>CZ2IXCT</t>
  </si>
  <si>
    <t>常州2三级移动</t>
  </si>
  <si>
    <t>CZ2IXCM</t>
  </si>
  <si>
    <t>常州2三级联通</t>
  </si>
  <si>
    <t>202306按照保底计提。颗粒度100M，保底3G</t>
  </si>
  <si>
    <t>CZ2IXUN</t>
  </si>
  <si>
    <t>深圳万象天地科技有限公司</t>
  </si>
  <si>
    <t>深圳万象天地</t>
  </si>
  <si>
    <t>182315IDC00174</t>
  </si>
  <si>
    <t>盐城2移动</t>
  </si>
  <si>
    <t>CACDNYANCCM</t>
  </si>
  <si>
    <t>20221001开始计费。颗粒度10M，保底40G</t>
  </si>
  <si>
    <t>YANC2CM</t>
  </si>
  <si>
    <t>山东蓝海领航大数据发展有限公司</t>
  </si>
  <si>
    <t>蓝海领航</t>
  </si>
  <si>
    <t>182315IDC00257</t>
  </si>
  <si>
    <t>济南11移动</t>
  </si>
  <si>
    <t>CDNJNIX</t>
  </si>
  <si>
    <t>0.3G</t>
  </si>
  <si>
    <t>202306按照保底计提。颗粒度100M，保底0.03G</t>
  </si>
  <si>
    <t>JN11CM</t>
  </si>
  <si>
    <t>浙江宁波本电网络科技有限公司</t>
  </si>
  <si>
    <t>浙江本电</t>
  </si>
  <si>
    <t>182315IDC00231</t>
  </si>
  <si>
    <t>宁波8电信</t>
  </si>
  <si>
    <t>CACDNNBCT2</t>
  </si>
  <si>
    <t>202306暂停计费。注意资源变动。20220901价格变动（1）月付。20210909开始计费，颗粒度100M，保底80G，包端口；（2）甲乙双方实际流量以100M为结算单位，不足50M按（1）月付。20220303开始计费，颗粒度100M，保底140G，包端口</t>
  </si>
  <si>
    <t>NB8CT</t>
  </si>
  <si>
    <t>182215IDC00563</t>
  </si>
  <si>
    <t>宁波7电信</t>
  </si>
  <si>
    <t>CACDNNBCT</t>
  </si>
  <si>
    <t>202306按照保底计提。注意资源变动。20220901价格变动（1）月付。20210909开始计费，颗粒度100M，保底80G，包端口；（2）甲乙双方实际流量以100M为结算单位，不足50M按照0M收取，大于等于50M按100M收取。</t>
  </si>
  <si>
    <t>NB7CT</t>
  </si>
  <si>
    <t>北京亿芃科技有限公司</t>
  </si>
  <si>
    <t>北京亿芃</t>
  </si>
  <si>
    <t>L20230405001</t>
  </si>
  <si>
    <t>朝阳</t>
  </si>
  <si>
    <t>朝阳电信</t>
  </si>
  <si>
    <t>CACDNCYCT</t>
  </si>
  <si>
    <t>202306按照保底计提。20230401开始计费，颗粒度100M，保底60G</t>
  </si>
  <si>
    <t>CYCT</t>
  </si>
  <si>
    <t>朝阳2电信</t>
  </si>
  <si>
    <t>CY2CT</t>
  </si>
  <si>
    <t>山东爱特云翔信息技术有限公司</t>
  </si>
  <si>
    <t>爱特云翔</t>
  </si>
  <si>
    <t>L20230420001</t>
  </si>
  <si>
    <t>淄博三级电信</t>
  </si>
  <si>
    <t>20230406开始计费。颗粒度100M，保底80G</t>
  </si>
  <si>
    <t>ZBIXCT</t>
  </si>
  <si>
    <t>淄博三线联通</t>
  </si>
  <si>
    <t>20230406开始计费。颗粒度100M，保底48G</t>
  </si>
  <si>
    <t>ZBIXUN</t>
  </si>
  <si>
    <t>上海迅悟网络科技有限公司</t>
  </si>
  <si>
    <t>上海迅悟</t>
  </si>
  <si>
    <t>L20230306002</t>
  </si>
  <si>
    <t>济南10联通</t>
  </si>
  <si>
    <t>CACDNJNUN2</t>
  </si>
  <si>
    <t>2023/4/1
2023/5/1</t>
  </si>
  <si>
    <t>20230401开始计费100G，20230501扩容100G开始计费。颗粒度100M，保底60G</t>
  </si>
  <si>
    <t>JN10UN</t>
  </si>
  <si>
    <t>182315IDC00261</t>
  </si>
  <si>
    <t>济南12移动</t>
  </si>
  <si>
    <t>CACDNJNCM4</t>
  </si>
  <si>
    <t>JN12CM</t>
  </si>
  <si>
    <t>北京共晟科技有限公司</t>
  </si>
  <si>
    <t>共晟科技</t>
  </si>
  <si>
    <t>L20230612002</t>
  </si>
  <si>
    <t>WHGG移动2</t>
  </si>
  <si>
    <t>WHJRG</t>
  </si>
  <si>
    <t>2023/4/22
2023/6/7</t>
  </si>
  <si>
    <t>40G+20G</t>
  </si>
  <si>
    <t>202306按照保底折天计提。20230422开始计费，20230607扩容20G开始计费。颗粒度100M。保底24G</t>
  </si>
  <si>
    <t>WHGG-CM-ST-2</t>
  </si>
  <si>
    <t>浙江途说科技发展有限公司</t>
  </si>
  <si>
    <t>浙江途说</t>
  </si>
  <si>
    <t>L20230406001</t>
  </si>
  <si>
    <t>深圳2移动</t>
  </si>
  <si>
    <t>CACDNSZCM</t>
  </si>
  <si>
    <t>颗粒度100M，保底80G</t>
  </si>
  <si>
    <t>SZ2CM</t>
  </si>
  <si>
    <t>L20230602004</t>
  </si>
  <si>
    <t>南宁8移动</t>
  </si>
  <si>
    <t>CACDNNNCM3</t>
  </si>
  <si>
    <t>颗粒度100M，保底40G</t>
  </si>
  <si>
    <t>NN8CM</t>
  </si>
  <si>
    <t>L20230408001</t>
  </si>
  <si>
    <t>V昆明2电信</t>
  </si>
  <si>
    <t>CACDNVKMCT2</t>
  </si>
  <si>
    <t>202306按照保底计提。裸金属，20220501开始计费，颗粒度10M，保底30G。计费流量以G为单位保留两位小数</t>
  </si>
  <si>
    <t>VKM2CT</t>
  </si>
  <si>
    <t>V台州电信</t>
  </si>
  <si>
    <t>CACDNVTZCT</t>
  </si>
  <si>
    <t>2022/5/1
2023/5/31</t>
  </si>
  <si>
    <t>20230531退租。裸金属，20220501开始计费，颗粒度10M，保底30G。计费流量以G为单位保留两位小数</t>
  </si>
  <si>
    <t>L20230408010</t>
  </si>
  <si>
    <t>V南宁2电信</t>
  </si>
  <si>
    <t>CACDNVNNCT2</t>
  </si>
  <si>
    <t>裸金属，20220501开始计费，颗粒度10M，保底30G。计费流量以G为单位保留两位小数</t>
  </si>
  <si>
    <t>VNN2CT</t>
  </si>
  <si>
    <t>V武汉电信</t>
  </si>
  <si>
    <t>CACDNVWHCT</t>
  </si>
  <si>
    <t>L20230408002</t>
  </si>
  <si>
    <t>V昆明3电信</t>
  </si>
  <si>
    <t>裸金属，20221001开始计费，保底60G，月95计费。10M。计费流量以G为单位保留两位小数</t>
  </si>
  <si>
    <t>VKM3CT</t>
  </si>
  <si>
    <t>V台州2电信</t>
  </si>
  <si>
    <t>CACDNVTZCT2</t>
  </si>
  <si>
    <t>2022/10/1
2023/5/31</t>
  </si>
  <si>
    <t>20230531退租。裸金属，20221001开始计费，保底60G，月95计费。10M。计费流量以G为单位保留两位小数</t>
  </si>
  <si>
    <t>182315IDC00105</t>
  </si>
  <si>
    <t>V武汉移动</t>
  </si>
  <si>
    <t>CACDNVWHCM</t>
  </si>
  <si>
    <t>裸金属，20230101开始计费。颗粒度未明确约定，按1M算，无保底</t>
  </si>
  <si>
    <t>VWHCM</t>
  </si>
  <si>
    <t>咸阳</t>
  </si>
  <si>
    <t>V咸阳2移动</t>
  </si>
  <si>
    <t>CACDNVXYCM</t>
  </si>
  <si>
    <t>2023/1/1
2023/2/1</t>
  </si>
  <si>
    <t>60G+60G</t>
  </si>
  <si>
    <t>裸金属，20230201扩容60G。颗粒度未明确约定，按1M算，无保底</t>
  </si>
  <si>
    <t>VXY2CM</t>
  </si>
  <si>
    <t>V长沙2移动</t>
  </si>
  <si>
    <t>CACDNVCSCM</t>
  </si>
  <si>
    <t>VCS2CM</t>
  </si>
  <si>
    <t>V昆明移动</t>
  </si>
  <si>
    <t>CACDNVKMCM</t>
  </si>
  <si>
    <t>裸金属，20230201开始计费。颗粒度未明确约定，按1M算，无保底</t>
  </si>
  <si>
    <t>VKMCM</t>
  </si>
  <si>
    <t>L20230422002</t>
  </si>
  <si>
    <t>V重庆2移动</t>
  </si>
  <si>
    <t>CACDNVCQCM</t>
  </si>
  <si>
    <t>2023/3/2
2023/4/1</t>
  </si>
  <si>
    <t>裸金属， 【CDN扩容】V重庆移动  扩容40G  2023-04-01 节点正式上线  (VCQ2CM)；20230302开始计费。颗粒度未明确约定，按1M算，无保底</t>
  </si>
  <si>
    <t>VCQ2CM</t>
  </si>
  <si>
    <t>北京新流万联网络技术有限公司</t>
  </si>
  <si>
    <t>新流万联</t>
  </si>
  <si>
    <t>182315IDC00129</t>
  </si>
  <si>
    <t>石家庄</t>
  </si>
  <si>
    <t>V石家庄移动</t>
  </si>
  <si>
    <t>CACDNVSJZCM</t>
  </si>
  <si>
    <t>2022/9/1
2022/9/30</t>
  </si>
  <si>
    <t>需要注意202210暂停使用。裸金属，20220901开始计费，保底40G。</t>
  </si>
  <si>
    <t>L20230204009</t>
  </si>
  <si>
    <t>V呼和浩特2移动</t>
  </si>
  <si>
    <t xml:space="preserve">CACDNVHHHTCM </t>
  </si>
  <si>
    <t>裸金属，20220302开始计费，无保底，计提颗粒度100M，95计费</t>
  </si>
  <si>
    <t>VHHHT2CM</t>
  </si>
  <si>
    <t>L20230311020</t>
  </si>
  <si>
    <t>V济南电信</t>
  </si>
  <si>
    <t>CACDNVJNCT</t>
  </si>
  <si>
    <t>2022/3/4
2022/7/31</t>
  </si>
  <si>
    <t>202208关停。裸金属，20220304开始计费，20220601开始从无保底变动为保底30%，95计费</t>
  </si>
  <si>
    <t>182215IDC00463</t>
  </si>
  <si>
    <t>V宁波移动</t>
  </si>
  <si>
    <t>CACDNVNBCM</t>
  </si>
  <si>
    <t>2022/4/1
2022/12/31</t>
  </si>
  <si>
    <t>裸金属，2022.12.31退租。20220401开始计费，无保底，日95月均</t>
  </si>
  <si>
    <t>182215IDC00465</t>
  </si>
  <si>
    <t>V宁波2移动</t>
  </si>
  <si>
    <t>2022/4/1
2022/9/14</t>
  </si>
  <si>
    <t>裸金属，20220401开始计费，20220914退租替换为V宁波7移动。无保底，日95月均，颗粒度100M</t>
  </si>
  <si>
    <t>L20230311024</t>
  </si>
  <si>
    <t>V济南2电信</t>
  </si>
  <si>
    <t>2022/4/1
2022/7/31</t>
  </si>
  <si>
    <t>15G-15G</t>
  </si>
  <si>
    <t>202208关停。裸金属，20220401开始计费，无保底，日95月均</t>
  </si>
  <si>
    <t>L20230311023</t>
  </si>
  <si>
    <t>V济南3电信</t>
  </si>
  <si>
    <t>CACDNVJNCT2</t>
  </si>
  <si>
    <t>2022/4/7
2022/7/31</t>
  </si>
  <si>
    <t>202208关停。裸金属，20220407开始计费，20220601开始从无保底变动为保底30%，95计费</t>
  </si>
  <si>
    <t>182215IDC00288</t>
  </si>
  <si>
    <t>V济南联通</t>
  </si>
  <si>
    <t>CACDNVJNUN</t>
  </si>
  <si>
    <t>2022/4/9
2022/5/31</t>
  </si>
  <si>
    <t>裸金属，20220409开始计费，20220531退租。无保底，95计费</t>
  </si>
  <si>
    <t>182215IDC00460</t>
  </si>
  <si>
    <t>滨州</t>
  </si>
  <si>
    <t>V滨州联通</t>
  </si>
  <si>
    <t>CACDNVBZUN</t>
  </si>
  <si>
    <t>2022/5/1
2022/9/9</t>
  </si>
  <si>
    <t>裸金属，20220501开始计费，20220909退租。颗粒度100M，无保底</t>
  </si>
  <si>
    <t>L20230311021</t>
  </si>
  <si>
    <t>V抚顺电信</t>
  </si>
  <si>
    <t>CACDNVFUSCT</t>
  </si>
  <si>
    <t>裸金属，2023.4调整单价。20220501开始计费，计提颗粒度100M，无保底</t>
  </si>
  <si>
    <t>VFUSCT</t>
  </si>
  <si>
    <t>V抚顺2电信</t>
  </si>
  <si>
    <t>VFUS2CT</t>
  </si>
  <si>
    <t>L20230311022</t>
  </si>
  <si>
    <t>V兰州电信</t>
  </si>
  <si>
    <t>CACDNVLZCT</t>
  </si>
  <si>
    <t>2022/5/1
2023/6/21</t>
  </si>
  <si>
    <t>202306关停。裸金属，2023.4调整单价。20220501开始计费，计提颗粒度100M，无保底</t>
  </si>
  <si>
    <t>VLZCT</t>
  </si>
  <si>
    <t>L20230311018</t>
  </si>
  <si>
    <t>V苏州移动</t>
  </si>
  <si>
    <t>CACDNVSUZCM</t>
  </si>
  <si>
    <t>2022/8/1
2023/6/30</t>
  </si>
  <si>
    <t>裸金属，20220801开始计费，日95月均，无保底，计提颗粒度100M</t>
  </si>
  <si>
    <t>VSUZCM</t>
  </si>
  <si>
    <t>V苏州2移动</t>
  </si>
  <si>
    <t>VSUZ2CM</t>
  </si>
  <si>
    <t>182215IDC00658</t>
  </si>
  <si>
    <t>V泰安联通</t>
  </si>
  <si>
    <t>CAVTAUN</t>
  </si>
  <si>
    <t>2022/8/1
2023/1/3</t>
  </si>
  <si>
    <t>裸金属，2023/1/3退租。20220801开始计费，日95月均，无保底，颗粒度100M</t>
  </si>
  <si>
    <t>182215IDC00656</t>
  </si>
  <si>
    <t>V宁波3移动</t>
  </si>
  <si>
    <t>CAVNBCM</t>
  </si>
  <si>
    <t>2022/8/1
2022/12/31</t>
  </si>
  <si>
    <t>裸金属，2022.12.31退租。20220801开始计费，日95月均，无保底，颗粒度100M</t>
  </si>
  <si>
    <t>182215IDC00655</t>
  </si>
  <si>
    <t>辽源</t>
  </si>
  <si>
    <t>V辽源移动</t>
  </si>
  <si>
    <t>CAVLIAOYCM</t>
  </si>
  <si>
    <t>2022/8/1
2022/8/30</t>
  </si>
  <si>
    <t>裸金属，20220801开始计费，20220830退租。日95月均，无保底，颗粒度100M</t>
  </si>
  <si>
    <t>L20230311019</t>
  </si>
  <si>
    <t>荆州</t>
  </si>
  <si>
    <t>V荆州联通</t>
  </si>
  <si>
    <t>CAVJINGZUN</t>
  </si>
  <si>
    <t>裸金属，2023.4调整单价。20220801开始计费，日95月均，无保底，计提颗粒度100M</t>
  </si>
  <si>
    <t>VJINGZUN</t>
  </si>
  <si>
    <t>L20230311017</t>
  </si>
  <si>
    <t>V淮南移动</t>
  </si>
  <si>
    <t>CAVHNCM</t>
  </si>
  <si>
    <t>VHNCM</t>
  </si>
  <si>
    <t>182215IDC00659</t>
  </si>
  <si>
    <t>V泰安3联通</t>
  </si>
  <si>
    <t>CACDNVTAUN</t>
  </si>
  <si>
    <t>2022/8/2
2023/1/3</t>
  </si>
  <si>
    <t>裸金属，2023/1/3退租。20220802开始计费，日95月均，无保底，颗粒度100M</t>
  </si>
  <si>
    <t>L20230311012</t>
  </si>
  <si>
    <t>V苏州3移动</t>
  </si>
  <si>
    <t>2022/9/1
2023/6/30</t>
  </si>
  <si>
    <t>裸金属，20220901开始计费，日95月均，无保底，计提颗粒度100M</t>
  </si>
  <si>
    <t>VSUZ3CM</t>
  </si>
  <si>
    <t>L20230311015</t>
  </si>
  <si>
    <t>V兰州2电信</t>
  </si>
  <si>
    <t>CACDNVLZCT2</t>
  </si>
  <si>
    <t>2022/9/1
2023/6/21</t>
  </si>
  <si>
    <t>202306关停。裸金属，2023.4调整单价。20220901开始计费，日95月均，无保底，计提颗粒度100M</t>
  </si>
  <si>
    <t>VLZ2CT</t>
  </si>
  <si>
    <t>V兰州3电信</t>
  </si>
  <si>
    <t>VLZ3CT</t>
  </si>
  <si>
    <t>L20230311014</t>
  </si>
  <si>
    <t>鹤岗</t>
  </si>
  <si>
    <t>V鹤岗移动</t>
  </si>
  <si>
    <t>CACDNVHGCM</t>
  </si>
  <si>
    <t>202305关停。裸金属，2023.4调整单价。20220901开始计费，日95月均，无保底，计提颗粒度100M</t>
  </si>
  <si>
    <t>VHGCM</t>
  </si>
  <si>
    <t>L20230311016</t>
  </si>
  <si>
    <t>V淮南2移动</t>
  </si>
  <si>
    <t>CACDNVHNCM</t>
  </si>
  <si>
    <t>裸金属，2023.4调整单价。20220901开始计费，日95月均，无保底，计提颗粒度100M</t>
  </si>
  <si>
    <t>VHN2CM</t>
  </si>
  <si>
    <t>182215IDC00672</t>
  </si>
  <si>
    <t>V宁波4移动</t>
  </si>
  <si>
    <t>裸金属，2022.12.31退租。20220901开始计费，日95月均，无保底，颗粒度100M</t>
  </si>
  <si>
    <t>V宁波5移动</t>
  </si>
  <si>
    <t>2022/9/1
2022/9/9</t>
  </si>
  <si>
    <t>裸金属，2022/9/9节点下线。20220901开始计费，日95月均，无保底，颗粒度100M</t>
  </si>
  <si>
    <t>V宁波6移动</t>
  </si>
  <si>
    <t>182215IDC00673</t>
  </si>
  <si>
    <t>V济南2联通</t>
  </si>
  <si>
    <t>CACDNVJNUN2</t>
  </si>
  <si>
    <t>2022/9/1
2023/2/28</t>
  </si>
  <si>
    <t>裸金属，2023/2/28节点退租。20220901开始计费，日95月均，无保底，颗粒度100M</t>
  </si>
  <si>
    <t>V济南3联通</t>
  </si>
  <si>
    <t>182315IDC00021</t>
  </si>
  <si>
    <t>V济南4联通</t>
  </si>
  <si>
    <t>裸金属，2023/2/28节点退租。20220922开始计费，替换V滨州联通。日95月均，无保底，颗粒度100M</t>
  </si>
  <si>
    <t>182215IDC00670</t>
  </si>
  <si>
    <t>V金华移动</t>
  </si>
  <si>
    <t>CACDNVJHCM</t>
  </si>
  <si>
    <t>裸金属，2022/9/30退租。20220901开始计费，日95月均，无保底，颗粒度100M</t>
  </si>
  <si>
    <t>L20230311011</t>
  </si>
  <si>
    <t>V荆州2联通</t>
  </si>
  <si>
    <t>CACDNVJINGZUN</t>
  </si>
  <si>
    <t>VJINGZ2UN</t>
  </si>
  <si>
    <t>L20230311013</t>
  </si>
  <si>
    <t>天水</t>
  </si>
  <si>
    <t>V天水电信</t>
  </si>
  <si>
    <t>CACDNVTIANSCT</t>
  </si>
  <si>
    <t>2022/9/1
2023/6/12</t>
  </si>
  <si>
    <t>202306关停。20230612退租。2023.4调整单价。裸金属，20220901开始计费，日95月均，无保底，计提颗粒度100M</t>
  </si>
  <si>
    <t>VTIANSCT</t>
  </si>
  <si>
    <t>182215IDC00668</t>
  </si>
  <si>
    <t>延边</t>
  </si>
  <si>
    <t>V延边移动</t>
  </si>
  <si>
    <t>CACDNVYANBCM</t>
  </si>
  <si>
    <t>2022/9/3
2023/3/17</t>
  </si>
  <si>
    <t>60G
-60G</t>
  </si>
  <si>
    <t>裸金属，2023/3/17退租；20220903开始计费，保底24G。月95计费。计提颗粒度100M</t>
  </si>
  <si>
    <t>L20230311009</t>
  </si>
  <si>
    <t>V兰州4电信</t>
  </si>
  <si>
    <t>202306按照保底计提。裸金属，2023.4调整单价。20220903开始计费，保底15G。月95计费。计提颗粒度100M</t>
  </si>
  <si>
    <t>VLZ4CT</t>
  </si>
  <si>
    <t>L20220902004</t>
  </si>
  <si>
    <t>鹤壁</t>
  </si>
  <si>
    <t>V鹤壁联通</t>
  </si>
  <si>
    <t>CACDNVHBUN</t>
  </si>
  <si>
    <t>2022/9/3
2022/9/13</t>
  </si>
  <si>
    <t>裸金属，20220903开始计费，颗粒度100M，保底12G。月95计费。20220913退租，202209不计费。</t>
  </si>
  <si>
    <t>V宁波7移动</t>
  </si>
  <si>
    <t>2022/9/14
2022/12/31</t>
  </si>
  <si>
    <t>裸金属，2022.12.31节点下线。20220914开始计费，V宁波2移动替换过来的。日95月均，无保底，颗粒度100M</t>
  </si>
  <si>
    <t>L20230421001</t>
  </si>
  <si>
    <t>V济南5联通</t>
  </si>
  <si>
    <t>CACDNVJNUN3</t>
  </si>
  <si>
    <t>2023/3/2
2023/4/7</t>
  </si>
  <si>
    <t>裸金属，2023.4调整单价。2023/3/2开始计费，日95月均，无保底，计提颗粒度100M</t>
  </si>
  <si>
    <t>V济南6联通</t>
  </si>
  <si>
    <t>L20230421002</t>
  </si>
  <si>
    <t>V济南7联通</t>
  </si>
  <si>
    <t>L20230509002</t>
  </si>
  <si>
    <t>V泰安4联通</t>
  </si>
  <si>
    <t>20230407开始计费，无保底。</t>
  </si>
  <si>
    <t>VTA4UN</t>
  </si>
  <si>
    <t>V泰安5联通</t>
  </si>
  <si>
    <t>VTA5UN</t>
  </si>
  <si>
    <t>V泰安6联通</t>
  </si>
  <si>
    <t>VTA6UN</t>
  </si>
  <si>
    <t>182215IDC00636</t>
  </si>
  <si>
    <t>呼和浩特6移动</t>
  </si>
  <si>
    <t>CACDNHHHTCM2</t>
  </si>
  <si>
    <t>2022/5/1
2022/12/31</t>
  </si>
  <si>
    <t>裸金属，20220501开始计费，颗粒度100M，保底24G</t>
  </si>
  <si>
    <t>裸金属，20220501开始计费，颗粒度100M，保底40G</t>
  </si>
  <si>
    <t>广州爱耐特科技有限责任公司</t>
  </si>
  <si>
    <t>广州爱耐特</t>
  </si>
  <si>
    <t>L20230602009</t>
  </si>
  <si>
    <t>佛山4移动</t>
  </si>
  <si>
    <t xml:space="preserve">CACDNFSCM3 </t>
  </si>
  <si>
    <t>FS4CM</t>
  </si>
  <si>
    <t>北京云亿互联网络科技有限公司</t>
  </si>
  <si>
    <t>北京云亿</t>
  </si>
  <si>
    <t>L20230602008</t>
  </si>
  <si>
    <t>沈阳4电信</t>
  </si>
  <si>
    <t>CACDNSYCT2</t>
  </si>
  <si>
    <t>202306按照保底计提。颗粒度100M，保底24G</t>
  </si>
  <si>
    <t>SY4CT</t>
  </si>
  <si>
    <t>杭州爱云网络科技有限公司</t>
  </si>
  <si>
    <t>杭州爱云</t>
  </si>
  <si>
    <t>L20230602006</t>
  </si>
  <si>
    <t>杭州5移动</t>
  </si>
  <si>
    <t xml:space="preserve">CACDNHZCM3 </t>
  </si>
  <si>
    <t>颗粒度100M，保底30G</t>
  </si>
  <si>
    <t>HZ5CM</t>
  </si>
  <si>
    <t>上饶天利新云技术有限公司</t>
  </si>
  <si>
    <t>L20230602005</t>
  </si>
  <si>
    <t>泉州2移动</t>
  </si>
  <si>
    <t>CACDNQZCM</t>
  </si>
  <si>
    <t>QZ2CM</t>
  </si>
  <si>
    <t>庭宇科技-PCDN</t>
  </si>
  <si>
    <t>L20230509001</t>
  </si>
  <si>
    <t>PCDN带宽</t>
  </si>
  <si>
    <t>庭宇云PCDN</t>
  </si>
  <si>
    <t>20220930下线。融合CDN加速服务。1M，1000进制，日95月平均，包头系数1</t>
  </si>
  <si>
    <t>tyyun_pcdn</t>
  </si>
  <si>
    <t>feed庭宇非盒子</t>
  </si>
  <si>
    <t>PCDN庭宇_移动</t>
  </si>
  <si>
    <t>（1）自2022年6月1日起价格变动。1M，包头系数1，进制1000，月95计费。；（2）视频 网盘合并计算流量，确定阶梯价格</t>
  </si>
  <si>
    <t>bdpcdn_tingyu_cmnet</t>
  </si>
  <si>
    <t>PCDN庭宇_非移动</t>
  </si>
  <si>
    <t>bdpcdn_tingyu_not_cmnet</t>
  </si>
  <si>
    <t>网盘庭宇非盒子</t>
  </si>
  <si>
    <t>网盘PCDN庭宇_移动</t>
  </si>
  <si>
    <t>注意202306价格变动（1）自2022年6月1日起价格变动。1M，包头系数1，进制1000，月95计费。；（2）视频 网盘合并计算流量，确定阶梯价格</t>
  </si>
  <si>
    <t>bdpcdn_wangpan_tingyu_cm</t>
  </si>
  <si>
    <t>网盘PCDN庭宇_电联</t>
  </si>
  <si>
    <t>bdpcdn_wangpan_tingyu_cu_ct</t>
  </si>
  <si>
    <t>L20230608005</t>
  </si>
  <si>
    <t>PCDN-网盘-ACDN专线资源移动</t>
  </si>
  <si>
    <t>网盘PCDN庭宇_ANT _移动</t>
  </si>
  <si>
    <t>PCDN-网盘-ACDN专线资源-庭宇移动，计费方式：日95月均，包头系数：1，进制：1000</t>
  </si>
  <si>
    <t>bdpcdn_wangpan_tingyu_ant_cm</t>
  </si>
  <si>
    <t>PCDN-网盘-ACDN专线资源电联</t>
  </si>
  <si>
    <t>网盘PCDN庭宇_ANT _电联</t>
  </si>
  <si>
    <t>PCDN-网盘-ACDN专线资源-庭宇电联，计费方式：日95月均，包头系数：1，进制：1000</t>
  </si>
  <si>
    <t>bdpcdn_wangpan_ tingyu_ant _cu_ct</t>
  </si>
  <si>
    <t>云端智度-PCDN</t>
  </si>
  <si>
    <t>L20221214002</t>
  </si>
  <si>
    <t>网盘非盒子非移动</t>
  </si>
  <si>
    <t>网盘PCDN云端智度_电联</t>
  </si>
  <si>
    <t>反馈21年Q4已下线。202205开始电信&amp;联通合并给数。1000进制，系数1</t>
  </si>
  <si>
    <t>网盘非盒子移动</t>
  </si>
  <si>
    <t>网盘PCDN云端智度_移动</t>
  </si>
  <si>
    <t>反馈21年Q4已下线。21000进制，系数1</t>
  </si>
  <si>
    <t>网盘PCDN云端智度_其他</t>
  </si>
  <si>
    <t>云端智度-XCDN</t>
  </si>
  <si>
    <t>182215IDC00505</t>
  </si>
  <si>
    <t>XCDN带宽</t>
  </si>
  <si>
    <t>302 XCDN汇聚移动（非盒子类资源）</t>
  </si>
  <si>
    <t>302PCDN_云端_汇聚_移动</t>
  </si>
  <si>
    <t>需要注意202307价格变动。需要注意202207价格变动，日95月均峰值计费。颗粒度1M。1000进制。包头系数1</t>
  </si>
  <si>
    <t>bd302pcdn_yd_not_special_cmnet</t>
  </si>
  <si>
    <t>302 XCDN汇聚非移动（非盒子类资源）</t>
  </si>
  <si>
    <t>302PCDN_云端_汇聚_非移动</t>
  </si>
  <si>
    <t>bd302pcdn_yd_not_special_not_cmnet</t>
  </si>
  <si>
    <t>302 XCDN专线移动</t>
  </si>
  <si>
    <t>302PCDN_云端_专线_移动</t>
  </si>
  <si>
    <t>bd302pcdn_yd_special_cmnet</t>
  </si>
  <si>
    <t>302 XCDN专线非移动</t>
  </si>
  <si>
    <t>302PCDN_云端_专线_非移动</t>
  </si>
  <si>
    <t>bd302pcdn_yd_special_not_cmnet</t>
  </si>
  <si>
    <t>182215IDC00683</t>
  </si>
  <si>
    <t>视频盒子非移动</t>
  </si>
  <si>
    <t>PCDN云端智度普通节点_非移动</t>
  </si>
  <si>
    <t>2022.10调整单价。1000进制，系数1</t>
  </si>
  <si>
    <t>bdpcdn_normalperf_yd_not_cmnet</t>
  </si>
  <si>
    <t>视频盒子移动</t>
  </si>
  <si>
    <t>PCDN云端智度普通节点_移动</t>
  </si>
  <si>
    <t>bdpcdn_normalperf_yd_cmnet</t>
  </si>
  <si>
    <t>视频非盒子非移动</t>
  </si>
  <si>
    <t>PCDN云端智度高性能节点_非移动</t>
  </si>
  <si>
    <t>bdpcdn_highperf_yd_not_cmnet</t>
  </si>
  <si>
    <t>视频非盒子移动</t>
  </si>
  <si>
    <t>PCDN云端智度高性能节点_移动</t>
  </si>
  <si>
    <t>bdpcdn_highperf_yd_cmnet</t>
  </si>
  <si>
    <t>北京云枫网络科技有限公司</t>
  </si>
  <si>
    <t>云枫</t>
  </si>
  <si>
    <t>182215IDC00502</t>
  </si>
  <si>
    <t>网盘PCDN云枫_移动</t>
  </si>
  <si>
    <t>需要注意202307价格变动。云枫，汇聚资源，包头系数1，1000进制，2022年8月日95月均计费，2022年9月起月95计费，合作期截止2023年7月底。</t>
  </si>
  <si>
    <t>bdpcdn_wangpan_yunfeng_cm</t>
  </si>
  <si>
    <t>网盘PCDN云枫_电联</t>
  </si>
  <si>
    <t>bdpcdn_wangpan_yunfeng_cu_ct</t>
  </si>
  <si>
    <t>L20230614001</t>
  </si>
  <si>
    <t>PCDN汇聚资源移动</t>
  </si>
  <si>
    <t>302PCDN_云枫_汇聚_移动</t>
  </si>
  <si>
    <t>PCDN汇聚资源移动，计费方式：日95月均；包头系数：1；
进制：1000；</t>
  </si>
  <si>
    <t>bd302pcdn_yunfeng_not_special_cmnet</t>
  </si>
  <si>
    <t>PCDN汇聚资源电联</t>
  </si>
  <si>
    <t>302PCDN_云枫_汇聚_非移动</t>
  </si>
  <si>
    <t>PCDN汇聚资源电联，计费方式：日95月均；包头系数：1；
进制：1000；</t>
  </si>
  <si>
    <t>bd302pcdn_yunfeng_not_special_not_cmnet</t>
  </si>
  <si>
    <t>ACDN专线资源电联</t>
  </si>
  <si>
    <t>302PCDN_云枫_专线_非移动</t>
  </si>
  <si>
    <t>ACDN专线资源电联，计费方式：日95月均；包头系数：1；
进制：1000；</t>
  </si>
  <si>
    <t>bd302pcdn_yunfeng_special_not_cmnet</t>
  </si>
  <si>
    <t>ACDN专线资源移动</t>
  </si>
  <si>
    <t>302PCDN_云枫_专线_移动</t>
  </si>
  <si>
    <t>ACDN专线资源移动，计费方式：日95月均；包头系数：1；
进制：1000；</t>
  </si>
  <si>
    <t>bd302pcdn_yunfeng_special_cmnet</t>
  </si>
  <si>
    <t>补202305，已计提39.652，SYS更新数据45.48，补5.828</t>
  </si>
  <si>
    <t>金山云（深圳）边缘计算科技有限公司</t>
  </si>
  <si>
    <t>云帆-PCDN</t>
  </si>
  <si>
    <t>182315IDC00061</t>
  </si>
  <si>
    <t>云帆PCDN</t>
  </si>
  <si>
    <t>1M,1000进制，日95月均计费，包头系数1</t>
  </si>
  <si>
    <t>yunfan_pcdn</t>
  </si>
  <si>
    <t>派欧云计算（上海）有限公司</t>
  </si>
  <si>
    <t>缀初网络-PCDN</t>
  </si>
  <si>
    <t>L20221106005</t>
  </si>
  <si>
    <t>融合CDN-OPPO业务</t>
  </si>
  <si>
    <t>PPIO_PCDN_OPPO</t>
  </si>
  <si>
    <t>融合CDN-OPPO业务，夜间（00:00 - 09:00）计费带宽减半。日95月均计费、包头1、进制1000。</t>
  </si>
  <si>
    <t>ppio_pcdn_oppo</t>
  </si>
  <si>
    <t>182215IDC00445</t>
  </si>
  <si>
    <t>视频PPIO</t>
  </si>
  <si>
    <t>PCDN PPIO_非移动</t>
  </si>
  <si>
    <t>包头系数1，进制1000，月95计费。</t>
  </si>
  <si>
    <t>bdpcdn_ppio_not_cmnet</t>
  </si>
  <si>
    <t>PCDN PPIO_移动</t>
  </si>
  <si>
    <t>20221231下线。包头系数1，进制1000，月95计费。</t>
  </si>
  <si>
    <t>bdpcdn_ppio_cmnet</t>
  </si>
  <si>
    <t>182315IDC00238</t>
  </si>
  <si>
    <t>网盘PPIO</t>
  </si>
  <si>
    <t>网盘PCDNPPIO_移动</t>
  </si>
  <si>
    <t>bdpcdn_wangpan_ppio_cm</t>
  </si>
  <si>
    <t>网盘PCDNPPIO_电联</t>
  </si>
  <si>
    <t>bdpcdn_wangpan_ppio_cu_ct</t>
  </si>
  <si>
    <t>XCDN 非盒子资源-百度云客户使用</t>
  </si>
  <si>
    <t>XCDN容器PPIO_移动</t>
  </si>
  <si>
    <t>2022.4将XCDN容器合并至302PCDN_PPIO计费。日95月均计费，包头系数1，进制1000</t>
  </si>
  <si>
    <t>bdxcdn_container_ppio_cmnet</t>
  </si>
  <si>
    <t>XCDN容器PPIO_非移动</t>
  </si>
  <si>
    <t>bdxcdn_container_ppio_not_cmnet</t>
  </si>
  <si>
    <t>182315IDC00134</t>
  </si>
  <si>
    <t>XCDN 非盒子资源-302使用汇聚移动</t>
  </si>
  <si>
    <t>302PCDN_PPIO_汇聚_移动</t>
  </si>
  <si>
    <t>2023.3调整单价。包头系数1，进制1000，日95月均计费</t>
  </si>
  <si>
    <t>bd302pcdn_ppio_not_special_cmnet</t>
  </si>
  <si>
    <t>XCDN 非盒子资源-302使用汇聚非移动</t>
  </si>
  <si>
    <t>302PCDN_PPIO_汇聚_非移动</t>
  </si>
  <si>
    <t>bd302pcdn_ppio_not_special_not_cmnet</t>
  </si>
  <si>
    <t>L20230504026</t>
  </si>
  <si>
    <t>XCDN 非盒子资源-302使用专线移动</t>
  </si>
  <si>
    <t>302PCDN_PPIO_专线_移动</t>
  </si>
  <si>
    <t>不计提。包头系数1，进制1000，日95月均计费</t>
  </si>
  <si>
    <t>bd302pcdn_ppio_special_cmnet</t>
  </si>
  <si>
    <t>XCDN 非盒子资源-302使用专线非移动</t>
  </si>
  <si>
    <t>302PCDN_PPIO_专线_非移动</t>
  </si>
  <si>
    <t>bd302pcdn_ppio_special_not_cmnet</t>
  </si>
  <si>
    <t>网盘PCDN带宽存储费</t>
  </si>
  <si>
    <t>网盘PPIO带宽存储费用</t>
  </si>
  <si>
    <t>新合同存储费取消。网盘PPIO带宽存储费用</t>
  </si>
  <si>
    <t>182215IDC00684</t>
  </si>
  <si>
    <t>融合CDN PPIO</t>
  </si>
  <si>
    <t>PPIO_PCDN_非OPPO</t>
  </si>
  <si>
    <t>2022.10调整单价。融合CDN（支持HTTP协议）。颗粒度1M。1000进制。日95月均计费模式</t>
  </si>
  <si>
    <t>ppio_pcdn_not_oppo</t>
  </si>
  <si>
    <t>厦门琪珑网络科技有限公司</t>
  </si>
  <si>
    <t>厦门琪珑</t>
  </si>
  <si>
    <t>182315IDC00091</t>
  </si>
  <si>
    <t>302PCDN_琪珑_汇聚_移动</t>
  </si>
  <si>
    <t>包头系数1，进制1000，日95月均计费</t>
  </si>
  <si>
    <t>bd302pcdn_qilong_not_special_cmnet</t>
  </si>
  <si>
    <t>302PCDN_琪珑_汇聚_非移动</t>
  </si>
  <si>
    <t>bd302pcdn_qilong_not_special_not_cmnet</t>
  </si>
  <si>
    <t>网宿-PCDN</t>
  </si>
  <si>
    <t>182315IDC00206</t>
  </si>
  <si>
    <t>网盘PCDN网宿_移动</t>
  </si>
  <si>
    <t>不计提。1M，1000进制，系数1</t>
  </si>
  <si>
    <t>bdpcdn_wangpan_wangsu_cm</t>
  </si>
  <si>
    <t>网盘PCDN网宿_其他</t>
  </si>
  <si>
    <t>1M，1000进制，系数1</t>
  </si>
  <si>
    <t>bdpcdn_wangpan_wangsu_other</t>
  </si>
  <si>
    <t>网盘PCDN网宿_电联</t>
  </si>
  <si>
    <t>2023.1调整单价。202205开始电信&amp;联通合并给数。1M，1000进制，系数1</t>
  </si>
  <si>
    <t>bdpcdn_wangpan_wangsu_cu_ct</t>
  </si>
  <si>
    <t>网盘PCDN网宿存储费</t>
  </si>
  <si>
    <t>网盘PCDN网宿节点，带宽存储费</t>
  </si>
  <si>
    <t>182215IDC00132</t>
  </si>
  <si>
    <t>网盘PCDN网宿节点，带宽存储费，暂按运营商数据计提</t>
  </si>
  <si>
    <t>上海沐桦科技有限公司</t>
  </si>
  <si>
    <t>上海沐桦</t>
  </si>
  <si>
    <t>L20230408003</t>
  </si>
  <si>
    <t>汇聚资源</t>
  </si>
  <si>
    <t>302PCDN_博纳云_汇聚_移动</t>
  </si>
  <si>
    <t>20230331下线。日95月均计费，包头系数1，1000进制</t>
  </si>
  <si>
    <t>bd302pcdn_bonayun_not_special_cmnet</t>
  </si>
  <si>
    <t>302PCDN_博纳云_汇聚_非移动</t>
  </si>
  <si>
    <t>bd302pcdn_bonayun_not_special_not_cmnet</t>
  </si>
  <si>
    <t>上海涂鸟信息技术有限公司</t>
  </si>
  <si>
    <t>上海涂鸟-PCDN</t>
  </si>
  <si>
    <t>182315IDC00211</t>
  </si>
  <si>
    <t>网盘PCDN涂鸟_移动</t>
  </si>
  <si>
    <t>注意202305价格变动。2023.4调整单价。包头系数1，1000进制，2022年4月日95月均计费，2022年5月起月95计费，合作期截止2023年3月底</t>
  </si>
  <si>
    <t>bdpcdn_wangpan_tuniao_cm</t>
  </si>
  <si>
    <t>网盘PCDN涂鸟_电联</t>
  </si>
  <si>
    <t>注意202305价格变动。2023.4调整单价。202205开始电信&amp;联通合并给数据。包头系数1，1000进制，2022年4月日95月均计费，2022年5月起月95计费，合作期截止2023年3月底</t>
  </si>
  <si>
    <t>bdpcdn_wangpan_tuniao_cu_ct</t>
  </si>
  <si>
    <t>L20230608004</t>
  </si>
  <si>
    <t>网盘PCDN涂鸟_ANT_移动</t>
  </si>
  <si>
    <t>移动。PCDN-网盘-ACDN专线资源-涂鸟，计费方式：日95月均。包头系数：1，进制：1000</t>
  </si>
  <si>
    <t>bdpcdn_wangpan_tuniao_ant_cm</t>
  </si>
  <si>
    <t>网盘PCDN涂鸟_ANT_电联</t>
  </si>
  <si>
    <t>电联。PCDN-网盘-ACDN专线资源-涂鸟，计费方式：日95月均。包头系数：1，进制：1000</t>
  </si>
  <si>
    <t>bdpcdn_wangpan_tuniao_ant _cu_ct</t>
  </si>
  <si>
    <t>182315IDC00088</t>
  </si>
  <si>
    <t>302PCDN_七牛云_汇聚_移动</t>
  </si>
  <si>
    <t>bd302pcdn_qnyun_not_special_cmnet</t>
  </si>
  <si>
    <t>302PCDN_七牛云_汇聚_非移动</t>
  </si>
  <si>
    <t>bd302pcdn_qnyun_not_special_not_cmnet</t>
  </si>
  <si>
    <t>L20230402001</t>
  </si>
  <si>
    <t>网盘 边缘节点（大节点资源）</t>
  </si>
  <si>
    <t>网盘PCDN七牛_移动</t>
  </si>
  <si>
    <t>包头系数1，0保底，日95月平均计费，1000进制</t>
  </si>
  <si>
    <t>bdpcdn_wangpan_qiniu_cm</t>
  </si>
  <si>
    <t>网盘PCDN七牛_电联</t>
  </si>
  <si>
    <t>bdpcdn_wangpan_qiniu_cu_ct</t>
  </si>
  <si>
    <t>L20230608003</t>
  </si>
  <si>
    <t>ACDN（专线）移动</t>
  </si>
  <si>
    <t>302PCDN_七牛云_专线_移动</t>
  </si>
  <si>
    <t>2023年6月1日起新增ACDN（专线）七牛资源电联：日95月均，包头系数1，进制1000</t>
  </si>
  <si>
    <t>bd302pcdn_qnyun_special_cmnet</t>
  </si>
  <si>
    <t>ACDN（专线）电联</t>
  </si>
  <si>
    <t>302PCDN_七牛云_专线_非移动</t>
  </si>
  <si>
    <t>2023年6月1日起新增ACDN（专线）七牛资源移动，日95月均，包头系数1，进制1000</t>
  </si>
  <si>
    <t>bd302pcdn_qnyun_special_not_cmnet</t>
  </si>
  <si>
    <t>江西节点技术服务有限公司</t>
  </si>
  <si>
    <t>网心科技-PCDN</t>
  </si>
  <si>
    <t>182315IDC00207</t>
  </si>
  <si>
    <t>网心融合CDN</t>
  </si>
  <si>
    <t>网心_PCDN_OPPO</t>
  </si>
  <si>
    <t>融合CDN-OPPO业务
3300元/G/月，夜间（00:00 - 09:00）计费带宽减半.日95月均计费、包头1、进制1000。</t>
  </si>
  <si>
    <t>2022-12-01</t>
  </si>
  <si>
    <t>wangxin_pcdn_oppo</t>
  </si>
  <si>
    <t>网心_PCDN_非OPPO</t>
  </si>
  <si>
    <t>2023.3调整单价。融合CDN（支持HTTP协议）。颗粒度1M，1000进制，系数1，日95月均计费，夜间（00:00 - 09:00）计费带宽减半</t>
  </si>
  <si>
    <t>wangxin_pcdn_not_oppo</t>
  </si>
  <si>
    <t>深圳市网心科技有限公司</t>
  </si>
  <si>
    <t>182315IDC00170</t>
  </si>
  <si>
    <t>视频盒子非移动（盒子 非盒子价格一样）</t>
  </si>
  <si>
    <t>PCDN网心普通节点_非移动</t>
  </si>
  <si>
    <t>2023.2调整单价。1M，1000进制，系数1</t>
  </si>
  <si>
    <t>bdpcdn_normalperf_wangxin_not_cmnet</t>
  </si>
  <si>
    <t>视频盒子移动（盒子 非盒子价格一样）</t>
  </si>
  <si>
    <t>PCDN网心普通节点_移动</t>
  </si>
  <si>
    <t>bdpcdn_normalperf_wangxin_cmnet</t>
  </si>
  <si>
    <t>网盘移动（盒子 非盒子价格一样）</t>
  </si>
  <si>
    <t>网盘PCDN网心_移动</t>
  </si>
  <si>
    <t>2023.1调整单价。1M，1000进制，系数1</t>
  </si>
  <si>
    <t>bdpcdn_wangpan_wangxin_cm</t>
  </si>
  <si>
    <t>网盘PCDN网心_其他</t>
  </si>
  <si>
    <t>技术反馈与网心移动合并了。2022.3与商务沟通，其他按照移动核算，调整单价。2022.1调整单价。1M，1000进制，系数1</t>
  </si>
  <si>
    <t>bdpcdn_wangpan_wangxin_other</t>
  </si>
  <si>
    <t>网盘非移动（盒子 非盒子价格一样）</t>
  </si>
  <si>
    <t>网盘PCDN网心_电联</t>
  </si>
  <si>
    <t>bdpcdn_wangpan_wangxin_cu_ct</t>
  </si>
  <si>
    <t>上海小度人工智能有限公司</t>
  </si>
  <si>
    <t>上海小度-PCDN</t>
  </si>
  <si>
    <t>L20230504020</t>
  </si>
  <si>
    <t>小度盒子资源-移动</t>
  </si>
  <si>
    <t>PCDN小度_移动</t>
  </si>
  <si>
    <t>小度，盒子资源，月95计费，包头系数1，1000进制，计费起始日期为2022年6月1日。</t>
  </si>
  <si>
    <t>bdpcdn_xiaodu_cmnet</t>
  </si>
  <si>
    <t>小度盒子资源-非移动</t>
  </si>
  <si>
    <t>PCDN小度_非移动</t>
  </si>
  <si>
    <t>bdpcdn_xiaodu_not_cmnet</t>
  </si>
  <si>
    <t>182215IDC00458</t>
  </si>
  <si>
    <t>安全SDK_小度</t>
  </si>
  <si>
    <t>安全sdk业务-小度，按流量计费（每月出账），50元/T，包头系数1.0，进制1000，计费起始日期为2022年7月1日。</t>
  </si>
  <si>
    <t>security_sdk_xiaodu</t>
  </si>
  <si>
    <t>PCDN小度_广告_非移动</t>
  </si>
  <si>
    <t>2022.10新增。1M</t>
  </si>
  <si>
    <t>bdpcdn_ad_xiaodu_not_cmnet</t>
  </si>
  <si>
    <t>PCDN小度_广告_移动</t>
  </si>
  <si>
    <t>bdpcdn_ad_xiaodu_cmnet</t>
  </si>
  <si>
    <t>L20230605003</t>
  </si>
  <si>
    <t>PCDN小度_网易</t>
  </si>
  <si>
    <t>bdpcdn_xiaodu_wangyi</t>
  </si>
  <si>
    <t>L20230605004</t>
  </si>
  <si>
    <t>PCDN小度_喜马拉雅</t>
  </si>
  <si>
    <t>月95，进制1000，包头1.1</t>
  </si>
  <si>
    <t>bdpcdn_xiaodu_ximalaya</t>
  </si>
  <si>
    <t>L20230701014</t>
  </si>
  <si>
    <t>PCDN小度_全民K歌</t>
  </si>
  <si>
    <t>0-300G 2520
300以上2340</t>
  </si>
  <si>
    <t>价格：0-300g，2520元/g/月
超过300g，2340元/g/月 。1.价格：0-300g，2520元/g/月
超过300g，2340元/g/月 
2.计费方式：月95；
3.包头系数：1.1；
4.进制：1000；</t>
  </si>
  <si>
    <t>bdpcdn_xiaodu_qmkg</t>
  </si>
  <si>
    <t>四川边缘算力科技有限公司</t>
  </si>
  <si>
    <t>四川边缘算力-PCDN</t>
  </si>
  <si>
    <t>L20230204010</t>
  </si>
  <si>
    <t>PCDN网盘非盒子</t>
  </si>
  <si>
    <t>网盘PCDN 边缘算力</t>
  </si>
  <si>
    <t>0-500G（不含500G）3000
500G及以上 2900</t>
  </si>
  <si>
    <t>技术反馈2023年Q1已下线。2022年3月按照日95月均计费，2022年4月起按照月95计费。颗粒度1M，包头系数1，1000进制</t>
  </si>
  <si>
    <t>bdpcdn_wangpan_bianyuan</t>
  </si>
  <si>
    <t>西安明赋云计算有限公司</t>
  </si>
  <si>
    <t>明赋云</t>
  </si>
  <si>
    <t>182215IDC00495</t>
  </si>
  <si>
    <t>302PCDN_明赋云_汇聚_移动</t>
  </si>
  <si>
    <t>2023.2调整单价和计费方式，调整后为月95计费。明赋云，汇聚资源，日95月均计费，包头系数1，1000进制，计费起始日期为2022年8月1日。</t>
  </si>
  <si>
    <t>bd302pcdn_mingfuyun_not_special_cmnet</t>
  </si>
  <si>
    <t>302PCDN_明赋云_汇聚_非移动</t>
  </si>
  <si>
    <t>2023.3调整单价和计费方式，调整后为月95计费。明赋云，汇聚资源，日95月均计费，包头系数1，1000进制，计费起始日期为2022年8月1日。</t>
  </si>
  <si>
    <t>bd302pcdn_mingfuyun_not_special_not_cmnet</t>
  </si>
  <si>
    <t>L20230101007</t>
  </si>
  <si>
    <t>302PCDN_明赋云_专线_移动</t>
  </si>
  <si>
    <t>商务反馈无此节点。包头系数1，进制1000，日95月均计费</t>
  </si>
  <si>
    <t>bd302pcdn_mingfuyun_special_cmnet</t>
  </si>
  <si>
    <t>182315IDC00204</t>
  </si>
  <si>
    <t>网盘汇聚电联</t>
  </si>
  <si>
    <t>网盘PCDN明赋_电联</t>
  </si>
  <si>
    <t>2023.3调整单价。包头系数1，进制1000</t>
  </si>
  <si>
    <t>bdpcdn_wangpan_mingfu_cu_ct</t>
  </si>
  <si>
    <t>网盘汇聚移动</t>
  </si>
  <si>
    <t>网盘PCDN明赋_移动</t>
  </si>
  <si>
    <t>不计提。2023.3调整单价。包头系数1，进制1000</t>
  </si>
  <si>
    <t>bdpcdn_wangpan_mingfu_cm</t>
  </si>
  <si>
    <t>补202305，已计提419.385，SYS更新数据446.563，结算446.56，补27.175</t>
  </si>
  <si>
    <t>浙江本电-PCDN</t>
  </si>
  <si>
    <t>182315IDC00090</t>
  </si>
  <si>
    <t>PCDN汇聚（非盒子类资源）-移动</t>
  </si>
  <si>
    <t>网盘PCDN本电_移动</t>
  </si>
  <si>
    <t>颗粒度1M。1000进制。月95计费模式，无系数</t>
  </si>
  <si>
    <t>bdpcdn_wangpan_bendian_cm</t>
  </si>
  <si>
    <t>网盘PCDN本电_其他</t>
  </si>
  <si>
    <t>技术反馈与本电移动合并了。2022.3与商务沟通，“其他”按照移动核算，调整价格。颗粒度1M。1000进制。月95计费模式，无系数</t>
  </si>
  <si>
    <t>bdpcdn_wangpan_bendian_other</t>
  </si>
  <si>
    <t>PCDN汇聚（非盒子类资源）-非移动</t>
  </si>
  <si>
    <t>网盘PCDN本电_电联</t>
  </si>
  <si>
    <t>202205开始电信&amp;联通合并给数据。颗粒度1M。1000进制。月95计费模式，无系数</t>
  </si>
  <si>
    <t>bdpcdn_wangpan_bendian_cu_ct</t>
  </si>
  <si>
    <t>L20230107003</t>
  </si>
  <si>
    <t>汇聚资源移动</t>
  </si>
  <si>
    <t>302PCDN_本电_汇聚_移动</t>
  </si>
  <si>
    <t>20220831下线。本电，汇聚资源，日95月均计费，包头系数1，1000进制</t>
  </si>
  <si>
    <t>bd302pcdn_bendian_not_special_cmnet</t>
  </si>
  <si>
    <t>汇聚资源电联</t>
  </si>
  <si>
    <t>302PCDN_本电_汇聚_非移动</t>
  </si>
  <si>
    <t>bd302pcdn_bendian_not_special_not_cmnet</t>
  </si>
  <si>
    <t>小快（厦门）网络科技有限公司</t>
  </si>
  <si>
    <t>厦门小快-PCDN</t>
  </si>
  <si>
    <t>182315IDC00089</t>
  </si>
  <si>
    <t>feed-移动 非盒子</t>
  </si>
  <si>
    <t>PCDN厦门小块_移动</t>
  </si>
  <si>
    <t>2023.2调整单价。1M，日95月均，包头系数1，进制1000</t>
  </si>
  <si>
    <t>bdpcdn_xiaokuai_cmnet</t>
  </si>
  <si>
    <t>feed-非移动 非盒子</t>
  </si>
  <si>
    <t>PCDN厦门小块_非移动</t>
  </si>
  <si>
    <t>bdpcdn_xiaokuai_not_cmnet</t>
  </si>
  <si>
    <t>华北-lijia</t>
  </si>
  <si>
    <t>杨星</t>
  </si>
  <si>
    <t>中国联合网络通信有限公司北京市分公司</t>
  </si>
  <si>
    <t>北京联通</t>
  </si>
  <si>
    <t>182215IDC00131</t>
  </si>
  <si>
    <t>次渠</t>
  </si>
  <si>
    <t>北京2联通</t>
  </si>
  <si>
    <t>历史开通
2019/1/25
2022/5/31</t>
  </si>
  <si>
    <t>100G+200G-200G-100G</t>
  </si>
  <si>
    <t>20220531退租BJ2UN200G，BJUN100G，颗粒度100M，保底由140G/月调整为2400G/年，单价由13000元/G/月降低至10000元/G/月，降幅23%。新增弹性计费条款：全年按照2400G承诺保底， 前11个月可按照实际流量付费，最后一个月按照全年保底2400G清算费用系统部已核实此节点合并BJUN+BJ2UN=300G计费；自2019年1月25日开始带宽按新价格执行。按协议1%以内以乙方为准，1%-5%取平均值。</t>
  </si>
  <si>
    <t>BJ2UN</t>
  </si>
  <si>
    <t>182115IDC00017</t>
  </si>
  <si>
    <t>联通BGP</t>
  </si>
  <si>
    <t>颗粒度100M，保底4G；3%以内乙方数据为准，3%-5%取中值。UNICOM_BGP端口20G，M1-UNICOM_BGP端口40G合并计费</t>
  </si>
  <si>
    <t>M1-UNICOM_BGP</t>
  </si>
  <si>
    <t>经SYS确认，2021年2月5日，CQ02的20G退租，土城40G迁移至窦店40G</t>
  </si>
  <si>
    <t>182115IDC00034</t>
  </si>
  <si>
    <t>窦店</t>
  </si>
  <si>
    <t>按中值计提，经SYS确认，2021年2月5日，CQ02的20G退租，土城40G迁移至窦店40G，颗粒度100M，保底4G；3%以内乙方数据为准，3%-5%取中值。</t>
  </si>
  <si>
    <t>M1-CU-BGP-1</t>
  </si>
  <si>
    <t>182215IDC00398</t>
  </si>
  <si>
    <t>土城24-土城24、次渠18-次渠18、窦店20+12-2</t>
  </si>
  <si>
    <t>窦店联通</t>
  </si>
  <si>
    <t>历史开通
2019/1/25，20210205退租土城，20220131退租次渠180,202204退租窦店20</t>
  </si>
  <si>
    <t>240G+180G+200G-240G+120-180-20</t>
  </si>
  <si>
    <t>202204退租20G，现共计300G，保底50G，2022.1.31次渠退租，BJDD机房联通出口扩容120G至320G，于2021-4-30交付，现共计500G，第二阶段2021年4月1日至协议有效期结束：保底带宽70G/月，即每月支付带款费不少于245万元；保底带宽单价3.5万元/1000M/月。溢出流量（弹性带宽）单价：3500元/100M/月。颗粒度100M，保底70G，静态带宽，带宽降价。3%以内乙方数据为准，3%-5%取中值。原来TC端口240G、CQ02端口180G，BJDD-UNICOM端口200G合并计费，共620G，2月TC退租240G，CQ02端口180G，BJDD-UNICOM端口200G合并计费，共380G后续会扩容</t>
  </si>
  <si>
    <t>BJDD-UNICOM</t>
  </si>
  <si>
    <t>中国移动通信集团北京有限公司</t>
  </si>
  <si>
    <t>北京移动</t>
  </si>
  <si>
    <t>L20221228014</t>
  </si>
  <si>
    <t>北京基地</t>
  </si>
  <si>
    <t>北京2移动</t>
  </si>
  <si>
    <t>CDNBJCM</t>
  </si>
  <si>
    <t>历史开通,2022/5/31</t>
  </si>
  <si>
    <t>100G-80G</t>
  </si>
  <si>
    <t>按保底计提，20220531退租BJ2CM80G，颗粒度10M，保底8G，系统部已核实此节点100G，9月1号开始先款后票</t>
  </si>
  <si>
    <t>BJ2CM</t>
  </si>
  <si>
    <t>181915IDC00099</t>
  </si>
  <si>
    <t>顺义华威</t>
  </si>
  <si>
    <t>华威移动</t>
  </si>
  <si>
    <t>2010/6/1
历史开通</t>
  </si>
  <si>
    <t>补202305，计提80，运营商86.33，按中值82.84，补2.84</t>
  </si>
  <si>
    <t>颗粒度1G。保底72G，降为35000元/G/月。与系统部核实华威移动+华威移动原80G+华威移动新60G=240G合并计费</t>
  </si>
  <si>
    <t>BJHW-MOBCOM</t>
  </si>
  <si>
    <t>L20230327006</t>
  </si>
  <si>
    <t>移动-M1</t>
  </si>
  <si>
    <t>BGP移动-M1</t>
  </si>
  <si>
    <t>按照保底计提，需要注意BD告知20200401开始为12万，保底8G；（3G以内15，以上12），颗粒度100M</t>
  </si>
  <si>
    <t>M1-MOBCOM_BGP</t>
  </si>
  <si>
    <t>亦庄移动</t>
  </si>
  <si>
    <t>002215IDC00023</t>
  </si>
  <si>
    <t>亦庄</t>
  </si>
  <si>
    <t>按照保底计提，颗粒度1G，保底50G。0-50G，5万</t>
  </si>
  <si>
    <t>BJYZ-MOBILE</t>
  </si>
  <si>
    <t>颗粒度1G，保底50G，大于50G，超保底3万</t>
  </si>
  <si>
    <t>中移铁通有限公司北京分公司</t>
  </si>
  <si>
    <t>北京铁通</t>
  </si>
  <si>
    <t>182215IDC00216</t>
  </si>
  <si>
    <t>铁通</t>
  </si>
  <si>
    <t>BGP铁通</t>
  </si>
  <si>
    <t>20G包端口</t>
  </si>
  <si>
    <t>按照保底计提，包端口，每10G，3.5万元。包端口20G。需要用该金额减去系统数再做一个正预提</t>
  </si>
  <si>
    <t>TieTong_BGP</t>
  </si>
  <si>
    <t>北京3移动</t>
  </si>
  <si>
    <t>按保底计提，21年12月10日开始启用，测试期到12月20日，21日开始计费，颗粒度100M，保底64G</t>
  </si>
  <si>
    <t>BJ3CM</t>
  </si>
  <si>
    <t>L20230627013</t>
  </si>
  <si>
    <t>北京4移动</t>
  </si>
  <si>
    <t>CDNBJTT2</t>
  </si>
  <si>
    <t>按保底计提（保底折天）【CDN新建】北京北京移动新建100G  2023-06-02 节点正式上线  (BJ4CM)，颗粒度100M，保底40G</t>
  </si>
  <si>
    <t>BJ4CM</t>
  </si>
  <si>
    <t>崔益泽</t>
  </si>
  <si>
    <t>中电万维信息技术有限责任公司</t>
  </si>
  <si>
    <t>甘肃电信</t>
  </si>
  <si>
    <t>L20230424005</t>
  </si>
  <si>
    <t>兰州9电信</t>
  </si>
  <si>
    <t>2016/8/2,2022/8/31,2023/5/31</t>
  </si>
  <si>
    <t>2023.5.31退租，2022.9.1开始原兰州3 兰州4 兰州5 兰州9合并计费，拆分为单独计费。兰州9共40G，保底12G。LZCT节点改名为LZ9CT，合并至LZ3CT，甘肃电信目前存量720G、合同按集团集约签署11.3万/G/年、实际结算价格为10万/G/年，每万兆保底3G，即12G。与百度云节点合并端口。100M</t>
  </si>
  <si>
    <t>LZ9CT</t>
  </si>
  <si>
    <t>兰州3电信</t>
  </si>
  <si>
    <t>2017/9/112022/8/31</t>
  </si>
  <si>
    <t>200G+160G+160G+40G
-360G（兰州4 兰州5 兰州9）</t>
  </si>
  <si>
    <t>2022.9.1开始原兰州3 兰州4 兰州5  兰州9合并计费，拆分为单独计费。兰州3共200G，保底60G。甘肃电信目前存量720G、合同按集团集约签署11.3万/G/年、实际结算价格为10万/G/年，2020.7.10LZ2CT退40G，扩容到LZ3CT 
每万兆保底3G，即156G。颗粒度100M
LZ3CT LZ4CT LZ5CT合并计费，流量出在LZ3C</t>
  </si>
  <si>
    <t>LZ3CT</t>
  </si>
  <si>
    <t>兰州4电信</t>
  </si>
  <si>
    <t>2017/9/11
2022/8/31</t>
  </si>
  <si>
    <t>2022.9.1开始原兰州3 兰州4 兰州5  兰州9合并计费，拆分为单独计费。兰州4共160G，保底48G。甘肃电信目前存量720G、合同按集团集约签署11.3万/G/年、实际结算价格为10万/G/年，2020.7.10LZ2CT退40G，扩容到LZ3CT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</si>
  <si>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LZ4CT</t>
  </si>
  <si>
    <t>兰州5电信</t>
  </si>
  <si>
    <t>按保底计提，2022.9.1开始原兰州3 兰州4 兰州5  兰州9合并计费，拆分为单独计费。兰州5共160G，保底48G。甘肃电信目前存量720G、合同按集团集约签署11.3万/G/年、实际结算价格为10万/G/年，2020.7.10LZ2CT退40G，扩容到LZ3CT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</si>
  <si>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LZ5CT</t>
  </si>
  <si>
    <t>平凉电信
PLCT</t>
  </si>
  <si>
    <t>平凉电信</t>
  </si>
  <si>
    <t>2018/4/27,2023/5/31</t>
  </si>
  <si>
    <t>2023.5.31退租，甘肃电信目前存量720G、合同按集团集约签署11.3万/G/年、实际结算价格为10万/G/年，每万兆保底3G，即48G，100M</t>
  </si>
  <si>
    <t>PLCT</t>
  </si>
  <si>
    <t>华东-lijia</t>
  </si>
  <si>
    <t>中国电信股份有限公司安徽分公司</t>
  </si>
  <si>
    <t>安徽电信</t>
  </si>
  <si>
    <t>L20221229045</t>
  </si>
  <si>
    <t>马鞍山电信
MASCT</t>
  </si>
  <si>
    <t>马鞍山电信</t>
  </si>
  <si>
    <t>2019/4/13
2019/12/31</t>
  </si>
  <si>
    <t>80G
-60G</t>
  </si>
  <si>
    <t>202301降价为9500，保底6G,100M</t>
  </si>
  <si>
    <t>MASCT</t>
  </si>
  <si>
    <t>宁夏</t>
  </si>
  <si>
    <t>中国电信股份有限公司宁夏分公司</t>
  </si>
  <si>
    <t>宁夏电信</t>
  </si>
  <si>
    <t>L20221229027</t>
  </si>
  <si>
    <t>银川电信 YCCT</t>
  </si>
  <si>
    <t>银川电信</t>
  </si>
  <si>
    <t>2018/10/25
2022/3/31</t>
  </si>
  <si>
    <t>银川节点退租。2022/3/31退租40G,保底12G,颗粒度100M</t>
  </si>
  <si>
    <t>YCCT</t>
  </si>
  <si>
    <t>中卫2电信 ZW2CT</t>
  </si>
  <si>
    <t>中卫2电信</t>
  </si>
  <si>
    <t>40G-10G</t>
  </si>
  <si>
    <t>按保底计提，2022/3/31退租10G,保底12G,颗粒度100M</t>
  </si>
  <si>
    <t>ZW2CT</t>
  </si>
  <si>
    <t>中卫
ZWCT</t>
  </si>
  <si>
    <t>中卫电信</t>
  </si>
  <si>
    <t>2018/4/24
2022/3/31
2022/5/31</t>
  </si>
  <si>
    <t>40G-10G
-30G</t>
  </si>
  <si>
    <t>2022/5/31节点退租。2022/3/31退租10G,保底12G,颗粒度100M</t>
  </si>
  <si>
    <t>ZWCT</t>
  </si>
  <si>
    <t>华南-lijia</t>
  </si>
  <si>
    <t>中国电信股份有限公司青海分公司</t>
  </si>
  <si>
    <t>西宁电信</t>
  </si>
  <si>
    <t>L20221229029</t>
  </si>
  <si>
    <t>西宁-建国路IDC机房</t>
  </si>
  <si>
    <t>CDNXNCT</t>
  </si>
  <si>
    <t>（1）需要注意此节点下线合并至西宁2电信；（2）颗粒度100M，保底12G</t>
  </si>
  <si>
    <t>XNCT</t>
  </si>
  <si>
    <t>西宁2电信</t>
  </si>
  <si>
    <t>2018/11/1
2020/6/8
2022/5/31</t>
  </si>
  <si>
    <t>80G+40G
-100G</t>
  </si>
  <si>
    <t>（1）20200608西宁电信40G和西宁2电信合并计费；（2）颗粒度100M，保底36G</t>
  </si>
  <si>
    <t>XN2CT</t>
  </si>
  <si>
    <t>中国电信集团有限公司河南分公司</t>
  </si>
  <si>
    <t>洛阳电信</t>
  </si>
  <si>
    <t>L20220627004</t>
  </si>
  <si>
    <t>洛阳电信+洛阳3电信 LYCT 200G
LY3CT  100G</t>
  </si>
  <si>
    <t>2015/11/1
2018/4/28
2018/10/22
2022/5/31
2022/5/31
2022/8/31</t>
  </si>
  <si>
    <t>120G
80G
100G
LY3CT-100G
LYCT-190G
G
LYCT-10G</t>
  </si>
  <si>
    <t>2022/8/31退租10G，节点下线。2022/5/31洛阳3电信退租100G，洛阳电信退租190G，从2022.6开始带宽量为10G。LY3CT(2018/10/22 100G)与LYCT 200G合并至LYCT，保底3G，30%保底。100M</t>
  </si>
  <si>
    <t>LYCT</t>
  </si>
  <si>
    <t>洛阳电信2 LY2CT</t>
  </si>
  <si>
    <t>洛阳2电信</t>
  </si>
  <si>
    <t>2019/6/25
2019/12/31</t>
  </si>
  <si>
    <t>100G
-100G</t>
  </si>
  <si>
    <t>2019/12/31退租。保底35G，颗粒度100M。
原LY2CT的80G合并至LYCT。目前LY2CT的100G即为19.6.25扩容后的100G</t>
  </si>
  <si>
    <t>LY2CT</t>
  </si>
  <si>
    <t>郑州电信</t>
  </si>
  <si>
    <t>L20221229033</t>
  </si>
  <si>
    <t>郑州4电信</t>
  </si>
  <si>
    <t>按保底计提，商务确认6月5日开始计费，河南郑州电信 增量100G完成业务测试，已于2021-06-04开始正式切流量上线，颗粒度100M</t>
  </si>
  <si>
    <t>ZZ4CT</t>
  </si>
  <si>
    <t>L20210827008</t>
  </si>
  <si>
    <t>郑州5电信</t>
  </si>
  <si>
    <t>2021/8/4,2022/2/16</t>
  </si>
  <si>
    <t>30G-30G</t>
  </si>
  <si>
    <t>节点退租。本次30g为河南电信赠送、赠送时长为6个月12天，8月4日正式开始增送，河南郑州电信新建30G  2021-08-04 节点正式上线  (ZZ5CT)，2022/2/16退租</t>
  </si>
  <si>
    <t>ZZ5CT</t>
  </si>
  <si>
    <t>中国电信集团有限公司山西分公司</t>
  </si>
  <si>
    <t>山西电信</t>
  </si>
  <si>
    <t>L20230531003</t>
  </si>
  <si>
    <t>太原2</t>
  </si>
  <si>
    <t>太原电信2</t>
  </si>
  <si>
    <t>颗粒度100M，保底12G，合并在太原3电信</t>
  </si>
  <si>
    <t>TY2CT</t>
  </si>
  <si>
    <t>182215IDC00498</t>
  </si>
  <si>
    <t>太原3
TY3CT</t>
  </si>
  <si>
    <t>太原3电信</t>
  </si>
  <si>
    <t>2019/5/15
2022/5/31</t>
  </si>
  <si>
    <t>160G+40G
-140G</t>
  </si>
  <si>
    <t>补202301.计提19.1，运营商19.41，按中值19.24，补0.14</t>
  </si>
  <si>
    <t>补202302.计提18.3，运营商18.59，按中值18.42，补0.12</t>
  </si>
  <si>
    <t>补202303.计提19.3，运营商19.66，按中值19.48，补0.18</t>
  </si>
  <si>
    <t>补202304.计提21.1，运营商21.5，按中值21.28，补0.18</t>
  </si>
  <si>
    <t>补202305，计提18.9，运营商19.24，按中值19.06，补0.16</t>
  </si>
  <si>
    <t>按保底计提，2022/5/31退租140G，从2022.6开始带宽量为60G。5月初赠送100G*7天，100M颗粒度，18G保底；新建节点，费用参考存量节点</t>
  </si>
  <si>
    <t>TY3CT</t>
  </si>
  <si>
    <t>阳泉电信</t>
  </si>
  <si>
    <t>182315IDC00188</t>
  </si>
  <si>
    <t>阳泉
YQ01-TELECOM</t>
  </si>
  <si>
    <t>YQ01-电信</t>
  </si>
  <si>
    <t>保底30G,颗粒度100M</t>
  </si>
  <si>
    <t>YQ01-TELECOM</t>
  </si>
  <si>
    <t>西藏</t>
  </si>
  <si>
    <t>中国电信集团有限公司西藏分公司</t>
  </si>
  <si>
    <t>拉萨电信</t>
  </si>
  <si>
    <t>L20220804004</t>
  </si>
  <si>
    <t>拉萨</t>
  </si>
  <si>
    <t>CDNLASCT</t>
  </si>
  <si>
    <t>2019/2/7
2019/8/25
2021/12/31</t>
  </si>
  <si>
    <t>10G+30G-20G</t>
  </si>
  <si>
    <t>按保底计提，21年12月31日退租20G，颗粒度100M，保底10G，超保底收费</t>
  </si>
  <si>
    <t>LASCT</t>
  </si>
  <si>
    <t>中国联合网络通信有限公司大同市分公司</t>
  </si>
  <si>
    <t>大同联通</t>
  </si>
  <si>
    <t>L20220304002</t>
  </si>
  <si>
    <t>大同
DTUN</t>
  </si>
  <si>
    <t>2018/8/20
2022/3/31</t>
  </si>
  <si>
    <t>2022/3/31退租160G，自2020.9开始合并在大同联通节点上，本月SYS流量出在大同联通节点。4-1开始执行集约价格，需要重新签署合同。与大同2联通合并取量。100M颗粒，48G保底,依据合同，差异率在3%-5%取平均值</t>
  </si>
  <si>
    <t>DTUN</t>
  </si>
  <si>
    <t>大同
DT2UN</t>
  </si>
  <si>
    <t>大同2联通</t>
  </si>
  <si>
    <t>2020-4-30退租160G;4-1开始执行集约价格，需要重新签署合同。2020年3月免费赠送。100M颗粒，与大同1共保底48G,依据合同，差异率在3%-5%取平均值</t>
  </si>
  <si>
    <t>DT2UN</t>
  </si>
  <si>
    <t>中国联合网络通信有限公司定西市分公司</t>
  </si>
  <si>
    <t>甘肃联通</t>
  </si>
  <si>
    <t>182315IDC00097</t>
  </si>
  <si>
    <t>兰州
LZ2UN</t>
  </si>
  <si>
    <t>兰州2联通</t>
  </si>
  <si>
    <t>2020/12/1
2022/9/1</t>
  </si>
  <si>
    <t>20G
20G</t>
  </si>
  <si>
    <t>按保底计提，2022/9/1 从兰州3联通迁移20G至兰州2联通。保底12G，100M颗粒度。</t>
  </si>
  <si>
    <t>LZ2UN</t>
  </si>
  <si>
    <t>LZ3UN</t>
  </si>
  <si>
    <t>兰州3联通</t>
  </si>
  <si>
    <t>2022/3/2
2022/9/1</t>
  </si>
  <si>
    <t>2022/9/1 从兰州3联通迁移20G至兰州2联通，兰州3联通节点下线。免费4个半月，从2022.8.16开始计费。甘肃兰州联通 增量20G完成业务测试，已于2022-03-02开始正式切流量上线</t>
  </si>
  <si>
    <t>中国联合网络通信有限公司合肥市分公司</t>
  </si>
  <si>
    <t>合肥联通</t>
  </si>
  <si>
    <t>182215IDC00057</t>
  </si>
  <si>
    <t>合肥：合肥联通+合肥2联通</t>
  </si>
  <si>
    <t>合肥2联通</t>
  </si>
  <si>
    <t>2017/1/13
2019/5/7
2022/5/31</t>
  </si>
  <si>
    <t>按保底计提，2022/5/31退租40G，从2022.6开始带宽量为40G，共保底12G，颗粒度100M
TCO机房：合肥联通+合肥2联通合并计费</t>
  </si>
  <si>
    <t>HF2UN</t>
  </si>
  <si>
    <t>L20230427002</t>
  </si>
  <si>
    <t>合肥3联通</t>
  </si>
  <si>
    <t>CDNHFUN</t>
  </si>
  <si>
    <t>2023/4/1
2023/5/1
2023/5/12
2023/5/31
2023/6/1</t>
  </si>
  <si>
    <t>1G+20G+30G-1G+150G</t>
  </si>
  <si>
    <t>1+20+30-1+150,【BEC新建】合肥联通新建1G 2023-4-1节点正式上线 (HF3UN)</t>
  </si>
  <si>
    <t>HF3UN</t>
  </si>
  <si>
    <t>合肥4联通</t>
  </si>
  <si>
    <t>CDNHFUN2</t>
  </si>
  <si>
    <t>6.1-8.15免费，【CDN新建】安徽合肥联通新建40G  2023-06-01 节点正式上线  (HF4UN)</t>
  </si>
  <si>
    <t>HF4UN</t>
  </si>
  <si>
    <t>中国联合网络通信有限公司马鞍山市分公司</t>
  </si>
  <si>
    <t>马鞍山联通</t>
  </si>
  <si>
    <t>L20230601002</t>
  </si>
  <si>
    <t>马鞍山</t>
  </si>
  <si>
    <t>CDNMASUN</t>
  </si>
  <si>
    <t>【CDN新建】马鞍山联通 新建240G 2023-05-01 节点正式上线 (MASUN)，颗粒度100M，保底72G</t>
  </si>
  <si>
    <t>MASUN</t>
  </si>
  <si>
    <t>中国联合网络通信有限公司河南省分公司</t>
  </si>
  <si>
    <t>河南联通</t>
  </si>
  <si>
    <t>L20221229031</t>
  </si>
  <si>
    <t>中原基地 ZZUN+ZZSSLUNICOM</t>
  </si>
  <si>
    <t>郑州联通SSL</t>
  </si>
  <si>
    <t>2013/7/11
2019/10/31</t>
  </si>
  <si>
    <t>180G
-160G
-20G</t>
  </si>
  <si>
    <t>23年4月30日退租20G。从19.11.1开始只剩SSL20G，1M颗粒，保底30%，即6G</t>
  </si>
  <si>
    <t>ZZSSLUNICOM</t>
  </si>
  <si>
    <t>郑州3（西区）中原基地 ZZ3UN</t>
  </si>
  <si>
    <t>郑州3联通</t>
  </si>
  <si>
    <t>2018/8/25
2019/10/31
2022/6/30</t>
  </si>
  <si>
    <t>160G
-40G
-120G</t>
  </si>
  <si>
    <t>2022.6.30节点全部退租。36G保底，30%.1M颗粒度</t>
  </si>
  <si>
    <t>ZZ3UN</t>
  </si>
  <si>
    <t>郑州二长 ZZ2UN</t>
  </si>
  <si>
    <t>郑州联通2</t>
  </si>
  <si>
    <t>2018/3/29
2022/5/31</t>
  </si>
  <si>
    <t>2022/5/31节点退租。保底48G 1M</t>
  </si>
  <si>
    <t>ZZ2UN</t>
  </si>
  <si>
    <t>新乡 XXUN</t>
  </si>
  <si>
    <t>新乡联通</t>
  </si>
  <si>
    <t>2018/3/26
2021/12/31</t>
  </si>
  <si>
    <t>2021年12月31日退租，保底48G,1M</t>
  </si>
  <si>
    <t>XXUN</t>
  </si>
  <si>
    <t>驻马店 ZMDUN</t>
  </si>
  <si>
    <t>驻马店联通</t>
  </si>
  <si>
    <t>2018/5/10
2020/7/31</t>
  </si>
  <si>
    <t>2020/7/31退租。保底48G，1M</t>
  </si>
  <si>
    <t>ZMDUN</t>
  </si>
  <si>
    <t>洛阳 LYUN</t>
  </si>
  <si>
    <t>洛阳联通</t>
  </si>
  <si>
    <t>2018/8/25
2021/12/31</t>
  </si>
  <si>
    <t>2021年12月31日退租，48G保底，1M颗粒度</t>
  </si>
  <si>
    <t>LYUN</t>
  </si>
  <si>
    <t>郑州4 中原基地 ZZ4UN</t>
  </si>
  <si>
    <t>郑州4联通</t>
  </si>
  <si>
    <t>2019/2/1
2022/5/31</t>
  </si>
  <si>
    <t>160G
-60G</t>
  </si>
  <si>
    <t>2022/5/31退租60G，2022.6开始带宽量为100G。30G保底，1M颗粒度</t>
  </si>
  <si>
    <t>ZZ4UN</t>
  </si>
  <si>
    <t>云-信阳联通</t>
  </si>
  <si>
    <t>信阳 XINYUN</t>
  </si>
  <si>
    <t>云自采-信阳联通</t>
  </si>
  <si>
    <t>2018/2/13
2021/12/31
2022/5/31</t>
  </si>
  <si>
    <t>160G-80G
-80G</t>
  </si>
  <si>
    <t>2022/5/31节点退租。2021年12月31日退租80G,1M颗粒度，保底24G</t>
  </si>
  <si>
    <t>XINYUN</t>
  </si>
  <si>
    <t>云-周口联通</t>
  </si>
  <si>
    <t>周口 ZKUN</t>
  </si>
  <si>
    <t>云自采-周口联通</t>
  </si>
  <si>
    <t>2017/8/24
2022/5/31</t>
  </si>
  <si>
    <t>2022/5/31节点退租。保底48G。1M.新合同续签：赠送8个机架</t>
  </si>
  <si>
    <t>ZKUN</t>
  </si>
  <si>
    <t>中国联合网络通信有限公司拉萨市分公司</t>
  </si>
  <si>
    <t>西藏联通</t>
  </si>
  <si>
    <t>L20221229030</t>
  </si>
  <si>
    <t>拉萨联通</t>
  </si>
  <si>
    <t>CDNLASUN</t>
  </si>
  <si>
    <t>按保底计提。需要注意2020年3月1日开始买断模式计费每月1G。2019年1月1日开始正式计费，合同约定自然月计费。</t>
  </si>
  <si>
    <t>LASUN</t>
  </si>
  <si>
    <t>中国联合网络通信有限公司临汾市分公司</t>
  </si>
  <si>
    <t>临汾联通</t>
  </si>
  <si>
    <t>L20230531002</t>
  </si>
  <si>
    <t>临汾</t>
  </si>
  <si>
    <t>2018/8/2
2022/7/13</t>
  </si>
  <si>
    <t>160G-160G
220G</t>
  </si>
  <si>
    <t>按保底计提，2022/7/13 LINF2UN 120G带宽迁移至LINFUN。2020年3`5月免费。按照联通集约价格计提。与临汾2合并计费，颗粒度100M</t>
  </si>
  <si>
    <t>LINFUN</t>
  </si>
  <si>
    <t>临汾2
LINFUN 220G
LINF2UN 120G-退租
LINFUNGROUP</t>
  </si>
  <si>
    <t>临汾2联通</t>
  </si>
  <si>
    <t>2018/8/2
2020/6/1
2022/5/31
2022/5/31
2022/7/13
2022/7/13</t>
  </si>
  <si>
    <t>LINFUN 160G
LINF2UN 160G
LINFUN-60G
LINF2UN-40G
LINF2UN-120G
LINFUN-120G</t>
  </si>
  <si>
    <t>2022/7/13 LINF2UN退租4个机柜和288个IP，120G带宽迁移至LINFUN。LINF2UN端口关闭
2022/5/31临汾联通退租60G，临汾2联通退租40G，从2022.6开始带宽量为220G，保底66，G100M，大同2联通160G 转临汾联通.5月免费赠送；</t>
  </si>
  <si>
    <t>LINF2UN</t>
  </si>
  <si>
    <t>L20210430002</t>
  </si>
  <si>
    <t>临汾3联通</t>
  </si>
  <si>
    <t>2021/6/1
2022/7/18</t>
  </si>
  <si>
    <t>根据预审合同，该端口继续免费，2022 7.18退租40G，剩余40G继续免费。商务确认免费12个月，山西临汾联通 增量80G完成业务测试，已于2021-06-01开始正式切流量上线</t>
  </si>
  <si>
    <t>LINF3UN</t>
  </si>
  <si>
    <t>L20230529001</t>
  </si>
  <si>
    <t>临汾4联通</t>
  </si>
  <si>
    <t>CDNLINFUN2</t>
  </si>
  <si>
    <t>【CDN新建】BEC临汾联通新增200G LINF4UN,开始计费时间23年5月1日，颗粒度100M，保底60G</t>
  </si>
  <si>
    <t>LINF4UN</t>
  </si>
  <si>
    <t>中国联合网络通信有限公司太原市分公司</t>
  </si>
  <si>
    <t>山西联通</t>
  </si>
  <si>
    <t>L20230424004</t>
  </si>
  <si>
    <t>太原
TY2UN</t>
  </si>
  <si>
    <t>太原联通</t>
  </si>
  <si>
    <t>2013/3/21
2022/3/31
2022/7/31</t>
  </si>
  <si>
    <t>160G
-40G
-40G</t>
  </si>
  <si>
    <t>2023.05-2023.07.15免费，2022/7/31退租40G，2022/3/31退租40G，202104开始计费，合同满一年赠送1个月，100M颗粒，48G保底，送800个IP。</t>
  </si>
  <si>
    <t>TY2UN</t>
  </si>
  <si>
    <t>中国联合网络通信有限公司西宁市分公司</t>
  </si>
  <si>
    <t>西宁联通</t>
  </si>
  <si>
    <t>L20221229044</t>
  </si>
  <si>
    <t>CDNXNUN2</t>
  </si>
  <si>
    <t>2018/11/25
2019/10/1
2020/1/31
2021/5/31</t>
  </si>
  <si>
    <t>40G60G-60G-20G</t>
  </si>
  <si>
    <t>按保底计提，5月31日退租两个万兆，剩余20G，保底6G（1）颗粒度100M，保底12G；（2）需要注意周睿发邮件20200131退租60G；（3）扩容60G20191001开始计费，存量同时降价</t>
  </si>
  <si>
    <t>XNUN</t>
  </si>
  <si>
    <t>中国联合网络通信有限公司阳泉市分公司</t>
  </si>
  <si>
    <t>阳泉联通</t>
  </si>
  <si>
    <t>182215IDC00129</t>
  </si>
  <si>
    <t>阳泉
YQ01-UNICOM</t>
  </si>
  <si>
    <t>YQ01-联通</t>
  </si>
  <si>
    <t>2019/12/14
2021/4/1
2021/11/1</t>
  </si>
  <si>
    <t>100G+100G+100G</t>
  </si>
  <si>
    <t>2022.12开始保底由30%降为20%。实跑低于20%，按20%，实跑20%-30%，按20%，实跑高于或等于30%，按30%计算，4月开始扩容100G，11月扩容100G，保底60G,颗粒度100M</t>
  </si>
  <si>
    <t>YQ01-CU-ST-1</t>
  </si>
  <si>
    <t>中国联合网络通信有限公司中卫市分公司</t>
  </si>
  <si>
    <t>宁夏联通</t>
  </si>
  <si>
    <t>182315IDC00256</t>
  </si>
  <si>
    <t>中卫
ZWUN</t>
  </si>
  <si>
    <t>中卫联通</t>
  </si>
  <si>
    <t>按保底计提，100M颗粒，保底12G</t>
  </si>
  <si>
    <t>ZWUN</t>
  </si>
  <si>
    <t>中国移动通信集团安徽有限公司</t>
  </si>
  <si>
    <t>合肥移动</t>
  </si>
  <si>
    <t>182315IDC00139</t>
  </si>
  <si>
    <t>淮南6移动</t>
  </si>
  <si>
    <t>CDNHNCM</t>
  </si>
  <si>
    <t>240G
-240G</t>
  </si>
  <si>
    <t>2022/5/31 节点退租。淮南6移动合并至淮南4移动。保底96G，10M
安徽淮南移动 增量240G完成业务测试，已于2020-05-15开始正式切流量上线，2020.6.29开始计费</t>
  </si>
  <si>
    <t>HN6CM</t>
  </si>
  <si>
    <t>淮南4移动</t>
  </si>
  <si>
    <t>2020/2/1
2022/4/30</t>
  </si>
  <si>
    <t>2022/4/30节点退租。淮南6移动合并至淮南4移动。保底40G，10M。
安徽淮南移动增量100G完成业务测试，已于2020-02-01开始正式切流量上线。3月1日开始计费</t>
  </si>
  <si>
    <t>HN4CM</t>
  </si>
  <si>
    <t>合肥 HFSSLMOBCOM</t>
  </si>
  <si>
    <t>合肥移动SSL</t>
  </si>
  <si>
    <t>按合并保底计提，计费颗粒10M。保底40%,即8G</t>
  </si>
  <si>
    <t>HFSSLMOBCOM</t>
  </si>
  <si>
    <t>合肥 HFCM</t>
  </si>
  <si>
    <t>2015/8/20
2022/6/30</t>
  </si>
  <si>
    <t>180G
-160G</t>
  </si>
  <si>
    <t>2023.6.1BEC安徽合肥2移动所有资源全部转交给CDN部署使用，2022/6/30【CDN退租】CDN安徽合肥移动退租 (HFCM)160G，计费颗粒10M。保底40%,即8G。合肥移动 合肥2移动合并计费，合并保底56G</t>
  </si>
  <si>
    <t>HFCM</t>
  </si>
  <si>
    <t xml:space="preserve"> HFCM 20G
HF2CM 120G</t>
  </si>
  <si>
    <t>合肥2移动</t>
  </si>
  <si>
    <t>2019/5/25
2023/4/30</t>
  </si>
  <si>
    <t>120G-100G</t>
  </si>
  <si>
    <t>2023.6.1BEC安徽合肥2移动所有资源全部转交给CDN部署使用，2023.4.30CDN退租资源：带宽100G，计费颗粒10M。保底40%,即48G。合肥移动 合肥2移动合并计费，合并保底56G</t>
  </si>
  <si>
    <t>HF2CM</t>
  </si>
  <si>
    <t>淮南9移动</t>
  </si>
  <si>
    <t>CDNHNCM2</t>
  </si>
  <si>
    <t>【BEC新建】淮南移动新建200G(HN9CM)，（蚌埠对账）正式计费日期为2022年11月8日</t>
  </si>
  <si>
    <t>HN9CM</t>
  </si>
  <si>
    <t>淮南10移动</t>
  </si>
  <si>
    <t>【BEC新建】淮南移动新建200G(HN10CM)，（亳州对账）正式计费日期为2022年11月1日，对账折算天数，计费23天</t>
  </si>
  <si>
    <t>HN10CM</t>
  </si>
  <si>
    <t>中国移动通信集团甘肃有限公司</t>
  </si>
  <si>
    <t>兰州移动</t>
  </si>
  <si>
    <t>182315IDC00149</t>
  </si>
  <si>
    <t>兰州
LZ3CM</t>
  </si>
  <si>
    <t>兰州3移动</t>
  </si>
  <si>
    <t>CDNLZCM3</t>
  </si>
  <si>
    <t>2019/2/1，2020/3/31，2021/9/6，2022/2/1,2022/4/30,2023/4/30
2022/6/30</t>
  </si>
  <si>
    <t>200G-100G+200G+100G-100G-60G-180G</t>
  </si>
  <si>
    <t>2023.4.30退租180G(LZ3CM)，2022.6.30【BEC退租】BEC兰州移动退租60G（LZ3CM）。保底40%，96G，。颗粒度10M，100+200【边缘计算节点新建】甘肃兰州移动边缘计算节点新建（LZ3CM），增量200G，9月6日开始计费,2022/2/1新增100G</t>
  </si>
  <si>
    <t>LZ3CM</t>
  </si>
  <si>
    <t>中国移动通信集团河南有限公司安阳分公司</t>
  </si>
  <si>
    <t>安阳移动</t>
  </si>
  <si>
    <t>182115IDC00141</t>
  </si>
  <si>
    <t>安阳 AY2CM</t>
  </si>
  <si>
    <t>安阳2移动</t>
  </si>
  <si>
    <t>2019/5/25
2022/5/31
2022/5/31
2022/7/31</t>
  </si>
  <si>
    <t>240G+140G
AY2CM -40G
AYCM -140G
AY2CM -200G</t>
  </si>
  <si>
    <t>2022/7/31 AY2CM全部退租。2022/5/31AY2CM退租40G，AYCM全部退租，退租后仅剩AY2CM 200G
按运营商数据计提，96G+56G=152G合并保底，10M，AYCM开通140G，AY2CM开通240G，共计380G，合并计费在AY2CM</t>
  </si>
  <si>
    <t>2021-01-01</t>
  </si>
  <si>
    <t>2022-12-31</t>
  </si>
  <si>
    <t>AY2CM</t>
  </si>
  <si>
    <t>安阳 AYCM</t>
  </si>
  <si>
    <t>140G-140G</t>
  </si>
  <si>
    <t>2022/5/31 AYCM全部退租
合并至AY2CM，56G保底 10M。边缘计算，2020.4.1由代理商转直签</t>
  </si>
  <si>
    <t>AYCM</t>
  </si>
  <si>
    <t>中国移动通信集团河南有限公司漯河分公司</t>
  </si>
  <si>
    <t>漯河移动</t>
  </si>
  <si>
    <t>182115IDC00142</t>
  </si>
  <si>
    <t>漯河 LHCM</t>
  </si>
  <si>
    <t>2019/5/25
2022/5/31
2022/7/31</t>
  </si>
  <si>
    <t>240G
-40G
-200G</t>
  </si>
  <si>
    <t>2022/7/31 节点退租。2022/5/31退租40G，2022.6开始带宽量为200G。96G保底 10M</t>
  </si>
  <si>
    <t>LHCM</t>
  </si>
  <si>
    <t>中国移动通信集团河南有限公司郑州分公司</t>
  </si>
  <si>
    <t>郑州移动</t>
  </si>
  <si>
    <t>182315IDC00189</t>
  </si>
  <si>
    <t xml:space="preserve">郑州移动-郑州西区180G  </t>
  </si>
  <si>
    <t>2015/8/20
2022/5/31</t>
  </si>
  <si>
    <t>180G
-180G</t>
  </si>
  <si>
    <t>2022/5/31节点退租。保底72G 计费粒度10M。郑州西区开通180G。原合并计费在ZZ2CM，现单独出数</t>
  </si>
  <si>
    <t>ZZCM</t>
  </si>
  <si>
    <t>郑州2移动-白沙中原云120G
郑州4移动-白沙中原云340G
郑州5移动-白沙中原云200G</t>
  </si>
  <si>
    <t>郑州2移动</t>
  </si>
  <si>
    <t>180G+120G-180G</t>
  </si>
  <si>
    <t>2022.9.1调整拆分合并计费组。120G，保底48G，颗粒度10M。郑州ZZ2CM白沙开通120G，郑州ZZ4CM-白沙中原云开通240G，郑州 ZZ5CM-白沙中原云开通300G，共660G，保底264G。合并计费在ZZ2CM</t>
  </si>
  <si>
    <t>ZZ2CM</t>
  </si>
  <si>
    <t>郑州4移动-白沙中原云
ZZ4CM</t>
  </si>
  <si>
    <t>郑州4移动</t>
  </si>
  <si>
    <t>2020/5/18
2022/5/15
2022/5/31
2022/7/1</t>
  </si>
  <si>
    <t>300G
-50G
-10G
100G</t>
  </si>
  <si>
    <t>2022.9.1调整拆分合并计费组，郑州4 郑州5合并计费，共540G，保底216G，颗粒度10M。20221209，ZZ4CM拆分120G 新建 ZZ6CM，剩余220G 和 ZZ5CM 200G合并计费
2022/7/1 ZZ5CM BEC 100G带宽转 ZZ4CM CDN使用。保底136G
2022/5/15退租50G，2022/5/31退租10G，2022.6开始带宽量为240G，保底40%，即96G，与ZZ2CM合并出数，合并保底，出在ZZ2CM上。10M
合同签署中182015IDC00111
512个免费IP:111.7.110.0/24 111.7.111.0/24</t>
  </si>
  <si>
    <t>ZZ4CM</t>
  </si>
  <si>
    <t>郑州6移动</t>
  </si>
  <si>
    <t>【CDN新建】河南郑州移动新建120G  2022-12-09 节点正式上线  (ZZ6CM)，ZZ4CM拆分120G 新建 ZZ6CM，剩余220G 和 ZZ5CM 200G合并计费</t>
  </si>
  <si>
    <t>ZZ6CM</t>
  </si>
  <si>
    <t>郑州 ZZ5CM-白沙中原云</t>
  </si>
  <si>
    <t>郑州5移动</t>
  </si>
  <si>
    <t>2020/6/15，2021/12/16
2022/6/30</t>
  </si>
  <si>
    <t>200G+100G
-100G</t>
  </si>
  <si>
    <t>20221209，ZZ4CM拆分120G 新建 ZZ6CM，剩余220G 和 ZZ5CM 200G合并计费，2022.9.1调整拆分合并计费组，郑州4 郑州5合并计费，共540G，保底216G。
2022/6/30 ZZ5CM BEC 100G带宽转 ZZ4CM CDN使用。10M，保底80G。与ZZ2CM合并出数，合并保底，出在ZZ2CM上，河南郑州移动 增量200G完成业务测试，已于2020-06-15开始正式切流量上线，从2020.7.1开始计费。使用256个IP：111.6.170.0/24，河南移动 BEC 新建100G 21年11月15日上线，12月16日正式计费，河南郑州移动新增100G</t>
  </si>
  <si>
    <t>ZZ5CM</t>
  </si>
  <si>
    <t>开封 KFCM</t>
  </si>
  <si>
    <t>开封移动</t>
  </si>
  <si>
    <t>140G
-140G</t>
  </si>
  <si>
    <t>202302+B1023:R1023</t>
  </si>
  <si>
    <t>KFCM</t>
  </si>
  <si>
    <t>三门峡 SMXCM</t>
  </si>
  <si>
    <t>三门峡移动</t>
  </si>
  <si>
    <t>2019/1/25
2020/6/15</t>
  </si>
  <si>
    <t>20200615退租</t>
  </si>
  <si>
    <t>SMXCM</t>
  </si>
  <si>
    <t>中国移动通信集团宁夏有限公司</t>
  </si>
  <si>
    <t>宁夏移动</t>
  </si>
  <si>
    <t>182315IDC00155</t>
  </si>
  <si>
    <t>银川 YCCM</t>
  </si>
  <si>
    <t>银川移动</t>
  </si>
  <si>
    <t>2017/1/1
2018/9/1
2020/4/30</t>
  </si>
  <si>
    <t>10G
10G
-20G</t>
  </si>
  <si>
    <t>2020.4.30银川移动退租，迁移至中卫3移动</t>
  </si>
  <si>
    <t>YCCM</t>
  </si>
  <si>
    <t>中卫移动</t>
  </si>
  <si>
    <t>2018/9/1
2020/4/30</t>
  </si>
  <si>
    <t>20G-20G</t>
  </si>
  <si>
    <t>ZWCM</t>
  </si>
  <si>
    <t xml:space="preserve">CDN带宽 </t>
  </si>
  <si>
    <t>中卫: ZW2CM+ZW3CM</t>
  </si>
  <si>
    <t>中卫3移动</t>
  </si>
  <si>
    <t>2018/12/1
2019/2/1
2019/7/1
2020/4/30</t>
  </si>
  <si>
    <t>40G
45G
35G
40G</t>
  </si>
  <si>
    <t>中卫3移动共160G,合并保底64G。10M</t>
  </si>
  <si>
    <t>ZW3CM</t>
  </si>
  <si>
    <t>银川 YC2CM</t>
  </si>
  <si>
    <t>银川2移动</t>
  </si>
  <si>
    <t>CDNYCCM</t>
  </si>
  <si>
    <t>2021/9/11
2022/11/30</t>
  </si>
  <si>
    <t>【边缘计算节点新建】宁夏银川移动边缘计算节点新建（YC2CM），增量100G，9月11日开始计费，颗粒度10M，保底40G</t>
  </si>
  <si>
    <t>YC2CM</t>
  </si>
  <si>
    <t>银川 YC3CM</t>
  </si>
  <si>
    <t>银川3移动</t>
  </si>
  <si>
    <t>【CDN新建】宁夏银川移动新建100G-YC3CM ，节点正式计费日期为2022年12月份04日，100G的BEC的YC2CM转给CDN，，颗粒度10M，保底40G</t>
  </si>
  <si>
    <t>YC3CM</t>
  </si>
  <si>
    <t>L20230329002</t>
  </si>
  <si>
    <t>银川YC4CM</t>
  </si>
  <si>
    <t>银川4移动</t>
  </si>
  <si>
    <t>【CDN新建】宁夏银川移动新建80G  2023-03-01 节点正式上线  (YC4CM),该节点不计费，为赠送节点</t>
  </si>
  <si>
    <t>YC4CM</t>
  </si>
  <si>
    <t>中卫ZW4CM</t>
  </si>
  <si>
    <t>中卫4移动</t>
  </si>
  <si>
    <t>CDNZWCM</t>
  </si>
  <si>
    <t>补202303，计提62.18，结算80，补17.82</t>
  </si>
  <si>
    <t>【CDN新建】宁夏中卫移动新建200G  2023-03-01 节点正式上线  (ZW4CM)</t>
  </si>
  <si>
    <t>ZW4CM</t>
  </si>
  <si>
    <t>中国移动通信集团青海有限公司</t>
  </si>
  <si>
    <t>西宁移动</t>
  </si>
  <si>
    <t>182315IDC00143 </t>
  </si>
  <si>
    <t>2019/1/19
2020/1/1</t>
  </si>
  <si>
    <t>40G+
30G</t>
  </si>
  <si>
    <t>颗粒度10M，保底28G</t>
  </si>
  <si>
    <t>XNCM</t>
  </si>
  <si>
    <t>中国移动通信集团山西有限公司</t>
  </si>
  <si>
    <t>山西移动</t>
  </si>
  <si>
    <t>182315IDC00152</t>
  </si>
  <si>
    <t>太原4
TY4CM
TYCMGROUP</t>
  </si>
  <si>
    <t>太原4移动</t>
  </si>
  <si>
    <t>2018/8/27
2020/7/1
2022/4/30</t>
  </si>
  <si>
    <t>80G+80G+160G
(TY5CM)-160G</t>
  </si>
  <si>
    <t>补202305，计提64.19，结算64.21，补0.02</t>
  </si>
  <si>
    <t>64G保底，10M颗粒度。2020-7-1扩容80G</t>
  </si>
  <si>
    <t>TY4CM</t>
  </si>
  <si>
    <t>太原5移动</t>
  </si>
  <si>
    <t>2022/4/30节点退租。新合同直接降价至5300，与太原4移动存量80G合并</t>
  </si>
  <si>
    <t>TY5CM</t>
  </si>
  <si>
    <t>太原10移动</t>
  </si>
  <si>
    <t>360G</t>
  </si>
  <si>
    <t>【BEC新建】太原移动新建360G 2023-1-1节点正式上线  (TY10CM)，</t>
  </si>
  <si>
    <t>TY10CM</t>
  </si>
  <si>
    <t>阳泉</t>
  </si>
  <si>
    <t>YQ01-移动</t>
  </si>
  <si>
    <t>补202303，计提71.11，结算71.71，补0.6</t>
  </si>
  <si>
    <t>补202305，计提64.62，结算66.15，补1.53</t>
  </si>
  <si>
    <t>YQ01移动出口带宽160G开通，于2023-3-1日开通，CDN代静态，保底64G，颗粒度10M，</t>
  </si>
  <si>
    <t>YQ01-CM-ST-1</t>
  </si>
  <si>
    <t>阳泉移动</t>
  </si>
  <si>
    <t>L20211230024</t>
  </si>
  <si>
    <t>阳泉
YQ01-MOBCOM</t>
  </si>
  <si>
    <t>100G+100G-200G</t>
  </si>
  <si>
    <t>于2021.3.31退租。保底80G ，100M 颗粒度。2020-3-25扩容100G</t>
  </si>
  <si>
    <t>YQ01-MOBCOM</t>
  </si>
  <si>
    <t>中国移动通信集团西藏有限公司</t>
  </si>
  <si>
    <t>拉萨移动</t>
  </si>
  <si>
    <t>182315IDC00142</t>
  </si>
  <si>
    <t xml:space="preserve">拉萨 </t>
  </si>
  <si>
    <t>CDNLASCM</t>
  </si>
  <si>
    <t>2019/2/1
2020/1/1</t>
  </si>
  <si>
    <t>10G
+10G</t>
  </si>
  <si>
    <t>按保底计提，颗粒度10M，保底8G</t>
  </si>
  <si>
    <t>LASCM</t>
  </si>
  <si>
    <t>甘肃铁通</t>
  </si>
  <si>
    <t>L20220422002</t>
  </si>
  <si>
    <t>兰州2
LZ2CM</t>
  </si>
  <si>
    <t>兰州移动2</t>
  </si>
  <si>
    <t>2018/4/18
2022/4/15</t>
  </si>
  <si>
    <t>2022.4.15节点退租。20220415退租80G，甘肃铁通4月15日终止计费，22年4月免费半个月，保底28G，颗粒度100M</t>
  </si>
  <si>
    <t>LZ2CM</t>
  </si>
  <si>
    <t>西北-lijia</t>
  </si>
  <si>
    <t>中国电信股份有限公司陕西分公司</t>
  </si>
  <si>
    <t>陕西电信</t>
  </si>
  <si>
    <t>182015IDC00019</t>
  </si>
  <si>
    <t>西安开元
XAKY-TELECOM</t>
  </si>
  <si>
    <t>XAKY-电信</t>
  </si>
  <si>
    <t>2019/12/</t>
  </si>
  <si>
    <t>按运营商数据计提，保底10G，颗粒度100M；</t>
  </si>
  <si>
    <t>XAKY-TELECOM</t>
  </si>
  <si>
    <t>182215IDC00660</t>
  </si>
  <si>
    <t>西安开元
XAFJ-CT-ST-1</t>
  </si>
  <si>
    <t>XAFJ-电信CDN</t>
  </si>
  <si>
    <t>2019/12/
2020/3/6
2020/7/8
2021/2/1
2021/6/11</t>
  </si>
  <si>
    <t>200G
200G
100G
300G
200G</t>
  </si>
  <si>
    <t>0G-60G:9500
60G:8691.67</t>
  </si>
  <si>
    <t>按均值计提，保底60G，100M。60G按9500结算，剩余按8691.67结算。</t>
  </si>
  <si>
    <t>XAFJ-CT-ST-1</t>
  </si>
  <si>
    <t>中国电信股份有限公司云计算（陕西）基地</t>
  </si>
  <si>
    <t>182215IDC00522</t>
  </si>
  <si>
    <t>西安电信2+西安5电信
XA2CT</t>
  </si>
  <si>
    <t>西安电信2</t>
  </si>
  <si>
    <t>2010/6/1
2019/2/10
2022/4/30
2022/7/31</t>
  </si>
  <si>
    <t>100G
160G
-100G
-140G</t>
  </si>
  <si>
    <t>100M,Xa5ct+xa2ct合并至XA2CT。+SSL合并对账，合并保底84G，30%；自2021.5.1开始与西安电信SSL节点合并；2022.4.30退租100G带宽。差异条款：</t>
  </si>
  <si>
    <t>XA2CT</t>
  </si>
  <si>
    <t>XASSLTELECOM-3</t>
  </si>
  <si>
    <t>西安电信SSL</t>
  </si>
  <si>
    <t>2010/6/1
2019/2/10</t>
  </si>
  <si>
    <t>按合并保底计提，100M,Xa5ct+xa2ct合并至XA2CT。+SSL合并对账，合并保底84G，30%；自2021.5.1开始与西安电信2节点合并，SSL按实际流量计提；差异条款</t>
  </si>
  <si>
    <t>云-陕西电信</t>
  </si>
  <si>
    <t>西安电信二级
XACTCACHE</t>
  </si>
  <si>
    <t>西安电信二级</t>
  </si>
  <si>
    <t>2018/10/10
2021/9/1
2022/6/10
2022/7/31</t>
  </si>
  <si>
    <t>240G
+160G
+40G
-40G</t>
  </si>
  <si>
    <t>按运营商数据计提，保底120G,100M;2021.9.1扩容160G</t>
  </si>
  <si>
    <t>XACTCACHE</t>
  </si>
  <si>
    <t>云自采-西安3电信
XA3CT</t>
  </si>
  <si>
    <t>云自采-西安3电信</t>
  </si>
  <si>
    <t>历史开通
2022/5/31
2022/6/9</t>
  </si>
  <si>
    <t>160G
-120G
-40G</t>
  </si>
  <si>
    <t>保底48G,100M；2022.5.31退租120G带宽。2022.6.10剩余40G带宽迁移至西安电信二级节点。差异条款：0-3取中值、超出协商</t>
  </si>
  <si>
    <t>XA3CT</t>
  </si>
  <si>
    <t>西安
 XA4CT</t>
  </si>
  <si>
    <t>西安4电信</t>
  </si>
  <si>
    <t>2018/6/1
2019/7/9
2021/5/31
2022/5/31</t>
  </si>
  <si>
    <t>80G
240G
-100G
-220G</t>
  </si>
  <si>
    <t>保底66G,100M;2021.5.31退租100G带宽。；差异条款：0-3取中值、超出协商</t>
  </si>
  <si>
    <t>XA4CT</t>
  </si>
  <si>
    <t>XAIXCT</t>
  </si>
  <si>
    <t>西安三级电信</t>
  </si>
  <si>
    <t>2020/9/20
2021/5/1</t>
  </si>
  <si>
    <t>按均值计提，保底112G，100M。无合同。陕西新建三线，2020/9/10切量上线，2020/9/20开始计费;2021.4.16扩容120G于2021.5.1开始计费；</t>
  </si>
  <si>
    <t>L20230628001</t>
  </si>
  <si>
    <t>咸阳电信</t>
  </si>
  <si>
    <t>CDNXYCT</t>
  </si>
  <si>
    <t>按运营商数据计提，【CDN新建】陕西咸阳电信新建200G  2023-06-01 节点正式上线  (XYCT)</t>
  </si>
  <si>
    <t>XYCT</t>
  </si>
  <si>
    <t>中国联合网络通信有限公司陕西省分公司</t>
  </si>
  <si>
    <t>陕西联通</t>
  </si>
  <si>
    <t>L20230531004</t>
  </si>
  <si>
    <t>西安 XA2UN</t>
  </si>
  <si>
    <t>西安2联通</t>
  </si>
  <si>
    <t>2013/11/1
2019/6/26
2020/8/31
2022/4/30
2022/5/31</t>
  </si>
  <si>
    <t>80G
40G
-60G
-50G
-10G</t>
  </si>
  <si>
    <t>2020/8/31退租60G，退租后保底18G,100M颗粒度；XA2UN2022.4.30退租50G带宽。XA2UN2022.5.31退租10G带宽。差异取中值</t>
  </si>
  <si>
    <t>XA2UN</t>
  </si>
  <si>
    <t>182015IDC00319</t>
  </si>
  <si>
    <t>西安开元
XAKY-UNICOM</t>
  </si>
  <si>
    <t>XAKY-联通</t>
  </si>
  <si>
    <t>2019/12/1
2020/3/6</t>
  </si>
  <si>
    <t>100G
100G</t>
  </si>
  <si>
    <t>按中值计提，，10M颗粒度，60G保底；</t>
  </si>
  <si>
    <t>XAKY-UNICOM</t>
  </si>
  <si>
    <t>XAIXUN</t>
  </si>
  <si>
    <t>西安三级联通</t>
  </si>
  <si>
    <t>2020/9/4
2021/4/16</t>
  </si>
  <si>
    <t>80G
80G</t>
  </si>
  <si>
    <t>陕西新建三线，2020/9/10切量上线，9.4开始计费,2021.4.16扩容80G。与XAFJ-联通CDN合并；合并保底108G；
差异取中值</t>
  </si>
  <si>
    <t>西安沣景
XAFJ-CU-ST-1</t>
  </si>
  <si>
    <t>XAFJ-联通CDN</t>
  </si>
  <si>
    <t>按中值计提，与西安三级联通合并保底108G；100M颗粒度;2021.4.30开通，2021.5.1开始计费。</t>
  </si>
  <si>
    <t>XAFJ-CU-ST-1</t>
  </si>
  <si>
    <t>中国联合网络通信有限公司西安市分公司</t>
  </si>
  <si>
    <t>西安联通</t>
  </si>
  <si>
    <t>182115IDC00341</t>
  </si>
  <si>
    <t>西安联通二级</t>
  </si>
  <si>
    <t>2021/8/11
2021/10/9</t>
  </si>
  <si>
    <t>160G
+140G</t>
  </si>
  <si>
    <t>按中值计提，90G保底，100M颗粒。陕西西安联通二级 增量160G完成业务测试，已于2021-08-02开始正式切流量上线；合同约定赠送10天测试期，自2021.8.12开始计费，48G保底；差异取中值。2021.10.1扩容140G，于2021.10.9中午12点整开始计费（赠送8.5天）</t>
  </si>
  <si>
    <t>XAUNCACHE</t>
  </si>
  <si>
    <t>中国移动通信集团陕西有限公司商洛分公司</t>
  </si>
  <si>
    <t>商洛移动</t>
  </si>
  <si>
    <t>182315IDC00140</t>
  </si>
  <si>
    <t>XAIXCM</t>
  </si>
  <si>
    <t>西安三级移动</t>
  </si>
  <si>
    <t>2020/9/10
2020/12/31
2021/4/23</t>
  </si>
  <si>
    <t>160G+40G+60G</t>
  </si>
  <si>
    <t>保底104G，10M。无合同。陕西新建三线，2020/9/10切量上线，并开始计费;2020/12/31扩容40G带宽;2021.4.16扩容60G，于2021.4.23开始计费</t>
  </si>
  <si>
    <t>中国移动通信集团陕西有限公司西安分公司</t>
  </si>
  <si>
    <t>西安移动</t>
  </si>
  <si>
    <t>182315IDC00157</t>
  </si>
  <si>
    <t>西安 XACM</t>
  </si>
  <si>
    <t>2015/11/12
2022/7/31</t>
  </si>
  <si>
    <t>40%保底，40G。10M；差异条款：0-3取中值、超出协商</t>
  </si>
  <si>
    <t>XACM</t>
  </si>
  <si>
    <t>咸阳移动 咸阳2移动
XY2CM
XYCMGROUP2</t>
  </si>
  <si>
    <t>咸阳移动</t>
  </si>
  <si>
    <t>2018/12/25
2020/1/22
2020/3/6</t>
  </si>
  <si>
    <t>120G
100G
-100G</t>
  </si>
  <si>
    <t>保底48G，颗粒度10M；2022.6起咸阳移动和咸阳2移动拆分计提。2022.8起咸阳移动和咸阳2移动合并计提。差异条款：0-3取中值、超出协商</t>
  </si>
  <si>
    <t>XYCM</t>
  </si>
  <si>
    <t>咸阳2移动</t>
  </si>
  <si>
    <t>2018/12/25
2022/5/31</t>
  </si>
  <si>
    <t>240G
-100G</t>
  </si>
  <si>
    <t>补202305，计提145.05，结算145.98，补0.93</t>
  </si>
  <si>
    <t>保底56G，颗粒度10M；2022.6起咸阳移动和咸阳2移动拆分计提。2022.8起咸阳移动和咸阳2移动合并计提。</t>
  </si>
  <si>
    <t>XY2CM</t>
  </si>
  <si>
    <t>中国移动通信集团陕西有限公司汉中分公司</t>
  </si>
  <si>
    <t>汉中移动</t>
  </si>
  <si>
    <t>182315IDC00156</t>
  </si>
  <si>
    <t>西安移动二级</t>
  </si>
  <si>
    <t>CDNXACM2</t>
  </si>
  <si>
    <t>22.10.07开始计费，【CDN新建】陕西西安移动二级新建300G2022-09-30节点正式上线  (XACMCACHE)，保底120G，颗粒度10M</t>
  </si>
  <si>
    <t>XACMCACHE</t>
  </si>
  <si>
    <t>182015IDC00002</t>
  </si>
  <si>
    <t>西安开元
XAKY-MOBCOM</t>
  </si>
  <si>
    <t>XAKY-移动</t>
  </si>
  <si>
    <t>阶梯计费
《40G：19500
40-60:18000
60-80:16500
&gt;80G:15000</t>
  </si>
  <si>
    <t>每月注意计提价格，保底30G，颗粒度100M。
95计费流量&lt;=40G 单价19500元；
（40G-60G】单价18000元;
（60G-80G】单价16500元；
&gt;80G；单价15000元</t>
  </si>
  <si>
    <t>XAKY-MOBCOM</t>
  </si>
  <si>
    <t>西安沣景</t>
  </si>
  <si>
    <t>1G</t>
  </si>
  <si>
    <t>每月按1G计提，11月折天=1*23/30,陕西沣景为西安天互客户开通1G 移动IDC静态端口，32个IPV4地址和32个IPV6地址(V6免费），保底400M，</t>
  </si>
  <si>
    <t>XAFJ-CM-IDC-1G</t>
  </si>
  <si>
    <t>咸阳3移动</t>
  </si>
  <si>
    <t>合并保底200G。3%以内取中值。陕西咸阳移动 增量100G完成业务测试，已于2020-03-06开始正式切流量上线（此节点于2021.5.1开始合并至XAFJ-移动CDN）</t>
  </si>
  <si>
    <t>XY3CM</t>
  </si>
  <si>
    <t>西安沣景
XAFJ-CM-ST-1</t>
  </si>
  <si>
    <t>XAFJ-移动CDN</t>
  </si>
  <si>
    <t>2020/3/25
2020/8/1
2020/12/31
2021/3/25</t>
  </si>
  <si>
    <t>100G
60G
40G
200G</t>
  </si>
  <si>
    <t>按保底计提，合并保底200G，10M颗粒度，2020/3/25新建100G，从2020.4.1开始计费，2020/7/22扩容60G，从2020.8.1开始计费，扩容后40%保底，64G。2020.12.31扩容40G，节点由XAKY-移动CDN变更为XAFJ-移动CDN，2021.3.25扩容200G（于2021.5.1开始XY3CM与XAFJ-移动CDN合并计费）</t>
  </si>
  <si>
    <t>XAFJ-CM-ST-1</t>
  </si>
  <si>
    <t>中国电信股份有限公司乌鲁木齐分公司</t>
  </si>
  <si>
    <t>乌鲁木齐电信</t>
  </si>
  <si>
    <t>L20220829004</t>
  </si>
  <si>
    <t>按保底计提，颗粒度100M，保底8G；差异：0-1以甲方为准，1-3取中值，超出协商；2022.9.1开始执行9600元/月/G</t>
  </si>
  <si>
    <t>WLMQCT</t>
  </si>
  <si>
    <t>乌鲁木齐2电信</t>
  </si>
  <si>
    <t>2019/9/1
2022/4/30</t>
  </si>
  <si>
    <t>2022.4.30退租40G。颗粒度100M，保底16G；差异：0-1以甲方为准，1-3取中值，超出协商</t>
  </si>
  <si>
    <t>WLMQ2CT</t>
  </si>
  <si>
    <t>内蒙</t>
  </si>
  <si>
    <t>中国联合网络通信有限公司阿拉善盟分公司</t>
  </si>
  <si>
    <t>阿拉善联通</t>
  </si>
  <si>
    <t>182115IDC00192</t>
  </si>
  <si>
    <t>阿盟机房3</t>
  </si>
  <si>
    <t>阿拉善3联通</t>
  </si>
  <si>
    <t>2018/12/25
2020/10/1
2021/6/30</t>
  </si>
  <si>
    <t>120G
+40G
-40</t>
  </si>
  <si>
    <t>补202305，计提37.5，结算38.2，补0.7</t>
  </si>
  <si>
    <t>补202303，计提36.1，结算38.5，补0.6</t>
  </si>
  <si>
    <t>补202304，计提36.1，结算36.8，补0.7</t>
  </si>
  <si>
    <t>按保底计提，颗粒度100M，保底36G；202010合并阿拉善联通计费，乙方向甲方赠送3个月的测试期，测试期具体时间为2019年11月25日至2020年2月24日；2018年12月25日开始计费。2021.6.30退租40G带宽。5%以内取中值，超出协商</t>
  </si>
  <si>
    <t>ALS3UN</t>
  </si>
  <si>
    <t>L20210726007</t>
  </si>
  <si>
    <t>阿盟机房4</t>
  </si>
  <si>
    <t>阿拉善4联通</t>
  </si>
  <si>
    <t>2022.5确认延长至2023.2；2021.7.1新建40G带宽；5%以内取中值，超出协商</t>
  </si>
  <si>
    <t>ALS4UN</t>
  </si>
  <si>
    <t>呼市</t>
  </si>
  <si>
    <t>呼和浩特联通2</t>
  </si>
  <si>
    <t>补202305，计提12.6，结算12.8，补0.2</t>
  </si>
  <si>
    <t>补202303，计提14.5，结算14.8，补0.3</t>
  </si>
  <si>
    <t>补202304，计提14，结算14.2，补0.2</t>
  </si>
  <si>
    <t>按保底计提，颗粒度100M，保底12G；5%以内取中值，超出协商</t>
  </si>
  <si>
    <t>HHHT2UN</t>
  </si>
  <si>
    <t>阿盟机房1</t>
  </si>
  <si>
    <t>202010合并至阿拉善3联通计费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；5%以内取中值，超出协商</t>
  </si>
  <si>
    <t>ALSUN</t>
  </si>
  <si>
    <t>中国联合网络通信有限公司呼和浩特市分公司</t>
  </si>
  <si>
    <t>呼和浩特联通</t>
  </si>
  <si>
    <t>182115IDC00597</t>
  </si>
  <si>
    <t>呼和浩特3联通</t>
  </si>
  <si>
    <t>补202112，需付费，当时未计提</t>
  </si>
  <si>
    <t>HHHT3UN</t>
  </si>
  <si>
    <t>L20230628002</t>
  </si>
  <si>
    <t>【CDN新建】内蒙古呼和浩特联通  新建40G  2023-06-01 节点正式上线  (HHHT5UN)，100M</t>
  </si>
  <si>
    <t>中国联合网络通信有限公司新疆维吾尔自治区分公司</t>
  </si>
  <si>
    <t>新疆联通</t>
  </si>
  <si>
    <t>L20221129002</t>
  </si>
  <si>
    <t>乌鲁木齐联通</t>
  </si>
  <si>
    <t>补202305，计提12.6，运营商12.9，按中值12.68补0.08</t>
  </si>
  <si>
    <t>按保底计提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差异条款：0-3取甲方、超出取中值</t>
  </si>
  <si>
    <t>WLMQUN</t>
  </si>
  <si>
    <t>补202304，计提14.2，运营商14.5，按中值14.255，补0.055</t>
  </si>
  <si>
    <t>中国移动通信集团内蒙古有限公司包头分公司</t>
  </si>
  <si>
    <t>包头移动</t>
  </si>
  <si>
    <t>182315IDC00169</t>
  </si>
  <si>
    <t>呼和浩特3</t>
  </si>
  <si>
    <t>呼和浩特3移动</t>
  </si>
  <si>
    <t>2018/12/25
2020/7/1</t>
  </si>
  <si>
    <t>补202305，计提49.55，结算49.81，补0.26</t>
  </si>
  <si>
    <t>需要注意20200701扩容40G，颗粒度10M，保底48G；20200101保底40%；3%以内取中值，超出协商</t>
  </si>
  <si>
    <t>HHHT3CM</t>
  </si>
  <si>
    <t>中国移动通信集团新疆有限公司</t>
  </si>
  <si>
    <t>新疆移动</t>
  </si>
  <si>
    <t>182315IDC00168</t>
  </si>
  <si>
    <t>克拉玛依</t>
  </si>
  <si>
    <t>克拉玛依4移动</t>
  </si>
  <si>
    <t>2020/3/1
2020/6/29
2020/8/6</t>
  </si>
  <si>
    <t>30G+
30G+20G</t>
  </si>
  <si>
    <t>补202301，计提32.14，结算32.37，补0.23</t>
  </si>
  <si>
    <t>补202303，计提32.58，结算32.86，补0.28</t>
  </si>
  <si>
    <t>补202304，计提35.51，结算35.83，补0.32</t>
  </si>
  <si>
    <t>按保底计提，颗粒度10M，保底32G；需要注意20200806扩容20G，需要注意20200701开始价格为6100，20200629扩容30G。</t>
  </si>
  <si>
    <t>KLMY4CM</t>
  </si>
  <si>
    <t>中国电信集团有限公司大连分公司</t>
  </si>
  <si>
    <t>大连电信</t>
  </si>
  <si>
    <t>181915IDC00324</t>
  </si>
  <si>
    <t>大连2电信</t>
  </si>
  <si>
    <t>按保底计提，颗粒度1M,保底12G。差异：1%以内以甲方为准，1%~3%取中值，超出协商;2022.6.1起带宽降价</t>
  </si>
  <si>
    <t>DL2CT</t>
  </si>
  <si>
    <t>中国电信股份有限公司锦州分公司</t>
  </si>
  <si>
    <t>锦州电信</t>
  </si>
  <si>
    <t>182315IDC00219</t>
  </si>
  <si>
    <t>2018/10/14
2022/5/31</t>
  </si>
  <si>
    <t>按保底计提，2021.10降价，2021.11-12免费（80G），2022.5.31退租60G；颗粒度1M，保底6G</t>
  </si>
  <si>
    <t>JZCT</t>
  </si>
  <si>
    <t>L20220328010</t>
  </si>
  <si>
    <t>锦州2电信</t>
  </si>
  <si>
    <t>2022/5/1
2022/5/31</t>
  </si>
  <si>
    <t>2022.5.31免费节点退租。2022.5.1新增30G带宽、1个机柜、128个IP，免费节点</t>
  </si>
  <si>
    <t>JZ2CT</t>
  </si>
  <si>
    <t>中国电信股份有限公司沈阳分公司</t>
  </si>
  <si>
    <t>沈阳电信</t>
  </si>
  <si>
    <t>L20221229015</t>
  </si>
  <si>
    <t>2017/12/25
2023/5/31</t>
  </si>
  <si>
    <t>2023.5.31退租，颗粒度1M，保底12G；差异解决条款：双方协商</t>
  </si>
  <si>
    <t>SYCT</t>
  </si>
  <si>
    <t>沈阳2电信</t>
  </si>
  <si>
    <t>2021/4/1
2023/5/31</t>
  </si>
  <si>
    <t>2023.5.31退租，颗粒度1M，保底12G；免费到期后转为低价节点，确定继续使用，2021年6月1日开始计费，带宽价格是9833/2=4917元。202104-05临时新建40G带宽，免费；自2022.6.1起正常对账。差异解决条款：双方协商</t>
  </si>
  <si>
    <t>SY2CT</t>
  </si>
  <si>
    <t>中国电信集团有限公司天津分公司</t>
  </si>
  <si>
    <t>天津电信</t>
  </si>
  <si>
    <t>182115IDC00395</t>
  </si>
  <si>
    <t>天津电信（大港机房）</t>
  </si>
  <si>
    <t>TJCTCACHE</t>
  </si>
  <si>
    <t>2016/1/1
2022/6/1</t>
  </si>
  <si>
    <t>160G
+30G</t>
  </si>
  <si>
    <t>按保底计提，（1）颗粒度100M，保底39G；（2）sys反馈160，但是此节点已经下线，应该是tjctcache在用；2022.6.1起SY4CT节点剩余30G合并至此节点。差异：双方协商。190G带宽，免费60G，保底按130G计算</t>
  </si>
  <si>
    <t>TJCT</t>
  </si>
  <si>
    <t>TJ3CT（武清）</t>
  </si>
  <si>
    <t>天津3电信</t>
  </si>
  <si>
    <t>2019/1/18
2022/5/31</t>
  </si>
  <si>
    <t>颗粒度100M，保底0G；2022.5.31退租160G；差异：双方协商。</t>
  </si>
  <si>
    <t>TJ3CT</t>
  </si>
  <si>
    <t>天津4</t>
  </si>
  <si>
    <t>天津4电信</t>
  </si>
  <si>
    <t>2019/10/15
2022/5/31</t>
  </si>
  <si>
    <t>70G
-40G
-30G</t>
  </si>
  <si>
    <t>颗粒度100M，保底9G；sys反馈70G；差异：双方协商。2022.5.31退租40G;剩余30G合并至SYCT节点（TJCTCACHE）</t>
  </si>
  <si>
    <t>TJ4CT</t>
  </si>
  <si>
    <t>天津电信2SSL</t>
  </si>
  <si>
    <t>按合并保底计提，颗粒度100M，保底3G，从2021年5月计提开始按照实际流量计提费用；差异：双方协商。运营商对账，SSL节点与天津4电信节点合并给流量</t>
  </si>
  <si>
    <t>SSLTJCT</t>
  </si>
  <si>
    <t>中国电信集团有限公司长春分公司</t>
  </si>
  <si>
    <t>长春电信</t>
  </si>
  <si>
    <t>182315IDC00241</t>
  </si>
  <si>
    <t>长春电信2</t>
  </si>
  <si>
    <t>颗粒度100M，保底24G；20200923长春2电信合并至长春4电信计费；</t>
  </si>
  <si>
    <t>CC2CT</t>
  </si>
  <si>
    <t>长春4电信</t>
  </si>
  <si>
    <t>2019/8/26
2020/9/23
2022/5/31</t>
  </si>
  <si>
    <t>40G
+40G
-40G</t>
  </si>
  <si>
    <t>按保底计提，颗粒度100M，保底12G；20200923长春2电信合并至长春4电信计费；2022.5.31退租40G带宽；差异：1%以内以百度为准，1%~3%取中值，超出协商</t>
  </si>
  <si>
    <t>CC4CT</t>
  </si>
  <si>
    <t>长春6电信</t>
  </si>
  <si>
    <t>CDNCCCT2</t>
  </si>
  <si>
    <t>2021/8/3
2021/9/30</t>
  </si>
  <si>
    <t>2021.9.30退租。吉林长春电信新建60G  2021-08-03正式上线，商务确认免费2个月。</t>
  </si>
  <si>
    <t>CC6CT</t>
  </si>
  <si>
    <t>中国联合网络通信有限公司鹤岗市分公司</t>
  </si>
  <si>
    <t>鹤岗联通</t>
  </si>
  <si>
    <t>L20230222003</t>
  </si>
  <si>
    <t>鹤岗2联通</t>
  </si>
  <si>
    <t>2018/8/13
2018/9/15</t>
  </si>
  <si>
    <t xml:space="preserve">按保底计提，需要注意202001-02不计费，颗粒度100M，保底36G；40G资源9.13开始计费；80G资源10.15开始计费；差异条款：0-5取中值、超出协商
</t>
  </si>
  <si>
    <t>HG2UN</t>
  </si>
  <si>
    <t>鹤岗3联通</t>
  </si>
  <si>
    <t>202101-02免费，黑龙江鹤岗联通，增量100G完成业务测试，已于2021-01-01开始正式切流量上线</t>
  </si>
  <si>
    <t>HG3UN</t>
  </si>
  <si>
    <t>L20220224002</t>
  </si>
  <si>
    <t>鹤岗4联通</t>
  </si>
  <si>
    <t>2022/2/1
2022/4/30</t>
  </si>
  <si>
    <t>免费节点（3个月后退租）。鹤岗4联通节点增量100G、3个机柜、288个IP，已于2022-02-01开始正式切流量上线;2022.4.30退租</t>
  </si>
  <si>
    <t>HG4UN</t>
  </si>
  <si>
    <t>中国联合网络通信有限公司鸡西市分公司</t>
  </si>
  <si>
    <t>鸡西联通</t>
  </si>
  <si>
    <t>L20230222004</t>
  </si>
  <si>
    <t>鸡西</t>
  </si>
  <si>
    <t>2018/6/25
2019/1/25</t>
  </si>
  <si>
    <t>40G
60G-60G</t>
  </si>
  <si>
    <t>按保底计提，需要注意202001-02不计费，颗粒度100M，保底12G，保底30%，20191224退租60G，按照集约价格走；差异条款：0-5取中值、超出协商</t>
  </si>
  <si>
    <t>JXUN</t>
  </si>
  <si>
    <t>鸡西2联通</t>
  </si>
  <si>
    <t>202101-02免费，黑龙江鸡西联通，增量60G完成业务测试，已于2021-01-01开始正式切流量上线，鸡西联通2021年1月1日即将增量60G，</t>
  </si>
  <si>
    <t>JX2UN</t>
  </si>
  <si>
    <t>L20220111002</t>
  </si>
  <si>
    <t>鸡西3联通</t>
  </si>
  <si>
    <t>CDNJXUN2</t>
  </si>
  <si>
    <t>2022/1/1
2022/3/31</t>
  </si>
  <si>
    <t>2022.3.31退租。免费节点（3个月后退租）。鸡西3联通节点增量60G、2个机柜、288个IP，已于2022-01-01开始正式切流量上线</t>
  </si>
  <si>
    <t>JX3UN</t>
  </si>
  <si>
    <t>中国联合网络通信有限公司沈阳市分公司</t>
  </si>
  <si>
    <t>沈阳联通</t>
  </si>
  <si>
    <t>182115IDC00440</t>
  </si>
  <si>
    <t>沈阳联通2</t>
  </si>
  <si>
    <t>2012/9/26
2019/12/31
2022/5/31</t>
  </si>
  <si>
    <t>120G
-60G
-60G</t>
  </si>
  <si>
    <t>颗粒度100M，保底0G，20191231退租60G；2022.5.31tuizu 60G带宽；差异条款：0-3取甲方、3-5取中值、超出协商</t>
  </si>
  <si>
    <t>SY2UN</t>
  </si>
  <si>
    <t>沈阳3</t>
  </si>
  <si>
    <t>沈阳联通3</t>
  </si>
  <si>
    <t>2018/3/1
2022/5/31</t>
  </si>
  <si>
    <t>颗粒度100M，保底0G，新增部分首月免费，赠送10个机柜，合同期内再赠送0.5个月，具体执行时间双方协商；单价同步降至10000.；差异条款：0-3取甲方、3-5取中值、超出协商;2022.5.31退租160G</t>
  </si>
  <si>
    <t>SY3UN</t>
  </si>
  <si>
    <t>沈阳联通SSL</t>
  </si>
  <si>
    <t>2012/9/26
历史退租
2021/6/30</t>
  </si>
  <si>
    <t>50G-30G-10G</t>
  </si>
  <si>
    <t>按保底计提。颗粒度100M，按实际流量计提；差异条款：0-3取甲方、3-5取中值、超出协商</t>
  </si>
  <si>
    <t>SYSSLUNICOM</t>
  </si>
  <si>
    <t>沈阳4联通</t>
  </si>
  <si>
    <t>CDNSYUN2</t>
  </si>
  <si>
    <t>2020/10/1
2022/5/31
2022/7/31</t>
  </si>
  <si>
    <t>200G
-100G
-100G</t>
  </si>
  <si>
    <t>2021.9~2021.12免费4个月。新增的200G从10月1日开始计费，颗粒度100M，保底60G；差异条款：0-3取甲方、3-5取中值、超出协商;2022.5.31退租100G带宽</t>
  </si>
  <si>
    <t>SY4UN</t>
  </si>
  <si>
    <t>中国联合网络通信有限公司天津市分公司</t>
  </si>
  <si>
    <t>天津联通</t>
  </si>
  <si>
    <t>L20221229016</t>
  </si>
  <si>
    <t>天津2
天津3</t>
  </si>
  <si>
    <t>天津3联通</t>
  </si>
  <si>
    <t>2018/4/28
2018/8/4
2021/1/1
2022/4/30</t>
  </si>
  <si>
    <t>160G
80G
-200G</t>
  </si>
  <si>
    <t>按保底计提，颗粒度100M，保底12G，系统部已核实2021.1.1开始TJ2UN80G合并至TJ3UN共240G，差异率3%以内以甲方数据为准，超出3%取中值。;2019年10月31日下线160G;2022.4.30退租200G；与天津联通SSL合并保底15G</t>
  </si>
  <si>
    <t>TJ3UN</t>
  </si>
  <si>
    <t>CDNTJUN2</t>
  </si>
  <si>
    <t>天津联通SSL</t>
  </si>
  <si>
    <t>按合并保底计提，2021.7.15开通10G SSL带宽按实际流量计提。差异率3%以内以甲方数据为准，超出3%取中值。与TJ3UN合并保底15G</t>
  </si>
  <si>
    <t>TJSSLUNICOM</t>
  </si>
  <si>
    <t>天津5联通</t>
  </si>
  <si>
    <t>2021.4.30退租。202102-04免费，天津联通，增量100G完成业务测试，已于2021-02-01开始正式切流量上线</t>
  </si>
  <si>
    <t>TJ5UN</t>
  </si>
  <si>
    <t>182315IDC00025</t>
  </si>
  <si>
    <t>天津7
BEC</t>
  </si>
  <si>
    <t>天津7联通</t>
  </si>
  <si>
    <t>CDNTJUN3</t>
  </si>
  <si>
    <t>2023/1/1
2023/4/30</t>
  </si>
  <si>
    <t>按保底计提，TJ7UN节点，2023.1.1开通400G带宽，BEC使用。100M颗粒度，120G保底。差异：0~3取甲方，超出协商</t>
  </si>
  <si>
    <t>TJ7UN</t>
  </si>
  <si>
    <t>L20230531001</t>
  </si>
  <si>
    <t>天津8BEC</t>
  </si>
  <si>
    <t>天津8联通</t>
  </si>
  <si>
    <t>130G</t>
  </si>
  <si>
    <t>【CDN新建】BEC天津联通新建130G2023-05-12节点开始计费  (TJ8UN)</t>
  </si>
  <si>
    <t>TJ8UN</t>
  </si>
  <si>
    <t>天津9BEC</t>
  </si>
  <si>
    <t>天津9联通</t>
  </si>
  <si>
    <t>【CDN新建】BEC天津联通新建180G2023-05-12节点开始计费  (TJ9UN)</t>
  </si>
  <si>
    <t>TJ9UN</t>
  </si>
  <si>
    <t>中国移动通信集团黑龙江有限公司</t>
  </si>
  <si>
    <t>黑龙江移动</t>
  </si>
  <si>
    <t>182315IDC00255</t>
  </si>
  <si>
    <t>哈尔滨2移动</t>
  </si>
  <si>
    <t>2018/7/17
2018/11/9
2020/7/1
2021/10/1
2022/1/1
2022/6/30
2022/7/31
2023/5/31</t>
  </si>
  <si>
    <t>60G
+80G
+80G
+100G
+100G
-80G
-120G
-60G</t>
  </si>
  <si>
    <t>2023/5/31退60G，挪到HRB5CM，颗粒度10M，保底44G；
2022.12.1开始BEC迁移80G至CDN，CDN共使用160G带宽，BEC使用60G带宽；
2023.1.1开始BEC迁移60G至CDN，CDN共使用220G带宽，BEC使用0G带宽</t>
  </si>
  <si>
    <t>HRB2CM</t>
  </si>
  <si>
    <t>L20230627012</t>
  </si>
  <si>
    <t>哈尔滨5移动</t>
  </si>
  <si>
    <t>CDNHEBCM2</t>
  </si>
  <si>
    <t xml:space="preserve"> 按保底计提，【CDN新建】黑龙江哈尔滨移动新建140G  2023-06-01 节点正式上线  (HRB5CM)，140G带宽其中 新增扩容为80G  试用原有节点带宽为60G</t>
  </si>
  <si>
    <t>HRB5CM</t>
  </si>
  <si>
    <t>中国移动通信集团吉林有限公司松原分公司</t>
  </si>
  <si>
    <t>松原移动</t>
  </si>
  <si>
    <t>182115IDC00144</t>
  </si>
  <si>
    <t>松原</t>
  </si>
  <si>
    <t>长春3移动</t>
  </si>
  <si>
    <t>2019/9/1
2022/5/31</t>
  </si>
  <si>
    <t>颗粒度10M，保底0G；2022.5.31节点退租；差异：0-3取均值，超出协商。</t>
  </si>
  <si>
    <t>CC3CM</t>
  </si>
  <si>
    <t>182315IDC00205</t>
  </si>
  <si>
    <t>长春2移动</t>
  </si>
  <si>
    <t>2019/2/11
2022/1/1
2022/7/31
2023/4/30</t>
  </si>
  <si>
    <t>160G
+40G
-100G
-60G</t>
  </si>
  <si>
    <t>2023.4.30退租60G，颗粒度10M，保底40G;2022.1.1边缘计算新增40G带宽、2个机柜、128个IP(自2023.3.1起40G带宽转给CDN使用)</t>
  </si>
  <si>
    <t>CC2CM</t>
  </si>
  <si>
    <t>中国移动通信集团辽宁有限公司沈阳分公司</t>
  </si>
  <si>
    <t>辽宁移动</t>
  </si>
  <si>
    <t>182315IDC00141</t>
  </si>
  <si>
    <t xml:space="preserve">沈阳1+2+3
</t>
  </si>
  <si>
    <t xml:space="preserve">沈阳2移动
</t>
  </si>
  <si>
    <t>2018/9/11
2019/2/10
2022/4/30
2022/5/31
2022/7/31</t>
  </si>
  <si>
    <t>300G
320G
-120G
-180G
-20G-140G</t>
  </si>
  <si>
    <t>颗粒度10M，保底64G；系统部已核实此节点包含沈阳移动+沈阳2移动+沈阳3移动=620G，3%以内取中值，超出协商。2022.5.31SY3CM节点退租180G带宽;2022.7.31SY3CM退租140G带宽，SY2CM退租20G带宽</t>
  </si>
  <si>
    <t>SY2CM</t>
  </si>
  <si>
    <t xml:space="preserve">沈阳6移动
</t>
  </si>
  <si>
    <t>2023.2.1SY6CM边缘计算节点，新增300G带宽;10M颗粒度，120G保底</t>
  </si>
  <si>
    <t>SY6CM</t>
  </si>
  <si>
    <t>中国移动通信集团天津有限公司</t>
  </si>
  <si>
    <t>天津移动</t>
  </si>
  <si>
    <t>L20221229025</t>
  </si>
  <si>
    <t>经与周睿确认，天津移动的100G都在TJ2CM节点出数，颗粒度10M，保底40G，与天津2移动合并</t>
  </si>
  <si>
    <t>TJCM</t>
  </si>
  <si>
    <t>天津2</t>
  </si>
  <si>
    <t>天津2移动</t>
  </si>
  <si>
    <t>2016/10/16
2018/12/1
2022/5/31
2023/3/31</t>
  </si>
  <si>
    <t>40G
60G
-90G
-10G</t>
  </si>
  <si>
    <t>经与周睿确认，天津移动的100G都在TJ2CM节点出数，颗粒度10M，保底4G；与天津移动合并;2022.5.31退租90G带宽，剩余10G转BEC使用；2023.4.2由BEC转CDN使用</t>
  </si>
  <si>
    <t>TJ2CM</t>
  </si>
  <si>
    <t>天津6</t>
  </si>
  <si>
    <t>天津6移动</t>
  </si>
  <si>
    <t>2023.4.1天津2移动BEC的10G带宽由BEC转CDN使用（交付邮件时间为2023.4.2，黄伟确认4月流量全部出在天津6移动上）</t>
  </si>
  <si>
    <t>TJ6CM</t>
  </si>
  <si>
    <t>天津移动SSL</t>
  </si>
  <si>
    <t xml:space="preserve"> </t>
  </si>
  <si>
    <t>按实际流量计提。与CDN合并保底，按实际流量计提</t>
  </si>
  <si>
    <t>TJSSLMOBCOM</t>
  </si>
  <si>
    <t>北京华盛云融科技有限公司</t>
  </si>
  <si>
    <t>华盛云融（鹏博士CDN）</t>
  </si>
  <si>
    <t>182115IDC00202</t>
  </si>
  <si>
    <t>北京鹏博士2</t>
  </si>
  <si>
    <t>CDNBJPBS</t>
  </si>
  <si>
    <t>2021/1/1
2021/3/31</t>
  </si>
  <si>
    <t>320G
-180G</t>
  </si>
  <si>
    <t>202306按照保底计提。包端口。20210101开始计费；
20210331退租180G，退租后140G</t>
  </si>
  <si>
    <t>BJ2PBS</t>
  </si>
  <si>
    <t>深圳鹏博士</t>
  </si>
  <si>
    <t>CDNSZPBS</t>
  </si>
  <si>
    <t>包端口。深圳鹏博士160G于20210331退租；
20210101开始计费</t>
  </si>
  <si>
    <t>上海鹏博士</t>
  </si>
  <si>
    <t>CDNSHPBS</t>
  </si>
  <si>
    <t>202306按照保底计提。包端口。20210101开始计费；</t>
  </si>
  <si>
    <t>SHPBS</t>
  </si>
  <si>
    <t>武汉鹏博士</t>
  </si>
  <si>
    <t>CDNWHPBS</t>
  </si>
  <si>
    <t>WHPBS</t>
  </si>
  <si>
    <t>沈阳鹏博士</t>
  </si>
  <si>
    <t>CDNSYPBS</t>
  </si>
  <si>
    <t>100G
-20G</t>
  </si>
  <si>
    <t>202306按照保底计提。包端口。20210101开始计费。；
沈阳鹏博士20210331退租20G，退租后80G</t>
  </si>
  <si>
    <t>SYPBS</t>
  </si>
  <si>
    <t>佛山鹏博士</t>
  </si>
  <si>
    <t>CDNFSPBS</t>
  </si>
  <si>
    <t>200G
-60G</t>
  </si>
  <si>
    <t>202306按照保底计提。包端口。20210101开始计费；
佛山鹏博士20210331退租60G，退租后140G</t>
  </si>
  <si>
    <t>FSPBS</t>
  </si>
  <si>
    <t>成都鹏博士</t>
  </si>
  <si>
    <t>CDNCDPBS</t>
  </si>
  <si>
    <t>200G
-160G</t>
  </si>
  <si>
    <t>202306按照保底计提。包端口。20210101开始计费；
成都鹏博士20210331退租160G，退租后40G</t>
  </si>
  <si>
    <t>CDPBS</t>
  </si>
  <si>
    <t>重庆鹏博士</t>
  </si>
  <si>
    <t>CDNCQPBS</t>
  </si>
  <si>
    <t>202306按照保底计提。包端口。20210101开始计费；
重庆鹏博士20210331退租20G，退租后20G</t>
  </si>
  <si>
    <t>CQPBS</t>
  </si>
  <si>
    <t>北京企通达科技有限公司</t>
  </si>
  <si>
    <t>企通达（鹏博士BGP）</t>
  </si>
  <si>
    <t>182115IDC00629</t>
  </si>
  <si>
    <t>北京鹏博士BGP</t>
  </si>
  <si>
    <t>BGP电信通</t>
  </si>
  <si>
    <t>BB</t>
  </si>
  <si>
    <t>2021/1/1
2022/4/12</t>
  </si>
  <si>
    <t>120G
80G</t>
  </si>
  <si>
    <t>20220412扩容80G。无保底，100M颗粒度</t>
  </si>
  <si>
    <t>DianXinTong_BGP</t>
  </si>
  <si>
    <t>深圳鹏博士BGP</t>
  </si>
  <si>
    <t>BGP电信通2</t>
  </si>
  <si>
    <t>SZM3B</t>
  </si>
  <si>
    <t>2021/1/1
2021/11/19</t>
  </si>
  <si>
    <t>20G+60G</t>
  </si>
  <si>
    <t>SZM3B机房至电信通运营商出口扩容60G，开始计费时间为11月19日，无保底，100M颗粒度</t>
  </si>
  <si>
    <t>SZM3B-DIANXINTONG</t>
  </si>
  <si>
    <t>赛尔新技术（北京）有限公司</t>
  </si>
  <si>
    <t>赛尔</t>
  </si>
  <si>
    <t>L20230330001</t>
  </si>
  <si>
    <t>北京20G，广州20G</t>
  </si>
  <si>
    <t>BGP教育网</t>
  </si>
  <si>
    <t>CDNBJCE</t>
  </si>
  <si>
    <t>保底8.5G，超过8.5G不收费。100M。北京20G，广州20G，共40G合并计费</t>
  </si>
  <si>
    <t>Cernet</t>
  </si>
  <si>
    <t>L20210407003</t>
  </si>
  <si>
    <t>华南理工-M2A</t>
  </si>
  <si>
    <t>BGP广州教育网</t>
  </si>
  <si>
    <t>调整单价，不影响计提结算。BGP广州教育网与BGP教育网合并计费</t>
  </si>
  <si>
    <t>GZNSCernet_BGP</t>
  </si>
  <si>
    <t>CDN教育网北京60G、武汉20G、上海20G</t>
  </si>
  <si>
    <t>北京教育网</t>
  </si>
  <si>
    <t>CDNBJCE2</t>
  </si>
  <si>
    <t>2014/1/1，2021/12/01</t>
  </si>
  <si>
    <t>保底24G，100M.超过保底按实际流量计费。CDN教育网北京60G、武汉20G、上海20G。</t>
  </si>
  <si>
    <t>BJCE</t>
  </si>
  <si>
    <t>L20220419001</t>
  </si>
  <si>
    <t>广州教育网</t>
  </si>
  <si>
    <t>CDNGZCE</t>
  </si>
  <si>
    <t>2022/4/1
2022/4/30</t>
  </si>
  <si>
    <t>免费节点，预计使用1个月：广州教育节点</t>
  </si>
  <si>
    <t>GZCE</t>
  </si>
  <si>
    <t>中广宽带网络有限公司</t>
  </si>
  <si>
    <t>中广宽带</t>
  </si>
  <si>
    <t>182215IDC00557</t>
  </si>
  <si>
    <t>湖北武汉</t>
  </si>
  <si>
    <t>武汉2广电</t>
  </si>
  <si>
    <t>CDNWHOC2</t>
  </si>
  <si>
    <t>【CDN新建】湖北武汉广电新建20G免费节点</t>
  </si>
  <si>
    <t>WH2OC</t>
  </si>
  <si>
    <t>华北-WM</t>
  </si>
  <si>
    <t>中国电信股份有限公司北京分公司</t>
  </si>
  <si>
    <t>北京电信</t>
  </si>
  <si>
    <t>182015IDC00224</t>
  </si>
  <si>
    <t>兆维
BJHW-TELECOM</t>
  </si>
  <si>
    <t>BJHW-电信</t>
  </si>
  <si>
    <t>2007/9/1
2021/1/29</t>
  </si>
  <si>
    <t>140G+120G</t>
  </si>
  <si>
    <t>于2021.1.29扩容120G；颗粒度1G,北京电信+M1-电信新40G 合并端口计费，保底100G；</t>
  </si>
  <si>
    <t>BJHW-TELECOM</t>
  </si>
  <si>
    <t>补5月计提，提100G，结102G，补2G</t>
  </si>
  <si>
    <t>科技城CP01
CP01-TELECOM</t>
  </si>
  <si>
    <t>CP01-电信</t>
  </si>
  <si>
    <t>于2021.1.29关闭。颗粒度1G；昌平电信原60G+昌平电信新60G 合并新端口计费，保底40G.</t>
  </si>
  <si>
    <t>CP01-TELECOM</t>
  </si>
  <si>
    <t>科技城CP01</t>
  </si>
  <si>
    <t>阳泉电信2</t>
  </si>
  <si>
    <t>阳泉1（40G）和阳泉2（60G）节点于2020年8月合并，新建端口组  BJHW-电信CDN。</t>
  </si>
  <si>
    <t>YQ01-TELECOM_N60</t>
  </si>
  <si>
    <t>合并至BJHW-电信CDN</t>
  </si>
  <si>
    <t>兆维CDN静态</t>
  </si>
  <si>
    <t>2014/1/27
2022/5/1</t>
  </si>
  <si>
    <t>40G
100G</t>
  </si>
  <si>
    <t>按保底计提。自2022.5.1扩容100G开始，颗粒度100M，保底42G，降价为6000元/月/G（
182215IDC00260）。原颗粒度1G，保底12G。</t>
  </si>
  <si>
    <t>BJCT</t>
  </si>
  <si>
    <t>次渠CDN</t>
  </si>
  <si>
    <t>BJHW-电信CDN</t>
  </si>
  <si>
    <t>2016/3/19
2018/12/12
2021/5/14
2022/4/15</t>
  </si>
  <si>
    <t>40G
60G
40G
-140G</t>
  </si>
  <si>
    <t>颗粒度1G。保底42G（2021.4.27迁移至次渠机房），阳泉1（40G）和阳泉2（60G）节点于2020年8月合并，新建端口组  BJHW-电信CDN。2021.5.14扩容40G带宽，保底不变。2022.4.15退租140G。</t>
  </si>
  <si>
    <t>BJHW-CT-ST-2</t>
  </si>
  <si>
    <t>次渠CDN静态</t>
  </si>
  <si>
    <t>BJDD-电信CDN</t>
  </si>
  <si>
    <t>BJDD</t>
  </si>
  <si>
    <t>2022.5.1开通600G带宽，颗粒度100M，保底120G，补充协议（
182215IDC00260）</t>
  </si>
  <si>
    <t>BJDD-CT-ST-1</t>
  </si>
  <si>
    <t>补5月计提，提228G，结232.4G，补4.4G</t>
  </si>
  <si>
    <t>兆维
TELECOM_BGP</t>
  </si>
  <si>
    <t>BGP北京电信</t>
  </si>
  <si>
    <t>2009/6/9  
2020-4-15</t>
  </si>
  <si>
    <t>40G+40G</t>
  </si>
  <si>
    <t>保底计提。颗粒度1G，保底20G。8个万兆端口，其中6个万兆端口收取端口占用费， 3万元/个/月，共计18万元/月（含保底4.8万元/月天翼云服务）；每提高5G保底，可减免一个端口占用费。</t>
  </si>
  <si>
    <t>TELECOM_BGP</t>
  </si>
  <si>
    <t>中国电信股份有限公司</t>
  </si>
  <si>
    <t>石家庄电信</t>
  </si>
  <si>
    <t>182215IDC00605</t>
  </si>
  <si>
    <t>0G</t>
  </si>
  <si>
    <t>2019-11-30退租120G;保底36G,100M颗粒度；新合同2021.8.1单价降为9500元/G/月</t>
  </si>
  <si>
    <t>SJZCT</t>
  </si>
  <si>
    <t>退租</t>
  </si>
  <si>
    <t>石家庄2</t>
  </si>
  <si>
    <t>石家庄电信2</t>
  </si>
  <si>
    <t>2019-11-30退租80G,保底24G;2020-1-13退租80G；新合同2021.8.1单价降为9500元/G/月</t>
  </si>
  <si>
    <t>SJZ2CT</t>
  </si>
  <si>
    <t>石家庄3
SJZ3CT</t>
  </si>
  <si>
    <t>石家庄3电信</t>
  </si>
  <si>
    <t>2018/9/1
2022/4/30</t>
  </si>
  <si>
    <t>160G
-80G</t>
  </si>
  <si>
    <t>按保底计提。保底24G，100M颗粒度，合同约定单价11583；新合同2021.8.1单价降为9500元/G/月；2022.4.30退租80G带宽。差异：0-3取中值，超出协商</t>
  </si>
  <si>
    <t>SJZ3CT</t>
  </si>
  <si>
    <t>石家庄4
SJZ4CT</t>
  </si>
  <si>
    <t>石家庄4电信</t>
  </si>
  <si>
    <t>2018/11/1
2021/12/31</t>
  </si>
  <si>
    <t>保底48G，合同约定单价11583；新合同2021.8.1单价降为9500元/G/月；差异：0-1取甲方、1-3取均值、超出协商</t>
  </si>
  <si>
    <t>SJZ4CT</t>
  </si>
  <si>
    <t>廊坊电信</t>
  </si>
  <si>
    <t>廊坊2
LF2CT</t>
  </si>
  <si>
    <t>廊坊2电信</t>
  </si>
  <si>
    <t>2013/11/22
2021/3/31</t>
  </si>
  <si>
    <t>2021.3.31退租，保底48G，100M颗粒度；新合同2021.8.1单价降为9500元/G/月</t>
  </si>
  <si>
    <t>LF2CT</t>
  </si>
  <si>
    <t>廊坊3
LF3CT</t>
  </si>
  <si>
    <t>廊坊3电信</t>
  </si>
  <si>
    <t>2018/7/29
2020/1/1
2022/5/31</t>
  </si>
  <si>
    <t>160G
+140G
-260G</t>
  </si>
  <si>
    <t>按保底计提。合并保底12G，100M颗粒度；新合同2021.8.1单价降为9500元/G/月;2022.5.31退租260G带宽；差异：0-3取中值，超出协商</t>
  </si>
  <si>
    <t>LF3CT</t>
  </si>
  <si>
    <t>补5月计提，提12.1G，结12.25G，补0.15G</t>
  </si>
  <si>
    <t>廊坊4</t>
  </si>
  <si>
    <t>廊坊4电信</t>
  </si>
  <si>
    <t>2018/11/1
2020/1/1</t>
  </si>
  <si>
    <t>140G
-140g</t>
  </si>
  <si>
    <t>2020-1-1廊坊4电信于廊坊3电信合并计费；新合同2021.8.1单价降为9500元/G/月</t>
  </si>
  <si>
    <t>LF4CT</t>
  </si>
  <si>
    <t>合并至廊坊3电信</t>
  </si>
  <si>
    <t>廊坊5
LF5CT</t>
  </si>
  <si>
    <t>廊坊5电信</t>
  </si>
  <si>
    <t>2020/5/1
2021/3/31</t>
  </si>
  <si>
    <t>2021.3.31退租，保底42G，100M颗粒度；新合同2021.8.1单价降为9500元/G/月</t>
  </si>
  <si>
    <t>LF5CT</t>
  </si>
  <si>
    <t>唐山电信</t>
  </si>
  <si>
    <t>唐山</t>
  </si>
  <si>
    <t>2020年1月10日退租100G,；新合同2021.8.1单价降为9500元/G/月</t>
  </si>
  <si>
    <t>TSCT</t>
  </si>
  <si>
    <t>唐山
TS2CT</t>
  </si>
  <si>
    <t>唐山2电信</t>
  </si>
  <si>
    <t>2019/2/14
2020/1/10
2022/4/30
2022/5/31</t>
  </si>
  <si>
    <t>200G
-40G
-80G
-40G</t>
  </si>
  <si>
    <t>按保底计提。2020年1月10日退租40G,2022.4.30退租80G；2022.5.31退租40G，保底更新为12G，100M颗粒度；差异条款：0-3取中值，超出协商；新合同2021.8.1单价降为9500元/G/月</t>
  </si>
  <si>
    <t>TS2CT</t>
  </si>
  <si>
    <t>中国联合网络通信有限公司河北省分公司</t>
  </si>
  <si>
    <t>河北联通</t>
  </si>
  <si>
    <t>182315IDC00235</t>
  </si>
  <si>
    <t>石家庄1
HBSSLUNICOM</t>
  </si>
  <si>
    <t>河北联通SSL</t>
  </si>
  <si>
    <t>2010/1/8
2021/6/30</t>
  </si>
  <si>
    <t xml:space="preserve"> 2021.6.30节点退租。SSL-1  颗粒度100M，每个万兆端口保底3G。</t>
  </si>
  <si>
    <t>HBSSLUNICOM</t>
  </si>
  <si>
    <t>石家庄2
HBSSLUNICOM-2</t>
  </si>
  <si>
    <t>石家庄联通SSL</t>
  </si>
  <si>
    <t>2010/1/8
2021/5/31
2022/11/30</t>
  </si>
  <si>
    <t>30G
-20G
-10G</t>
  </si>
  <si>
    <t>2022.11.30节点退租。SSL-2   颗粒度100M，保底3G；2021.5.31退租20G带宽。0-3取乙方，超出协商</t>
  </si>
  <si>
    <t>HBSSLUNICOM-2</t>
  </si>
  <si>
    <t>0%%</t>
  </si>
  <si>
    <t>沧州
CANGZUNCACHE</t>
  </si>
  <si>
    <t>沧州联通</t>
  </si>
  <si>
    <t>按保底计提。颗粒度100M，保底48G；0-3取乙方，超出协商</t>
  </si>
  <si>
    <t>CANGZUNCACHE</t>
  </si>
  <si>
    <t>保定
BDUN</t>
  </si>
  <si>
    <t>保定联通二级</t>
  </si>
  <si>
    <t>历史开通
2021/11/1</t>
  </si>
  <si>
    <t>按保底计提。颗粒度100M，保底90G；0-3取乙方，超出协商;2021.10.1扩容140G带宽，自2021.11.1开始计费。</t>
  </si>
  <si>
    <t>BDUNCACHE</t>
  </si>
  <si>
    <t>邯郸
HDUN</t>
  </si>
  <si>
    <t>云自采-邯郸联通</t>
  </si>
  <si>
    <t>按保底计提。颗粒度100M，保底24G，扩容到16个万兆按7500元/G/月执行；0-3取乙方，超出协商</t>
  </si>
  <si>
    <t>HDUN</t>
  </si>
  <si>
    <t>补1月计提，提26.1G，结26.6G，补0.5G</t>
  </si>
  <si>
    <t>邢台
XTUN</t>
  </si>
  <si>
    <t>云自采-邢台联通</t>
  </si>
  <si>
    <t>按保底计提。颗粒度100M，保底48G，扩容到16个万兆按7500元/G/月执行；0-3取乙方，超出协商</t>
  </si>
  <si>
    <t>XTUN</t>
  </si>
  <si>
    <t xml:space="preserve">唐山
唐山2
唐山3
唐山4
TS2UN
</t>
  </si>
  <si>
    <t>唐山4联通</t>
  </si>
  <si>
    <t>TSUN
TS2UN
TS3UN
TS4UN</t>
  </si>
  <si>
    <t>2018/6/20
2018/10/16
2022/5/31
2022/4/30
2022/12/31
2018/11/27
2019/2/20
2022/6/1
2022/12/31</t>
  </si>
  <si>
    <t>TSUN:160G-50G-110G
TS2UN:160G-60G-100G
TS4UN:200G+80G+20G-100G</t>
  </si>
  <si>
    <t>按保底计提。100M颗粒度，保底60G
唐山：于2018.7.25开始计费,保底48G，2022.5.31退租90G带宽后，保底更新为6G；
唐山2：2018.10.16开始计费，保底48G（自2022.1.20开始TS2UN节点160G带宽转BEC使用）；
唐山3：2018.11.27开始计费，保底24G；
唐山4：2019.2.20开始计费，保底60G。
唐山于2020.6.30退租5个端口（唐山3联通80G合并至唐山4联通200个，共280G）;2022.4.30TS2UN节点退租60G带宽。2022.5.31TSUN节点退租90G带宽，剩余20G合并至TS4UN节点上；
TS2UN 100G带宽2022.11.30退租，转TS4UN节点.0-3取乙方，超出协商</t>
  </si>
  <si>
    <t>TS4UN</t>
  </si>
  <si>
    <t>唐山7</t>
  </si>
  <si>
    <t>唐山7联通</t>
  </si>
  <si>
    <t>TS7UN
（CDNTSUN）</t>
  </si>
  <si>
    <t>按保底计提。2023.1.1新建TS7UN节点200G（由TS4UN节点转100G、TS2UN节点转100G）</t>
  </si>
  <si>
    <t>TS7UN</t>
  </si>
  <si>
    <t>L20210324002</t>
  </si>
  <si>
    <t>唐山6</t>
  </si>
  <si>
    <t>唐山6联通</t>
  </si>
  <si>
    <t>TS6UN</t>
  </si>
  <si>
    <t>2020/7/29
2022/1/1
2022/5/31
2023/4/6</t>
  </si>
  <si>
    <t>150G
+50G
-40G
+40G</t>
  </si>
  <si>
    <t>此节点免费，河北唐山联通 增量150G完成业务测试，已于2020-07-29开始正式切流量上线.;2022.1.1扩容50G带宽；2022.5.31退租40G带宽。2023.4.6扩容40G带宽</t>
  </si>
  <si>
    <t>廊坊
LFUN</t>
  </si>
  <si>
    <t>廊坊联通</t>
  </si>
  <si>
    <t>2018/10/11
2022/5/31</t>
  </si>
  <si>
    <t>2022.5.31节点退租。10.11开始计费，20个万兆端口，60G保底，100M颗粒度；0-3取乙方，超出协商</t>
  </si>
  <si>
    <t>LFUN</t>
  </si>
  <si>
    <t>保定大王店
BDDWD-CU-ST-2</t>
  </si>
  <si>
    <t>BDDWD-联通CDN</t>
  </si>
  <si>
    <t>保定三级联通</t>
  </si>
  <si>
    <t>60G保底
BDDWD机房联通CDN出口开通200G，于2021-9-30交付;于2021.10.1开始计费；（CDN出口给IDC使用；保定三级联通节点）0-3取乙方，超出协商</t>
  </si>
  <si>
    <t>BDDWD-CU-ST-2</t>
  </si>
  <si>
    <t>182115IDC00119</t>
  </si>
  <si>
    <t>保定大王店
BDDWD-CU-ST-1</t>
  </si>
  <si>
    <t>BDDWD-联通</t>
  </si>
  <si>
    <t>2020/10/26
2021/3/1</t>
  </si>
  <si>
    <t>2020年10月26日开始计费，100M颗粒度，保底80G。0-3取均值，超出协商</t>
  </si>
  <si>
    <t>BDDWD-CU-ST-1</t>
  </si>
  <si>
    <t>补5月计提，提103.6G，依据合同条款暂按中值105.7G结算，补2.1G</t>
  </si>
  <si>
    <t>182115IDC00455</t>
  </si>
  <si>
    <t>保定大王店
联通BGP</t>
  </si>
  <si>
    <t>BDDWD-联通BGP</t>
  </si>
  <si>
    <t>按保底计提。2021年2月6日开始计费，合同未签署，暂按100M颗粒度，保底1G，20G端口限速1G。</t>
  </si>
  <si>
    <t>BDDWD-CU-BGP-1</t>
  </si>
  <si>
    <t>石家庄3</t>
  </si>
  <si>
    <t>石家庄3联通</t>
  </si>
  <si>
    <t>CDNSJZUN</t>
  </si>
  <si>
    <t>450G</t>
  </si>
  <si>
    <t>石家庄3联通边缘计算于2023.5.1开通450G带宽，100M颗粒度，30%保底</t>
  </si>
  <si>
    <t>SJZ3UN</t>
  </si>
  <si>
    <t>补5月计提，提169.2G，结173G结算，补3.8G</t>
  </si>
  <si>
    <t>衡水</t>
  </si>
  <si>
    <t>衡水联通</t>
  </si>
  <si>
    <t>CDNHENGSUN</t>
  </si>
  <si>
    <t>250G</t>
  </si>
  <si>
    <t>按保底计提。衡水联通边缘计算于2023.5.1开通250G带宽100M颗粒度，30%保底</t>
  </si>
  <si>
    <t>HENGSUN</t>
  </si>
  <si>
    <t>补5月计提，提76.7G，结78.301G结算，补1.601G</t>
  </si>
  <si>
    <t>沧州2</t>
  </si>
  <si>
    <t>沧州2联通</t>
  </si>
  <si>
    <t>CDNCANGZUN</t>
  </si>
  <si>
    <t>沧州2联通边缘计算于2023.5.1开通200G带宽100M颗粒度，30%保底</t>
  </si>
  <si>
    <t>CANGZ2UN</t>
  </si>
  <si>
    <t>补5月计提，提60.7G，结93G结算，补32.3G</t>
  </si>
  <si>
    <t>中国移动通信集团河北有限公司</t>
  </si>
  <si>
    <t>廊坊移动</t>
  </si>
  <si>
    <t xml:space="preserve">带宽 </t>
  </si>
  <si>
    <t>182215IDC00679</t>
  </si>
  <si>
    <t>保定二级</t>
  </si>
  <si>
    <t>保定移动二级</t>
  </si>
  <si>
    <t>2018/8/29
2018/11/14
2020/12/31
2023/1/31</t>
  </si>
  <si>
    <t>200G+140G
-20G</t>
  </si>
  <si>
    <t>2020.12.31开始保定2移动140G合并至保定移动二级，100M；2023.2.1起与BDGF-移动合并计费，保底144G，。差异：3%以内以甲方为准，超出协商。</t>
  </si>
  <si>
    <t>BDCMCACHE</t>
  </si>
  <si>
    <t xml:space="preserve">保定百楼
BD_CM_ST_1 </t>
  </si>
  <si>
    <t>BDGF-移动</t>
  </si>
  <si>
    <t>2023.2.1起转廊坊移动，与保定移动二级节点合并计费。2021.1.19开通40G，保底16G，颗粒度10M。与BDBL-移动合并（另备注：BDGF-移动与保定2移动共160G，属于CDN、高防、SSL共同使用，无法区分，CDN和高防可以用到160G，SSL复用高防20G）</t>
  </si>
  <si>
    <t>BDBL-CM-ST-2</t>
  </si>
  <si>
    <t>保定
DBL-HEBEI_MOBCOM</t>
  </si>
  <si>
    <t>大白楼河北移动</t>
  </si>
  <si>
    <t>于2020.11.30退租。静态带宽，60G，保底18G按照CDN单价计费</t>
  </si>
  <si>
    <t>DBL-HEBEI_MOBCOM</t>
  </si>
  <si>
    <t>保定百楼
BDBL-MOBCOM_BGP</t>
  </si>
  <si>
    <t>保定百楼移动BGP</t>
  </si>
  <si>
    <t>按保底计提。开通20G,10%保底即2G</t>
  </si>
  <si>
    <t>BDBL-MOBCOM_BGP</t>
  </si>
  <si>
    <t>中国移动通信集团河北有限公司承德分公司</t>
  </si>
  <si>
    <t>承德移动</t>
  </si>
  <si>
    <t>182315IDC00244</t>
  </si>
  <si>
    <t>承德2
BEC</t>
  </si>
  <si>
    <t>承德2移动</t>
  </si>
  <si>
    <t>CDNCHENGDCM</t>
  </si>
  <si>
    <t>承德2移动BEC节点，2023.1.9开通200G带宽，40%保底，10M颗粒度</t>
  </si>
  <si>
    <t>CHENGD2CM</t>
  </si>
  <si>
    <t>中国移动通信集团河北有限公司保定分公司</t>
  </si>
  <si>
    <t>保定移动</t>
  </si>
  <si>
    <t>182315IDC00195</t>
  </si>
  <si>
    <t>保定
BD_CM_ST_1</t>
  </si>
  <si>
    <t>BDBL-移动</t>
  </si>
  <si>
    <t>2020/3/1
2020/11/27
2020/11/28
2021/10/1</t>
  </si>
  <si>
    <t>100G
+60G
+160G
+280G</t>
  </si>
  <si>
    <t>合并保底共360G，10M颗粒度
静态端口从3月1号开始保留100G，自2020年7月开始执行6100元/g/月，保底40G，.2020.11.27扩容60G，保底24G，。2020.11.28扩容160G，保底64G。2021.9.30扩容280G，于2021.10.1开始计费；CDN出口实际是IDC使用；差异：0-3取均值，超出协商。</t>
  </si>
  <si>
    <t>BDBL-CM-ST-1</t>
  </si>
  <si>
    <t xml:space="preserve">保定
BD_CM_ST_1 </t>
  </si>
  <si>
    <t>BDBL-移动CDN</t>
  </si>
  <si>
    <t>2020/12/30
2021/4/1</t>
  </si>
  <si>
    <t>自2021.4.1开始，2020.12.30开通的100G从BDBL-移动中拆分出来，并扩容至260G，保底104G，颗粒度10M。保定三级移动节点使用。与BDBL-移动合并</t>
  </si>
  <si>
    <t>BDBL-CM-ST-3</t>
  </si>
  <si>
    <t>2021/1/19
2023/2/1</t>
  </si>
  <si>
    <t xml:space="preserve">保定2移动
BD_CM_ST_1 </t>
  </si>
  <si>
    <t>保定2移动</t>
  </si>
  <si>
    <t>历史开通
2020/12/31
2021/1/1
2022/12/31</t>
  </si>
  <si>
    <t>140G-140G+120G
-120G</t>
  </si>
  <si>
    <t>2020.12.31开通120G，于2021.1.1开始计费，40%保底，100M颗粒度，保底48G。与BDBL-移动合并（另备注：BDGF-移动与保定2移动共160G，属于CDN、高防、SSL共同使用，无法区分，CDN和高防可以用到160G，SSL复用高防20G）2022.12.31退租120G。</t>
  </si>
  <si>
    <t>BD2CM</t>
  </si>
  <si>
    <t>中国电信股份有限公司保定分公司</t>
  </si>
  <si>
    <t>保定电信</t>
  </si>
  <si>
    <t>182115IDC00095</t>
  </si>
  <si>
    <t>保定大王店
BDDWD-CT-ST-1</t>
  </si>
  <si>
    <t>BDDWD-电信</t>
  </si>
  <si>
    <t>2020年10月27日开始计费，100M颗粒度，保底20G；0-3取中值，超出协商</t>
  </si>
  <si>
    <t>BDDWD-CT-ST-1</t>
  </si>
  <si>
    <t>定兴
BDDX-CT-ST-2</t>
  </si>
  <si>
    <t>BDDX-电信CDN</t>
  </si>
  <si>
    <t>BDDX</t>
  </si>
  <si>
    <t>2021/1/1
2021/9/1</t>
  </si>
  <si>
    <t>200G
+200G</t>
  </si>
  <si>
    <t>108G保底（按360G带宽计算保底），100M颗粒度保定定兴电信，2021.1.1开始计费，使用200G带宽，IPv4地址每万兆免费提供32个，超出部分30个/月；IPv6地址免费提供；此节点为保定三级电信使用。2021.7.22扩容200G，于2021.9.1开始计费。；新合同2021.8.1单价降为9500元/G/月（CDN出口，给IDC使用）；实际使用400G，免费40G，运营商侧记录360G，保底按360G计算。0-3取中值，超出协商</t>
  </si>
  <si>
    <t>BDDX-CT-ST-2</t>
  </si>
  <si>
    <t>补5月计提，提117.1G，结118.78G，补1.68G</t>
  </si>
  <si>
    <t>定兴
BDDX-CT-ST-1</t>
  </si>
  <si>
    <t>BDDX-电信</t>
  </si>
  <si>
    <t>按保底计提。120G保底，100M颗粒度。BDDX机房电信出口开通400G，于2021-9-30交付，于2021-11-1开始计费。0-3取中值，超出协商</t>
  </si>
  <si>
    <t>BDDX-CT-ST-1</t>
  </si>
  <si>
    <t>补5月计提，提122.6G，结125.93G，补3.33G</t>
  </si>
  <si>
    <t>保定大王店
电信BGP</t>
  </si>
  <si>
    <t>BDDWD-电信BGP</t>
  </si>
  <si>
    <t>保底计提。2021年2月1日开始计费，合同未签署，暂按100M颗粒度，保底1G；20G端口限速1G。</t>
  </si>
  <si>
    <t>BDDWD-CT-BGP-1</t>
  </si>
  <si>
    <t>华中-WM</t>
  </si>
  <si>
    <t>中国联合网络通信有限公司武汉市分公司</t>
  </si>
  <si>
    <t>武汉联通</t>
  </si>
  <si>
    <t>182015IDC00374</t>
  </si>
  <si>
    <t>武汉
WHGG-UNICOM_BGP</t>
  </si>
  <si>
    <t>武汉光谷联通BGP</t>
  </si>
  <si>
    <t>2018/8/21 WHGG-UNICOM_BGP</t>
  </si>
  <si>
    <t>按保底计提。保底1G</t>
  </si>
  <si>
    <t>WHGG-UNICOM_BGP</t>
  </si>
  <si>
    <t>中国电信股份有限公司湖北互联网数据事业部</t>
  </si>
  <si>
    <t>黄石电信</t>
  </si>
  <si>
    <t>L20230322002</t>
  </si>
  <si>
    <t>黄石电信
HSCTCACHE</t>
  </si>
  <si>
    <t>2015/1/28
2021/5/1
2021/6/30
2021/10/1
2021/11/1
2022/8/31</t>
  </si>
  <si>
    <t>120G
+10G
-10G
+140G
+140G
-200G</t>
  </si>
  <si>
    <t>2023年5月保底暂时下调为25%，颗粒度100M
。HSCT、HS2CT、HS3CT合并至HS2CT，2021.5.1从SSL迁移10G给CDN使用；2022.8.31迁移200G带宽至襄阳电信二级节点；2022.9开始拆分计提，不合并，帮SSL10G跑保底</t>
  </si>
  <si>
    <t>HSCTCACHE</t>
  </si>
  <si>
    <t>黄石电信SSL
WHHSSSLTELECOM</t>
  </si>
  <si>
    <t>黄石电信SSL</t>
  </si>
  <si>
    <t>2017/4/1
2021/5/1</t>
  </si>
  <si>
    <t>20G-10G</t>
  </si>
  <si>
    <t>颗粒度100M
。与HSCTCACHE合并保底，按实际流量计提。</t>
  </si>
  <si>
    <t>WHHSSSLTELECOM</t>
  </si>
  <si>
    <t>黄石2电信
HS2CT</t>
  </si>
  <si>
    <t>黄石2电信</t>
  </si>
  <si>
    <t>2023年5月保底暂时下调为25%，颗粒度100M
；1%以内以甲方为准，1%~3%取中值，超出协商；2022.9开始拆分计提，不合并</t>
  </si>
  <si>
    <t>HS2CT</t>
  </si>
  <si>
    <t>黄石3电信
HS3CT</t>
  </si>
  <si>
    <t>黄石3电信</t>
  </si>
  <si>
    <t>2023年5月保底暂时下调为25%，颗粒度100M
。HSCT、HS2CT、HS3CT合并至HS2CT；2022.9开始拆分计提，不合并</t>
  </si>
  <si>
    <t>HS3CT</t>
  </si>
  <si>
    <t>襄阳电信</t>
  </si>
  <si>
    <t>云自采-襄阳电信 XIANGYCT</t>
  </si>
  <si>
    <t>云自采-襄阳电信</t>
  </si>
  <si>
    <t>2017/10/10
2022/9/1</t>
  </si>
  <si>
    <t>160G
+200G</t>
  </si>
  <si>
    <t>2023年5月保底暂时下调为25%，100M颗粒度,保底108G;2022.9.1新增200G带宽，从HSCTCACHE节点迁移</t>
  </si>
  <si>
    <t>XIANGYCT</t>
  </si>
  <si>
    <t>襄阳电信2 XIANGY2CT</t>
  </si>
  <si>
    <t>襄阳电信2</t>
  </si>
  <si>
    <t>2023年5月保底暂时下调为25%，100M颗粒度,保底48G</t>
  </si>
  <si>
    <t>XIANGY2CT</t>
  </si>
  <si>
    <t>襄阳三级电信 XIANGYIXCT</t>
  </si>
  <si>
    <t>襄阳三级电信</t>
  </si>
  <si>
    <t>2023年5月保底暂时下调为25%，100M颗粒度,保底48G；差异：0-1以百度为准，1-3取中值，超出协商</t>
  </si>
  <si>
    <t>XIANGYIXCT</t>
  </si>
  <si>
    <t>XN襄阳三级电信</t>
  </si>
  <si>
    <t>100M颗粒度,保底48G;襄阳三级电信2022.9.8扩容120G；差异：0-1以百度为准，1-3取中值，超出协商</t>
  </si>
  <si>
    <t>XNXIANGYIXCT</t>
  </si>
  <si>
    <t>中国联合网络通信有限公司黄石市分公司</t>
  </si>
  <si>
    <t>黄石联通</t>
  </si>
  <si>
    <t>182215IDC00678</t>
  </si>
  <si>
    <t>30G保底，1M颗粒度，HSUN节点，2022.10.1新增100G带宽</t>
  </si>
  <si>
    <t>HSUN</t>
  </si>
  <si>
    <t>补4月计提。BEC更新百度流量84.26G，依据合同按84.26G结算，补计提4.26G</t>
  </si>
  <si>
    <t>182015IDC00343</t>
  </si>
  <si>
    <t>武汉联通SSL</t>
  </si>
  <si>
    <t>历史开通
2019/12/31
2022/11/30</t>
  </si>
  <si>
    <t>20G
-10G
-10G</t>
  </si>
  <si>
    <t>2022.11.30节点退租。2019/12/31退10G,退租后SSL保底3G，100M颗粒度；（TCO机房：武汉联通    武汉联通SSL合并计费）CDN 60G已于8.24下线</t>
  </si>
  <si>
    <t>WHSSLUNICOM</t>
  </si>
  <si>
    <t>L20221229013</t>
  </si>
  <si>
    <t>武汉联通CDN</t>
  </si>
  <si>
    <t>武汉3联通</t>
  </si>
  <si>
    <t>CDNWHUN2</t>
  </si>
  <si>
    <t>WH3UN节点，2022.9.1开始计费40G带宽，保底12G，颗粒度100M；差异：0-1以百度为准，1-3取中值，超出协商</t>
  </si>
  <si>
    <t>WH3UN</t>
  </si>
  <si>
    <t>武汉4联通</t>
  </si>
  <si>
    <t>CDNWHUN4</t>
  </si>
  <si>
    <t>2022/10/1
2023/4/1
2023/5/16</t>
  </si>
  <si>
    <t>40G
+100G
-140</t>
  </si>
  <si>
    <t>于2023.5.16节点退租。WH4UN节点，2022.10.1新增40G带宽，免费使用；武汉联通40G在22年10月至23年8月赠送；2023.4.1扩容100G带宽</t>
  </si>
  <si>
    <t>WH4UN</t>
  </si>
  <si>
    <t>武汉5联通</t>
  </si>
  <si>
    <t>CDNWHUN5</t>
  </si>
  <si>
    <t>按保底折天计提。2023.6.8WH5UN节点，BEC新增20G带宽，保底G，颗粒度M</t>
  </si>
  <si>
    <t>WH5UN</t>
  </si>
  <si>
    <t>中国联合网络通信有限公司襄阳市分公司</t>
  </si>
  <si>
    <t>襄阳联通</t>
  </si>
  <si>
    <t>L20230423001</t>
  </si>
  <si>
    <t>襄阳三线</t>
  </si>
  <si>
    <t>襄阳三级联通</t>
  </si>
  <si>
    <t>XIANGYIXUN</t>
  </si>
  <si>
    <t>2019/6/6
2021/9/1
2022/4/30
2022/9/20</t>
  </si>
  <si>
    <t>80G
+40G
-80G
+60G</t>
  </si>
  <si>
    <t>30G保底，1M颗粒度。该节点未使用机架；差异解决：0-3,以百度为准、3-5取中值、超出双方协商。2021.9.1扩容40G带宽，自9.1开始合并计费对我司有利（商务确认9.23开始计费）2022.4.30关闭80G带宽转签代理合同。7月建议计费带宽为35.03G，与橘智按端口比例拆分；2022年9月20日新增的60G，9月无保底，与40G分开计费。2022年10月1日开始，40G与60G合并计费。</t>
  </si>
  <si>
    <t>橘智科技有限公司</t>
  </si>
  <si>
    <t>橘智科技</t>
  </si>
  <si>
    <t>L20230423002</t>
  </si>
  <si>
    <t>XN襄阳三级联通</t>
  </si>
  <si>
    <t>襄阳联通三线,2022.5.1开始直签资源转代理，新增代理80G三线带宽，7500元/月/G，保底24G，100M颗粒度，95计费，免费提供173个IP地址，超出按照50元/月/个计费。差异：0-3取甲方，超出协商。</t>
  </si>
  <si>
    <t>XNXIANGYIXUN</t>
  </si>
  <si>
    <t>中国移动通信集团湖北有限公司</t>
  </si>
  <si>
    <t>湖北移动</t>
  </si>
  <si>
    <t>182315IDC00183</t>
  </si>
  <si>
    <t>襄阳</t>
  </si>
  <si>
    <t>襄阳2移动</t>
  </si>
  <si>
    <t>2019/5/11
2021/10/1
2022/4/30
2022/5/31
2023/4/30</t>
  </si>
  <si>
    <t>320G
+100G
-100G
-50G
-150G</t>
  </si>
  <si>
    <t>保底48G ,10M颗粒度；2022.4.30XIANGY2CM节点退租100G带宽2022.5.31XIANGY2CM节点退租50G；2023.1.1XIANGY3CM节点100G转给XIANGY2CM节点CDN使用；0-3取均值，超出协商。</t>
  </si>
  <si>
    <t>XIANGY2CM</t>
  </si>
  <si>
    <t xml:space="preserve">襄阳 </t>
  </si>
  <si>
    <t>襄阳3移动</t>
  </si>
  <si>
    <t>襄阳3移动（边缘计算节点），新增200G完成业务测试，已于2021-09-22开始正式切流量上线，于2021.10.1开始计费，与襄阳2移动合并</t>
  </si>
  <si>
    <t>XIANGY3CM</t>
  </si>
  <si>
    <t>襄阳 XIANGYIXCM</t>
  </si>
  <si>
    <t>襄阳三级移动</t>
  </si>
  <si>
    <t>2019/6/1
2021/11/8
2022/9/10</t>
  </si>
  <si>
    <t>80G
+80G
+100G</t>
  </si>
  <si>
    <t>保底40%即104G，10M；2021.11.1扩容80G带宽，于2021.11.8开始计费。0-3取均值，超出协商。</t>
  </si>
  <si>
    <t>XIANGYIXCM</t>
  </si>
  <si>
    <t>中国联合网络通信有限公司黄冈市分公司</t>
  </si>
  <si>
    <t>黄冈联通</t>
  </si>
  <si>
    <t>182315IDC00225</t>
  </si>
  <si>
    <t>黄冈</t>
  </si>
  <si>
    <t>黄冈联通BEC节点，2023.4.1开通200G带宽，保底60G，颗粒度1M；差异：0~3取乙方，3~5取均值，超出协商</t>
  </si>
  <si>
    <t>HUANGGUN</t>
  </si>
  <si>
    <t>中国电信股份有限公司武汉分公司</t>
  </si>
  <si>
    <t>武汉电信</t>
  </si>
  <si>
    <t>L20230423020</t>
  </si>
  <si>
    <t>WHGG电信2</t>
  </si>
  <si>
    <t>按保底计提。WHGG电信2节点，2023.4.23开通40G带宽，保底12G，颗粒度100M</t>
  </si>
  <si>
    <t>WHGG-CT-ST-2</t>
  </si>
  <si>
    <t>华南-WM</t>
  </si>
  <si>
    <t>广西壮族自治区公众信息产业有限公司</t>
  </si>
  <si>
    <t>广西电信</t>
  </si>
  <si>
    <t>L20230424009</t>
  </si>
  <si>
    <t>南宁电信ssl</t>
  </si>
  <si>
    <t>CDNNNCT</t>
  </si>
  <si>
    <t>2013/6/25
2023/4/27</t>
  </si>
  <si>
    <t>2023.4.27节点退租。颗粒度100M，保底3G/口，181915IDC00219合同期内最后14天为流量赠送期。</t>
  </si>
  <si>
    <t>GXSSLTELECOM</t>
  </si>
  <si>
    <t xml:space="preserve">南宁电信2
南宁3电信
南宁4电信 </t>
  </si>
  <si>
    <t>南宁4电信</t>
  </si>
  <si>
    <t>2013/6/25，2019/1/25，2019/4/3，2019/11/30，2021/10/30，2022/4/30
2022/5/31
2022/6/30
2022/6/30
2022/8/31</t>
  </si>
  <si>
    <t>160G
+160G
+200G
-100G
+40G
-150G
-120G
-30G NN3CT
-70G NN4CT
-50G</t>
  </si>
  <si>
    <t>2022/8/31退租50G，2022/5/31退租120G，退租NN3CT及NN4CT节点共计 150G，11月送20天测试期，与SSL合并保底141G，需要注意20211030扩容40G，20191130退租南宁2电信100G。颗粒度100M，保底3G/口，181915IDC00219合同期内最后14天为流量赠送期。</t>
  </si>
  <si>
    <t>NN4CT</t>
  </si>
  <si>
    <t>南宁5电信</t>
  </si>
  <si>
    <t>CDNNNCT2</t>
  </si>
  <si>
    <t>2020/11/23
2022/5/31</t>
  </si>
  <si>
    <t>2022/5/31退租80G，11月送20天测试期，20201123开始计费，颗粒度100M，保底24G</t>
  </si>
  <si>
    <t>NN5CT</t>
  </si>
  <si>
    <t>中国联合网络通信有限公司广西壮族自治区分公司</t>
  </si>
  <si>
    <t>广西联通</t>
  </si>
  <si>
    <t>L20230223004</t>
  </si>
  <si>
    <t>南宁2
NNUNGROUP</t>
  </si>
  <si>
    <t xml:space="preserve">南宁2联通
南宁3联通
</t>
  </si>
  <si>
    <t>CDNNNUN</t>
  </si>
  <si>
    <t>2018/12/18
2019/3/5</t>
  </si>
  <si>
    <t>40G+
60G</t>
  </si>
  <si>
    <t>颗粒度100M，南宁2*南宁3共保底30G；差异：1%以内取甲方，1%~3%取中值，超出协商</t>
  </si>
  <si>
    <t>NN2UN</t>
  </si>
  <si>
    <t>中国移动通信集团广西有限公司南宁分公司</t>
  </si>
  <si>
    <t>南宁移动</t>
  </si>
  <si>
    <t>L20221228013</t>
  </si>
  <si>
    <t>CDNNNCM</t>
  </si>
  <si>
    <t>2019/1/25
2020/7/1
2022/4/30
2022/5/12
2022/7/31</t>
  </si>
  <si>
    <t>160G
+80G
-100G
-90G
-50G</t>
  </si>
  <si>
    <t>（1）颗粒度10M，保底96；（2）需要注意20200701扩容80G</t>
  </si>
  <si>
    <t>NNCM</t>
  </si>
  <si>
    <t>南宁3移动</t>
  </si>
  <si>
    <t>CDNNNCM3</t>
  </si>
  <si>
    <t>2019/2/25
2022/4/30
2022/7/31</t>
  </si>
  <si>
    <t>160G-60G
-80G</t>
  </si>
  <si>
    <t>颗粒度10M，保底40G；2022.7.31退租后此节点剩余带宽是BEC使用</t>
  </si>
  <si>
    <t>NN3CM</t>
  </si>
  <si>
    <t>南宁7移动</t>
  </si>
  <si>
    <t>2023.5.5新增BEC南宁7移动节点，颗粒度10M，保底200G</t>
  </si>
  <si>
    <t>NN7CM</t>
  </si>
  <si>
    <t>西南-WM</t>
  </si>
  <si>
    <t>中国电信股份有限公司昆明分公司</t>
  </si>
  <si>
    <t>昆明电信</t>
  </si>
  <si>
    <t>L20230424006</t>
  </si>
  <si>
    <t>昆明2</t>
  </si>
  <si>
    <t>昆明电信2</t>
  </si>
  <si>
    <t>CDNKMCT</t>
  </si>
  <si>
    <t>-80G</t>
  </si>
  <si>
    <t>需要注意2019年12月31日退租80G。颗粒度100M，保底3G/口</t>
  </si>
  <si>
    <t>KM2CT</t>
  </si>
  <si>
    <t>昆明3</t>
  </si>
  <si>
    <t>昆明电信3</t>
  </si>
  <si>
    <t>CDNKMCT2</t>
  </si>
  <si>
    <t>KM3CT</t>
  </si>
  <si>
    <t>昆明5+6 
KMCTGROUP</t>
  </si>
  <si>
    <t>昆明5电信
昆明6电信</t>
  </si>
  <si>
    <t>2018/1/1
2022/4/30
2022/5/31
2022/6/30</t>
  </si>
  <si>
    <t>80G+240G
-180G
-40G
-60G</t>
  </si>
  <si>
    <t>按保底计提。颗粒度100M，保底3G/口；KM5CT  20G
KM6CT  20G
差异：3%之内认百度，3%-5%取均值</t>
  </si>
  <si>
    <t>KM5CT</t>
  </si>
  <si>
    <t>昆明4</t>
  </si>
  <si>
    <t>昆明电信4</t>
  </si>
  <si>
    <t>2018/4/18
2022/4/30
2022/5/31</t>
  </si>
  <si>
    <t>80G-20G-60G</t>
  </si>
  <si>
    <t>2022/5/31节点退租。颗粒度100M，保底3G/口</t>
  </si>
  <si>
    <t>KM4CT</t>
  </si>
  <si>
    <t>中国联合网络通信有限公司云南省分公司</t>
  </si>
  <si>
    <t>云南联通</t>
  </si>
  <si>
    <t>182115IDC00367</t>
  </si>
  <si>
    <t>昆明联通</t>
  </si>
  <si>
    <t>CDNKMUN</t>
  </si>
  <si>
    <t>（1）颗粒度1M，保底4G；（2）2019年7月1日开始价格为6666.67，注意历史单价付款冲销；0~1以百度为准，1~3取均值，超出协商</t>
  </si>
  <si>
    <t>KMUN</t>
  </si>
  <si>
    <t>L20230424007</t>
  </si>
  <si>
    <t>昆明4联通</t>
  </si>
  <si>
    <t>CDNKMUN3</t>
  </si>
  <si>
    <t>2021/5/1
2023/6/2</t>
  </si>
  <si>
    <t>80G
-70G</t>
  </si>
  <si>
    <t>云南联通新建80G节点，颗粒度100M，保底24G;2023.6.2退租70G带宽</t>
  </si>
  <si>
    <t>KM4UN</t>
  </si>
  <si>
    <t>昆明5联通</t>
  </si>
  <si>
    <t>CDNKMUN4</t>
  </si>
  <si>
    <t>2022/9/1，2023/1/31</t>
  </si>
  <si>
    <t>23年1月31日KM5UN整节点退租，退租40G，KM5UN节点新增40G带宽，保底12G，颗粒度1M；0~1以百度为准，1~3取均值，超出协商</t>
  </si>
  <si>
    <t>KM5UN</t>
  </si>
  <si>
    <t>L20230426007</t>
  </si>
  <si>
    <t>昆明6联通</t>
  </si>
  <si>
    <t>2023/4/1
2023/5/31</t>
  </si>
  <si>
    <t>【BEC新建】昆明联通新建60G 2023-4-1节点正式上线 (KM6UN)，2023年4月1日 开始计费;2023.5.1退租60G带宽。
差异：差异率1%以内以我司流量为准，1%-3%取平均值</t>
  </si>
  <si>
    <t>KM6UN</t>
  </si>
  <si>
    <t>补5月计提，提24.13G，结24.392G，补0.26G</t>
  </si>
  <si>
    <t>中国移动通信集团云南有限公司昆明分公司</t>
  </si>
  <si>
    <t>昆明移动</t>
  </si>
  <si>
    <t>182315IDC00247</t>
  </si>
  <si>
    <t>昆明3移动</t>
  </si>
  <si>
    <t>CDNKMCM3</t>
  </si>
  <si>
    <t>2019/1/25
2020/1/1
2016/9/1
2022/5/31</t>
  </si>
  <si>
    <t>150G
+40G
+10G
-200G</t>
  </si>
  <si>
    <t>2022/5/31退租200G，（1）颗粒度10M，保底80G；（2）昆明移动+昆明3移动=200G合并计费</t>
  </si>
  <si>
    <t>KM3CM</t>
  </si>
  <si>
    <t>昆明4移动</t>
  </si>
  <si>
    <t>CDNKMCM4</t>
  </si>
  <si>
    <t>2019/3/1
2020/1/1
2023/4/30</t>
  </si>
  <si>
    <t>200G
+120G
-100G</t>
  </si>
  <si>
    <t>颗粒度10M，保底128G</t>
  </si>
  <si>
    <t>KM4CM</t>
  </si>
  <si>
    <t>海南</t>
  </si>
  <si>
    <t>中国电信股份有限公司文昌分公司</t>
  </si>
  <si>
    <t>海口电信</t>
  </si>
  <si>
    <t>L20230424008</t>
  </si>
  <si>
    <t>海口2</t>
  </si>
  <si>
    <t>海口电信2</t>
  </si>
  <si>
    <t>CDNHKCT2</t>
  </si>
  <si>
    <t>2018/8/1
2019/7/25</t>
  </si>
  <si>
    <t>需要注意202007开始合并至海口3电信，颗粒度100M，保底24G，新增40G2019年7月25日开始计费，存量同时降价，注意新合同约定存量120G2019年7月1日开始按照9833计费</t>
  </si>
  <si>
    <t>HK2CT</t>
  </si>
  <si>
    <t>海口3</t>
  </si>
  <si>
    <t>海口3电信</t>
  </si>
  <si>
    <t>CDNHKCT3</t>
  </si>
  <si>
    <t>2018/12/19
2022/5/31</t>
  </si>
  <si>
    <t>80G
+40G
+40G
-80G</t>
  </si>
  <si>
    <t>2022/5/31退租80G，需要注意202007开始合并海口2电信的80G，颗粒度100M，保底24G</t>
  </si>
  <si>
    <t>HK3CT</t>
  </si>
  <si>
    <t>182215IDC00621</t>
  </si>
  <si>
    <t>补4月计提，提26.9G，依据合同条款暂按中值27.2G结算，补0.3G</t>
  </si>
  <si>
    <t>补5月计提，提26.8G，依据合同条款暂按中值27G结算，补0.2G</t>
  </si>
  <si>
    <t>中国联合网络通信有限公司海南省分公司</t>
  </si>
  <si>
    <t>海口联通</t>
  </si>
  <si>
    <t>182115IDC00393</t>
  </si>
  <si>
    <t>海南海口</t>
  </si>
  <si>
    <t>海口2联通</t>
  </si>
  <si>
    <t>CDNHKUN</t>
  </si>
  <si>
    <t>2018/7/25
2020/4/8
2020/9/30
2022/6/30</t>
  </si>
  <si>
    <t>40G
+40G
-20G
-20G</t>
  </si>
  <si>
    <t>（1）颗粒度10M，保底12G；（2）20200930退租20G。（3）需要注意20200801开始价格为9000，需要注意20200408扩容40G，2019年11月1日开始价格为8333.差异：0~1以百度为准，1~3取均值，超出协商</t>
  </si>
  <si>
    <t>HK2UN</t>
  </si>
  <si>
    <t>中国移动通信集团海南有限公司</t>
  </si>
  <si>
    <t>海口移动</t>
  </si>
  <si>
    <t>L20221228010</t>
  </si>
  <si>
    <t>海口</t>
  </si>
  <si>
    <t>海口2移动</t>
  </si>
  <si>
    <t>CDNHKCM</t>
  </si>
  <si>
    <t>2019/1/10
2022/5/31</t>
  </si>
  <si>
    <t>HK2CM2022/5/31退租40G，202101对账已扣减，（1）需要注意2020年9月1日开始海口2移动合并海口3移动；（2）颗粒度10M，保底48G；2022.6.1起不合并，海口2移动已退租。</t>
  </si>
  <si>
    <t>HK2CM</t>
  </si>
  <si>
    <t>海口3移动</t>
  </si>
  <si>
    <t>2020/6/29
2022/7/31</t>
  </si>
  <si>
    <t>（1）需要注意2020年9月1日开始合并至海口2移动；（2）颗粒度10M，保底32G；2022.6.1起不合并，海口2移动已退租。</t>
  </si>
  <si>
    <t>HK3CM</t>
  </si>
  <si>
    <t>华东-WM</t>
  </si>
  <si>
    <t>中国电信股份有限公司江西分公司</t>
  </si>
  <si>
    <t>江西电信</t>
  </si>
  <si>
    <t>L20230223037</t>
  </si>
  <si>
    <t>南昌电信2</t>
  </si>
  <si>
    <t>CDNNCCT2</t>
  </si>
  <si>
    <t>2013/7/16
2019/7/25
2020/06/30</t>
  </si>
  <si>
    <t>80G
40G
-120G</t>
  </si>
  <si>
    <t>南昌电信2和南昌电信3合并计费，南昌2节点退租。19.7.25扩容40G.。计费颗粒度100M。从19.11.1开始保底降为30%，即36G</t>
  </si>
  <si>
    <t>江西南昌3</t>
  </si>
  <si>
    <t>南昌3电信</t>
  </si>
  <si>
    <t>2019/1/6 2020/06/30
2021/10/31
2021/12/4</t>
  </si>
  <si>
    <t>100G
120G
-210G
+210G</t>
  </si>
  <si>
    <t>2021.11从NC3CT拆出210G，11月免费。保留的10G边缘正常计费（2021.12恢复）
南京电信2和南昌电信3合并计费，合并保底66G，30%。南昌2退租后并入南昌3，计费颗粒度100M</t>
  </si>
  <si>
    <t>NC3CT</t>
  </si>
  <si>
    <t>182215IDC00531</t>
  </si>
  <si>
    <t>补3月计提，提69.7G，结69.72G，补0.02G</t>
  </si>
  <si>
    <t>江西南昌4</t>
  </si>
  <si>
    <t>南昌4电信</t>
  </si>
  <si>
    <t>2021/11/1
2021/12/3</t>
  </si>
  <si>
    <t>210G
-210G</t>
  </si>
  <si>
    <t>2021.11从NC3CT拆出210G，11月免费。保留的10G边缘正常计费。因不涉及计费，2021.12还原</t>
  </si>
  <si>
    <t>L20221129001</t>
  </si>
  <si>
    <t>南昌5电信</t>
  </si>
  <si>
    <t>CDNNCCT4</t>
  </si>
  <si>
    <t>220G-220G</t>
  </si>
  <si>
    <t>20221231退租。20221101开始计费，保底66G</t>
  </si>
  <si>
    <t>中国联合网络通信有限公司南昌市分公司</t>
  </si>
  <si>
    <t>江西联通</t>
  </si>
  <si>
    <t>L20230519001</t>
  </si>
  <si>
    <t>南昌：南昌联通+南昌2联通</t>
  </si>
  <si>
    <t>南昌2联通</t>
  </si>
  <si>
    <t>CDNNCUN</t>
  </si>
  <si>
    <t>2017/7/1
2019/1/25
2022/7/31
2022/8/31</t>
  </si>
  <si>
    <t>40G
60G
-40G
-40G</t>
  </si>
  <si>
    <t>20220831退租40G，剩余带宽20G，5G保底，颗粒100M。20220731退租40G，剩余带宽60G。
TCO机房：南昌联通+南昌2联通合并计费</t>
  </si>
  <si>
    <t>NC2UN</t>
  </si>
  <si>
    <t>中国移动通信集团江西有限公司南昌分公司</t>
  </si>
  <si>
    <t>南昌移动</t>
  </si>
  <si>
    <t>182315IDC00070</t>
  </si>
  <si>
    <t>南昌2
NC2CM 0G
NC5CM  200G</t>
  </si>
  <si>
    <t>南昌5移动</t>
  </si>
  <si>
    <t>CDNNCCM2</t>
  </si>
  <si>
    <t>2017/5/12
2022/3/31
2022/5/31
2022/7/31</t>
  </si>
  <si>
    <t>40G+200G
-40G-60G
-80
-40G</t>
  </si>
  <si>
    <t>20220731退租40G，剩余带宽20G，10M,40%保底，8G。从20220501开始带宽总量为60G，
南昌5移动200G于2022.3.31退租60G， 南昌2移动 40G全部退租。
南昌5移动2022.5.31退租80G。</t>
  </si>
  <si>
    <t>NC5CM</t>
  </si>
  <si>
    <t>L20230529002</t>
  </si>
  <si>
    <t>南昌8</t>
  </si>
  <si>
    <t>南昌8移动</t>
  </si>
  <si>
    <t>CDNNCCM3</t>
  </si>
  <si>
    <t>2023.5.5新增BEC南昌8移动节点，颗粒度10M，保底240G</t>
  </si>
  <si>
    <t>NC8CM</t>
  </si>
  <si>
    <t>合同号</t>
  </si>
  <si>
    <t>合同状态</t>
  </si>
  <si>
    <t>是否关联资源</t>
  </si>
  <si>
    <t>备注</t>
  </si>
  <si>
    <t>合同性质</t>
  </si>
  <si>
    <t>合同申请时间</t>
  </si>
  <si>
    <t>签约部门</t>
  </si>
  <si>
    <t>申请人</t>
  </si>
  <si>
    <t>申请部门</t>
  </si>
  <si>
    <t>执行人</t>
  </si>
  <si>
    <t>执行部门</t>
  </si>
  <si>
    <t>替代提交</t>
  </si>
  <si>
    <t>百度签约公司</t>
  </si>
  <si>
    <t>合同类别</t>
  </si>
  <si>
    <t>客户名称</t>
  </si>
  <si>
    <t>申请理由</t>
  </si>
  <si>
    <t>合同开始时间</t>
  </si>
  <si>
    <t>项目号</t>
  </si>
  <si>
    <t>费用类型</t>
  </si>
  <si>
    <t>收款总金额</t>
  </si>
  <si>
    <t>收款币种</t>
  </si>
  <si>
    <t>付款总金额</t>
  </si>
  <si>
    <t>付款币种</t>
  </si>
  <si>
    <t>合同返回时间</t>
  </si>
  <si>
    <t>变更合同</t>
  </si>
  <si>
    <t>变更类型</t>
  </si>
  <si>
    <t>关联合同号</t>
  </si>
  <si>
    <t>合同属性</t>
  </si>
  <si>
    <t>范本名称</t>
  </si>
  <si>
    <t>关联性质</t>
  </si>
  <si>
    <t>关联交易</t>
  </si>
  <si>
    <t>支付境外客户(含港澳台)</t>
  </si>
  <si>
    <t>财务BG</t>
  </si>
  <si>
    <t>履约方式</t>
  </si>
  <si>
    <t>产品线</t>
  </si>
  <si>
    <t>11602315IDC00266</t>
  </si>
  <si>
    <t>生效</t>
  </si>
  <si>
    <t>度友</t>
  </si>
  <si>
    <t>非范本合同</t>
  </si>
  <si>
    <t>2023-06-15</t>
  </si>
  <si>
    <t>基础资源战略合作部</t>
  </si>
  <si>
    <t>林加</t>
  </si>
  <si>
    <t>中后台组</t>
  </si>
  <si>
    <t>基础资源商务组</t>
  </si>
  <si>
    <t>是</t>
  </si>
  <si>
    <t>甲方:北京度友科技有限公司;</t>
  </si>
  <si>
    <t>IDC/ITE合同</t>
  </si>
  <si>
    <t>乙方:中国电信股份有限公司广东分公司_IDC(待审核);</t>
  </si>
  <si>
    <t>1.月度需求在2022年11月
2.合同概要：度友主体，续签方案如下：
1）机柜：20A机柜一个，2022年11月-12月执行5250元/柜/月；2023年1月起执行4800元/柜/月；降幅16.5%
2）带宽：100M独享带宽，单价为4000元/月
3）IP地址：8个免费IPv4，超出免费IP后，按40元/个/月收取。IPv6为100元//56/月
3.预估金额：5250*2*1+4800*1*10+4000*12= 106,500.00 元</t>
  </si>
  <si>
    <t>2022-11-01</t>
  </si>
  <si>
    <t>2023-10-31</t>
  </si>
  <si>
    <t/>
  </si>
  <si>
    <t>付款</t>
  </si>
  <si>
    <t>106500</t>
  </si>
  <si>
    <t>人民币</t>
  </si>
  <si>
    <t>2023-06-26</t>
  </si>
  <si>
    <t>否</t>
  </si>
  <si>
    <t>IDC战略合作部-国内-IDC-机房</t>
  </si>
  <si>
    <t>无</t>
  </si>
  <si>
    <t>ACG</t>
  </si>
  <si>
    <t>甲方:北京百度网讯科技有限公司;</t>
  </si>
  <si>
    <t>乙方:中国电信股份有限公司湖南分公司_IDC(待审核);</t>
  </si>
  <si>
    <t>1.月度需求在2023年2月
2.合同概要：
1）带宽：95计费，30%保底；岳阳180G，集约价签署合同9500元/G/月，实际执行7083元/G/月，；长沙三线280G，签署9500元/G/月，实际执行7333元/G/月；株洲SSL10G，签署9500元/G/月，实际执行7083元/G/月；
2）机柜：岳阳电信14个10A机柜，5个13A，其中免费8个（不在集约合同中体现），11个收费，3333.33元/个/月；长沙三级电信15A 8个，单价 4000元/个/月；
株洲电信SSL机柜10A 3333.33元/个/月，共4个，其中免费1个，收费3个。
3）IP地址：岳阳928个IP，长沙288个IP，按照一个万兆赠送80个IP，目前IP不超，超出50元/个/月。株洲ssl 在用768个，免费768个。
4）SSL资源于2023年3月31日退租
3.预估金额：7083*10*30%+3333.33*3+7083*460*30%*12+3333.33*11*12+4000*8*12=  12,584,696.55 元
4.由于合同需要按照集约价9500元/G/月签署合同，实际执行7083元/G/月价格，对方已邮件确认</t>
  </si>
  <si>
    <t>2023-03-01</t>
  </si>
  <si>
    <t>2024-02-29</t>
  </si>
  <si>
    <t>12584696.55</t>
  </si>
  <si>
    <t>IDC战略合作部-国内-CDN</t>
  </si>
  <si>
    <t>2023-06-14</t>
  </si>
  <si>
    <t>乙方:山东蓝海领航大数据发展有限公司_IDC(待审核);</t>
  </si>
  <si>
    <t>1.月度需求在2023年1月
2.合同概要：济南移动-山东济南智算项目300M-代理
1）带宽：8100元/G/月，10%保底，95计费。相比直签15000元/G/月降幅46%。 按照300M保底10%，相比直签节约（15000-8100）*12*0.3*10%/10000= 0.25万元/年
2）机柜：单价6000元，免费19个，在用19个，以实际开通为准。19个机柜全部使用后节约7200*19*12/10000=164.16万元/年
3）IP：IPV4单价50元，在用512个，收费512个；IPV6免费赠送，以实际开通为准
3.预估金额：(8100*0.3*0.1+50*512)*12=310,116.00元</t>
  </si>
  <si>
    <t>2023-01-01</t>
  </si>
  <si>
    <t>2023-12-31</t>
  </si>
  <si>
    <t>310116</t>
  </si>
  <si>
    <t>2023-06-19</t>
  </si>
  <si>
    <t>182315IDC00197</t>
  </si>
  <si>
    <t>框架下订单</t>
  </si>
  <si>
    <t>乙方:上海迅悟网络科技有限公司_IDC(待审核);</t>
  </si>
  <si>
    <t xml:space="preserve">供应商已签署框架协议（合同号182315IDC00237），在框架协议下增加济南移动的资源订单，具体资源情况如下： 
按照需求，山东济南移动-新建200G-代理
1.月度需求在2023年2月，2023年4月
2.带宽：4810元/G/月， 30%保底，95计费。较集约价格6740元/G/月，降幅28.64%。按照95计费45%利用率，相比集约价格扩容节约（6740-4810）*12*200*45%/10000
3.机柜：4000元/柜/月 13A，免费1个，在用1个，以实际开通为准
4.IP：IPV4单价30元，免费416个，在用416个；IPV6 按需赠送；以实际开通为准
5.预估金额：4810*100*30%*12+4810*100*30%*11= 3,318,900.00 元
</t>
  </si>
  <si>
    <t>2023-04-01</t>
  </si>
  <si>
    <t>2024-03-31</t>
  </si>
  <si>
    <t>3318900</t>
  </si>
  <si>
    <t>182315IDC00237</t>
  </si>
  <si>
    <t>乙方:中国电信股份有限公司宁波分公司_IDC(待审核);</t>
  </si>
  <si>
    <t>1、运营商给予带宽降价，但要求6月末回款，故先行提交合同，后补月度需求。（采购需求已提交）
2、宁波电信节点续签，CDN及SSL带宽费用2022年实际资费7500元/G/月，通过谈判整体降价，2023按照6750元/G/月结算，降幅10%；其余不变 。
3、资源：CDN带宽440G，保底30%，SSL带宽30G，保底10%，结算颗粒度100M，6750元/G/月；
               16A机柜，免费提供22个，超出4700元/柜/月，CDN使用 22个，SSL使用 3个；
               每万兆赠送64个IP，超出按50元/月/个计费，目前使用的IP均在免费范围。
4、预估金额=（CDN带宽440G*保底30%+SSL带宽30G*保底10%）*单价6750元*12个月+机柜3个*单价4700元*12个月</t>
  </si>
  <si>
    <t>11104200</t>
  </si>
  <si>
    <t>2023-06-13</t>
  </si>
  <si>
    <t>李佳</t>
  </si>
  <si>
    <t>乙方:中国联合网络通信有限公司中卫市分公司_IDC(待审核);</t>
  </si>
  <si>
    <t>1、月度需求2023年1月份 
2、宁夏中卫联通：存量40G、95计费
     宁夏中卫联通合同到期续签原合同号182215IDC00353，2023年01月31日到期、合计40G
     原商务条件：带宽 10.8万元/G/年  9000元/G/月、 保底30%、IPv4 免费288个，超出50元/个/月；18A机柜免费2个，超出3800元/柜/月。
     现商务条件：带宽10.8万元/G/年、9000元/G/月、保底30%：IPv4 免费288个，超出50元/个/月；18A机柜免费2个，超出3800元/柜/月，带宽无涨幅
3、预估金额=：带宽单价9000元/G/月 x 带宽保底12G x 12月份</t>
  </si>
  <si>
    <t>2023-02-01</t>
  </si>
  <si>
    <t>2024-01-31</t>
  </si>
  <si>
    <t>1296000</t>
  </si>
  <si>
    <t>,OtherProvisionChange,</t>
  </si>
  <si>
    <t>182215IDC00353</t>
  </si>
  <si>
    <t>终止</t>
  </si>
  <si>
    <t>乙方:中国移动通信集团黑龙江有限公司_IDC(待审核);</t>
  </si>
  <si>
    <t>1、月度需求在2023年1月。
2、合同概要：黑龙江移动合同续签至2023年6月30日，商务条件与2022年集约价格保持不变。
   带宽220G，保底40%，95计费，6740元/G/月；
   机柜收费9个，5500元/柜/月;免费0个；
   IP收费0个，50元/个/月；
3、预估金额=（带宽220G*保底率40%*单价6740+机柜9个*单价5500+无收费IP数量）*6个月</t>
  </si>
  <si>
    <t>2023-06-30</t>
  </si>
  <si>
    <t>3855720</t>
  </si>
  <si>
    <t>182315IDC00026 182115IDC00200</t>
  </si>
  <si>
    <t>182315IDC00250</t>
  </si>
  <si>
    <t>短信</t>
  </si>
  <si>
    <t>范本合同</t>
  </si>
  <si>
    <t>2023-06-12</t>
  </si>
  <si>
    <t>史昕</t>
  </si>
  <si>
    <t>乙方:北京秒信科技有限公司_IDC(待审核);</t>
  </si>
  <si>
    <t>该供应商为合同到期正常续约，为我司提供低价稳定的大直客短信通道资源。</t>
  </si>
  <si>
    <t>2023-05-14</t>
  </si>
  <si>
    <t>2024-05-13</t>
  </si>
  <si>
    <t>23354271.56</t>
  </si>
  <si>
    <t>2023-06-20</t>
  </si>
  <si>
    <t>IDC战略合作部-国内-其他</t>
  </si>
  <si>
    <t>企业短信业务合作协议书（日常项目）</t>
  </si>
  <si>
    <t>乙方:厦门哇哩科技有限公司_IDC(待审核);</t>
  </si>
  <si>
    <t>1、月度需求在2023年4月。
2、与哇哩科技新签商业CDN合同，承载小红书三网业务，采购价格5100元/G/月，1000进制，月95计费，包头系数1.0。
3、预估金额=12月*5100元*600G</t>
  </si>
  <si>
    <t>36720000</t>
  </si>
  <si>
    <t>2023-06-09</t>
  </si>
  <si>
    <t>王孟</t>
  </si>
  <si>
    <t>乙方:中国移动通信集团云南有限公司昆明分公司_IDC(待审核);</t>
  </si>
  <si>
    <t>1、月度需求在2023.1月，链接详见附件。
2、合同概要：云南昆明移动合同续签至2023年6月30日，商务条件与2022年集约价格保持不变。
带宽320G，保底40%，95计费，6740元/G/月；
机柜收费11个，其中8个3.5KW机柜，单价5000元/柜/月;3个4.4KW机柜，单价5500元/柜/月。
IPv4免费2560个，目前在用800个；IPv6免费320个/56，目前在用2个/64。
3、预估金额=（320*0.4*6740+5000*8+5500*3）*6=5515320元</t>
  </si>
  <si>
    <t>5515320</t>
  </si>
  <si>
    <t>182315IDC00026</t>
  </si>
  <si>
    <t>182315IDC00245</t>
  </si>
  <si>
    <t>语音</t>
  </si>
  <si>
    <t>2023-06-08</t>
  </si>
  <si>
    <t>王玉伟</t>
  </si>
  <si>
    <t>乙方:证通股份有限公司_IDC(待审核);</t>
  </si>
  <si>
    <t>1、合同概要：为支持ACG语音类业务发展，增加号码认证资源储备，与供应商证通股份有限公司签约，该供应商在号码认证资源上具有价格优势。
2、预估金额=预估月度消费金额*12=1,200,000.00元</t>
  </si>
  <si>
    <t>2024-06-13</t>
  </si>
  <si>
    <t>1200000</t>
  </si>
  <si>
    <t>2023-06-28</t>
  </si>
  <si>
    <t>语音号码验证服务采购合同</t>
  </si>
  <si>
    <t>乙方:中国电信股份有限公司福建分公司_IDC(待审核);</t>
  </si>
  <si>
    <t>1、月度需求在2022年4月。
2、福建电信CDN存量200G退租至100G，SSL存量10G，全部退租，厦门电信CDN30G。共用9个机柜，832个IP
3、商务条件： 带宽：经谈判，福州节点100G带宽及机柜资源赠送1个月测试期（在12月，已赠送），测算单价7929元，较21年单价（9104元）降幅为13%。厦门节点30G带宽单价不变9500元/月。机柜4000元/个，IP按64个/10G赠送。较21年不变。
4、预估金额=带宽退租前240G*保底0.3*单价9500元*2个月+带宽退租后130G*保底0.3*单价9500元*10个月+机柜存量18个*单价4000元*2个月+退租后机柜9个*单价4000元*10个月</t>
  </si>
  <si>
    <t>2022-07-01</t>
  </si>
  <si>
    <t>5577000</t>
  </si>
  <si>
    <t>2023-06-07</t>
  </si>
  <si>
    <t>乙方:中国电信集团有限公司长春分公司_IDC(待审核);</t>
  </si>
  <si>
    <t>1、月度需求审批信息在2022年8月，云盘链接见附件
2、吉林电信CDN带宽续签协议，按照电信要求与集团签署，商务条款及资源如下：
   1） 端口：40G，单价9500元/G/月，95计费，1024结算。
   2） 机柜：20A机柜3个，不计费，合同仅签署机柜单价，使用数量按照0计算。
   3） IP：免费320个IPv4，实际百度使用256个。
3、预估金额=40G * 9500 * 30%*12=1,368,000.00</t>
  </si>
  <si>
    <t>2022-08-01</t>
  </si>
  <si>
    <t>2023-07-31</t>
  </si>
  <si>
    <t>1368000</t>
  </si>
  <si>
    <t>182115IDC00484</t>
  </si>
  <si>
    <t>乙方:中国联合网络通信有限公司长沙市分公司_IDC(待审核);</t>
  </si>
  <si>
    <t xml:space="preserve">1.月度需求在2022年5月
2.合同概要：SYS需求：新建长沙三线节点，其中联通2022年9月1日180G；经PMO评估湖南运营商提供的三级节点综合价格最低，其中联通价格7083/元/G/月，保底30%，赠送7天测试期；IPV4单价50元，赠送512个，在用512个；赠送两段64位IPV6
3.预估金额：180*7083*30%*12=4,589,784.00元
4.由于对方无法在备忘录盖章，故使用邮件来体现带宽执行7083/元/G/月价格
</t>
  </si>
  <si>
    <t>2022-09-01</t>
  </si>
  <si>
    <t>2023-08-31</t>
  </si>
  <si>
    <t>4589784</t>
  </si>
  <si>
    <t>乙方:中国移动通信集团河北有限公司承德分公司_IDC(待审核);</t>
  </si>
  <si>
    <t>1、月度需求在2022.12月，链接详见附件。
2、河北承德移动BEC资源于2023年1月9日交付，合同期2023年1月9日至2023年6月30日，项目毛利3%，预算审批已通过。
商务条款：
带宽200G，单价6740元/G/月，保底40%。
3KW机柜1个，5000元/个/月，IPv4共计512个，免费
3、预估金额=（200*0.4*6740+1*5000）*6=3265200元</t>
  </si>
  <si>
    <t>2023-01-09</t>
  </si>
  <si>
    <t>3265200</t>
  </si>
  <si>
    <t>2023-06-06</t>
  </si>
  <si>
    <t>乙方:中国联合网络通信有限公司河北省分公司_IDC(待审核);</t>
  </si>
  <si>
    <t>1、月度需求审批信息在2022年12月、2023年2月、2023年4月，云盘链接见附件。
2、合同概要：河北联通续签，在联通集约协议基础上达成如下商务条款：
1）CDN&amp;BEC：带宽共计1.1T，9000元/G/月，保底30%，2023年4月1日唐山交付40G免费端口（唐山原有免费端口160G，交付后免费端口共计200G）。
2） 静态：带宽200G，9000元/G/月，保底30%。
3）IPv4共计2944个，不计费，其中BEC 640个，IDC 256个，CDN 2048个。12A机柜共计51个，单价4000元/个/月。
4）河北联通带来BEC商机共计900G端口（河北石家庄联通450G、河北衡水联通250G、河北沧州联通200G），保底30%，12A机柜共计3个，单价4000元/个/月。毛利率3.5%，2023年5月1日交付。
按照实际带宽用量计算河北联通22年和23年折算价格，预计23年价格降幅10%
3、 预估金额=（1300*0.3*9000+51*4000）*12+（900*0.3*9000+3*4000）*8=64104000元</t>
  </si>
  <si>
    <t>64104000</t>
  </si>
  <si>
    <t>,PeriodChange,OtherProvisionChange,</t>
  </si>
  <si>
    <t>182215IDC00033</t>
  </si>
  <si>
    <t>乙方:湖南风云通达信息科技有限公司_IDC(待审核);</t>
  </si>
  <si>
    <t>供应商已签署框架协议（合同号182215IDC00245 ），在框架协议下增加包头电信的资源订单，具体资源情况如下：
 按照需求，内蒙古包头电信-存量60G包端口-续约-代理
1.月度需求在2023年4月
2.带宽：2023年04月30日到期，原价续签，100%保底，4166.67元/G/月；按0.8系数折算95计费5208.34元/G/月，较集约价9500元/G/月，降价45.18%；相比集约节约按照95计费80%利用率，相比集约节约（9500-4166.67/0.8）*12*60*80%/10000=247.20 万元/年
3.机柜：现价：3500元/柜/月 13A ；原价：4000元/柜/月 10A ，在用3个，以实际开通为准
4.IP：IPV4单价50元，赠送288个，在用288个；IPV6 按需赠送，以实际开通为准
5.预估金额：(4166.67*60*100%+3500*3)*12= 3,126,002.40 元</t>
  </si>
  <si>
    <t>2023-05-01</t>
  </si>
  <si>
    <t>2024-04-30</t>
  </si>
  <si>
    <t>3126002.4</t>
  </si>
  <si>
    <t>2023-06-16</t>
  </si>
  <si>
    <t>182215IDC00245</t>
  </si>
  <si>
    <t>乙方:派欧云计算（上海）有限公司_IDC(待审核);</t>
  </si>
  <si>
    <t>1.月度需求2023年5月
2.合同概要：PPIO-PCDN网盘-存量优化，移动2350元/G/月、电联3350元/G/月，移动降幅6 %、电联降幅4.28%，有效增加PCDN弹性供应能力；结算进制 1000，计费模式-月95，包头系数- 1.0，保底-0
3.预估金额：(2350*300+3350*300)*12=20,520,000.00元</t>
  </si>
  <si>
    <t>20520000</t>
  </si>
  <si>
    <t>,PeriodChange,GoodsUpdate,</t>
  </si>
  <si>
    <t>乙方:北京创世云科技股份有限公司_IDC(待审核);</t>
  </si>
  <si>
    <t>此供应商已签署框架协议（合同号182215IDC00238 ），在框架协议下增加大连联通的资源订单，具体资源情况如下：
按照需求，辽宁大连联通-存量400G-续签降价-代理
1.月度需求在2023年4月
2.带宽：2023年3月31日到期，2023年4月1日起续签价格由4300元/G/月 降价至4200元/G/月，降价2.33%；较集约价9000元/G/月，降价53.33%，30%保底。按照95计费45%利用率，相比集约节约（9000-4200）12*400*45%/10000= 1036.8万元/年
3.机柜：现价：3500元/柜/月（16A），原价：4000元/柜/月（16A），在用8个，以实际开通为准
4.IP：IPV4单价50元，免费640个，在用320个；IPV6 免费赠送，以实际开通为准
5.预估金额：（3500*8+4200*400*30%)*12= 6,384,000.00 元</t>
  </si>
  <si>
    <t>6384000</t>
  </si>
  <si>
    <t>182215IDC00238</t>
  </si>
  <si>
    <t xml:space="preserve">此供应商已签署框架协议（合同号182215IDC00238），在框架协议下增加辽阳联通的资源订单 
按照需求，辽宁辽阳联通-存量100G-续约-代理
1.月度需求在2023年4月
2.带宽：2023年03月31日到期，原价续签，30%保底，4200元/G/月；较集约价9000元/G/月，降价53.33%；按照95计费45%利用率，相比集约节约（9000-4200）*12*100*45%/10000= 259.2万元/年
3.机柜：现价：3000元/柜/月（13A），原价：4500元/柜/月（13A），在用3个，以实际开通为准
4.IP：IPV4单价50元，免费288个，在用288个；IPV6 按需赠送
5.预估金额：（3000*3+4200*30%*100）*12= 1,620,000.00 元
</t>
  </si>
  <si>
    <t>1620000</t>
  </si>
  <si>
    <t>框架合同</t>
  </si>
  <si>
    <t>1.框架合同，无月度需求审批信息 
2.合同概要：本合同为框架合同，不涉及资源数量及价格，无需月度需求审批。具体资源数量及价格以各节点订单为准 
3.预估金额=0</t>
  </si>
  <si>
    <t>免费</t>
  </si>
  <si>
    <t>乙方:中国移动通信集团山东有限公司淄博分公司_IDC(待审核);</t>
  </si>
  <si>
    <t xml:space="preserve">1、月度需求在2022年12月。
2、合同概要：新建山东淄博三线移动200G，合同有效期2023.4.6-2023.6.30，商务条件与2022年集约价格一致。
      带宽200G，保底40%，95计费，6740元/G/月；机柜收费1个，5900元/柜/月；IP免费使用512个，超出50元/个。
3、预估金额=(机柜1个*单价5000+带宽200G*保底40%*6740元)*3个月"
</t>
  </si>
  <si>
    <t>2023-04-06</t>
  </si>
  <si>
    <t>1635300</t>
  </si>
  <si>
    <t>2023-06-05</t>
  </si>
  <si>
    <t>乙方:浙江宁波本电网络科技有限公司_IDC(待审核);</t>
  </si>
  <si>
    <t>供应商已签署框架协议（合同号182215IDC00484 ），在框架协议下增加宁波电信的资源订单，具体资源情况如下：
按照需求，浙江宁波电信-存量140G（包端口）-续约-代理
1.月度需求在2023年5月
2.带宽：4166元/G/月，包端口计费。折算成95峰值计费价格是5207.5元，相比集约9500元/G/月，降幅45.18%。按照95计费80%利用率，相比集约节约（9000-4166/0.8）*12*140*80%/10000=509.71万元/年
3.机柜：单价5000元，免费14个，在用2个，以实际开通为准
4.IP：IPV4 单价100元，免费128个，在用128个；IPV6 按需赠送，以实际开通为准
5.预估金额：（4166*140*100%）*12=  6,998,880.00 元</t>
  </si>
  <si>
    <t>6998880</t>
  </si>
  <si>
    <t>182215IDC00484</t>
  </si>
  <si>
    <t>182315IDC00230</t>
  </si>
  <si>
    <t>IP</t>
  </si>
  <si>
    <t>2023-05-31</t>
  </si>
  <si>
    <t>乙方:北京星缘新动力科技有限公司_IDC(待审核);丙方:鹏博士电信传媒集团股份有限公司北京科技分公司_IDC(待审核);</t>
  </si>
  <si>
    <t>1、审批自PR流程审批，无月度需求审批信息，PR：415960，PR截图见附件。 
2、合同概要：百度云储备IPV4地址，采购2个Bipv4地址。 自合同标的IP地址自合同签订后自然天30天内预付50%，第一期费用【 545万 】元； 合同签订后60天内支付30%，第二期费用【 327万 】元，合同签订后90天内支付20%，第三期费用【 218万 】元 。目前仅剩第三期费用218万元未支付，修改收款方信息为：鹏博士电信传媒集团股份有限公司北京科技分公司
3、预估金额=第三期未支付费用218万元。</t>
  </si>
  <si>
    <t>2180000</t>
  </si>
  <si>
    <t>,CustomerChange,</t>
  </si>
  <si>
    <t>182215IDC00005</t>
  </si>
  <si>
    <t>182315IDC00228</t>
  </si>
  <si>
    <t>2023-05-29</t>
  </si>
  <si>
    <t>乙方:山东东益通通信技术有限公司_IDC(待审核);</t>
  </si>
  <si>
    <t>1、合同概要：为支撑ACGCRM外呼需求，持续优化供应商池，引入供应商【东益通】的语音线路资源，可保障投诉比15万分钟时不断供。
 2、预估金额=600000元</t>
  </si>
  <si>
    <t>2023-06-01</t>
  </si>
  <si>
    <t>2024-05-31</t>
  </si>
  <si>
    <t>600000</t>
  </si>
  <si>
    <t>语音线路采购协议</t>
  </si>
  <si>
    <t>192315IDC00229</t>
  </si>
  <si>
    <t>甲方:百度在线网络技术（北京）有限公司上海软件技术分公司;</t>
  </si>
  <si>
    <t>乙方:北京中科盈泰科技发展有限公司_IDC(待审核);</t>
  </si>
  <si>
    <t>1、合同概要：为支撑MEG联中业务需求，引入供应商【中科盈泰】的语音线路资源，提升资源保障力度。
2、预估金额=756000元</t>
  </si>
  <si>
    <t>2024-05-30</t>
  </si>
  <si>
    <t>756000</t>
  </si>
  <si>
    <t>MEG</t>
  </si>
  <si>
    <t>182315IDC00227</t>
  </si>
  <si>
    <t>2023-05-25</t>
  </si>
  <si>
    <t>乙方:山东百分通联信息技术有限公司_IDC(待审核);</t>
  </si>
  <si>
    <t>老供应商续约，提供短信稳定移动行业短信通道资源。</t>
  </si>
  <si>
    <t>1322829.12</t>
  </si>
  <si>
    <t>2023-05-24</t>
  </si>
  <si>
    <t>乙方:中国联合网络通信有限公司黄冈市分公司_IDC(待审核);</t>
  </si>
  <si>
    <t>1、月度需求在2023.2月，链接详见附件。
2、黄冈联通200G带宽，9000元/G/月，保底30%，机柜3个，2916.67元/个/月，免费赠送512个IPv4，免费赠送2段/64 ipv6地址
3、预估金额=（200*0.3*9000+2916.67*3）*12=6585000.12元</t>
  </si>
  <si>
    <t>6585000.12</t>
  </si>
  <si>
    <t>182315IDC00222</t>
  </si>
  <si>
    <t>2023-05-23</t>
  </si>
  <si>
    <t>乙方:中国信息通信研究院_IDC(待审核);</t>
  </si>
  <si>
    <t>1、业务安全部 移动生态业务安全组—安全号码项目，需要继续采购 号码归属地（含：携号转网）数据。这部分原数据，由业务安全部/移动生态业务安全组/安全号码项目、媒体云部/媒体云产品组/智能短信项目 共享使用。为配合安全部、ACG短信业务部门等部门的携号转网库业务需求，与【中国信息通信研究院】续约「路由端口识别能力服务」协议。
2、合同总金额：40万元整。</t>
  </si>
  <si>
    <t>2023-04-08</t>
  </si>
  <si>
    <t>2024-04-07</t>
  </si>
  <si>
    <t>400000</t>
  </si>
  <si>
    <t>182315IDC00223</t>
  </si>
  <si>
    <t>合同期到630，已终止</t>
  </si>
  <si>
    <t>乙方:中国移动通信集团福建有限公司厦门分公司_IDC(待审核);</t>
  </si>
  <si>
    <t>1、月度需求在2022年12月。
2、合同概要：福州省厦门市移动新建600G节点，合同期限2023年1月1日至2023年6月30日，商务条件与集约价格保持一致。
      带宽600G，保底40%，95计费，6740元/G/月；机柜收费3个，5500元/柜/月；IP免费2400个；
3、预估金额=（机柜5500元*3个+600G*保底0.4*单价6740)*6个月</t>
  </si>
  <si>
    <t>9804600</t>
  </si>
  <si>
    <t>182315IDC00220</t>
  </si>
  <si>
    <t>机架</t>
  </si>
  <si>
    <t>乙方:广州南沙博鋆科技有限公司_IDC(待审核);</t>
  </si>
  <si>
    <t xml:space="preserve">1.月度需求在2023年2月
2.合同概要：目前医疗云项目已与客户签约完成，需要百度与博浩东泰完成采购合同签署，业务线及预算审批如附件
合同价格：19个20A机柜，5324/月/柜，合同期1年
3.预估金额：19*5324*12=  1,213,872.00 元
</t>
  </si>
  <si>
    <t>2023-03-23</t>
  </si>
  <si>
    <t>2024-03-22</t>
  </si>
  <si>
    <t>1213872</t>
  </si>
  <si>
    <t>2023-06-27</t>
  </si>
  <si>
    <t>乙方:中国电信股份有限公司锦州分公司_IDC(待审核);</t>
  </si>
  <si>
    <t>1、月度需求审批信息在2023年4月，云盘链接见附件。
2、锦州电信补充协议，原协议顺延一年，有效期为2023年4月1日-2024年3月31日，2022年退租后，当前剩余20G端口，1个机柜，384个IPv4。商务条款：9500元/G/月，保底6G，机柜、IP免费
3、预估金额=20G * 9500元 * 30%*12=684000元</t>
  </si>
  <si>
    <t>684000</t>
  </si>
  <si>
    <t>,PeriodChange,</t>
  </si>
  <si>
    <t>182115IDC00290 182215IDC00223</t>
  </si>
  <si>
    <t>2023-05-20</t>
  </si>
  <si>
    <t>乙方:北京朗玛峰科技有限公司_IDC(待审核);</t>
  </si>
  <si>
    <t>1、月度需求在2022年10月。
2、与朗玛峰签订商业CDN补充协议，电信资源解除广东省内限制扩大至全国，其余商务条件不变。结合补贴测算的采购价格是4250元/G/月、1000进制、月95计费、包头系数1。
3、预估金额=150G*6月*5300元。</t>
  </si>
  <si>
    <t>2023-09-30</t>
  </si>
  <si>
    <t>4770000</t>
  </si>
  <si>
    <t>182315IDC00215</t>
  </si>
  <si>
    <t>合同期到430，已终止</t>
  </si>
  <si>
    <t>乙方:江苏朝宁网络科技有限公司_IDC(待审核);</t>
  </si>
  <si>
    <t>1、月度需求在2023年3月。
2、续签商业CDN合同，承载快手电信，采购价格5100元/G/月、1024*2进制、月95计费、包头系数1.0，降幅5.04%
3、预估金额=5100元*2月*500G</t>
  </si>
  <si>
    <t>2023-04-30</t>
  </si>
  <si>
    <t>5100000</t>
  </si>
  <si>
    <t>乙方:北京超巨云威科技有限公司_IDC(待审核);</t>
  </si>
  <si>
    <t>1、月度需求在2023年4月。
2、与云威新签商业CDN合同，承载快手电信业务，合同价格5300元/G/月，结合补贴测算的采购价格是4550元/G/月、1000进制、月95计费、包头系数1。
3、预估金额=5300元*12月*300G。</t>
  </si>
  <si>
    <t>19080000</t>
  </si>
  <si>
    <t>乙方:江苏意如信息科技有限公司_IDC(待审核);</t>
  </si>
  <si>
    <t>1、月度需求在2023年4月。
2、新签商业CDN合同，承载快手联通，采购价格5200元/G/月、1000进制、月95计费、包头系数1.0，有效增加商业CDN低价资源供应能力。
3、预估金额=200G*5200元*12月</t>
  </si>
  <si>
    <t>12480000</t>
  </si>
  <si>
    <t>1、月度需求在2023年4月。
2、新签商业CDN合同，承载点播类移动业务，采购价格4500元/G/月、1000进制、月95计费、包头系数1.0，低于存量最低价。
3、预估金额=4500元*12月*500G</t>
  </si>
  <si>
    <t>2023-11-30</t>
  </si>
  <si>
    <t>27000000</t>
  </si>
  <si>
    <t>乙方:上海翌旭网络科技有限公司_IDC(待审核);</t>
  </si>
  <si>
    <t>1、月度需求在2023年4月。
2、与新壹云签订商业CDN合同，承载爱奇艺移动（续签）、小红书移动（新签），采购价格均为4800元/G/月，1000进制，月95计费，包头系数1.0，有效增加商业CDN低价承载能力。
3、预估金额=4800元*（50G+150G ）*12月</t>
  </si>
  <si>
    <t>11520000</t>
  </si>
  <si>
    <t>2023-05-19</t>
  </si>
  <si>
    <t>乙方:江西节点技术服务有限公司_IDC(待审核);</t>
  </si>
  <si>
    <t>1、月度需求在2022年11月。
2、网心-融合XCDN三网-续约降价，3300元/G/月，较存量降幅5.71%。
3、预估金额=150G*3300元/G/月*12个月
4、合同倒签原因：由于22年11月续约时，供应商无法提供资源，22年12月开始中断使用，因此未提交合同。后通过协调资源，供应商可继续提供资源，且谈判降价，从3500元降至3300元，该资源已于23年2月恢复使用，用量为150G/月，与月度需求对齐。</t>
  </si>
  <si>
    <t>5940000</t>
  </si>
  <si>
    <t>2023-05-18</t>
  </si>
  <si>
    <t>乙方:厦门网宿有限公司_IDC(待审核);</t>
  </si>
  <si>
    <t>1.月度需求2023年1月
2.合同概要：网宿-PCDN网盘汇聚-续约降价，电联3400元/G/月，降幅5.55%
3.预估金额：3400*250*12= 10,200,000.00 元</t>
  </si>
  <si>
    <t>10200000</t>
  </si>
  <si>
    <t>乙方:中国移动通信集团广东有限公司广州分公司_IDC(待审核);</t>
  </si>
  <si>
    <t>1.月度需求2022年11月，2023年1月，2023年3月
2.合同概要：广州移动合同签署至2023年6月30日
1）带宽：广州移动存量30G原价续约（CDN20+SSL 10G），单价11000元/G/月，保底40%，95计费；2023年2月2日在博浩机房开通CDN代静态100G，单价11000元/G/月，95计费，保底40%。经与网络组沟通，按照保底40G流量计算，CDN代静态节省432万元/年；国内非穿透BGP 20G，单价150000元/G/月，95计费，保底20%
2）机柜：单价5000元/个/月，CDN在用6个，SSL在用4个，其中1个2023年4月1日退租，以实际开通为准 
3）IP：IPV4单价50元，1月1日至2月1日，使用1056个，其中免费240个，收费816个，2月2日起，使用1576个，其中免费1048个，收费528个；4月7日开通IDC 512个IP收费；赠送IPV6 4段/64位；BGP广播赠送IPV4地址6.2B，BGP广播IPV6赠送 2段/32位、1段/36位、1段/22位；以实际开通为准
4）预估金额：5000*6*6+5000*3*6+5000*1*3+5000*1*15/30+11000*130*40%*6+20*20%*6+816*50*1+816*50*1/28+50*528*27/28+50*528*4+50*512= 3,918,438.29 元</t>
  </si>
  <si>
    <t>3918438.29</t>
  </si>
  <si>
    <t>11662315IDC00201</t>
  </si>
  <si>
    <t>云智无预提</t>
  </si>
  <si>
    <t>2023-05-17</t>
  </si>
  <si>
    <t>甲方:百度云智（北京）科技有限公司;</t>
  </si>
  <si>
    <t xml:space="preserve">1.月度需求在2023年5月
2.合同概要：ACG风控部百度云新主体（云智）需求，对GZBH移动机房进行机房&amp;网络资源申请（1个20A机柜+100M带宽+4个IPV4），合同期同一年，新主体机柜随时可退，无罚则。商务报价情况如下：
1）机柜：1柜*20A，5800元/个/月
2）带宽：100M包端口，3800元/月
3）IP地址：8个免费
3.与财务沟通乙方填写为中国移动通信集团广东有限公司广州分公司
4.预估金额：5800*1*12+1*3800*12= 115,200.00 元
</t>
  </si>
  <si>
    <t>115200</t>
  </si>
  <si>
    <t>IDC战略合作部-国内-IDC-非机房</t>
  </si>
  <si>
    <t>182315IDC00199</t>
  </si>
  <si>
    <t>2023-05-16</t>
  </si>
  <si>
    <t>乙方:北京移动系统集成有限公司_IDC(待审核);</t>
  </si>
  <si>
    <t>1） 项目背景：为配合ACG云通信业务发展，与运营商【北移系统集成】签署《北京百度网讯科技有限公司优化注册登录服务项目（五期）数据信息技术服务合作协议》，原合同于2023年10月31日到期，因运营商于2023年1月6日进行了企业更名，为配合对方流程要求进行更名后的续签，同时由于移动集团政策调整，续约价格比原价格有上浮。
2） 预估金额=业务预估金额1200000元。</t>
  </si>
  <si>
    <t>2023-05-26</t>
  </si>
  <si>
    <t>2024-05-25</t>
  </si>
  <si>
    <t>,CustomerChange,PeriodChange,GoodsUpdate,</t>
  </si>
  <si>
    <t>182115IDC00621</t>
  </si>
  <si>
    <t>182315IDC00198</t>
  </si>
  <si>
    <t>2023-05-15</t>
  </si>
  <si>
    <t>乙方:广西东信易通科技有限公司_IDC(待审核);</t>
  </si>
  <si>
    <t>前期与核心供应商【中国东信】签署的《信息核验产品服务合作协议》于2023年5月17日到期，现进行续约。此合同为ACG AI应用产品部提供企业号码认证资源，本次续约价格保持不变，将前期邮件调整的价格更新至合同内。</t>
  </si>
  <si>
    <t>2024-05-17</t>
  </si>
  <si>
    <t>,AmountChange,PeriodChange,</t>
  </si>
  <si>
    <t>182015PCK01519 1821202IDC00276</t>
  </si>
  <si>
    <t>2023-05-12</t>
  </si>
  <si>
    <t>乙方:广东图纪网络科技有限公司_IDC(待审核);</t>
  </si>
  <si>
    <t>此供应商已签署框架协议（合同号182215IDC00331），在框架协议下增加株洲联通的资源订单，具体资源情况如下： 
按照需求，湖南株洲联通-存量440G-降价-代理 
1.月度需求在2023年1月 
2.带宽： 30%保底，95计费。2023年2月1日起单价由5167元/G/月降价至4600元/G/月，相比原价降幅10.98%，相比集约9000元/G/月，降幅48.9%。按照95计费45%利用率，相比集约节约（9000-4600）*12*440*45%/10000=1045.44万元/年
3.机柜：单价3500元，，相比原价4000元降幅12.5%，在用8个，以实际开通为准 
4.IP：IPV4单价50元，免费704个，在用544个，以实际开通为准 
5.预估金额：（440*30%*4600+3500*8）*12= 7,622,400.00 元</t>
  </si>
  <si>
    <t>7622400</t>
  </si>
  <si>
    <t>182215IDC00331</t>
  </si>
  <si>
    <t>182315IDC00194</t>
  </si>
  <si>
    <t>乙方:北京云企乐创科技有限公司_IDC(待审核);</t>
  </si>
  <si>
    <t>为配合ACG AI应用产品部业务发展，前期与供应商【云企乐创】签署的《语音号码验证业务采购协议》于2023年3月14日到期，现进行续约。 续约后价格维持不变。</t>
  </si>
  <si>
    <t>2023-03-15</t>
  </si>
  <si>
    <t>2024-03-14</t>
  </si>
  <si>
    <t>182315IDC00190</t>
  </si>
  <si>
    <t>2023-05-09</t>
  </si>
  <si>
    <t>乙方:上海创蓝云智信息科技股份有限公司_IDC(待审核);</t>
  </si>
  <si>
    <t>为配合ACG AI应用产品部业务发展，前期与供应商【创蓝云智】签署的《语音号码验证服务采购合同协议》于2023年5月10日到期，现进行续约。 续约后价格维持不变。</t>
  </si>
  <si>
    <t>2023-05-11</t>
  </si>
  <si>
    <t>2024-05-10</t>
  </si>
  <si>
    <t>2023-04-28</t>
  </si>
  <si>
    <t xml:space="preserve">1.月度需求在2022年8月，2022年12月
2.合同概要：此次降价续签2400个不低于4.4KW机柜，截至目前已开通2264柜。续签商务条件如下：
1）机柜：2023年1月1日至2023年12月31日4.4kw机柜4800元/个/月，降幅8.6%(原价按5250元/月/柜计算)，非4.4kw机柜按照此单价折算， 即240元/A，以实际使用资源计费
2）静态带宽：300G资源，与原合同一致，即单价3万元/G/月，月95计费，保底10%
3）IP代播：IPV4静态代播，全球穿透，10元/个/月，目前代播4C IP
3.预估金额：2264*4800*12+30000*300*0.1*12+4*256*10*12= 141,329,280.00 元
</t>
  </si>
  <si>
    <t>141329280</t>
  </si>
  <si>
    <t>182315IDC00121</t>
  </si>
  <si>
    <t>乙方:中国移动通信集团上海有限公司_IDC(待审核);</t>
  </si>
  <si>
    <t>1、合同概要：为支持ACG语音类业务发展，增加号码号线资源储备，引入上海移动直连语音线路，线路资源较低为6秒计费，价格处于行业低位。
2、预估金额=预估月度消费金额*12=1,200,000.00元</t>
  </si>
  <si>
    <t>2023-04-21</t>
  </si>
  <si>
    <t>2024-04-20</t>
  </si>
  <si>
    <t>182315IDC00110</t>
  </si>
  <si>
    <t>2023-03-29</t>
  </si>
  <si>
    <t>乙方:吉林省巨盛网络科技有限公司_IDC(待审核);</t>
  </si>
  <si>
    <t>1、月度需求在2022.10月，链接详见附件。
 2、爱奇艺空港机房合同到期，按照业务需求0.5+0.5周期续签
3、预估金额=(6000*360+10000*68)*12=34,080,000元。</t>
  </si>
  <si>
    <t>34080000</t>
  </si>
  <si>
    <t>L20230519010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</si>
</sst>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81" formatCode="0_);[Red]\(0\)"/>
    <numFmt numFmtId="198" formatCode="#,##0.00_ ;[Red]\-#,##0.00\ "/>
    <numFmt numFmtId="200" formatCode="_ * #,##0.00000_ ;_ * \-#,##0.00000_ ;_ * &quot;-&quot;??_ ;_ @_ "/>
    <numFmt numFmtId="201" formatCode="#,##0.00_ "/>
    <numFmt numFmtId="202" formatCode="_ * #,##0.000_ ;_ * \-#,##0.000_ ;_ * &quot;-&quot;??_ ;_ @_ "/>
    <numFmt numFmtId="204" formatCode="_ * #,##0.0000_ ;_ * \-#,##0.0000_ ;_ * &quot;-&quot;??_ ;_ @_ "/>
    <numFmt numFmtId="206" formatCode="_ * #,##0.0000_ ;_ * \-#,##0.0000_ ;_ * &quot;-&quot;????_ ;_ @_ "/>
    <numFmt numFmtId="207" formatCode="0.0_);[Red]\(0.0\)"/>
    <numFmt numFmtId="208" formatCode="0.00_);[Red]\(0.00\)"/>
    <numFmt numFmtId="210" formatCode="_ * #,##0.00000000_ ;_ * \-#,##0.00000000_ ;_ * &quot;-&quot;????????_ ;_ @_ "/>
    <numFmt numFmtId="211" formatCode="_ * #,##0.00_ ;_ * \-#,##0.00_ ;_ * &quot;-&quot;??_ ;_ @_ "/>
  </numFmts>
  <fonts count="13">
    <font>
      <sz val="11"/>
      <color theme="1"/>
      <name val="等线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等线"/>
      <family val="4"/>
      <charset val="134"/>
      <scheme val="minor"/>
    </font>
    <font>
      <b/>
      <sz val="11"/>
      <name val="宋体"/>
      <family val="3"/>
      <charset val="134"/>
    </font>
    <font>
      <sz val="9"/>
      <name val="微软雅黑"/>
      <family val="2"/>
      <charset val="134"/>
    </font>
    <font>
      <sz val="11"/>
      <color rgb="FF000000"/>
      <name val="等线"/>
      <family val="4"/>
      <charset val="134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FD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211" fontId="11" fillId="0" borderId="0" applyFont="0" applyFill="0" applyBorder="0" applyAlignment="0" applyProtection="0">
      <alignment vertical="center"/>
    </xf>
    <xf numFmtId="211" fontId="11" fillId="0" borderId="0" applyFont="0" applyFill="0" applyBorder="0" applyAlignment="0" applyProtection="0">
      <alignment vertical="center"/>
    </xf>
    <xf numFmtId="0" fontId="7" fillId="0" borderId="0">
      <protection locked="0"/>
    </xf>
    <xf numFmtId="0" fontId="8" fillId="0" borderId="0">
      <protection locked="0"/>
    </xf>
    <xf numFmtId="21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0" borderId="0">
      <protection locked="0"/>
    </xf>
    <xf numFmtId="0" fontId="11" fillId="0" borderId="0"/>
    <xf numFmtId="211" fontId="11" fillId="0" borderId="0" applyFont="0" applyFill="0" applyBorder="0" applyAlignment="0" applyProtection="0">
      <alignment vertical="center"/>
    </xf>
    <xf numFmtId="0" fontId="6" fillId="0" borderId="0">
      <protection locked="0"/>
    </xf>
    <xf numFmtId="0" fontId="7" fillId="0" borderId="0">
      <protection locked="0"/>
    </xf>
    <xf numFmtId="211" fontId="11" fillId="0" borderId="0" applyFont="0" applyFill="0" applyBorder="0" applyAlignment="0" applyProtection="0">
      <alignment vertical="center"/>
    </xf>
    <xf numFmtId="0" fontId="6" fillId="0" borderId="0">
      <protection locked="0"/>
    </xf>
    <xf numFmtId="211" fontId="11" fillId="0" borderId="0" applyFont="0" applyFill="0" applyBorder="0" applyAlignment="0" applyProtection="0">
      <alignment vertical="center"/>
    </xf>
    <xf numFmtId="0" fontId="11" fillId="0" borderId="0"/>
    <xf numFmtId="211" fontId="11" fillId="0" borderId="0" applyFont="0" applyFill="0" applyBorder="0" applyAlignment="0" applyProtection="0">
      <alignment vertical="center"/>
    </xf>
    <xf numFmtId="0" fontId="11" fillId="0" borderId="0"/>
  </cellStyleXfs>
  <cellXfs count="30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8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21" applyFont="1" applyFill="1" applyBorder="1" applyAlignment="1">
      <alignment horizontal="center" vertical="center"/>
    </xf>
    <xf numFmtId="0" fontId="2" fillId="2" borderId="1" xfId="21" applyFont="1" applyFill="1" applyBorder="1" applyAlignment="1" applyProtection="1">
      <alignment horizontal="center" vertical="center"/>
      <protection locked="0"/>
    </xf>
    <xf numFmtId="0" fontId="1" fillId="0" borderId="1" xfId="17" applyFont="1" applyBorder="1" applyAlignment="1" applyProtection="1">
      <alignment horizontal="center" vertical="top"/>
    </xf>
    <xf numFmtId="0" fontId="2" fillId="2" borderId="1" xfId="17" applyFont="1" applyFill="1" applyBorder="1" applyAlignment="1">
      <alignment horizontal="center" vertical="center"/>
      <protection locked="0"/>
    </xf>
    <xf numFmtId="0" fontId="2" fillId="2" borderId="1" xfId="3" applyFont="1" applyFill="1" applyBorder="1" applyAlignment="1">
      <alignment horizontal="center" vertical="center"/>
      <protection locked="0"/>
    </xf>
    <xf numFmtId="0" fontId="1" fillId="0" borderId="1" xfId="4" applyFont="1" applyBorder="1" applyAlignment="1" applyProtection="1">
      <alignment horizontal="center" vertical="center"/>
    </xf>
    <xf numFmtId="0" fontId="2" fillId="2" borderId="1" xfId="17" applyFont="1" applyFill="1" applyBorder="1" applyAlignment="1" applyProtection="1">
      <alignment horizontal="center" vertical="center"/>
    </xf>
    <xf numFmtId="49" fontId="2" fillId="2" borderId="1" xfId="21" applyNumberFormat="1" applyFont="1" applyFill="1" applyBorder="1" applyAlignment="1" applyProtection="1">
      <alignment horizontal="center" vertical="center"/>
      <protection locked="0"/>
    </xf>
    <xf numFmtId="0" fontId="2" fillId="2" borderId="1" xfId="13" applyFont="1" applyFill="1" applyBorder="1" applyAlignment="1" applyProtection="1">
      <alignment horizontal="center" vertical="center"/>
    </xf>
    <xf numFmtId="14" fontId="1" fillId="0" borderId="1" xfId="4" applyNumberFormat="1" applyFont="1" applyBorder="1" applyAlignment="1" applyProtection="1">
      <alignment horizontal="center" vertical="center"/>
    </xf>
    <xf numFmtId="201" fontId="1" fillId="0" borderId="1" xfId="18" applyNumberFormat="1" applyFont="1" applyFill="1" applyBorder="1" applyAlignment="1" applyProtection="1">
      <alignment vertical="center"/>
    </xf>
    <xf numFmtId="14" fontId="2" fillId="2" borderId="1" xfId="17" applyNumberFormat="1" applyFont="1" applyFill="1" applyBorder="1" applyAlignment="1">
      <alignment horizontal="center" vertical="center"/>
      <protection locked="0"/>
    </xf>
    <xf numFmtId="201" fontId="2" fillId="2" borderId="1" xfId="0" applyNumberFormat="1" applyFont="1" applyFill="1" applyBorder="1" applyAlignment="1">
      <alignment vertical="center"/>
    </xf>
    <xf numFmtId="14" fontId="2" fillId="2" borderId="1" xfId="4" applyNumberFormat="1" applyFont="1" applyFill="1" applyBorder="1" applyAlignment="1" applyProtection="1">
      <alignment horizontal="center" vertical="center"/>
    </xf>
    <xf numFmtId="211" fontId="2" fillId="2" borderId="1" xfId="20" applyFont="1" applyFill="1" applyBorder="1" applyAlignment="1" applyProtection="1">
      <alignment horizontal="center" vertical="center"/>
      <protection locked="0"/>
    </xf>
    <xf numFmtId="201" fontId="2" fillId="2" borderId="1" xfId="20" applyNumberFormat="1" applyFont="1" applyFill="1" applyBorder="1" applyAlignment="1" applyProtection="1">
      <alignment vertical="center"/>
    </xf>
    <xf numFmtId="198" fontId="1" fillId="0" borderId="1" xfId="18" applyNumberFormat="1" applyFont="1" applyFill="1" applyBorder="1" applyAlignment="1" applyProtection="1">
      <alignment vertical="center"/>
    </xf>
    <xf numFmtId="198" fontId="1" fillId="0" borderId="1" xfId="18" applyNumberFormat="1" applyFont="1" applyFill="1" applyBorder="1" applyAlignment="1" applyProtection="1">
      <alignment horizontal="left" vertical="center"/>
    </xf>
    <xf numFmtId="201" fontId="2" fillId="2" borderId="1" xfId="18" applyNumberFormat="1" applyFont="1" applyFill="1" applyBorder="1" applyAlignment="1">
      <alignment vertical="center"/>
    </xf>
    <xf numFmtId="201" fontId="2" fillId="2" borderId="1" xfId="18" applyNumberFormat="1" applyFont="1" applyFill="1" applyBorder="1" applyAlignment="1" applyProtection="1">
      <alignment vertical="center"/>
      <protection locked="0"/>
    </xf>
    <xf numFmtId="0" fontId="2" fillId="2" borderId="1" xfId="3" applyFont="1" applyFill="1" applyBorder="1" applyAlignment="1">
      <alignment vertical="center"/>
      <protection locked="0"/>
    </xf>
    <xf numFmtId="40" fontId="2" fillId="2" borderId="1" xfId="4" applyNumberFormat="1" applyFont="1" applyFill="1" applyBorder="1" applyAlignment="1" applyProtection="1">
      <alignment horizontal="left" vertical="center"/>
    </xf>
    <xf numFmtId="201" fontId="2" fillId="2" borderId="1" xfId="20" applyNumberFormat="1" applyFont="1" applyFill="1" applyBorder="1" applyAlignment="1" applyProtection="1">
      <alignment vertical="center"/>
      <protection locked="0"/>
    </xf>
    <xf numFmtId="0" fontId="2" fillId="2" borderId="1" xfId="21" applyFont="1" applyFill="1" applyBorder="1" applyAlignment="1">
      <alignment horizontal="left" vertical="center"/>
    </xf>
    <xf numFmtId="204" fontId="1" fillId="0" borderId="1" xfId="18" applyNumberFormat="1" applyFont="1" applyFill="1" applyBorder="1" applyAlignment="1" applyProtection="1">
      <alignment horizontal="center" vertical="center"/>
    </xf>
    <xf numFmtId="201" fontId="1" fillId="0" borderId="1" xfId="17" applyNumberFormat="1" applyFont="1" applyBorder="1" applyAlignment="1" applyProtection="1">
      <alignment horizontal="center" vertical="center"/>
    </xf>
    <xf numFmtId="211" fontId="2" fillId="2" borderId="1" xfId="18" applyFont="1" applyFill="1" applyBorder="1" applyAlignment="1">
      <alignment horizontal="center" vertical="center"/>
    </xf>
    <xf numFmtId="201" fontId="2" fillId="2" borderId="1" xfId="18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11" fontId="2" fillId="2" borderId="1" xfId="18" applyFont="1" applyFill="1" applyBorder="1" applyAlignment="1" applyProtection="1">
      <alignment horizontal="left" vertical="center"/>
      <protection locked="0"/>
    </xf>
    <xf numFmtId="211" fontId="2" fillId="2" borderId="1" xfId="1" applyFont="1" applyFill="1" applyBorder="1" applyAlignment="1">
      <alignment horizontal="center" vertical="center"/>
    </xf>
    <xf numFmtId="201" fontId="2" fillId="2" borderId="1" xfId="20" applyNumberFormat="1" applyFont="1" applyFill="1" applyBorder="1" applyAlignment="1" applyProtection="1">
      <alignment horizontal="center" vertical="center"/>
      <protection locked="0"/>
    </xf>
    <xf numFmtId="49" fontId="1" fillId="0" borderId="1" xfId="18" applyNumberFormat="1" applyFont="1" applyFill="1" applyBorder="1" applyAlignment="1">
      <alignment horizontal="center" vertical="center"/>
    </xf>
    <xf numFmtId="208" fontId="1" fillId="0" borderId="1" xfId="18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08" fontId="2" fillId="2" borderId="1" xfId="0" applyNumberFormat="1" applyFont="1" applyFill="1" applyBorder="1" applyAlignment="1">
      <alignment horizontal="center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>
      <alignment horizontal="center" vertical="center"/>
    </xf>
    <xf numFmtId="181" fontId="2" fillId="2" borderId="1" xfId="20" applyNumberFormat="1" applyFont="1" applyFill="1" applyBorder="1" applyAlignment="1" applyProtection="1">
      <alignment horizontal="center" vertical="center"/>
      <protection locked="0"/>
    </xf>
    <xf numFmtId="201" fontId="1" fillId="0" borderId="0" xfId="0" applyNumberFormat="1" applyFont="1"/>
    <xf numFmtId="201" fontId="2" fillId="2" borderId="0" xfId="0" applyNumberFormat="1" applyFont="1" applyFill="1"/>
    <xf numFmtId="0" fontId="2" fillId="3" borderId="1" xfId="21" applyFont="1" applyFill="1" applyBorder="1" applyAlignment="1">
      <alignment horizontal="center" vertical="center"/>
    </xf>
    <xf numFmtId="0" fontId="2" fillId="3" borderId="1" xfId="21" applyFont="1" applyFill="1" applyBorder="1" applyAlignment="1" applyProtection="1">
      <alignment horizontal="center" vertical="center"/>
      <protection locked="0"/>
    </xf>
    <xf numFmtId="0" fontId="2" fillId="3" borderId="1" xfId="3" applyFont="1" applyFill="1" applyBorder="1" applyAlignment="1">
      <alignment horizontal="center" vertical="center"/>
      <protection locked="0"/>
    </xf>
    <xf numFmtId="49" fontId="2" fillId="3" borderId="1" xfId="21" applyNumberFormat="1" applyFont="1" applyFill="1" applyBorder="1" applyAlignment="1" applyProtection="1">
      <alignment horizontal="center" vertical="center"/>
      <protection locked="0"/>
    </xf>
    <xf numFmtId="0" fontId="2" fillId="3" borderId="1" xfId="17" applyFont="1" applyFill="1" applyBorder="1" applyAlignment="1">
      <alignment horizontal="center" vertical="center"/>
      <protection locked="0"/>
    </xf>
    <xf numFmtId="0" fontId="2" fillId="3" borderId="1" xfId="13" applyFont="1" applyFill="1" applyBorder="1" applyAlignment="1" applyProtection="1">
      <alignment horizontal="center" vertical="center"/>
    </xf>
    <xf numFmtId="14" fontId="2" fillId="3" borderId="1" xfId="4" applyNumberFormat="1" applyFont="1" applyFill="1" applyBorder="1" applyAlignment="1" applyProtection="1">
      <alignment horizontal="center" vertical="center"/>
    </xf>
    <xf numFmtId="211" fontId="2" fillId="3" borderId="1" xfId="18" applyFont="1" applyFill="1" applyBorder="1" applyAlignment="1" applyProtection="1">
      <alignment horizontal="right" vertical="center"/>
      <protection locked="0"/>
    </xf>
    <xf numFmtId="201" fontId="2" fillId="3" borderId="1" xfId="20" applyNumberFormat="1" applyFont="1" applyFill="1" applyBorder="1" applyAlignment="1" applyProtection="1">
      <alignment vertical="center"/>
      <protection locked="0"/>
    </xf>
    <xf numFmtId="201" fontId="2" fillId="3" borderId="1" xfId="18" applyNumberFormat="1" applyFont="1" applyFill="1" applyBorder="1" applyAlignment="1" applyProtection="1">
      <alignment vertical="center"/>
      <protection locked="0"/>
    </xf>
    <xf numFmtId="0" fontId="2" fillId="3" borderId="1" xfId="3" applyFont="1" applyFill="1" applyBorder="1" applyAlignment="1">
      <alignment vertical="center"/>
      <protection locked="0"/>
    </xf>
    <xf numFmtId="0" fontId="2" fillId="3" borderId="1" xfId="21" applyFont="1" applyFill="1" applyBorder="1" applyAlignment="1">
      <alignment horizontal="left" vertical="center"/>
    </xf>
    <xf numFmtId="211" fontId="2" fillId="3" borderId="1" xfId="20" applyFont="1" applyFill="1" applyBorder="1" applyAlignment="1" applyProtection="1">
      <alignment horizontal="left" vertical="center"/>
      <protection locked="0"/>
    </xf>
    <xf numFmtId="211" fontId="2" fillId="3" borderId="1" xfId="1" applyFont="1" applyFill="1" applyBorder="1" applyAlignment="1">
      <alignment horizontal="center" vertical="center"/>
    </xf>
    <xf numFmtId="201" fontId="2" fillId="3" borderId="1" xfId="4" applyNumberFormat="1" applyFont="1" applyFill="1" applyBorder="1" applyAlignment="1" applyProtection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9" applyFont="1" applyFill="1" applyBorder="1" applyAlignment="1">
      <alignment horizontal="center" vertical="center"/>
    </xf>
    <xf numFmtId="211" fontId="2" fillId="3" borderId="1" xfId="1" applyFont="1" applyFill="1" applyBorder="1" applyAlignment="1" applyProtection="1">
      <alignment horizontal="center" vertical="center"/>
      <protection locked="0"/>
    </xf>
    <xf numFmtId="201" fontId="2" fillId="3" borderId="0" xfId="0" applyNumberFormat="1" applyFont="1" applyFill="1"/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6" borderId="0" xfId="0" applyFont="1" applyFill="1" applyAlignment="1">
      <alignment vertical="center"/>
    </xf>
    <xf numFmtId="0" fontId="0" fillId="3" borderId="0" xfId="0" applyFill="1"/>
    <xf numFmtId="208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/>
    <xf numFmtId="201" fontId="2" fillId="0" borderId="0" xfId="18" applyNumberFormat="1" applyFont="1" applyFill="1" applyBorder="1" applyAlignment="1"/>
    <xf numFmtId="0" fontId="2" fillId="0" borderId="0" xfId="0" applyFont="1" applyAlignment="1">
      <alignment horizontal="left"/>
    </xf>
    <xf numFmtId="204" fontId="2" fillId="0" borderId="0" xfId="18" applyNumberFormat="1" applyFont="1" applyFill="1" applyBorder="1" applyAlignment="1">
      <alignment horizontal="center"/>
    </xf>
    <xf numFmtId="20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208" fontId="2" fillId="0" borderId="0" xfId="0" applyNumberFormat="1" applyFont="1" applyAlignment="1">
      <alignment horizontal="center"/>
    </xf>
    <xf numFmtId="201" fontId="2" fillId="0" borderId="0" xfId="0" applyNumberFormat="1" applyFont="1"/>
    <xf numFmtId="0" fontId="2" fillId="3" borderId="1" xfId="8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4" applyFont="1" applyFill="1" applyBorder="1" applyAlignment="1" applyProtection="1">
      <alignment horizontal="center" vertical="center"/>
    </xf>
    <xf numFmtId="0" fontId="2" fillId="3" borderId="1" xfId="17" applyFont="1" applyFill="1" applyBorder="1" applyAlignment="1" applyProtection="1">
      <alignment horizontal="center" vertical="center"/>
    </xf>
    <xf numFmtId="14" fontId="2" fillId="3" borderId="1" xfId="17" applyNumberFormat="1" applyFont="1" applyFill="1" applyBorder="1" applyAlignment="1">
      <alignment horizontal="center" vertical="center"/>
      <protection locked="0"/>
    </xf>
    <xf numFmtId="201" fontId="2" fillId="3" borderId="1" xfId="0" applyNumberFormat="1" applyFont="1" applyFill="1" applyBorder="1" applyAlignment="1">
      <alignment vertical="center"/>
    </xf>
    <xf numFmtId="201" fontId="2" fillId="2" borderId="1" xfId="0" applyNumberFormat="1" applyFont="1" applyFill="1" applyBorder="1" applyAlignment="1">
      <alignment vertical="center" wrapText="1"/>
    </xf>
    <xf numFmtId="14" fontId="2" fillId="3" borderId="1" xfId="17" applyNumberFormat="1" applyFont="1" applyFill="1" applyBorder="1" applyAlignment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4" applyNumberFormat="1" applyFont="1" applyFill="1" applyBorder="1" applyAlignment="1" applyProtection="1">
      <alignment horizontal="center" vertical="center" wrapText="1"/>
    </xf>
    <xf numFmtId="201" fontId="2" fillId="3" borderId="1" xfId="4" applyNumberFormat="1" applyFont="1" applyFill="1" applyBorder="1" applyAlignment="1" applyProtection="1">
      <alignment vertical="center"/>
    </xf>
    <xf numFmtId="201" fontId="2" fillId="3" borderId="1" xfId="0" applyNumberFormat="1" applyFont="1" applyFill="1" applyBorder="1" applyAlignment="1">
      <alignment vertical="center" wrapText="1"/>
    </xf>
    <xf numFmtId="40" fontId="2" fillId="3" borderId="1" xfId="4" applyNumberFormat="1" applyFont="1" applyFill="1" applyBorder="1" applyAlignment="1" applyProtection="1">
      <alignment horizontal="left" vertical="center"/>
    </xf>
    <xf numFmtId="201" fontId="2" fillId="3" borderId="1" xfId="18" applyNumberFormat="1" applyFont="1" applyFill="1" applyBorder="1" applyAlignment="1">
      <alignment vertical="center"/>
    </xf>
    <xf numFmtId="201" fontId="2" fillId="3" borderId="1" xfId="18" applyNumberFormat="1" applyFont="1" applyFill="1" applyBorder="1" applyAlignment="1" applyProtection="1">
      <alignment vertical="center"/>
    </xf>
    <xf numFmtId="14" fontId="2" fillId="3" borderId="1" xfId="4" applyNumberFormat="1" applyFont="1" applyFill="1" applyBorder="1" applyAlignment="1" applyProtection="1">
      <alignment horizontal="left" vertical="center"/>
    </xf>
    <xf numFmtId="204" fontId="2" fillId="2" borderId="1" xfId="18" applyNumberFormat="1" applyFont="1" applyFill="1" applyBorder="1" applyAlignment="1">
      <alignment horizontal="center" vertical="center"/>
    </xf>
    <xf numFmtId="204" fontId="2" fillId="3" borderId="1" xfId="18" applyNumberFormat="1" applyFont="1" applyFill="1" applyBorder="1" applyAlignment="1">
      <alignment horizontal="center" vertical="center"/>
    </xf>
    <xf numFmtId="201" fontId="2" fillId="3" borderId="1" xfId="18" applyNumberFormat="1" applyFont="1" applyFill="1" applyBorder="1" applyAlignment="1">
      <alignment horizontal="center" vertical="center"/>
    </xf>
    <xf numFmtId="211" fontId="2" fillId="3" borderId="1" xfId="18" applyFont="1" applyFill="1" applyBorder="1" applyAlignment="1">
      <alignment horizontal="center" vertical="center"/>
    </xf>
    <xf numFmtId="0" fontId="2" fillId="3" borderId="1" xfId="16" applyFont="1" applyFill="1" applyBorder="1" applyAlignment="1">
      <alignment horizontal="left" vertical="center"/>
      <protection locked="0"/>
    </xf>
    <xf numFmtId="201" fontId="2" fillId="3" borderId="1" xfId="17" applyNumberFormat="1" applyFont="1" applyFill="1" applyBorder="1" applyAlignment="1">
      <alignment horizontal="center" vertical="center"/>
      <protection locked="0"/>
    </xf>
    <xf numFmtId="0" fontId="2" fillId="3" borderId="1" xfId="0" applyFont="1" applyFill="1" applyBorder="1" applyAlignment="1">
      <alignment horizontal="center"/>
    </xf>
    <xf numFmtId="208" fontId="2" fillId="3" borderId="1" xfId="0" applyNumberFormat="1" applyFont="1" applyFill="1" applyBorder="1" applyAlignment="1">
      <alignment horizontal="center"/>
    </xf>
    <xf numFmtId="208" fontId="2" fillId="3" borderId="1" xfId="18" applyNumberFormat="1" applyFont="1" applyFill="1" applyBorder="1" applyAlignment="1">
      <alignment horizontal="center"/>
    </xf>
    <xf numFmtId="40" fontId="2" fillId="3" borderId="1" xfId="4" applyNumberFormat="1" applyFont="1" applyFill="1" applyBorder="1" applyAlignment="1" applyProtection="1">
      <alignment horizontal="left" vertical="center" wrapText="1"/>
    </xf>
    <xf numFmtId="208" fontId="2" fillId="2" borderId="1" xfId="18" applyNumberFormat="1" applyFont="1" applyFill="1" applyBorder="1" applyAlignment="1">
      <alignment horizontal="center"/>
    </xf>
    <xf numFmtId="0" fontId="2" fillId="2" borderId="1" xfId="14" applyFont="1" applyFill="1" applyBorder="1" applyAlignment="1" applyProtection="1">
      <alignment horizontal="center" vertical="center"/>
      <protection locked="0"/>
    </xf>
    <xf numFmtId="0" fontId="2" fillId="2" borderId="1" xfId="14" applyFont="1" applyFill="1" applyBorder="1" applyAlignment="1">
      <alignment horizontal="center" vertical="center"/>
    </xf>
    <xf numFmtId="0" fontId="2" fillId="3" borderId="1" xfId="14" applyFont="1" applyFill="1" applyBorder="1" applyAlignment="1" applyProtection="1">
      <alignment horizontal="center" vertical="center"/>
      <protection locked="0"/>
    </xf>
    <xf numFmtId="0" fontId="2" fillId="3" borderId="1" xfId="14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  <protection locked="0"/>
    </xf>
    <xf numFmtId="0" fontId="2" fillId="3" borderId="1" xfId="17" applyFont="1" applyFill="1" applyBorder="1" applyAlignment="1">
      <alignment horizontal="center" vertical="center" wrapText="1"/>
      <protection locked="0"/>
    </xf>
    <xf numFmtId="0" fontId="2" fillId="2" borderId="1" xfId="4" applyFont="1" applyFill="1" applyBorder="1" applyAlignment="1" applyProtection="1">
      <alignment horizontal="center" vertical="center" wrapText="1"/>
    </xf>
    <xf numFmtId="0" fontId="2" fillId="2" borderId="1" xfId="17" applyFont="1" applyFill="1" applyBorder="1" applyAlignment="1">
      <alignment horizontal="center" vertical="center" wrapText="1"/>
      <protection locked="0"/>
    </xf>
    <xf numFmtId="0" fontId="2" fillId="3" borderId="1" xfId="4" applyFont="1" applyFill="1" applyBorder="1" applyAlignment="1" applyProtection="1">
      <alignment horizontal="center" vertical="center" wrapText="1"/>
    </xf>
    <xf numFmtId="0" fontId="2" fillId="2" borderId="1" xfId="8" applyFont="1" applyFill="1" applyBorder="1" applyAlignment="1">
      <alignment horizontal="center" vertical="center"/>
    </xf>
    <xf numFmtId="0" fontId="2" fillId="2" borderId="1" xfId="21" applyFont="1" applyFill="1" applyBorder="1" applyAlignment="1" applyProtection="1">
      <alignment horizontal="center" vertical="center" wrapText="1"/>
      <protection locked="0"/>
    </xf>
    <xf numFmtId="0" fontId="2" fillId="2" borderId="1" xfId="13" applyFont="1" applyFill="1" applyBorder="1" applyAlignment="1" applyProtection="1">
      <alignment horizontal="center" vertical="center" wrapText="1"/>
    </xf>
    <xf numFmtId="0" fontId="2" fillId="3" borderId="1" xfId="13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3" applyNumberFormat="1" applyFont="1" applyFill="1" applyBorder="1" applyAlignment="1">
      <alignment horizontal="center" vertical="center"/>
      <protection locked="0"/>
    </xf>
    <xf numFmtId="0" fontId="2" fillId="2" borderId="1" xfId="13" applyFont="1" applyFill="1" applyBorder="1" applyAlignment="1">
      <alignment horizontal="center" vertical="center"/>
      <protection locked="0"/>
    </xf>
    <xf numFmtId="201" fontId="2" fillId="2" borderId="1" xfId="15" applyNumberFormat="1" applyFont="1" applyFill="1" applyBorder="1" applyAlignment="1">
      <alignment vertical="center" wrapText="1"/>
    </xf>
    <xf numFmtId="201" fontId="2" fillId="3" borderId="1" xfId="3" applyNumberFormat="1" applyFont="1" applyFill="1" applyBorder="1" applyAlignment="1">
      <alignment vertical="center"/>
      <protection locked="0"/>
    </xf>
    <xf numFmtId="201" fontId="2" fillId="2" borderId="1" xfId="3" applyNumberFormat="1" applyFont="1" applyFill="1" applyBorder="1" applyAlignment="1">
      <alignment vertical="center"/>
      <protection locked="0"/>
    </xf>
    <xf numFmtId="14" fontId="2" fillId="2" borderId="1" xfId="4" applyNumberFormat="1" applyFont="1" applyFill="1" applyBorder="1" applyAlignment="1" applyProtection="1">
      <alignment horizontal="center" vertical="center" wrapText="1"/>
    </xf>
    <xf numFmtId="14" fontId="2" fillId="2" borderId="1" xfId="14" applyNumberFormat="1" applyFont="1" applyFill="1" applyBorder="1" applyAlignment="1">
      <alignment horizontal="center" vertical="center" wrapText="1"/>
    </xf>
    <xf numFmtId="40" fontId="2" fillId="2" borderId="1" xfId="4" applyNumberFormat="1" applyFont="1" applyFill="1" applyBorder="1" applyAlignment="1" applyProtection="1">
      <alignment horizontal="center" vertical="center" wrapText="1"/>
    </xf>
    <xf numFmtId="201" fontId="2" fillId="2" borderId="1" xfId="1" applyNumberFormat="1" applyFont="1" applyFill="1" applyBorder="1" applyAlignment="1" applyProtection="1">
      <alignment vertical="center"/>
    </xf>
    <xf numFmtId="14" fontId="2" fillId="3" borderId="1" xfId="14" applyNumberFormat="1" applyFont="1" applyFill="1" applyBorder="1" applyAlignment="1">
      <alignment horizontal="center" vertical="center" wrapText="1"/>
    </xf>
    <xf numFmtId="40" fontId="2" fillId="3" borderId="1" xfId="4" applyNumberFormat="1" applyFont="1" applyFill="1" applyBorder="1" applyAlignment="1" applyProtection="1">
      <alignment horizontal="center" vertical="center" wrapText="1"/>
    </xf>
    <xf numFmtId="201" fontId="2" fillId="3" borderId="1" xfId="5" applyNumberFormat="1" applyFont="1" applyFill="1" applyBorder="1" applyAlignment="1" applyProtection="1">
      <alignment vertical="center"/>
      <protection locked="0"/>
    </xf>
    <xf numFmtId="201" fontId="2" fillId="3" borderId="1" xfId="1" applyNumberFormat="1" applyFont="1" applyFill="1" applyBorder="1" applyAlignment="1" applyProtection="1">
      <alignment vertical="center"/>
    </xf>
    <xf numFmtId="14" fontId="2" fillId="3" borderId="1" xfId="3" applyNumberFormat="1" applyFont="1" applyFill="1" applyBorder="1" applyAlignment="1">
      <alignment horizontal="center" vertical="center"/>
      <protection locked="0"/>
    </xf>
    <xf numFmtId="201" fontId="2" fillId="2" borderId="1" xfId="18" applyNumberFormat="1" applyFont="1" applyFill="1" applyBorder="1" applyAlignment="1" applyProtection="1">
      <alignment vertical="center"/>
    </xf>
    <xf numFmtId="14" fontId="2" fillId="2" borderId="1" xfId="3" applyNumberFormat="1" applyFont="1" applyFill="1" applyBorder="1" applyAlignment="1">
      <alignment horizontal="left" vertical="center"/>
      <protection locked="0"/>
    </xf>
    <xf numFmtId="201" fontId="2" fillId="3" borderId="1" xfId="20" applyNumberFormat="1" applyFont="1" applyFill="1" applyBorder="1" applyAlignment="1" applyProtection="1">
      <alignment vertical="center"/>
    </xf>
    <xf numFmtId="0" fontId="2" fillId="3" borderId="1" xfId="21" applyFont="1" applyFill="1" applyBorder="1" applyAlignment="1" applyProtection="1">
      <alignment horizontal="left" vertical="center"/>
      <protection locked="0"/>
    </xf>
    <xf numFmtId="0" fontId="2" fillId="2" borderId="1" xfId="21" applyFont="1" applyFill="1" applyBorder="1" applyAlignment="1" applyProtection="1">
      <alignment horizontal="left" vertical="center"/>
      <protection locked="0"/>
    </xf>
    <xf numFmtId="201" fontId="2" fillId="2" borderId="1" xfId="2" applyNumberFormat="1" applyFont="1" applyFill="1" applyBorder="1" applyAlignment="1">
      <alignment vertical="center"/>
    </xf>
    <xf numFmtId="201" fontId="2" fillId="2" borderId="1" xfId="1" applyNumberFormat="1" applyFont="1" applyFill="1" applyBorder="1" applyAlignment="1" applyProtection="1">
      <alignment vertical="center"/>
      <protection locked="0"/>
    </xf>
    <xf numFmtId="40" fontId="2" fillId="2" borderId="1" xfId="4" applyNumberFormat="1" applyFont="1" applyFill="1" applyBorder="1" applyAlignment="1" applyProtection="1">
      <alignment horizontal="left" vertical="top" wrapText="1"/>
    </xf>
    <xf numFmtId="40" fontId="2" fillId="2" borderId="1" xfId="4" applyNumberFormat="1" applyFont="1" applyFill="1" applyBorder="1" applyAlignment="1" applyProtection="1">
      <alignment horizontal="left" vertical="top"/>
    </xf>
    <xf numFmtId="201" fontId="2" fillId="3" borderId="1" xfId="2" applyNumberFormat="1" applyFont="1" applyFill="1" applyBorder="1" applyAlignment="1">
      <alignment vertical="center"/>
    </xf>
    <xf numFmtId="201" fontId="2" fillId="3" borderId="1" xfId="1" applyNumberFormat="1" applyFont="1" applyFill="1" applyBorder="1" applyAlignment="1" applyProtection="1">
      <alignment vertical="center"/>
      <protection locked="0"/>
    </xf>
    <xf numFmtId="40" fontId="2" fillId="3" borderId="1" xfId="4" applyNumberFormat="1" applyFont="1" applyFill="1" applyBorder="1" applyAlignment="1" applyProtection="1">
      <alignment horizontal="left" vertical="top"/>
    </xf>
    <xf numFmtId="40" fontId="2" fillId="3" borderId="1" xfId="4" applyNumberFormat="1" applyFont="1" applyFill="1" applyBorder="1" applyAlignment="1" applyProtection="1">
      <alignment horizontal="left" vertical="top" wrapText="1"/>
    </xf>
    <xf numFmtId="181" fontId="2" fillId="3" borderId="1" xfId="17" applyNumberFormat="1" applyFont="1" applyFill="1" applyBorder="1" applyAlignment="1">
      <alignment vertical="center"/>
      <protection locked="0"/>
    </xf>
    <xf numFmtId="201" fontId="2" fillId="2" borderId="1" xfId="17" applyNumberFormat="1" applyFont="1" applyFill="1" applyBorder="1" applyAlignment="1">
      <alignment horizontal="center" vertical="center"/>
      <protection locked="0"/>
    </xf>
    <xf numFmtId="201" fontId="2" fillId="3" borderId="1" xfId="21" applyNumberFormat="1" applyFont="1" applyFill="1" applyBorder="1" applyAlignment="1">
      <alignment horizontal="center"/>
    </xf>
    <xf numFmtId="201" fontId="2" fillId="2" borderId="1" xfId="21" applyNumberFormat="1" applyFont="1" applyFill="1" applyBorder="1" applyAlignment="1">
      <alignment horizontal="center"/>
    </xf>
    <xf numFmtId="201" fontId="2" fillId="2" borderId="1" xfId="18" applyNumberFormat="1" applyFont="1" applyFill="1" applyBorder="1" applyAlignment="1">
      <alignment horizontal="center"/>
    </xf>
    <xf numFmtId="208" fontId="2" fillId="2" borderId="1" xfId="17" applyNumberFormat="1" applyFont="1" applyFill="1" applyBorder="1" applyAlignment="1">
      <alignment horizontal="left" vertical="center" wrapText="1"/>
      <protection locked="0"/>
    </xf>
    <xf numFmtId="201" fontId="2" fillId="2" borderId="1" xfId="4" applyNumberFormat="1" applyFont="1" applyFill="1" applyBorder="1" applyAlignment="1">
      <alignment horizontal="center" vertical="center"/>
      <protection locked="0"/>
    </xf>
    <xf numFmtId="181" fontId="2" fillId="2" borderId="1" xfId="5" applyNumberFormat="1" applyFont="1" applyFill="1" applyBorder="1" applyAlignment="1" applyProtection="1">
      <alignment horizontal="left" vertical="center"/>
      <protection locked="0"/>
    </xf>
    <xf numFmtId="201" fontId="2" fillId="2" borderId="1" xfId="5" applyNumberFormat="1" applyFont="1" applyFill="1" applyBorder="1" applyAlignment="1" applyProtection="1">
      <alignment horizontal="center" vertical="center"/>
      <protection locked="0"/>
    </xf>
    <xf numFmtId="208" fontId="2" fillId="3" borderId="1" xfId="17" applyNumberFormat="1" applyFont="1" applyFill="1" applyBorder="1" applyAlignment="1">
      <alignment horizontal="left" vertical="center" wrapText="1"/>
      <protection locked="0"/>
    </xf>
    <xf numFmtId="201" fontId="2" fillId="3" borderId="1" xfId="4" applyNumberFormat="1" applyFont="1" applyFill="1" applyBorder="1" applyAlignment="1">
      <alignment horizontal="center" vertical="center"/>
      <protection locked="0"/>
    </xf>
    <xf numFmtId="208" fontId="2" fillId="3" borderId="1" xfId="17" applyNumberFormat="1" applyFont="1" applyFill="1" applyBorder="1" applyAlignment="1">
      <alignment horizontal="left" vertical="center"/>
      <protection locked="0"/>
    </xf>
    <xf numFmtId="208" fontId="2" fillId="2" borderId="1" xfId="3" applyNumberFormat="1" applyFont="1" applyFill="1" applyBorder="1" applyAlignment="1">
      <alignment horizontal="center" vertical="center"/>
      <protection locked="0"/>
    </xf>
    <xf numFmtId="9" fontId="2" fillId="2" borderId="1" xfId="14" applyNumberFormat="1" applyFont="1" applyFill="1" applyBorder="1" applyAlignment="1">
      <alignment horizontal="center" vertical="center"/>
    </xf>
    <xf numFmtId="208" fontId="2" fillId="2" borderId="1" xfId="14" applyNumberFormat="1" applyFont="1" applyFill="1" applyBorder="1" applyAlignment="1">
      <alignment horizontal="center" vertical="center"/>
    </xf>
    <xf numFmtId="201" fontId="2" fillId="2" borderId="1" xfId="0" applyNumberFormat="1" applyFont="1" applyFill="1" applyBorder="1" applyAlignment="1">
      <alignment horizontal="center"/>
    </xf>
    <xf numFmtId="9" fontId="2" fillId="3" borderId="1" xfId="14" applyNumberFormat="1" applyFont="1" applyFill="1" applyBorder="1" applyAlignment="1">
      <alignment horizontal="center" vertical="center"/>
    </xf>
    <xf numFmtId="9" fontId="2" fillId="3" borderId="1" xfId="10" applyFont="1" applyFill="1" applyBorder="1" applyAlignment="1">
      <alignment horizontal="center" vertical="center"/>
    </xf>
    <xf numFmtId="208" fontId="2" fillId="3" borderId="1" xfId="14" applyNumberFormat="1" applyFont="1" applyFill="1" applyBorder="1" applyAlignment="1">
      <alignment horizontal="center" vertical="center"/>
    </xf>
    <xf numFmtId="208" fontId="2" fillId="2" borderId="1" xfId="4" applyNumberFormat="1" applyFont="1" applyFill="1" applyBorder="1" applyAlignment="1" applyProtection="1">
      <alignment horizontal="center" vertical="center" wrapText="1"/>
    </xf>
    <xf numFmtId="208" fontId="2" fillId="3" borderId="1" xfId="4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14" fontId="2" fillId="2" borderId="1" xfId="4" applyNumberFormat="1" applyFont="1" applyFill="1" applyBorder="1" applyAlignment="1">
      <alignment horizontal="center" vertical="center"/>
      <protection locked="0"/>
    </xf>
    <xf numFmtId="211" fontId="2" fillId="2" borderId="1" xfId="18" applyFont="1" applyFill="1" applyBorder="1" applyAlignment="1" applyProtection="1">
      <alignment horizontal="center" vertical="center"/>
    </xf>
    <xf numFmtId="211" fontId="2" fillId="2" borderId="1" xfId="18" applyFont="1" applyFill="1" applyBorder="1" applyAlignment="1" applyProtection="1">
      <alignment horizontal="center" vertical="center"/>
      <protection locked="0"/>
    </xf>
    <xf numFmtId="14" fontId="2" fillId="2" borderId="1" xfId="13" applyNumberFormat="1" applyFont="1" applyFill="1" applyBorder="1" applyAlignment="1">
      <alignment horizontal="center" vertical="center"/>
      <protection locked="0"/>
    </xf>
    <xf numFmtId="14" fontId="2" fillId="3" borderId="1" xfId="4" applyNumberFormat="1" applyFont="1" applyFill="1" applyBorder="1" applyAlignment="1">
      <alignment horizontal="center" vertical="center"/>
      <protection locked="0"/>
    </xf>
    <xf numFmtId="14" fontId="2" fillId="3" borderId="1" xfId="13" applyNumberFormat="1" applyFont="1" applyFill="1" applyBorder="1" applyAlignment="1">
      <alignment horizontal="center" vertical="center"/>
      <protection locked="0"/>
    </xf>
    <xf numFmtId="211" fontId="2" fillId="3" borderId="1" xfId="18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18" applyNumberFormat="1" applyFont="1" applyFill="1" applyBorder="1" applyAlignment="1" applyProtection="1">
      <alignment horizontal="left" vertical="center"/>
      <protection locked="0"/>
    </xf>
    <xf numFmtId="201" fontId="2" fillId="3" borderId="1" xfId="0" applyNumberFormat="1" applyFont="1" applyFill="1" applyBorder="1" applyAlignment="1">
      <alignment horizontal="center"/>
    </xf>
    <xf numFmtId="201" fontId="2" fillId="2" borderId="1" xfId="0" applyNumberFormat="1" applyFont="1" applyFill="1" applyBorder="1" applyAlignment="1">
      <alignment horizontal="center" vertical="center"/>
    </xf>
    <xf numFmtId="200" fontId="2" fillId="3" borderId="1" xfId="18" applyNumberFormat="1" applyFont="1" applyFill="1" applyBorder="1" applyAlignment="1">
      <alignment horizontal="center" vertical="center"/>
    </xf>
    <xf numFmtId="211" fontId="2" fillId="2" borderId="1" xfId="18" applyFont="1" applyFill="1" applyBorder="1" applyAlignment="1" applyProtection="1">
      <alignment horizontal="left" vertical="center"/>
    </xf>
    <xf numFmtId="201" fontId="2" fillId="2" borderId="1" xfId="18" applyNumberFormat="1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211" fontId="2" fillId="2" borderId="1" xfId="18" applyFont="1" applyFill="1" applyBorder="1" applyAlignment="1">
      <alignment horizontal="left" vertical="center"/>
    </xf>
    <xf numFmtId="201" fontId="2" fillId="2" borderId="1" xfId="18" applyNumberFormat="1" applyFont="1" applyFill="1" applyBorder="1" applyAlignment="1" applyProtection="1">
      <alignment horizontal="center" vertical="center"/>
      <protection locked="0"/>
    </xf>
    <xf numFmtId="211" fontId="2" fillId="3" borderId="1" xfId="18" applyFont="1" applyFill="1" applyBorder="1" applyAlignment="1" applyProtection="1">
      <alignment horizontal="left" vertical="center"/>
      <protection locked="0"/>
    </xf>
    <xf numFmtId="211" fontId="2" fillId="3" borderId="1" xfId="18" applyFont="1" applyFill="1" applyBorder="1" applyAlignment="1" applyProtection="1">
      <alignment horizontal="center" vertical="center"/>
      <protection locked="0"/>
    </xf>
    <xf numFmtId="201" fontId="2" fillId="3" borderId="1" xfId="18" applyNumberFormat="1" applyFont="1" applyFill="1" applyBorder="1" applyAlignment="1" applyProtection="1">
      <alignment horizontal="center" vertical="center"/>
      <protection locked="0"/>
    </xf>
    <xf numFmtId="14" fontId="2" fillId="3" borderId="1" xfId="18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9" fontId="2" fillId="3" borderId="1" xfId="11" applyFont="1" applyFill="1" applyBorder="1" applyAlignment="1">
      <alignment horizontal="center" vertical="center"/>
    </xf>
    <xf numFmtId="9" fontId="2" fillId="3" borderId="1" xfId="11" applyFont="1" applyFill="1" applyBorder="1" applyAlignment="1" applyProtection="1">
      <alignment horizontal="center" vertical="center"/>
      <protection locked="0"/>
    </xf>
    <xf numFmtId="0" fontId="2" fillId="2" borderId="1" xfId="6" applyFont="1" applyFill="1" applyBorder="1" applyAlignment="1" applyProtection="1">
      <alignment horizontal="center" vertical="center"/>
      <protection locked="0"/>
    </xf>
    <xf numFmtId="0" fontId="2" fillId="2" borderId="1" xfId="23" applyFont="1" applyFill="1" applyBorder="1" applyAlignment="1" applyProtection="1">
      <alignment horizontal="center" vertical="center"/>
      <protection locked="0"/>
    </xf>
    <xf numFmtId="49" fontId="2" fillId="2" borderId="1" xfId="6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>
      <alignment horizontal="center" vertical="center"/>
    </xf>
    <xf numFmtId="14" fontId="2" fillId="2" borderId="1" xfId="17" applyNumberFormat="1" applyFont="1" applyFill="1" applyBorder="1" applyAlignment="1" applyProtection="1">
      <alignment horizontal="center" vertical="center"/>
    </xf>
    <xf numFmtId="0" fontId="2" fillId="2" borderId="1" xfId="4" applyFont="1" applyFill="1" applyBorder="1" applyAlignment="1" applyProtection="1">
      <alignment horizontal="center" vertical="center"/>
    </xf>
    <xf numFmtId="14" fontId="2" fillId="2" borderId="1" xfId="13" applyNumberFormat="1" applyFont="1" applyFill="1" applyBorder="1" applyAlignment="1" applyProtection="1">
      <alignment horizontal="center" vertical="center"/>
    </xf>
    <xf numFmtId="14" fontId="2" fillId="2" borderId="1" xfId="18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14" fontId="2" fillId="3" borderId="1" xfId="13" applyNumberFormat="1" applyFont="1" applyFill="1" applyBorder="1" applyAlignment="1" applyProtection="1">
      <alignment horizontal="center" vertical="center"/>
    </xf>
    <xf numFmtId="201" fontId="2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18" applyNumberFormat="1" applyFont="1" applyFill="1" applyBorder="1" applyAlignment="1" applyProtection="1">
      <alignment horizontal="center" vertical="center"/>
      <protection locked="0"/>
    </xf>
    <xf numFmtId="0" fontId="2" fillId="3" borderId="1" xfId="23" applyFont="1" applyFill="1" applyBorder="1" applyAlignment="1" applyProtection="1">
      <alignment horizontal="center" vertical="center"/>
      <protection locked="0"/>
    </xf>
    <xf numFmtId="0" fontId="2" fillId="2" borderId="1" xfId="23" applyFont="1" applyFill="1" applyBorder="1" applyAlignment="1">
      <alignment horizontal="center" vertical="center"/>
    </xf>
    <xf numFmtId="49" fontId="2" fillId="2" borderId="1" xfId="8" applyNumberFormat="1" applyFont="1" applyFill="1" applyBorder="1" applyAlignment="1" applyProtection="1">
      <alignment horizontal="center" vertical="center"/>
      <protection locked="0"/>
    </xf>
    <xf numFmtId="198" fontId="2" fillId="3" borderId="1" xfId="18" applyNumberFormat="1" applyFont="1" applyFill="1" applyBorder="1" applyAlignment="1" applyProtection="1">
      <alignment horizontal="center" vertical="center"/>
      <protection locked="0"/>
    </xf>
    <xf numFmtId="198" fontId="2" fillId="2" borderId="1" xfId="18" applyNumberFormat="1" applyFont="1" applyFill="1" applyBorder="1" applyAlignment="1" applyProtection="1">
      <alignment horizontal="center" vertical="center"/>
      <protection locked="0"/>
    </xf>
    <xf numFmtId="14" fontId="2" fillId="2" borderId="1" xfId="8" applyNumberFormat="1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left" vertical="center"/>
    </xf>
    <xf numFmtId="201" fontId="2" fillId="2" borderId="1" xfId="8" applyNumberFormat="1" applyFont="1" applyFill="1" applyBorder="1" applyAlignment="1">
      <alignment horizontal="center" vertical="center"/>
    </xf>
    <xf numFmtId="211" fontId="2" fillId="2" borderId="1" xfId="0" applyNumberFormat="1" applyFont="1" applyFill="1" applyBorder="1" applyAlignment="1">
      <alignment horizontal="center" vertical="center"/>
    </xf>
    <xf numFmtId="0" fontId="2" fillId="2" borderId="1" xfId="18" applyNumberFormat="1" applyFont="1" applyFill="1" applyBorder="1" applyAlignment="1" applyProtection="1">
      <alignment horizontal="left" vertical="center"/>
      <protection locked="0"/>
    </xf>
    <xf numFmtId="14" fontId="2" fillId="3" borderId="1" xfId="8" applyNumberFormat="1" applyFont="1" applyFill="1" applyBorder="1" applyAlignment="1">
      <alignment horizontal="center" vertical="center"/>
    </xf>
    <xf numFmtId="0" fontId="2" fillId="3" borderId="1" xfId="23" applyFont="1" applyFill="1" applyBorder="1" applyAlignment="1">
      <alignment horizontal="center" vertical="center"/>
    </xf>
    <xf numFmtId="49" fontId="2" fillId="3" borderId="1" xfId="8" applyNumberFormat="1" applyFont="1" applyFill="1" applyBorder="1" applyAlignment="1" applyProtection="1">
      <alignment horizontal="center" vertical="center"/>
      <protection locked="0"/>
    </xf>
    <xf numFmtId="0" fontId="2" fillId="3" borderId="1" xfId="8" applyFont="1" applyFill="1" applyBorder="1" applyAlignment="1">
      <alignment horizontal="center" vertical="center"/>
    </xf>
    <xf numFmtId="0" fontId="2" fillId="3" borderId="1" xfId="8" applyFont="1" applyFill="1" applyBorder="1" applyAlignment="1">
      <alignment horizontal="left" vertical="center"/>
    </xf>
    <xf numFmtId="201" fontId="2" fillId="2" borderId="1" xfId="18" applyNumberFormat="1" applyFont="1" applyFill="1" applyBorder="1" applyAlignment="1"/>
    <xf numFmtId="0" fontId="2" fillId="3" borderId="1" xfId="18" applyNumberFormat="1" applyFont="1" applyFill="1" applyBorder="1" applyAlignment="1" applyProtection="1">
      <alignment horizontal="left" vertical="center"/>
    </xf>
    <xf numFmtId="0" fontId="2" fillId="3" borderId="1" xfId="4" applyFont="1" applyFill="1" applyBorder="1" applyAlignment="1" applyProtection="1">
      <alignment horizontal="left" vertical="center"/>
    </xf>
    <xf numFmtId="0" fontId="2" fillId="2" borderId="1" xfId="4" applyFont="1" applyFill="1" applyBorder="1" applyAlignment="1" applyProtection="1">
      <alignment horizontal="left" vertical="center"/>
    </xf>
    <xf numFmtId="211" fontId="2" fillId="3" borderId="1" xfId="18" applyFont="1" applyFill="1" applyBorder="1" applyAlignment="1" applyProtection="1">
      <alignment horizontal="left" vertical="center"/>
    </xf>
    <xf numFmtId="0" fontId="2" fillId="2" borderId="1" xfId="0" applyFont="1" applyFill="1" applyBorder="1" applyAlignment="1">
      <alignment horizontal="left"/>
    </xf>
    <xf numFmtId="9" fontId="2" fillId="3" borderId="1" xfId="11" applyFont="1" applyFill="1" applyBorder="1" applyAlignment="1">
      <alignment horizontal="center"/>
    </xf>
    <xf numFmtId="211" fontId="2" fillId="3" borderId="1" xfId="18" applyFont="1" applyFill="1" applyBorder="1" applyAlignment="1">
      <alignment horizontal="center"/>
    </xf>
    <xf numFmtId="9" fontId="2" fillId="2" borderId="1" xfId="11" applyFont="1" applyFill="1" applyBorder="1" applyAlignment="1">
      <alignment horizontal="center"/>
    </xf>
    <xf numFmtId="211" fontId="2" fillId="2" borderId="1" xfId="18" applyFont="1" applyFill="1" applyBorder="1" applyAlignment="1">
      <alignment horizontal="center"/>
    </xf>
    <xf numFmtId="211" fontId="2" fillId="3" borderId="1" xfId="0" applyNumberFormat="1" applyFont="1" applyFill="1" applyBorder="1" applyAlignment="1">
      <alignment horizontal="center" vertical="center"/>
    </xf>
    <xf numFmtId="210" fontId="2" fillId="3" borderId="1" xfId="18" applyNumberFormat="1" applyFont="1" applyFill="1" applyBorder="1" applyAlignment="1" applyProtection="1">
      <alignment horizontal="center" vertical="center"/>
      <protection locked="0"/>
    </xf>
    <xf numFmtId="210" fontId="2" fillId="2" borderId="1" xfId="18" applyNumberFormat="1" applyFont="1" applyFill="1" applyBorder="1" applyAlignment="1" applyProtection="1">
      <alignment horizontal="center" vertical="center"/>
      <protection locked="0"/>
    </xf>
    <xf numFmtId="206" fontId="2" fillId="2" borderId="1" xfId="18" applyNumberFormat="1" applyFont="1" applyFill="1" applyBorder="1" applyAlignment="1" applyProtection="1">
      <alignment horizontal="center" vertical="center"/>
      <protection locked="0"/>
    </xf>
    <xf numFmtId="0" fontId="2" fillId="2" borderId="1" xfId="20" applyNumberFormat="1" applyFont="1" applyFill="1" applyBorder="1" applyAlignment="1" applyProtection="1">
      <alignment horizontal="center" vertical="center"/>
    </xf>
    <xf numFmtId="211" fontId="2" fillId="3" borderId="1" xfId="20" applyFont="1" applyFill="1" applyBorder="1" applyAlignment="1" applyProtection="1">
      <alignment horizontal="center" vertical="center"/>
      <protection locked="0"/>
    </xf>
    <xf numFmtId="14" fontId="2" fillId="2" borderId="1" xfId="4" applyNumberFormat="1" applyFont="1" applyFill="1" applyBorder="1" applyAlignment="1" applyProtection="1">
      <alignment horizontal="left" vertical="center"/>
    </xf>
    <xf numFmtId="14" fontId="2" fillId="3" borderId="1" xfId="4" applyNumberFormat="1" applyFont="1" applyFill="1" applyBorder="1" applyAlignment="1" applyProtection="1">
      <alignment horizontal="left" vertical="center" wrapText="1"/>
    </xf>
    <xf numFmtId="0" fontId="2" fillId="2" borderId="1" xfId="3" applyFont="1" applyFill="1" applyBorder="1" applyAlignment="1">
      <alignment horizontal="left" vertical="center"/>
      <protection locked="0"/>
    </xf>
    <xf numFmtId="201" fontId="2" fillId="2" borderId="1" xfId="20" applyNumberFormat="1" applyFont="1" applyFill="1" applyBorder="1" applyAlignment="1">
      <alignment horizontal="center" vertical="center"/>
    </xf>
    <xf numFmtId="14" fontId="2" fillId="2" borderId="1" xfId="20" applyNumberFormat="1" applyFont="1" applyFill="1" applyBorder="1" applyAlignment="1" applyProtection="1">
      <alignment horizontal="center" vertical="center"/>
      <protection locked="0"/>
    </xf>
    <xf numFmtId="201" fontId="2" fillId="2" borderId="1" xfId="1" applyNumberFormat="1" applyFont="1" applyFill="1" applyBorder="1" applyAlignment="1">
      <alignment horizontal="center" vertical="center"/>
    </xf>
    <xf numFmtId="201" fontId="2" fillId="3" borderId="1" xfId="1" applyNumberFormat="1" applyFont="1" applyFill="1" applyBorder="1" applyAlignment="1">
      <alignment horizontal="center" vertical="center"/>
    </xf>
    <xf numFmtId="14" fontId="2" fillId="3" borderId="1" xfId="20" applyNumberFormat="1" applyFont="1" applyFill="1" applyBorder="1" applyAlignment="1" applyProtection="1">
      <alignment horizontal="center" vertical="center"/>
      <protection locked="0"/>
    </xf>
    <xf numFmtId="201" fontId="2" fillId="2" borderId="1" xfId="21" applyNumberFormat="1" applyFont="1" applyFill="1" applyBorder="1" applyAlignment="1">
      <alignment horizontal="center" vertical="center"/>
    </xf>
    <xf numFmtId="201" fontId="2" fillId="3" borderId="1" xfId="20" applyNumberFormat="1" applyFont="1" applyFill="1" applyBorder="1" applyAlignment="1" applyProtection="1">
      <alignment horizontal="center" vertical="center"/>
      <protection locked="0"/>
    </xf>
    <xf numFmtId="201" fontId="2" fillId="3" borderId="1" xfId="20" applyNumberFormat="1" applyFont="1" applyFill="1" applyBorder="1" applyAlignment="1">
      <alignment horizontal="center" vertical="center"/>
    </xf>
    <xf numFmtId="14" fontId="2" fillId="2" borderId="1" xfId="21" applyNumberFormat="1" applyFont="1" applyFill="1" applyBorder="1" applyAlignment="1">
      <alignment horizontal="center" vertical="center"/>
    </xf>
    <xf numFmtId="181" fontId="2" fillId="2" borderId="1" xfId="21" applyNumberFormat="1" applyFont="1" applyFill="1" applyBorder="1" applyAlignment="1">
      <alignment horizontal="center" vertical="center"/>
    </xf>
    <xf numFmtId="181" fontId="2" fillId="3" borderId="1" xfId="21" applyNumberFormat="1" applyFont="1" applyFill="1" applyBorder="1" applyAlignment="1">
      <alignment horizontal="center" vertical="center"/>
    </xf>
    <xf numFmtId="9" fontId="2" fillId="2" borderId="1" xfId="9" applyFont="1" applyFill="1" applyBorder="1" applyAlignment="1">
      <alignment horizontal="center" vertical="center"/>
    </xf>
    <xf numFmtId="14" fontId="2" fillId="3" borderId="1" xfId="21" applyNumberFormat="1" applyFont="1" applyFill="1" applyBorder="1" applyAlignment="1">
      <alignment horizontal="center" vertical="center"/>
    </xf>
    <xf numFmtId="181" fontId="2" fillId="3" borderId="3" xfId="21" applyNumberFormat="1" applyFont="1" applyFill="1" applyBorder="1" applyAlignment="1">
      <alignment horizontal="center" vertical="center"/>
    </xf>
    <xf numFmtId="181" fontId="2" fillId="3" borderId="1" xfId="20" applyNumberFormat="1" applyFont="1" applyFill="1" applyBorder="1" applyAlignment="1" applyProtection="1">
      <alignment horizontal="center" vertical="center"/>
      <protection locked="0"/>
    </xf>
    <xf numFmtId="0" fontId="2" fillId="3" borderId="1" xfId="7" applyFont="1" applyFill="1" applyBorder="1" applyAlignment="1">
      <alignment horizontal="center" vertical="center"/>
    </xf>
    <xf numFmtId="0" fontId="2" fillId="3" borderId="1" xfId="7" applyFont="1" applyFill="1" applyBorder="1" applyAlignment="1" applyProtection="1">
      <alignment horizontal="center" vertical="center"/>
      <protection locked="0"/>
    </xf>
    <xf numFmtId="201" fontId="2" fillId="3" borderId="1" xfId="22" applyNumberFormat="1" applyFont="1" applyFill="1" applyBorder="1" applyAlignment="1" applyProtection="1">
      <alignment vertical="center"/>
      <protection locked="0"/>
    </xf>
    <xf numFmtId="40" fontId="2" fillId="2" borderId="1" xfId="4" applyNumberFormat="1" applyFont="1" applyFill="1" applyBorder="1" applyAlignment="1" applyProtection="1">
      <alignment horizontal="left" vertical="center" wrapText="1"/>
    </xf>
    <xf numFmtId="201" fontId="2" fillId="3" borderId="1" xfId="22" applyNumberFormat="1" applyFont="1" applyFill="1" applyBorder="1" applyAlignment="1" applyProtection="1">
      <alignment vertical="center"/>
    </xf>
    <xf numFmtId="14" fontId="2" fillId="2" borderId="1" xfId="4" applyNumberFormat="1" applyFont="1" applyFill="1" applyBorder="1" applyAlignment="1" applyProtection="1">
      <alignment horizontal="left" vertical="center" wrapText="1"/>
    </xf>
    <xf numFmtId="201" fontId="2" fillId="3" borderId="4" xfId="20" applyNumberFormat="1" applyFont="1" applyFill="1" applyBorder="1" applyAlignment="1" applyProtection="1">
      <alignment horizontal="center" vertical="center"/>
      <protection locked="0"/>
    </xf>
    <xf numFmtId="201" fontId="2" fillId="3" borderId="0" xfId="20" applyNumberFormat="1" applyFont="1" applyFill="1" applyBorder="1" applyAlignment="1" applyProtection="1">
      <alignment horizontal="center" vertical="center"/>
      <protection locked="0"/>
    </xf>
    <xf numFmtId="201" fontId="2" fillId="2" borderId="4" xfId="20" applyNumberFormat="1" applyFont="1" applyFill="1" applyBorder="1" applyAlignment="1" applyProtection="1">
      <alignment horizontal="center" vertical="center"/>
      <protection locked="0"/>
    </xf>
    <xf numFmtId="201" fontId="2" fillId="3" borderId="1" xfId="7" applyNumberFormat="1" applyFont="1" applyFill="1" applyBorder="1" applyAlignment="1">
      <alignment horizontal="center"/>
    </xf>
    <xf numFmtId="211" fontId="2" fillId="2" borderId="1" xfId="20" applyFont="1" applyFill="1" applyBorder="1" applyAlignment="1" applyProtection="1">
      <alignment horizontal="left" vertical="center"/>
      <protection locked="0"/>
    </xf>
    <xf numFmtId="211" fontId="2" fillId="2" borderId="1" xfId="20" applyFont="1" applyFill="1" applyBorder="1" applyAlignment="1">
      <alignment horizontal="center" vertical="center"/>
    </xf>
    <xf numFmtId="211" fontId="2" fillId="3" borderId="1" xfId="22" applyFont="1" applyFill="1" applyBorder="1" applyAlignment="1" applyProtection="1">
      <alignment horizontal="center" vertical="center"/>
      <protection locked="0"/>
    </xf>
    <xf numFmtId="9" fontId="2" fillId="3" borderId="1" xfId="12" applyFont="1" applyFill="1" applyBorder="1" applyAlignment="1" applyProtection="1">
      <alignment horizontal="center" vertical="center"/>
      <protection locked="0"/>
    </xf>
    <xf numFmtId="181" fontId="2" fillId="3" borderId="1" xfId="22" applyNumberFormat="1" applyFont="1" applyFill="1" applyBorder="1" applyAlignment="1" applyProtection="1">
      <alignment horizontal="center" vertical="center"/>
      <protection locked="0"/>
    </xf>
    <xf numFmtId="181" fontId="2" fillId="2" borderId="1" xfId="0" applyNumberFormat="1" applyFont="1" applyFill="1" applyBorder="1" applyAlignment="1">
      <alignment horizontal="center" vertical="center"/>
    </xf>
    <xf numFmtId="0" fontId="2" fillId="3" borderId="1" xfId="21" applyFont="1" applyFill="1" applyBorder="1" applyAlignment="1" applyProtection="1">
      <alignment vertical="center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49" fontId="2" fillId="2" borderId="1" xfId="8" applyNumberFormat="1" applyFont="1" applyFill="1" applyBorder="1" applyAlignment="1" applyProtection="1">
      <alignment horizontal="center" vertical="center" wrapText="1"/>
      <protection locked="0"/>
    </xf>
    <xf numFmtId="201" fontId="2" fillId="2" borderId="1" xfId="3" applyNumberFormat="1" applyFont="1" applyFill="1" applyBorder="1" applyAlignment="1">
      <alignment vertical="center" wrapText="1"/>
      <protection locked="0"/>
    </xf>
    <xf numFmtId="201" fontId="2" fillId="3" borderId="1" xfId="20" applyNumberFormat="1" applyFont="1" applyFill="1" applyBorder="1" applyAlignment="1" applyProtection="1">
      <alignment horizontal="right" vertical="center"/>
    </xf>
    <xf numFmtId="201" fontId="2" fillId="2" borderId="1" xfId="20" applyNumberFormat="1" applyFont="1" applyFill="1" applyBorder="1" applyAlignment="1" applyProtection="1">
      <alignment horizontal="right" vertical="center"/>
    </xf>
    <xf numFmtId="181" fontId="2" fillId="2" borderId="1" xfId="17" applyNumberFormat="1" applyFont="1" applyFill="1" applyBorder="1" applyAlignment="1">
      <alignment vertical="center" wrapText="1"/>
      <protection locked="0"/>
    </xf>
    <xf numFmtId="202" fontId="2" fillId="3" borderId="1" xfId="18" applyNumberFormat="1" applyFont="1" applyFill="1" applyBorder="1" applyAlignment="1" applyProtection="1">
      <alignment horizontal="right" vertical="center"/>
      <protection locked="0"/>
    </xf>
    <xf numFmtId="211" fontId="2" fillId="3" borderId="1" xfId="20" applyFont="1" applyFill="1" applyBorder="1" applyAlignment="1" applyProtection="1">
      <alignment horizontal="right" vertical="center"/>
      <protection locked="0"/>
    </xf>
    <xf numFmtId="0" fontId="2" fillId="3" borderId="1" xfId="3" applyFont="1" applyFill="1" applyBorder="1" applyAlignment="1">
      <alignment horizontal="right" vertical="center"/>
      <protection locked="0"/>
    </xf>
    <xf numFmtId="0" fontId="5" fillId="3" borderId="1" xfId="21" applyFont="1" applyFill="1" applyBorder="1" applyAlignment="1">
      <alignment vertical="center"/>
    </xf>
    <xf numFmtId="0" fontId="2" fillId="3" borderId="1" xfId="21" applyFont="1" applyFill="1" applyBorder="1" applyAlignment="1">
      <alignment horizontal="left" vertical="center" wrapText="1"/>
    </xf>
    <xf numFmtId="0" fontId="2" fillId="2" borderId="1" xfId="16" applyFont="1" applyFill="1" applyBorder="1" applyAlignment="1">
      <alignment horizontal="left" vertical="center" wrapText="1"/>
      <protection locked="0"/>
    </xf>
    <xf numFmtId="201" fontId="2" fillId="2" borderId="1" xfId="17" applyNumberFormat="1" applyFont="1" applyFill="1" applyBorder="1" applyAlignment="1">
      <alignment horizontal="center" vertical="center" wrapText="1"/>
      <protection locked="0"/>
    </xf>
    <xf numFmtId="211" fontId="2" fillId="3" borderId="1" xfId="20" applyFont="1" applyFill="1" applyBorder="1" applyAlignment="1" applyProtection="1">
      <alignment vertical="center"/>
      <protection locked="0"/>
    </xf>
    <xf numFmtId="9" fontId="2" fillId="3" borderId="1" xfId="20" applyNumberFormat="1" applyFont="1" applyFill="1" applyBorder="1" applyAlignment="1" applyProtection="1">
      <alignment horizontal="center" vertical="center"/>
      <protection locked="0"/>
    </xf>
    <xf numFmtId="207" fontId="2" fillId="2" borderId="1" xfId="20" applyNumberFormat="1" applyFont="1" applyFill="1" applyBorder="1" applyAlignment="1" applyProtection="1">
      <alignment horizontal="center" vertical="center"/>
      <protection locked="0"/>
    </xf>
    <xf numFmtId="201" fontId="2" fillId="2" borderId="1" xfId="20" applyNumberFormat="1" applyFont="1" applyFill="1" applyBorder="1" applyAlignment="1" applyProtection="1">
      <alignment horizontal="right" vertical="center" wrapText="1"/>
    </xf>
    <xf numFmtId="211" fontId="2" fillId="2" borderId="1" xfId="18" applyFont="1" applyFill="1" applyBorder="1" applyAlignment="1" applyProtection="1">
      <alignment horizontal="right" vertical="center"/>
      <protection locked="0"/>
    </xf>
    <xf numFmtId="0" fontId="2" fillId="2" borderId="1" xfId="21" applyFont="1" applyFill="1" applyBorder="1" applyAlignment="1">
      <alignment horizontal="left" vertical="center" wrapText="1"/>
    </xf>
    <xf numFmtId="201" fontId="2" fillId="2" borderId="1" xfId="4" applyNumberFormat="1" applyFont="1" applyFill="1" applyBorder="1" applyAlignment="1" applyProtection="1">
      <alignment horizontal="center" vertical="center"/>
    </xf>
    <xf numFmtId="9" fontId="2" fillId="2" borderId="1" xfId="20" applyNumberFormat="1" applyFont="1" applyFill="1" applyBorder="1" applyAlignment="1" applyProtection="1">
      <alignment horizontal="center" vertical="center"/>
      <protection locked="0"/>
    </xf>
    <xf numFmtId="211" fontId="2" fillId="2" borderId="1" xfId="1" applyFont="1" applyFill="1" applyBorder="1" applyAlignment="1" applyProtection="1">
      <alignment horizontal="center" vertical="center"/>
      <protection locked="0"/>
    </xf>
  </cellXfs>
  <cellStyles count="24">
    <cellStyle name="百分比" xfId="11" builtinId="5"/>
    <cellStyle name="百分比 14" xfId="12" xr:uid="{00000000-0005-0000-0000-000015000000}"/>
    <cellStyle name="百分比 15" xfId="10" xr:uid="{00000000-0005-0000-0000-00000A000000}"/>
    <cellStyle name="百分比 2" xfId="9" xr:uid="{00000000-0005-0000-0000-000009000000}"/>
    <cellStyle name="常规" xfId="0" builtinId="0"/>
    <cellStyle name="常规 10" xfId="16" xr:uid="{00000000-0005-0000-0000-00002B000000}"/>
    <cellStyle name="常规 2" xfId="8" xr:uid="{00000000-0005-0000-0000-000008000000}"/>
    <cellStyle name="常规 2 2" xfId="17" xr:uid="{00000000-0005-0000-0000-00002D000000}"/>
    <cellStyle name="常规 2 2 2 2" xfId="13" xr:uid="{00000000-0005-0000-0000-000016000000}"/>
    <cellStyle name="常规 2 3" xfId="21" xr:uid="{00000000-0005-0000-0000-00003E000000}"/>
    <cellStyle name="常规 2 3 16" xfId="7" xr:uid="{00000000-0005-0000-0000-000007000000}"/>
    <cellStyle name="常规 2 3 17" xfId="14" xr:uid="{00000000-0005-0000-0000-00001F000000}"/>
    <cellStyle name="常规 3" xfId="23" xr:uid="{00000000-0005-0000-0000-000044000000}"/>
    <cellStyle name="常规 3 3" xfId="19" xr:uid="{00000000-0005-0000-0000-000030000000}"/>
    <cellStyle name="常规 4" xfId="6" xr:uid="{00000000-0005-0000-0000-000006000000}"/>
    <cellStyle name="常规 5" xfId="4" xr:uid="{00000000-0005-0000-0000-000004000000}"/>
    <cellStyle name="普通 3" xfId="3" xr:uid="{00000000-0005-0000-0000-000003000000}"/>
    <cellStyle name="千位分隔" xfId="18" builtinId="3"/>
    <cellStyle name="千位分隔 13" xfId="2" xr:uid="{00000000-0005-0000-0000-000002000000}"/>
    <cellStyle name="千位分隔 2" xfId="15" xr:uid="{00000000-0005-0000-0000-000026000000}"/>
    <cellStyle name="千位分隔 2 2" xfId="20" xr:uid="{00000000-0005-0000-0000-00003B000000}"/>
    <cellStyle name="千位分隔 2 2 16" xfId="22" xr:uid="{00000000-0005-0000-0000-000043000000}"/>
    <cellStyle name="千位分隔 2 2 17" xfId="5" xr:uid="{00000000-0005-0000-0000-000005000000}"/>
    <cellStyle name="千位分隔 2 4" xfId="1" xr:uid="{00000000-0005-0000-0000-000001000000}"/>
  </cellStyles>
  <dxfs count="24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30</xdr:row>
      <xdr:rowOff>120650</xdr:rowOff>
    </xdr:from>
    <xdr:to>
      <xdr:col>12</xdr:col>
      <xdr:colOff>258445</xdr:colOff>
      <xdr:row>58</xdr:row>
      <xdr:rowOff>127635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5588000"/>
          <a:ext cx="8176895" cy="5074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55</xdr:row>
      <xdr:rowOff>152400</xdr:rowOff>
    </xdr:from>
    <xdr:to>
      <xdr:col>13</xdr:col>
      <xdr:colOff>584200</xdr:colOff>
      <xdr:row>65</xdr:row>
      <xdr:rowOff>158750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10144125"/>
          <a:ext cx="9168765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68</xdr:row>
      <xdr:rowOff>19050</xdr:rowOff>
    </xdr:from>
    <xdr:to>
      <xdr:col>9</xdr:col>
      <xdr:colOff>299085</xdr:colOff>
      <xdr:row>92</xdr:row>
      <xdr:rowOff>38100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" y="12382500"/>
          <a:ext cx="6242050" cy="436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91</xdr:row>
      <xdr:rowOff>120650</xdr:rowOff>
    </xdr:from>
    <xdr:to>
      <xdr:col>11</xdr:col>
      <xdr:colOff>286385</xdr:colOff>
      <xdr:row>126</xdr:row>
      <xdr:rowOff>82550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6646525"/>
          <a:ext cx="7550150" cy="6296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</xdr:row>
      <xdr:rowOff>1270</xdr:rowOff>
    </xdr:from>
    <xdr:to>
      <xdr:col>9</xdr:col>
      <xdr:colOff>210820</xdr:colOff>
      <xdr:row>26</xdr:row>
      <xdr:rowOff>38100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" y="563245"/>
          <a:ext cx="6153785" cy="4199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E1030981"/>
  <sheetViews>
    <sheetView tabSelected="1" workbookViewId="0">
      <pane ySplit="1" topLeftCell="A2" activePane="bottomLeft" state="frozen"/>
      <selection pane="bottomLeft" activeCell="L9" sqref="L9"/>
    </sheetView>
  </sheetViews>
  <sheetFormatPr baseColWidth="10" defaultColWidth="7.33203125" defaultRowHeight="15" customHeight="1"/>
  <cols>
    <col min="1" max="1" width="7.33203125" style="75" customWidth="1"/>
    <col min="2" max="2" width="11.5" style="75" customWidth="1"/>
    <col min="3" max="3" width="7.33203125" style="75" customWidth="1"/>
    <col min="4" max="4" width="3.83203125" style="75" customWidth="1"/>
    <col min="5" max="5" width="27.1640625" style="75" customWidth="1"/>
    <col min="6" max="6" width="7.33203125" style="75" customWidth="1"/>
    <col min="7" max="7" width="7.33203125" style="75"/>
    <col min="8" max="8" width="22" style="76" customWidth="1"/>
    <col min="9" max="9" width="14.33203125" style="76" customWidth="1"/>
    <col min="10" max="10" width="13.33203125" style="75" customWidth="1"/>
    <col min="11" max="11" width="11.33203125" style="75" customWidth="1"/>
    <col min="12" max="12" width="19.5" style="75" customWidth="1"/>
    <col min="13" max="13" width="10.83203125" style="75" customWidth="1"/>
    <col min="14" max="14" width="16.5" style="75" customWidth="1"/>
    <col min="15" max="15" width="7.6640625" style="77" customWidth="1"/>
    <col min="16" max="18" width="13.1640625" style="78" customWidth="1"/>
    <col min="19" max="19" width="9.83203125" style="77" customWidth="1"/>
    <col min="20" max="20" width="20.1640625" style="79" customWidth="1"/>
    <col min="21" max="21" width="15.6640625" style="79" customWidth="1"/>
    <col min="22" max="22" width="15.33203125" style="80" customWidth="1"/>
    <col min="23" max="23" width="11.6640625" style="81" customWidth="1"/>
    <col min="24" max="24" width="9.5" style="82" customWidth="1"/>
    <col min="25" max="25" width="12.33203125" style="82" customWidth="1"/>
    <col min="26" max="26" width="18.1640625" style="75" customWidth="1"/>
    <col min="27" max="27" width="14" style="83" customWidth="1"/>
    <col min="28" max="28" width="11.5" style="83" customWidth="1"/>
    <col min="29" max="29" width="13.83203125" style="83" customWidth="1"/>
    <col min="30" max="30" width="14.1640625" style="77" customWidth="1"/>
    <col min="31" max="31" width="7.33203125" style="84"/>
    <col min="32" max="16384" width="7.33203125" style="77"/>
  </cols>
  <sheetData>
    <row r="1" spans="1:29" s="1" customFormat="1" ht="1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0" t="s">
        <v>7</v>
      </c>
      <c r="I1" s="10"/>
      <c r="J1" s="13" t="s">
        <v>8</v>
      </c>
      <c r="K1" s="13" t="s">
        <v>9</v>
      </c>
      <c r="L1" s="13" t="s">
        <v>10</v>
      </c>
      <c r="M1" s="13" t="s">
        <v>11</v>
      </c>
      <c r="N1" s="17" t="s">
        <v>12</v>
      </c>
      <c r="O1" s="13" t="s">
        <v>13</v>
      </c>
      <c r="P1" s="18" t="s">
        <v>14</v>
      </c>
      <c r="Q1" s="18" t="s">
        <v>15</v>
      </c>
      <c r="R1" s="18" t="s">
        <v>16</v>
      </c>
      <c r="S1" s="24" t="s">
        <v>17</v>
      </c>
      <c r="T1" s="25" t="s">
        <v>18</v>
      </c>
      <c r="U1" s="25" t="s">
        <v>19</v>
      </c>
      <c r="V1" s="32" t="s">
        <v>20</v>
      </c>
      <c r="W1" s="33" t="s">
        <v>21</v>
      </c>
      <c r="X1" s="17" t="s">
        <v>22</v>
      </c>
      <c r="Y1" s="17" t="s">
        <v>23</v>
      </c>
      <c r="Z1" s="40" t="s">
        <v>24</v>
      </c>
      <c r="AA1" s="41" t="s">
        <v>25</v>
      </c>
      <c r="AB1" s="41" t="s">
        <v>26</v>
      </c>
      <c r="AC1" s="41" t="s">
        <v>27</v>
      </c>
    </row>
    <row r="2" spans="1:29" s="2" customFormat="1" ht="15" customHeight="1">
      <c r="A2" s="5" t="s">
        <v>28</v>
      </c>
      <c r="B2" s="6" t="s">
        <v>29</v>
      </c>
      <c r="C2" s="7" t="s">
        <v>30</v>
      </c>
      <c r="D2" s="7" t="s">
        <v>31</v>
      </c>
      <c r="E2" s="5" t="s">
        <v>32</v>
      </c>
      <c r="F2" s="5" t="s">
        <v>33</v>
      </c>
      <c r="G2" s="5" t="s">
        <v>34</v>
      </c>
      <c r="H2" s="11" t="s">
        <v>35</v>
      </c>
      <c r="I2" s="11" t="e">
        <f>VLOOKUP(H2,合同高级查询数据!$A$2:$A$51,1,FALSE)</f>
        <v>#N/A</v>
      </c>
      <c r="J2" s="14" t="s">
        <v>36</v>
      </c>
      <c r="K2" s="5" t="s">
        <v>37</v>
      </c>
      <c r="L2" s="11" t="s">
        <v>38</v>
      </c>
      <c r="M2" s="5"/>
      <c r="N2" s="19">
        <v>44044</v>
      </c>
      <c r="O2" s="5"/>
      <c r="P2" s="20">
        <v>8500</v>
      </c>
      <c r="Q2" s="20">
        <v>764.99099999999999</v>
      </c>
      <c r="R2" s="27">
        <f t="shared" ref="R2:R9" si="0">ROUND(P2*Q2,2)</f>
        <v>6502423.5</v>
      </c>
      <c r="S2" s="28">
        <v>202306</v>
      </c>
      <c r="T2" s="29" t="s">
        <v>39</v>
      </c>
      <c r="U2" s="29"/>
      <c r="V2" s="101">
        <v>764.99096679700006</v>
      </c>
      <c r="W2" s="35"/>
      <c r="X2" s="36">
        <v>44774</v>
      </c>
      <c r="Y2" s="36">
        <v>45138</v>
      </c>
      <c r="Z2" s="42" t="s">
        <v>40</v>
      </c>
      <c r="AA2" s="43">
        <v>0</v>
      </c>
      <c r="AB2" s="43"/>
      <c r="AC2" s="43">
        <v>0</v>
      </c>
    </row>
    <row r="3" spans="1:29" s="2" customFormat="1" ht="15" customHeight="1">
      <c r="A3" s="5" t="s">
        <v>28</v>
      </c>
      <c r="B3" s="6" t="s">
        <v>29</v>
      </c>
      <c r="C3" s="7" t="s">
        <v>30</v>
      </c>
      <c r="D3" s="7" t="s">
        <v>31</v>
      </c>
      <c r="E3" s="5" t="s">
        <v>32</v>
      </c>
      <c r="F3" s="5" t="s">
        <v>33</v>
      </c>
      <c r="G3" s="5" t="s">
        <v>34</v>
      </c>
      <c r="H3" s="11" t="s">
        <v>35</v>
      </c>
      <c r="I3" s="11" t="e">
        <f>VLOOKUP(H3,合同高级查询数据!$A$2:$A$51,1,FALSE)</f>
        <v>#N/A</v>
      </c>
      <c r="J3" s="14" t="s">
        <v>36</v>
      </c>
      <c r="K3" s="5" t="s">
        <v>37</v>
      </c>
      <c r="L3" s="11" t="s">
        <v>41</v>
      </c>
      <c r="M3" s="5"/>
      <c r="N3" s="19">
        <v>44409</v>
      </c>
      <c r="O3" s="5"/>
      <c r="P3" s="20">
        <v>8500</v>
      </c>
      <c r="Q3" s="26"/>
      <c r="R3" s="27">
        <f t="shared" si="0"/>
        <v>0</v>
      </c>
      <c r="S3" s="28">
        <v>202306</v>
      </c>
      <c r="T3" s="29" t="s">
        <v>39</v>
      </c>
      <c r="U3" s="29"/>
      <c r="V3" s="101">
        <v>0</v>
      </c>
      <c r="W3" s="35"/>
      <c r="X3" s="36">
        <v>44774</v>
      </c>
      <c r="Y3" s="36">
        <v>45138</v>
      </c>
      <c r="Z3" s="42" t="s">
        <v>42</v>
      </c>
      <c r="AA3" s="43">
        <v>0</v>
      </c>
      <c r="AB3" s="43"/>
      <c r="AC3" s="43">
        <v>0</v>
      </c>
    </row>
    <row r="4" spans="1:29" s="2" customFormat="1" ht="15" customHeight="1">
      <c r="A4" s="5" t="s">
        <v>28</v>
      </c>
      <c r="B4" s="6" t="s">
        <v>29</v>
      </c>
      <c r="C4" s="7" t="s">
        <v>30</v>
      </c>
      <c r="D4" s="7" t="s">
        <v>31</v>
      </c>
      <c r="E4" s="5" t="s">
        <v>32</v>
      </c>
      <c r="F4" s="5" t="s">
        <v>33</v>
      </c>
      <c r="G4" s="5" t="s">
        <v>34</v>
      </c>
      <c r="H4" s="11" t="s">
        <v>35</v>
      </c>
      <c r="I4" s="11" t="e">
        <f>VLOOKUP(H4,合同高级查询数据!$A$2:$A$51,1,FALSE)</f>
        <v>#N/A</v>
      </c>
      <c r="J4" s="14" t="s">
        <v>36</v>
      </c>
      <c r="K4" s="5" t="s">
        <v>37</v>
      </c>
      <c r="L4" s="11" t="s">
        <v>43</v>
      </c>
      <c r="M4" s="5"/>
      <c r="N4" s="19">
        <v>44440</v>
      </c>
      <c r="O4" s="5"/>
      <c r="P4" s="20">
        <v>8500</v>
      </c>
      <c r="Q4" s="20">
        <v>58.533999999999999</v>
      </c>
      <c r="R4" s="27">
        <f t="shared" si="0"/>
        <v>497539</v>
      </c>
      <c r="S4" s="28">
        <v>202306</v>
      </c>
      <c r="T4" s="29" t="s">
        <v>39</v>
      </c>
      <c r="U4" s="29"/>
      <c r="V4" s="101">
        <v>58.533233643000003</v>
      </c>
      <c r="W4" s="35"/>
      <c r="X4" s="36">
        <v>44774</v>
      </c>
      <c r="Y4" s="36">
        <v>45138</v>
      </c>
      <c r="Z4" s="42" t="s">
        <v>44</v>
      </c>
      <c r="AA4" s="43">
        <v>0</v>
      </c>
      <c r="AB4" s="43"/>
      <c r="AC4" s="43">
        <v>0</v>
      </c>
    </row>
    <row r="5" spans="1:29" s="2" customFormat="1" ht="15" customHeight="1">
      <c r="A5" s="5" t="s">
        <v>28</v>
      </c>
      <c r="B5" s="6" t="s">
        <v>29</v>
      </c>
      <c r="C5" s="7" t="s">
        <v>30</v>
      </c>
      <c r="D5" s="7" t="s">
        <v>31</v>
      </c>
      <c r="E5" s="5" t="s">
        <v>32</v>
      </c>
      <c r="F5" s="5" t="s">
        <v>33</v>
      </c>
      <c r="G5" s="5" t="s">
        <v>34</v>
      </c>
      <c r="H5" s="11" t="s">
        <v>35</v>
      </c>
      <c r="I5" s="11" t="e">
        <f>VLOOKUP(H5,合同高级查询数据!$A$2:$A$51,1,FALSE)</f>
        <v>#N/A</v>
      </c>
      <c r="J5" s="14" t="s">
        <v>36</v>
      </c>
      <c r="K5" s="5" t="s">
        <v>45</v>
      </c>
      <c r="L5" s="11" t="s">
        <v>46</v>
      </c>
      <c r="M5" s="5"/>
      <c r="N5" s="19">
        <v>44440</v>
      </c>
      <c r="O5" s="5"/>
      <c r="P5" s="20">
        <v>8500</v>
      </c>
      <c r="Q5" s="20">
        <v>105.155</v>
      </c>
      <c r="R5" s="27">
        <f t="shared" si="0"/>
        <v>893817.5</v>
      </c>
      <c r="S5" s="28">
        <v>202306</v>
      </c>
      <c r="T5" s="29" t="s">
        <v>47</v>
      </c>
      <c r="U5" s="29"/>
      <c r="V5" s="101">
        <v>105.154006958</v>
      </c>
      <c r="W5" s="35"/>
      <c r="X5" s="36">
        <v>44774</v>
      </c>
      <c r="Y5" s="36">
        <v>45138</v>
      </c>
      <c r="Z5" s="42" t="s">
        <v>48</v>
      </c>
      <c r="AA5" s="43"/>
      <c r="AB5" s="43"/>
      <c r="AC5" s="43">
        <v>0</v>
      </c>
    </row>
    <row r="6" spans="1:29" s="3" customFormat="1" ht="15" customHeight="1">
      <c r="A6" s="65" t="s">
        <v>28</v>
      </c>
      <c r="B6" s="85" t="s">
        <v>29</v>
      </c>
      <c r="C6" s="86" t="s">
        <v>30</v>
      </c>
      <c r="D6" s="86" t="s">
        <v>31</v>
      </c>
      <c r="E6" s="65" t="s">
        <v>32</v>
      </c>
      <c r="F6" s="65" t="s">
        <v>33</v>
      </c>
      <c r="G6" s="65" t="s">
        <v>34</v>
      </c>
      <c r="H6" s="53" t="s">
        <v>49</v>
      </c>
      <c r="I6" s="53" t="e">
        <f>VLOOKUP(H6,合同高级查询数据!$A$2:$A$51,1,FALSE)</f>
        <v>#N/A</v>
      </c>
      <c r="J6" s="88" t="s">
        <v>36</v>
      </c>
      <c r="K6" s="65"/>
      <c r="L6" s="53" t="s">
        <v>50</v>
      </c>
      <c r="M6" s="65"/>
      <c r="N6" s="89">
        <v>45078</v>
      </c>
      <c r="O6" s="65"/>
      <c r="P6" s="90">
        <v>5400</v>
      </c>
      <c r="Q6" s="90">
        <v>415.54899999999998</v>
      </c>
      <c r="R6" s="58">
        <f t="shared" si="0"/>
        <v>2243964.6</v>
      </c>
      <c r="S6" s="59">
        <v>202306</v>
      </c>
      <c r="T6" s="97" t="s">
        <v>51</v>
      </c>
      <c r="U6" s="97"/>
      <c r="V6" s="102">
        <v>415.54818725600001</v>
      </c>
      <c r="W6" s="103"/>
      <c r="X6" s="64"/>
      <c r="Y6" s="64"/>
      <c r="Z6" s="107" t="s">
        <v>52</v>
      </c>
      <c r="AA6" s="108">
        <v>0</v>
      </c>
      <c r="AB6" s="108"/>
      <c r="AC6" s="108">
        <v>0</v>
      </c>
    </row>
    <row r="7" spans="1:29" s="2" customFormat="1" ht="15" customHeight="1">
      <c r="A7" s="5" t="s">
        <v>28</v>
      </c>
      <c r="B7" s="6" t="s">
        <v>29</v>
      </c>
      <c r="C7" s="7" t="s">
        <v>30</v>
      </c>
      <c r="D7" s="7" t="s">
        <v>31</v>
      </c>
      <c r="E7" s="5" t="s">
        <v>53</v>
      </c>
      <c r="F7" s="5" t="s">
        <v>54</v>
      </c>
      <c r="G7" s="5" t="s">
        <v>34</v>
      </c>
      <c r="H7" s="11" t="s">
        <v>55</v>
      </c>
      <c r="I7" s="11" t="str">
        <f>VLOOKUP(H7,合同高级查询数据!$A$2:$A$51,1,FALSE)</f>
        <v>182315IDC00213</v>
      </c>
      <c r="J7" s="14" t="s">
        <v>36</v>
      </c>
      <c r="K7" s="5" t="s">
        <v>56</v>
      </c>
      <c r="L7" s="11" t="s">
        <v>57</v>
      </c>
      <c r="M7" s="5"/>
      <c r="N7" s="19">
        <v>45017</v>
      </c>
      <c r="O7" s="5"/>
      <c r="P7" s="20">
        <v>5300</v>
      </c>
      <c r="Q7" s="20">
        <v>258.96800000000002</v>
      </c>
      <c r="R7" s="27">
        <f t="shared" si="0"/>
        <v>1372530.4</v>
      </c>
      <c r="S7" s="28">
        <v>202306</v>
      </c>
      <c r="T7" s="29" t="s">
        <v>58</v>
      </c>
      <c r="U7" s="29"/>
      <c r="V7" s="101">
        <v>258.96762085</v>
      </c>
      <c r="W7" s="35"/>
      <c r="X7" s="36">
        <v>45017</v>
      </c>
      <c r="Y7" s="36">
        <v>45382</v>
      </c>
      <c r="Z7" s="42" t="s">
        <v>59</v>
      </c>
      <c r="AA7" s="43">
        <v>0</v>
      </c>
      <c r="AB7" s="43"/>
      <c r="AC7" s="43">
        <v>0</v>
      </c>
    </row>
    <row r="8" spans="1:29" s="2" customFormat="1" ht="15" customHeight="1">
      <c r="A8" s="5" t="s">
        <v>28</v>
      </c>
      <c r="B8" s="6" t="s">
        <v>29</v>
      </c>
      <c r="C8" s="7" t="s">
        <v>30</v>
      </c>
      <c r="D8" s="7" t="s">
        <v>31</v>
      </c>
      <c r="E8" s="5" t="s">
        <v>53</v>
      </c>
      <c r="F8" s="5" t="s">
        <v>54</v>
      </c>
      <c r="G8" s="5" t="s">
        <v>34</v>
      </c>
      <c r="H8" s="11" t="s">
        <v>55</v>
      </c>
      <c r="I8" s="11" t="str">
        <f>VLOOKUP(H8,合同高级查询数据!$A$2:$A$51,1,FALSE)</f>
        <v>182315IDC00213</v>
      </c>
      <c r="J8" s="14" t="s">
        <v>36</v>
      </c>
      <c r="K8" s="5" t="s">
        <v>56</v>
      </c>
      <c r="L8" s="11" t="s">
        <v>60</v>
      </c>
      <c r="M8" s="5"/>
      <c r="N8" s="19">
        <v>45017</v>
      </c>
      <c r="O8" s="5"/>
      <c r="P8" s="20">
        <v>5300</v>
      </c>
      <c r="Q8" s="20">
        <v>171.143</v>
      </c>
      <c r="R8" s="27">
        <f t="shared" si="0"/>
        <v>907057.9</v>
      </c>
      <c r="S8" s="28">
        <v>202306</v>
      </c>
      <c r="T8" s="29" t="s">
        <v>58</v>
      </c>
      <c r="U8" s="29"/>
      <c r="V8" s="101">
        <v>171.14271545400001</v>
      </c>
      <c r="W8" s="35"/>
      <c r="X8" s="36">
        <v>45017</v>
      </c>
      <c r="Y8" s="36">
        <v>45382</v>
      </c>
      <c r="Z8" s="42" t="s">
        <v>61</v>
      </c>
      <c r="AA8" s="43">
        <v>0</v>
      </c>
      <c r="AB8" s="43"/>
      <c r="AC8" s="43">
        <v>0</v>
      </c>
    </row>
    <row r="9" spans="1:29" s="2" customFormat="1" ht="15" customHeight="1">
      <c r="A9" s="5" t="s">
        <v>28</v>
      </c>
      <c r="B9" s="6" t="s">
        <v>29</v>
      </c>
      <c r="C9" s="7" t="s">
        <v>30</v>
      </c>
      <c r="D9" s="7" t="s">
        <v>31</v>
      </c>
      <c r="E9" s="5" t="s">
        <v>62</v>
      </c>
      <c r="F9" s="5" t="s">
        <v>63</v>
      </c>
      <c r="G9" s="5" t="s">
        <v>34</v>
      </c>
      <c r="H9" s="11" t="s">
        <v>64</v>
      </c>
      <c r="I9" s="11" t="e">
        <f>VLOOKUP(H9,合同高级查询数据!$A$2:$A$51,1,FALSE)</f>
        <v>#N/A</v>
      </c>
      <c r="J9" s="14" t="s">
        <v>36</v>
      </c>
      <c r="K9" s="5" t="s">
        <v>65</v>
      </c>
      <c r="L9" s="11" t="s">
        <v>66</v>
      </c>
      <c r="M9" s="5"/>
      <c r="N9" s="19">
        <v>44593</v>
      </c>
      <c r="O9" s="5"/>
      <c r="P9" s="20">
        <v>8500</v>
      </c>
      <c r="Q9" s="20">
        <v>436.67</v>
      </c>
      <c r="R9" s="27">
        <f t="shared" si="0"/>
        <v>3711695</v>
      </c>
      <c r="S9" s="28">
        <v>202306</v>
      </c>
      <c r="T9" s="29" t="s">
        <v>67</v>
      </c>
      <c r="U9" s="29"/>
      <c r="V9" s="101">
        <v>436.66946411100002</v>
      </c>
      <c r="W9" s="35"/>
      <c r="X9" s="36">
        <v>44958</v>
      </c>
      <c r="Y9" s="36">
        <v>45322</v>
      </c>
      <c r="Z9" s="42" t="s">
        <v>68</v>
      </c>
      <c r="AA9" s="43">
        <v>0</v>
      </c>
      <c r="AB9" s="43"/>
      <c r="AC9" s="43">
        <v>0</v>
      </c>
    </row>
    <row r="10" spans="1:29" s="2" customFormat="1" ht="15" customHeight="1">
      <c r="A10" s="5" t="s">
        <v>28</v>
      </c>
      <c r="B10" s="6" t="s">
        <v>69</v>
      </c>
      <c r="C10" s="7" t="s">
        <v>70</v>
      </c>
      <c r="D10" s="7" t="s">
        <v>71</v>
      </c>
      <c r="E10" s="5" t="s">
        <v>72</v>
      </c>
      <c r="F10" s="5" t="s">
        <v>73</v>
      </c>
      <c r="G10" s="5" t="s">
        <v>34</v>
      </c>
      <c r="H10" s="11" t="s">
        <v>74</v>
      </c>
      <c r="I10" s="11" t="e">
        <f>VLOOKUP(H10,合同高级查询数据!$A$2:$A$51,1,FALSE)</f>
        <v>#N/A</v>
      </c>
      <c r="J10" s="14" t="s">
        <v>75</v>
      </c>
      <c r="K10" s="5" t="s">
        <v>76</v>
      </c>
      <c r="L10" s="11" t="s">
        <v>77</v>
      </c>
      <c r="M10" s="5"/>
      <c r="N10" s="19">
        <v>43313</v>
      </c>
      <c r="O10" s="5" t="s">
        <v>78</v>
      </c>
      <c r="P10" s="20">
        <v>5000</v>
      </c>
      <c r="Q10" s="26">
        <v>3</v>
      </c>
      <c r="R10" s="27">
        <f>P10*Q10</f>
        <v>15000</v>
      </c>
      <c r="S10" s="28">
        <v>202306</v>
      </c>
      <c r="T10" s="29" t="s">
        <v>79</v>
      </c>
      <c r="U10" s="29"/>
      <c r="V10" s="101">
        <v>0</v>
      </c>
      <c r="W10" s="35"/>
      <c r="X10" s="36">
        <v>44044</v>
      </c>
      <c r="Y10" s="36">
        <v>45138</v>
      </c>
      <c r="Z10" s="42" t="s">
        <v>80</v>
      </c>
      <c r="AA10" s="43" t="s">
        <v>81</v>
      </c>
      <c r="AB10" s="43">
        <v>30</v>
      </c>
      <c r="AC10" s="43">
        <v>3</v>
      </c>
    </row>
    <row r="11" spans="1:29" s="3" customFormat="1" ht="15" customHeight="1">
      <c r="A11" s="65" t="s">
        <v>28</v>
      </c>
      <c r="B11" s="85" t="s">
        <v>29</v>
      </c>
      <c r="C11" s="86" t="s">
        <v>30</v>
      </c>
      <c r="D11" s="86" t="s">
        <v>31</v>
      </c>
      <c r="E11" s="65" t="s">
        <v>82</v>
      </c>
      <c r="F11" s="65" t="s">
        <v>83</v>
      </c>
      <c r="G11" s="65" t="s">
        <v>34</v>
      </c>
      <c r="H11" s="53" t="s">
        <v>84</v>
      </c>
      <c r="I11" s="53" t="e">
        <f>VLOOKUP(H11,合同高级查询数据!$A$2:$A$51,1,FALSE)</f>
        <v>#N/A</v>
      </c>
      <c r="J11" s="88" t="s">
        <v>36</v>
      </c>
      <c r="K11" s="65" t="s">
        <v>85</v>
      </c>
      <c r="L11" s="53" t="s">
        <v>86</v>
      </c>
      <c r="M11" s="65"/>
      <c r="N11" s="89">
        <v>44531</v>
      </c>
      <c r="O11" s="65"/>
      <c r="P11" s="90">
        <v>6500</v>
      </c>
      <c r="Q11" s="90">
        <v>995.64800000000002</v>
      </c>
      <c r="R11" s="58">
        <f t="shared" ref="R11:R21" si="1">ROUND(P11*Q11,2)</f>
        <v>6471712</v>
      </c>
      <c r="S11" s="59">
        <v>202306</v>
      </c>
      <c r="T11" s="97" t="s">
        <v>87</v>
      </c>
      <c r="U11" s="97"/>
      <c r="V11" s="102">
        <v>995.64727783199999</v>
      </c>
      <c r="W11" s="103"/>
      <c r="X11" s="64"/>
      <c r="Y11" s="64"/>
      <c r="Z11" s="107" t="s">
        <v>88</v>
      </c>
      <c r="AA11" s="108">
        <v>0</v>
      </c>
      <c r="AB11" s="108"/>
      <c r="AC11" s="108">
        <v>0</v>
      </c>
    </row>
    <row r="12" spans="1:29" s="3" customFormat="1" ht="15" customHeight="1">
      <c r="A12" s="65" t="s">
        <v>28</v>
      </c>
      <c r="B12" s="85" t="s">
        <v>29</v>
      </c>
      <c r="C12" s="86" t="s">
        <v>30</v>
      </c>
      <c r="D12" s="86" t="s">
        <v>31</v>
      </c>
      <c r="E12" s="65" t="s">
        <v>82</v>
      </c>
      <c r="F12" s="65" t="s">
        <v>83</v>
      </c>
      <c r="G12" s="65" t="s">
        <v>34</v>
      </c>
      <c r="H12" s="53" t="s">
        <v>89</v>
      </c>
      <c r="I12" s="53" t="e">
        <f>VLOOKUP(H12,合同高级查询数据!$A$2:$A$51,1,FALSE)</f>
        <v>#N/A</v>
      </c>
      <c r="J12" s="88" t="s">
        <v>36</v>
      </c>
      <c r="K12" s="65" t="s">
        <v>90</v>
      </c>
      <c r="L12" s="53" t="s">
        <v>90</v>
      </c>
      <c r="M12" s="65"/>
      <c r="N12" s="89">
        <v>44713</v>
      </c>
      <c r="O12" s="65"/>
      <c r="P12" s="90">
        <v>4100</v>
      </c>
      <c r="Q12" s="98"/>
      <c r="R12" s="58">
        <f t="shared" si="1"/>
        <v>0</v>
      </c>
      <c r="S12" s="59">
        <v>202306</v>
      </c>
      <c r="T12" s="97" t="s">
        <v>91</v>
      </c>
      <c r="U12" s="97"/>
      <c r="V12" s="102">
        <v>0</v>
      </c>
      <c r="W12" s="103"/>
      <c r="X12" s="64"/>
      <c r="Y12" s="64"/>
      <c r="Z12" s="107" t="s">
        <v>92</v>
      </c>
      <c r="AA12" s="108">
        <v>0</v>
      </c>
      <c r="AB12" s="108"/>
      <c r="AC12" s="108">
        <v>0</v>
      </c>
    </row>
    <row r="13" spans="1:29" s="2" customFormat="1" ht="15" customHeight="1">
      <c r="A13" s="5" t="s">
        <v>28</v>
      </c>
      <c r="B13" s="6" t="s">
        <v>29</v>
      </c>
      <c r="C13" s="7" t="s">
        <v>30</v>
      </c>
      <c r="D13" s="7" t="s">
        <v>31</v>
      </c>
      <c r="E13" s="5" t="s">
        <v>93</v>
      </c>
      <c r="F13" s="5" t="s">
        <v>94</v>
      </c>
      <c r="G13" s="5" t="s">
        <v>34</v>
      </c>
      <c r="H13" s="11" t="s">
        <v>95</v>
      </c>
      <c r="I13" s="11" t="e">
        <f>VLOOKUP(H13,合同高级查询数据!$A$2:$A$51,1,FALSE)</f>
        <v>#N/A</v>
      </c>
      <c r="J13" s="14" t="s">
        <v>36</v>
      </c>
      <c r="K13" s="5"/>
      <c r="L13" s="11" t="s">
        <v>96</v>
      </c>
      <c r="M13" s="5"/>
      <c r="N13" s="19">
        <v>44256</v>
      </c>
      <c r="O13" s="5"/>
      <c r="P13" s="20">
        <v>7800</v>
      </c>
      <c r="Q13" s="26"/>
      <c r="R13" s="27">
        <f t="shared" si="1"/>
        <v>0</v>
      </c>
      <c r="S13" s="28">
        <v>202306</v>
      </c>
      <c r="T13" s="29" t="s">
        <v>97</v>
      </c>
      <c r="U13" s="29"/>
      <c r="V13" s="101">
        <v>0</v>
      </c>
      <c r="W13" s="35"/>
      <c r="X13" s="36">
        <v>44256</v>
      </c>
      <c r="Y13" s="36">
        <v>44316</v>
      </c>
      <c r="Z13" s="42"/>
      <c r="AA13" s="43">
        <v>0</v>
      </c>
      <c r="AB13" s="43"/>
      <c r="AC13" s="43">
        <v>0</v>
      </c>
    </row>
    <row r="14" spans="1:29" s="2" customFormat="1" ht="15" customHeight="1">
      <c r="A14" s="5" t="s">
        <v>28</v>
      </c>
      <c r="B14" s="6" t="s">
        <v>29</v>
      </c>
      <c r="C14" s="7" t="s">
        <v>30</v>
      </c>
      <c r="D14" s="7" t="s">
        <v>31</v>
      </c>
      <c r="E14" s="5" t="s">
        <v>98</v>
      </c>
      <c r="F14" s="5" t="s">
        <v>99</v>
      </c>
      <c r="G14" s="5" t="s">
        <v>34</v>
      </c>
      <c r="H14" s="11" t="s">
        <v>100</v>
      </c>
      <c r="I14" s="11" t="e">
        <f>VLOOKUP(H14,合同高级查询数据!$A$2:$A$51,1,FALSE)</f>
        <v>#N/A</v>
      </c>
      <c r="J14" s="14" t="s">
        <v>36</v>
      </c>
      <c r="K14" s="5" t="s">
        <v>101</v>
      </c>
      <c r="L14" s="11" t="s">
        <v>102</v>
      </c>
      <c r="M14" s="5"/>
      <c r="N14" s="19">
        <v>44774</v>
      </c>
      <c r="O14" s="5"/>
      <c r="P14" s="20">
        <v>5300</v>
      </c>
      <c r="Q14" s="26"/>
      <c r="R14" s="27">
        <f t="shared" si="1"/>
        <v>0</v>
      </c>
      <c r="S14" s="28">
        <v>202306</v>
      </c>
      <c r="T14" s="29" t="s">
        <v>103</v>
      </c>
      <c r="U14" s="29"/>
      <c r="V14" s="101">
        <v>0</v>
      </c>
      <c r="W14" s="35"/>
      <c r="X14" s="36">
        <v>44835</v>
      </c>
      <c r="Y14" s="36">
        <v>45199</v>
      </c>
      <c r="Z14" s="42" t="s">
        <v>104</v>
      </c>
      <c r="AA14" s="43">
        <v>0</v>
      </c>
      <c r="AB14" s="43"/>
      <c r="AC14" s="43">
        <v>0</v>
      </c>
    </row>
    <row r="15" spans="1:29" s="2" customFormat="1" ht="15" customHeight="1">
      <c r="A15" s="5" t="s">
        <v>28</v>
      </c>
      <c r="B15" s="6" t="s">
        <v>29</v>
      </c>
      <c r="C15" s="7" t="s">
        <v>30</v>
      </c>
      <c r="D15" s="7" t="s">
        <v>31</v>
      </c>
      <c r="E15" s="5" t="s">
        <v>98</v>
      </c>
      <c r="F15" s="5" t="s">
        <v>99</v>
      </c>
      <c r="G15" s="5" t="s">
        <v>34</v>
      </c>
      <c r="H15" s="11" t="s">
        <v>100</v>
      </c>
      <c r="I15" s="11" t="e">
        <f>VLOOKUP(H15,合同高级查询数据!$A$2:$A$51,1,FALSE)</f>
        <v>#N/A</v>
      </c>
      <c r="J15" s="14" t="s">
        <v>36</v>
      </c>
      <c r="K15" s="5" t="s">
        <v>105</v>
      </c>
      <c r="L15" s="11" t="s">
        <v>106</v>
      </c>
      <c r="M15" s="5"/>
      <c r="N15" s="19">
        <v>44835</v>
      </c>
      <c r="O15" s="5"/>
      <c r="P15" s="20">
        <v>5300</v>
      </c>
      <c r="Q15" s="26"/>
      <c r="R15" s="27">
        <f t="shared" si="1"/>
        <v>0</v>
      </c>
      <c r="S15" s="28">
        <v>202306</v>
      </c>
      <c r="T15" s="29" t="s">
        <v>107</v>
      </c>
      <c r="U15" s="29"/>
      <c r="V15" s="101">
        <v>0</v>
      </c>
      <c r="W15" s="35"/>
      <c r="X15" s="36">
        <v>44835</v>
      </c>
      <c r="Y15" s="36">
        <v>45199</v>
      </c>
      <c r="Z15" s="42" t="s">
        <v>108</v>
      </c>
      <c r="AA15" s="43"/>
      <c r="AB15" s="43"/>
      <c r="AC15" s="43">
        <v>0</v>
      </c>
    </row>
    <row r="16" spans="1:29" s="3" customFormat="1" ht="15" customHeight="1">
      <c r="A16" s="65" t="s">
        <v>28</v>
      </c>
      <c r="B16" s="85" t="s">
        <v>29</v>
      </c>
      <c r="C16" s="86" t="s">
        <v>30</v>
      </c>
      <c r="D16" s="86" t="s">
        <v>31</v>
      </c>
      <c r="E16" s="65" t="s">
        <v>98</v>
      </c>
      <c r="F16" s="65" t="s">
        <v>99</v>
      </c>
      <c r="G16" s="65" t="s">
        <v>34</v>
      </c>
      <c r="H16" s="53" t="s">
        <v>109</v>
      </c>
      <c r="I16" s="53" t="e">
        <f>VLOOKUP(H16,合同高级查询数据!$A$2:$A$51,1,FALSE)</f>
        <v>#N/A</v>
      </c>
      <c r="J16" s="88" t="s">
        <v>36</v>
      </c>
      <c r="K16" s="65" t="s">
        <v>110</v>
      </c>
      <c r="L16" s="53"/>
      <c r="M16" s="65"/>
      <c r="N16" s="89">
        <v>44774</v>
      </c>
      <c r="O16" s="65"/>
      <c r="P16" s="90">
        <v>6500</v>
      </c>
      <c r="Q16" s="98"/>
      <c r="R16" s="58">
        <f t="shared" si="1"/>
        <v>0</v>
      </c>
      <c r="S16" s="59">
        <v>202306</v>
      </c>
      <c r="T16" s="97" t="s">
        <v>111</v>
      </c>
      <c r="U16" s="97"/>
      <c r="V16" s="102"/>
      <c r="W16" s="103"/>
      <c r="X16" s="64"/>
      <c r="Y16" s="64"/>
      <c r="Z16" s="107"/>
      <c r="AA16" s="108">
        <v>0</v>
      </c>
      <c r="AB16" s="108"/>
      <c r="AC16" s="108">
        <v>0</v>
      </c>
    </row>
    <row r="17" spans="1:29" s="2" customFormat="1" ht="15" customHeight="1">
      <c r="A17" s="5" t="s">
        <v>28</v>
      </c>
      <c r="B17" s="6" t="s">
        <v>29</v>
      </c>
      <c r="C17" s="7" t="s">
        <v>30</v>
      </c>
      <c r="D17" s="7" t="s">
        <v>31</v>
      </c>
      <c r="E17" s="5" t="s">
        <v>98</v>
      </c>
      <c r="F17" s="5" t="s">
        <v>99</v>
      </c>
      <c r="G17" s="5" t="s">
        <v>34</v>
      </c>
      <c r="H17" s="11" t="s">
        <v>112</v>
      </c>
      <c r="I17" s="11" t="str">
        <f>VLOOKUP(H17,合同高级查询数据!$A$2:$A$51,1,FALSE)</f>
        <v>182315IDC00217</v>
      </c>
      <c r="J17" s="14" t="s">
        <v>36</v>
      </c>
      <c r="K17" s="5"/>
      <c r="L17" s="11" t="s">
        <v>113</v>
      </c>
      <c r="M17" s="5"/>
      <c r="N17" s="19">
        <v>45017</v>
      </c>
      <c r="O17" s="5"/>
      <c r="P17" s="20">
        <v>5300</v>
      </c>
      <c r="Q17" s="20">
        <v>164.07599999999999</v>
      </c>
      <c r="R17" s="27">
        <f t="shared" si="1"/>
        <v>869602.8</v>
      </c>
      <c r="S17" s="28">
        <v>202306</v>
      </c>
      <c r="T17" s="29" t="s">
        <v>114</v>
      </c>
      <c r="U17" s="29"/>
      <c r="V17" s="101">
        <v>164.07539367699999</v>
      </c>
      <c r="W17" s="35"/>
      <c r="X17" s="36">
        <v>45017</v>
      </c>
      <c r="Y17" s="36">
        <v>45199</v>
      </c>
      <c r="Z17" s="42" t="s">
        <v>115</v>
      </c>
      <c r="AA17" s="43">
        <v>0</v>
      </c>
      <c r="AB17" s="43"/>
      <c r="AC17" s="43">
        <v>0</v>
      </c>
    </row>
    <row r="18" spans="1:29" s="2" customFormat="1" ht="15" customHeight="1">
      <c r="A18" s="5" t="s">
        <v>28</v>
      </c>
      <c r="B18" s="6" t="s">
        <v>29</v>
      </c>
      <c r="C18" s="7" t="s">
        <v>30</v>
      </c>
      <c r="D18" s="7" t="s">
        <v>31</v>
      </c>
      <c r="E18" s="5" t="s">
        <v>98</v>
      </c>
      <c r="F18" s="5" t="s">
        <v>99</v>
      </c>
      <c r="G18" s="5" t="s">
        <v>34</v>
      </c>
      <c r="H18" s="11" t="s">
        <v>112</v>
      </c>
      <c r="I18" s="11" t="str">
        <f>VLOOKUP(H18,合同高级查询数据!$A$2:$A$51,1,FALSE)</f>
        <v>182315IDC00217</v>
      </c>
      <c r="J18" s="14" t="s">
        <v>36</v>
      </c>
      <c r="K18" s="5"/>
      <c r="L18" s="11" t="s">
        <v>116</v>
      </c>
      <c r="M18" s="5"/>
      <c r="N18" s="19">
        <v>45017</v>
      </c>
      <c r="O18" s="5"/>
      <c r="P18" s="20">
        <v>5300</v>
      </c>
      <c r="Q18" s="20">
        <v>75.406999999999996</v>
      </c>
      <c r="R18" s="27">
        <f t="shared" si="1"/>
        <v>399657.1</v>
      </c>
      <c r="S18" s="28">
        <v>202306</v>
      </c>
      <c r="T18" s="29" t="s">
        <v>114</v>
      </c>
      <c r="U18" s="29"/>
      <c r="V18" s="101">
        <v>75.406135559000006</v>
      </c>
      <c r="W18" s="35"/>
      <c r="X18" s="36">
        <v>45017</v>
      </c>
      <c r="Y18" s="36">
        <v>45199</v>
      </c>
      <c r="Z18" s="42" t="s">
        <v>117</v>
      </c>
      <c r="AA18" s="43">
        <v>0</v>
      </c>
      <c r="AB18" s="43"/>
      <c r="AC18" s="43">
        <v>0</v>
      </c>
    </row>
    <row r="19" spans="1:29" s="48" customFormat="1" ht="15" customHeight="1">
      <c r="A19" s="5" t="s">
        <v>28</v>
      </c>
      <c r="B19" s="6" t="s">
        <v>29</v>
      </c>
      <c r="C19" s="7" t="s">
        <v>30</v>
      </c>
      <c r="D19" s="7" t="s">
        <v>31</v>
      </c>
      <c r="E19" s="5" t="s">
        <v>118</v>
      </c>
      <c r="F19" s="5" t="s">
        <v>119</v>
      </c>
      <c r="G19" s="5" t="s">
        <v>34</v>
      </c>
      <c r="H19" s="11" t="s">
        <v>120</v>
      </c>
      <c r="I19" s="11" t="e">
        <f>VLOOKUP(H19,合同高级查询数据!$A$2:$A$51,1,FALSE)</f>
        <v>#N/A</v>
      </c>
      <c r="J19" s="14" t="s">
        <v>36</v>
      </c>
      <c r="K19" s="5" t="s">
        <v>37</v>
      </c>
      <c r="L19" s="11" t="s">
        <v>121</v>
      </c>
      <c r="M19" s="5"/>
      <c r="N19" s="19">
        <v>42705</v>
      </c>
      <c r="O19" s="5"/>
      <c r="P19" s="20">
        <v>8500</v>
      </c>
      <c r="Q19" s="26"/>
      <c r="R19" s="27">
        <f t="shared" si="1"/>
        <v>0</v>
      </c>
      <c r="S19" s="28">
        <v>202306</v>
      </c>
      <c r="T19" s="29" t="s">
        <v>122</v>
      </c>
      <c r="U19" s="29"/>
      <c r="V19" s="101">
        <v>0</v>
      </c>
      <c r="W19" s="35"/>
      <c r="X19" s="36">
        <v>44348</v>
      </c>
      <c r="Y19" s="36">
        <v>44712</v>
      </c>
      <c r="Z19" s="42" t="s">
        <v>123</v>
      </c>
      <c r="AA19" s="43">
        <v>0</v>
      </c>
      <c r="AB19" s="43"/>
      <c r="AC19" s="43">
        <v>0</v>
      </c>
    </row>
    <row r="20" spans="1:29" s="2" customFormat="1" ht="15" customHeight="1">
      <c r="A20" s="5" t="s">
        <v>28</v>
      </c>
      <c r="B20" s="6" t="s">
        <v>29</v>
      </c>
      <c r="C20" s="7" t="s">
        <v>30</v>
      </c>
      <c r="D20" s="7" t="s">
        <v>31</v>
      </c>
      <c r="E20" s="5" t="s">
        <v>124</v>
      </c>
      <c r="F20" s="5" t="s">
        <v>125</v>
      </c>
      <c r="G20" s="5" t="s">
        <v>34</v>
      </c>
      <c r="H20" s="11" t="s">
        <v>126</v>
      </c>
      <c r="I20" s="11" t="e">
        <f>VLOOKUP(H20,合同高级查询数据!$A$2:$A$51,1,FALSE)</f>
        <v>#N/A</v>
      </c>
      <c r="J20" s="14" t="s">
        <v>36</v>
      </c>
      <c r="K20" s="5" t="s">
        <v>127</v>
      </c>
      <c r="L20" s="11" t="s">
        <v>128</v>
      </c>
      <c r="M20" s="5"/>
      <c r="N20" s="19">
        <v>44774</v>
      </c>
      <c r="O20" s="5"/>
      <c r="P20" s="20">
        <v>4800</v>
      </c>
      <c r="Q20" s="26"/>
      <c r="R20" s="27">
        <f t="shared" si="1"/>
        <v>0</v>
      </c>
      <c r="S20" s="28">
        <v>202306</v>
      </c>
      <c r="T20" s="29" t="s">
        <v>103</v>
      </c>
      <c r="U20" s="29"/>
      <c r="V20" s="101">
        <v>0</v>
      </c>
      <c r="W20" s="35"/>
      <c r="X20" s="36">
        <v>44774</v>
      </c>
      <c r="Y20" s="36">
        <v>45138</v>
      </c>
      <c r="Z20" s="42" t="s">
        <v>129</v>
      </c>
      <c r="AA20" s="43">
        <v>0</v>
      </c>
      <c r="AB20" s="43"/>
      <c r="AC20" s="43">
        <v>0</v>
      </c>
    </row>
    <row r="21" spans="1:29" s="2" customFormat="1" ht="15" customHeight="1">
      <c r="A21" s="5" t="s">
        <v>28</v>
      </c>
      <c r="B21" s="6" t="s">
        <v>29</v>
      </c>
      <c r="C21" s="7" t="s">
        <v>30</v>
      </c>
      <c r="D21" s="7" t="s">
        <v>31</v>
      </c>
      <c r="E21" s="5" t="s">
        <v>130</v>
      </c>
      <c r="F21" s="5" t="s">
        <v>131</v>
      </c>
      <c r="G21" s="5" t="s">
        <v>34</v>
      </c>
      <c r="H21" s="11" t="s">
        <v>132</v>
      </c>
      <c r="I21" s="11" t="e">
        <f>VLOOKUP(H21,合同高级查询数据!$A$2:$A$51,1,FALSE)</f>
        <v>#N/A</v>
      </c>
      <c r="J21" s="14" t="s">
        <v>36</v>
      </c>
      <c r="K21" s="5"/>
      <c r="L21" s="11" t="s">
        <v>133</v>
      </c>
      <c r="M21" s="5"/>
      <c r="N21" s="19">
        <v>44409</v>
      </c>
      <c r="O21" s="5"/>
      <c r="P21" s="20">
        <v>6400</v>
      </c>
      <c r="Q21" s="26"/>
      <c r="R21" s="27">
        <f t="shared" si="1"/>
        <v>0</v>
      </c>
      <c r="S21" s="28">
        <v>202306</v>
      </c>
      <c r="T21" s="29" t="s">
        <v>134</v>
      </c>
      <c r="U21" s="29"/>
      <c r="V21" s="101">
        <v>0</v>
      </c>
      <c r="W21" s="35"/>
      <c r="X21" s="36">
        <v>44409</v>
      </c>
      <c r="Y21" s="36">
        <v>44773</v>
      </c>
      <c r="Z21" s="42" t="s">
        <v>135</v>
      </c>
      <c r="AA21" s="43">
        <v>0</v>
      </c>
      <c r="AB21" s="43"/>
      <c r="AC21" s="43">
        <v>0</v>
      </c>
    </row>
    <row r="22" spans="1:29" s="2" customFormat="1" ht="15" customHeight="1">
      <c r="A22" s="5" t="s">
        <v>28</v>
      </c>
      <c r="B22" s="6" t="s">
        <v>29</v>
      </c>
      <c r="C22" s="7" t="s">
        <v>30</v>
      </c>
      <c r="D22" s="7" t="s">
        <v>31</v>
      </c>
      <c r="E22" s="5" t="s">
        <v>130</v>
      </c>
      <c r="F22" s="5" t="s">
        <v>131</v>
      </c>
      <c r="G22" s="5" t="s">
        <v>34</v>
      </c>
      <c r="H22" s="11" t="s">
        <v>136</v>
      </c>
      <c r="I22" s="11" t="e">
        <f>VLOOKUP(H22,合同高级查询数据!$A$2:$A$51,1,FALSE)</f>
        <v>#N/A</v>
      </c>
      <c r="J22" s="14" t="s">
        <v>36</v>
      </c>
      <c r="K22" s="5"/>
      <c r="L22" s="11" t="s">
        <v>137</v>
      </c>
      <c r="M22" s="5"/>
      <c r="N22" s="19">
        <v>44743</v>
      </c>
      <c r="O22" s="5"/>
      <c r="P22" s="91" t="s">
        <v>138</v>
      </c>
      <c r="Q22" s="26"/>
      <c r="R22" s="27">
        <f>ROUND(0.0388*Q22,2)</f>
        <v>0</v>
      </c>
      <c r="S22" s="28">
        <v>202306</v>
      </c>
      <c r="T22" s="29" t="s">
        <v>139</v>
      </c>
      <c r="U22" s="29"/>
      <c r="V22" s="101">
        <v>0</v>
      </c>
      <c r="W22" s="35"/>
      <c r="X22" s="36">
        <v>44743</v>
      </c>
      <c r="Y22" s="36">
        <v>45107</v>
      </c>
      <c r="Z22" s="42" t="s">
        <v>140</v>
      </c>
      <c r="AA22" s="43">
        <v>0</v>
      </c>
      <c r="AB22" s="43"/>
      <c r="AC22" s="43">
        <v>0</v>
      </c>
    </row>
    <row r="23" spans="1:29" s="2" customFormat="1" ht="15" customHeight="1">
      <c r="A23" s="5" t="s">
        <v>28</v>
      </c>
      <c r="B23" s="6" t="s">
        <v>29</v>
      </c>
      <c r="C23" s="7" t="s">
        <v>30</v>
      </c>
      <c r="D23" s="7" t="s">
        <v>31</v>
      </c>
      <c r="E23" s="5" t="s">
        <v>130</v>
      </c>
      <c r="F23" s="5" t="s">
        <v>131</v>
      </c>
      <c r="G23" s="5" t="s">
        <v>34</v>
      </c>
      <c r="H23" s="11" t="s">
        <v>136</v>
      </c>
      <c r="I23" s="11" t="e">
        <f>VLOOKUP(H23,合同高级查询数据!$A$2:$A$51,1,FALSE)</f>
        <v>#N/A</v>
      </c>
      <c r="J23" s="14" t="s">
        <v>36</v>
      </c>
      <c r="K23" s="5"/>
      <c r="L23" s="11" t="s">
        <v>141</v>
      </c>
      <c r="M23" s="5"/>
      <c r="N23" s="19">
        <v>44774</v>
      </c>
      <c r="O23" s="5"/>
      <c r="P23" s="91" t="s">
        <v>138</v>
      </c>
      <c r="Q23" s="26">
        <v>57206907.18</v>
      </c>
      <c r="R23" s="27">
        <f>ROUND(0.0388*Q23,2)</f>
        <v>2219628</v>
      </c>
      <c r="S23" s="28">
        <v>202306</v>
      </c>
      <c r="T23" s="29" t="s">
        <v>142</v>
      </c>
      <c r="U23" s="29"/>
      <c r="V23" s="101">
        <v>57206907.18</v>
      </c>
      <c r="W23" s="35"/>
      <c r="X23" s="36">
        <v>44743</v>
      </c>
      <c r="Y23" s="36">
        <v>45107</v>
      </c>
      <c r="Z23" s="42" t="s">
        <v>143</v>
      </c>
      <c r="AA23" s="43">
        <v>0</v>
      </c>
      <c r="AB23" s="43"/>
      <c r="AC23" s="43">
        <v>0</v>
      </c>
    </row>
    <row r="24" spans="1:29" s="2" customFormat="1" ht="15" customHeight="1">
      <c r="A24" s="5" t="s">
        <v>28</v>
      </c>
      <c r="B24" s="6" t="s">
        <v>29</v>
      </c>
      <c r="C24" s="7" t="s">
        <v>30</v>
      </c>
      <c r="D24" s="7" t="s">
        <v>31</v>
      </c>
      <c r="E24" s="5" t="s">
        <v>144</v>
      </c>
      <c r="F24" s="5" t="s">
        <v>145</v>
      </c>
      <c r="G24" s="5" t="s">
        <v>34</v>
      </c>
      <c r="H24" s="11" t="s">
        <v>146</v>
      </c>
      <c r="I24" s="11" t="e">
        <f>VLOOKUP(H24,合同高级查询数据!$A$2:$A$51,1,FALSE)</f>
        <v>#N/A</v>
      </c>
      <c r="J24" s="14" t="s">
        <v>36</v>
      </c>
      <c r="K24" s="5" t="s">
        <v>147</v>
      </c>
      <c r="L24" s="11" t="s">
        <v>147</v>
      </c>
      <c r="M24" s="5"/>
      <c r="N24" s="19">
        <v>44621</v>
      </c>
      <c r="O24" s="5"/>
      <c r="P24" s="20">
        <v>4800</v>
      </c>
      <c r="Q24" s="26"/>
      <c r="R24" s="27">
        <f t="shared" ref="R24:R35" si="2">ROUND(P24*Q24,2)</f>
        <v>0</v>
      </c>
      <c r="S24" s="28">
        <v>202306</v>
      </c>
      <c r="T24" s="29" t="s">
        <v>148</v>
      </c>
      <c r="U24" s="29"/>
      <c r="V24" s="101">
        <v>0</v>
      </c>
      <c r="W24" s="35"/>
      <c r="X24" s="36">
        <v>44927</v>
      </c>
      <c r="Y24" s="36">
        <v>45291</v>
      </c>
      <c r="Z24" s="42" t="s">
        <v>149</v>
      </c>
      <c r="AA24" s="43">
        <v>0</v>
      </c>
      <c r="AB24" s="43"/>
      <c r="AC24" s="43">
        <v>0</v>
      </c>
    </row>
    <row r="25" spans="1:29" s="3" customFormat="1" ht="15" customHeight="1">
      <c r="A25" s="65" t="s">
        <v>28</v>
      </c>
      <c r="B25" s="85" t="s">
        <v>29</v>
      </c>
      <c r="C25" s="86" t="s">
        <v>30</v>
      </c>
      <c r="D25" s="86" t="s">
        <v>31</v>
      </c>
      <c r="E25" s="65" t="s">
        <v>144</v>
      </c>
      <c r="F25" s="65" t="s">
        <v>145</v>
      </c>
      <c r="G25" s="65" t="s">
        <v>34</v>
      </c>
      <c r="H25" s="53" t="s">
        <v>150</v>
      </c>
      <c r="I25" s="53" t="e">
        <f>VLOOKUP(H25,合同高级查询数据!$A$2:$A$51,1,FALSE)</f>
        <v>#N/A</v>
      </c>
      <c r="J25" s="88" t="s">
        <v>36</v>
      </c>
      <c r="K25" s="65" t="s">
        <v>151</v>
      </c>
      <c r="L25" s="53" t="s">
        <v>151</v>
      </c>
      <c r="M25" s="65"/>
      <c r="N25" s="89">
        <v>44682</v>
      </c>
      <c r="O25" s="65"/>
      <c r="P25" s="90">
        <v>5100</v>
      </c>
      <c r="Q25" s="98"/>
      <c r="R25" s="58">
        <f t="shared" si="2"/>
        <v>0</v>
      </c>
      <c r="S25" s="59">
        <v>202306</v>
      </c>
      <c r="T25" s="97" t="s">
        <v>152</v>
      </c>
      <c r="U25" s="97"/>
      <c r="V25" s="102">
        <v>0</v>
      </c>
      <c r="W25" s="103"/>
      <c r="X25" s="64"/>
      <c r="Y25" s="64"/>
      <c r="Z25" s="107" t="s">
        <v>153</v>
      </c>
      <c r="AA25" s="108">
        <v>0</v>
      </c>
      <c r="AB25" s="108"/>
      <c r="AC25" s="108">
        <v>0</v>
      </c>
    </row>
    <row r="26" spans="1:29" s="3" customFormat="1" ht="15" customHeight="1">
      <c r="A26" s="65" t="s">
        <v>28</v>
      </c>
      <c r="B26" s="85" t="s">
        <v>29</v>
      </c>
      <c r="C26" s="86" t="s">
        <v>30</v>
      </c>
      <c r="D26" s="86" t="s">
        <v>31</v>
      </c>
      <c r="E26" s="65" t="s">
        <v>144</v>
      </c>
      <c r="F26" s="65" t="s">
        <v>145</v>
      </c>
      <c r="G26" s="65" t="s">
        <v>34</v>
      </c>
      <c r="H26" s="53" t="s">
        <v>154</v>
      </c>
      <c r="I26" s="53" t="e">
        <f>VLOOKUP(H26,合同高级查询数据!$A$2:$A$51,1,FALSE)</f>
        <v>#N/A</v>
      </c>
      <c r="J26" s="88" t="s">
        <v>36</v>
      </c>
      <c r="K26" s="65" t="s">
        <v>155</v>
      </c>
      <c r="L26" s="53" t="s">
        <v>156</v>
      </c>
      <c r="M26" s="65"/>
      <c r="N26" s="89">
        <v>44774</v>
      </c>
      <c r="O26" s="65"/>
      <c r="P26" s="90">
        <v>5100</v>
      </c>
      <c r="Q26" s="98"/>
      <c r="R26" s="58">
        <f t="shared" si="2"/>
        <v>0</v>
      </c>
      <c r="S26" s="59">
        <v>202306</v>
      </c>
      <c r="T26" s="97" t="s">
        <v>157</v>
      </c>
      <c r="U26" s="97"/>
      <c r="V26" s="102">
        <v>0</v>
      </c>
      <c r="W26" s="103"/>
      <c r="X26" s="64"/>
      <c r="Y26" s="64"/>
      <c r="Z26" s="107" t="s">
        <v>158</v>
      </c>
      <c r="AA26" s="108">
        <v>0</v>
      </c>
      <c r="AB26" s="108"/>
      <c r="AC26" s="108">
        <v>0</v>
      </c>
    </row>
    <row r="27" spans="1:29" s="3" customFormat="1" ht="15" customHeight="1">
      <c r="A27" s="65" t="s">
        <v>28</v>
      </c>
      <c r="B27" s="85" t="s">
        <v>29</v>
      </c>
      <c r="C27" s="86" t="s">
        <v>30</v>
      </c>
      <c r="D27" s="86" t="s">
        <v>31</v>
      </c>
      <c r="E27" s="65" t="s">
        <v>144</v>
      </c>
      <c r="F27" s="65" t="s">
        <v>145</v>
      </c>
      <c r="G27" s="65" t="s">
        <v>34</v>
      </c>
      <c r="H27" s="53" t="s">
        <v>150</v>
      </c>
      <c r="I27" s="53" t="e">
        <f>VLOOKUP(H27,合同高级查询数据!$A$2:$A$51,1,FALSE)</f>
        <v>#N/A</v>
      </c>
      <c r="J27" s="88" t="s">
        <v>36</v>
      </c>
      <c r="K27" s="65" t="s">
        <v>159</v>
      </c>
      <c r="L27" s="53" t="s">
        <v>159</v>
      </c>
      <c r="M27" s="65"/>
      <c r="N27" s="89">
        <v>44682</v>
      </c>
      <c r="O27" s="65"/>
      <c r="P27" s="90">
        <v>5500</v>
      </c>
      <c r="Q27" s="98"/>
      <c r="R27" s="58">
        <f t="shared" si="2"/>
        <v>0</v>
      </c>
      <c r="S27" s="59">
        <v>202306</v>
      </c>
      <c r="T27" s="97" t="s">
        <v>160</v>
      </c>
      <c r="U27" s="97"/>
      <c r="V27" s="102">
        <v>0</v>
      </c>
      <c r="W27" s="103"/>
      <c r="X27" s="64"/>
      <c r="Y27" s="64"/>
      <c r="Z27" s="107" t="s">
        <v>161</v>
      </c>
      <c r="AA27" s="108">
        <v>0</v>
      </c>
      <c r="AB27" s="108"/>
      <c r="AC27" s="108">
        <v>0</v>
      </c>
    </row>
    <row r="28" spans="1:29" s="3" customFormat="1" ht="15" customHeight="1">
      <c r="A28" s="65" t="s">
        <v>28</v>
      </c>
      <c r="B28" s="85" t="s">
        <v>29</v>
      </c>
      <c r="C28" s="86" t="s">
        <v>30</v>
      </c>
      <c r="D28" s="86" t="s">
        <v>31</v>
      </c>
      <c r="E28" s="65" t="s">
        <v>144</v>
      </c>
      <c r="F28" s="65" t="s">
        <v>145</v>
      </c>
      <c r="G28" s="65" t="s">
        <v>34</v>
      </c>
      <c r="H28" s="53" t="s">
        <v>150</v>
      </c>
      <c r="I28" s="53" t="e">
        <f>VLOOKUP(H28,合同高级查询数据!$A$2:$A$51,1,FALSE)</f>
        <v>#N/A</v>
      </c>
      <c r="J28" s="88" t="s">
        <v>36</v>
      </c>
      <c r="K28" s="65" t="s">
        <v>162</v>
      </c>
      <c r="L28" s="53" t="s">
        <v>162</v>
      </c>
      <c r="M28" s="65"/>
      <c r="N28" s="89">
        <v>44713</v>
      </c>
      <c r="O28" s="65"/>
      <c r="P28" s="90">
        <v>5450</v>
      </c>
      <c r="Q28" s="98"/>
      <c r="R28" s="58">
        <f t="shared" si="2"/>
        <v>0</v>
      </c>
      <c r="S28" s="59">
        <v>202306</v>
      </c>
      <c r="T28" s="97" t="s">
        <v>163</v>
      </c>
      <c r="U28" s="97"/>
      <c r="V28" s="102">
        <v>0</v>
      </c>
      <c r="W28" s="103"/>
      <c r="X28" s="64"/>
      <c r="Y28" s="64"/>
      <c r="Z28" s="107" t="s">
        <v>164</v>
      </c>
      <c r="AA28" s="108">
        <v>0</v>
      </c>
      <c r="AB28" s="108"/>
      <c r="AC28" s="108">
        <v>0</v>
      </c>
    </row>
    <row r="29" spans="1:29" s="3" customFormat="1" ht="15" customHeight="1">
      <c r="A29" s="65" t="s">
        <v>28</v>
      </c>
      <c r="B29" s="85" t="s">
        <v>29</v>
      </c>
      <c r="C29" s="86" t="s">
        <v>30</v>
      </c>
      <c r="D29" s="86" t="s">
        <v>31</v>
      </c>
      <c r="E29" s="65" t="s">
        <v>144</v>
      </c>
      <c r="F29" s="65" t="s">
        <v>145</v>
      </c>
      <c r="G29" s="65" t="s">
        <v>34</v>
      </c>
      <c r="H29" s="53" t="s">
        <v>154</v>
      </c>
      <c r="I29" s="53" t="e">
        <f>VLOOKUP(H29,合同高级查询数据!$A$2:$A$51,1,FALSE)</f>
        <v>#N/A</v>
      </c>
      <c r="J29" s="88" t="s">
        <v>36</v>
      </c>
      <c r="K29" s="65" t="s">
        <v>165</v>
      </c>
      <c r="L29" s="53" t="s">
        <v>166</v>
      </c>
      <c r="M29" s="65"/>
      <c r="N29" s="89">
        <v>44774</v>
      </c>
      <c r="O29" s="65"/>
      <c r="P29" s="90">
        <v>5450</v>
      </c>
      <c r="Q29" s="98"/>
      <c r="R29" s="58">
        <f t="shared" si="2"/>
        <v>0</v>
      </c>
      <c r="S29" s="59">
        <v>202306</v>
      </c>
      <c r="T29" s="97" t="s">
        <v>167</v>
      </c>
      <c r="U29" s="97"/>
      <c r="V29" s="102">
        <v>0</v>
      </c>
      <c r="W29" s="103"/>
      <c r="X29" s="64"/>
      <c r="Y29" s="64"/>
      <c r="Z29" s="107" t="s">
        <v>168</v>
      </c>
      <c r="AA29" s="108">
        <v>0</v>
      </c>
      <c r="AB29" s="108"/>
      <c r="AC29" s="108">
        <v>0</v>
      </c>
    </row>
    <row r="30" spans="1:29" s="2" customFormat="1" ht="15" customHeight="1">
      <c r="A30" s="5" t="s">
        <v>28</v>
      </c>
      <c r="B30" s="6" t="s">
        <v>29</v>
      </c>
      <c r="C30" s="7" t="s">
        <v>30</v>
      </c>
      <c r="D30" s="7" t="s">
        <v>31</v>
      </c>
      <c r="E30" s="5" t="s">
        <v>169</v>
      </c>
      <c r="F30" s="5" t="s">
        <v>170</v>
      </c>
      <c r="G30" s="5" t="s">
        <v>34</v>
      </c>
      <c r="H30" s="11" t="s">
        <v>171</v>
      </c>
      <c r="I30" s="11" t="e">
        <f>VLOOKUP(H30,合同高级查询数据!$A$2:$A$51,1,FALSE)</f>
        <v>#N/A</v>
      </c>
      <c r="J30" s="14" t="s">
        <v>36</v>
      </c>
      <c r="K30" s="5" t="s">
        <v>172</v>
      </c>
      <c r="L30" s="11" t="s">
        <v>172</v>
      </c>
      <c r="M30" s="5"/>
      <c r="N30" s="19">
        <v>44682</v>
      </c>
      <c r="O30" s="5"/>
      <c r="P30" s="20">
        <v>5350</v>
      </c>
      <c r="Q30" s="26">
        <v>76.415999999999997</v>
      </c>
      <c r="R30" s="27">
        <f t="shared" si="2"/>
        <v>408825.59999999998</v>
      </c>
      <c r="S30" s="28">
        <v>202306</v>
      </c>
      <c r="T30" s="29" t="s">
        <v>173</v>
      </c>
      <c r="U30" s="29"/>
      <c r="V30" s="101">
        <v>76.415771484000004</v>
      </c>
      <c r="W30" s="35"/>
      <c r="X30" s="36">
        <v>44927</v>
      </c>
      <c r="Y30" s="36">
        <v>45291</v>
      </c>
      <c r="Z30" s="42" t="s">
        <v>174</v>
      </c>
      <c r="AA30" s="43">
        <v>0</v>
      </c>
      <c r="AB30" s="43"/>
      <c r="AC30" s="43">
        <v>0</v>
      </c>
    </row>
    <row r="31" spans="1:29" s="2" customFormat="1" ht="15" customHeight="1">
      <c r="A31" s="5" t="s">
        <v>28</v>
      </c>
      <c r="B31" s="6" t="s">
        <v>29</v>
      </c>
      <c r="C31" s="7" t="s">
        <v>30</v>
      </c>
      <c r="D31" s="7" t="s">
        <v>31</v>
      </c>
      <c r="E31" s="5" t="s">
        <v>169</v>
      </c>
      <c r="F31" s="5" t="s">
        <v>170</v>
      </c>
      <c r="G31" s="5" t="s">
        <v>34</v>
      </c>
      <c r="H31" s="11" t="s">
        <v>175</v>
      </c>
      <c r="I31" s="11" t="e">
        <f>VLOOKUP(H31,合同高级查询数据!$A$2:$A$51,1,FALSE)</f>
        <v>#N/A</v>
      </c>
      <c r="J31" s="14" t="s">
        <v>36</v>
      </c>
      <c r="K31" s="5" t="s">
        <v>176</v>
      </c>
      <c r="L31" s="11" t="s">
        <v>177</v>
      </c>
      <c r="M31" s="5"/>
      <c r="N31" s="19">
        <v>44409</v>
      </c>
      <c r="O31" s="5"/>
      <c r="P31" s="20">
        <v>5550</v>
      </c>
      <c r="Q31" s="26"/>
      <c r="R31" s="27">
        <f t="shared" si="2"/>
        <v>0</v>
      </c>
      <c r="S31" s="28">
        <v>202306</v>
      </c>
      <c r="T31" s="29" t="s">
        <v>178</v>
      </c>
      <c r="U31" s="29"/>
      <c r="V31" s="101">
        <v>0</v>
      </c>
      <c r="W31" s="35"/>
      <c r="X31" s="36">
        <v>44743</v>
      </c>
      <c r="Y31" s="36">
        <v>45107</v>
      </c>
      <c r="Z31" s="42" t="s">
        <v>179</v>
      </c>
      <c r="AA31" s="43" t="s">
        <v>180</v>
      </c>
      <c r="AB31" s="43"/>
      <c r="AC31" s="43">
        <v>0</v>
      </c>
    </row>
    <row r="32" spans="1:29" s="2" customFormat="1" ht="15" customHeight="1">
      <c r="A32" s="5" t="s">
        <v>28</v>
      </c>
      <c r="B32" s="6" t="s">
        <v>29</v>
      </c>
      <c r="C32" s="7" t="s">
        <v>30</v>
      </c>
      <c r="D32" s="7" t="s">
        <v>31</v>
      </c>
      <c r="E32" s="5" t="s">
        <v>169</v>
      </c>
      <c r="F32" s="5" t="s">
        <v>170</v>
      </c>
      <c r="G32" s="5" t="s">
        <v>34</v>
      </c>
      <c r="H32" s="11" t="s">
        <v>175</v>
      </c>
      <c r="I32" s="11" t="e">
        <f>VLOOKUP(H32,合同高级查询数据!$A$2:$A$51,1,FALSE)</f>
        <v>#N/A</v>
      </c>
      <c r="J32" s="14" t="s">
        <v>36</v>
      </c>
      <c r="K32" s="5" t="s">
        <v>176</v>
      </c>
      <c r="L32" s="11" t="s">
        <v>181</v>
      </c>
      <c r="M32" s="5"/>
      <c r="N32" s="19">
        <v>44470</v>
      </c>
      <c r="O32" s="5"/>
      <c r="P32" s="20">
        <v>5300</v>
      </c>
      <c r="Q32" s="26"/>
      <c r="R32" s="27">
        <f t="shared" si="2"/>
        <v>0</v>
      </c>
      <c r="S32" s="28">
        <v>202306</v>
      </c>
      <c r="T32" s="29" t="s">
        <v>182</v>
      </c>
      <c r="U32" s="29"/>
      <c r="V32" s="101">
        <v>0</v>
      </c>
      <c r="W32" s="35"/>
      <c r="X32" s="36">
        <v>44743</v>
      </c>
      <c r="Y32" s="36">
        <v>45107</v>
      </c>
      <c r="Z32" s="42" t="s">
        <v>183</v>
      </c>
      <c r="AA32" s="43" t="s">
        <v>180</v>
      </c>
      <c r="AB32" s="43"/>
      <c r="AC32" s="43">
        <v>0</v>
      </c>
    </row>
    <row r="33" spans="1:29" s="2" customFormat="1" ht="15" customHeight="1">
      <c r="A33" s="5" t="s">
        <v>28</v>
      </c>
      <c r="B33" s="6" t="s">
        <v>29</v>
      </c>
      <c r="C33" s="7" t="s">
        <v>30</v>
      </c>
      <c r="D33" s="7" t="s">
        <v>31</v>
      </c>
      <c r="E33" s="5" t="s">
        <v>184</v>
      </c>
      <c r="F33" s="5" t="s">
        <v>185</v>
      </c>
      <c r="G33" s="5" t="s">
        <v>34</v>
      </c>
      <c r="H33" s="11" t="s">
        <v>186</v>
      </c>
      <c r="I33" s="11" t="str">
        <f>VLOOKUP(H33,合同高级查询数据!$A$2:$A$51,1,FALSE)</f>
        <v>182315IDC00214</v>
      </c>
      <c r="J33" s="14" t="s">
        <v>36</v>
      </c>
      <c r="K33" s="5" t="s">
        <v>56</v>
      </c>
      <c r="L33" s="11" t="s">
        <v>187</v>
      </c>
      <c r="M33" s="5"/>
      <c r="N33" s="19">
        <v>44835</v>
      </c>
      <c r="O33" s="5"/>
      <c r="P33" s="20">
        <v>4500</v>
      </c>
      <c r="Q33" s="26">
        <v>232.08500000000001</v>
      </c>
      <c r="R33" s="27">
        <f t="shared" si="2"/>
        <v>1044382.5</v>
      </c>
      <c r="S33" s="28">
        <v>202306</v>
      </c>
      <c r="T33" s="29" t="s">
        <v>188</v>
      </c>
      <c r="U33" s="29"/>
      <c r="V33" s="101">
        <v>232.08460998499999</v>
      </c>
      <c r="W33" s="35"/>
      <c r="X33" s="36">
        <v>44896</v>
      </c>
      <c r="Y33" s="36">
        <v>45260</v>
      </c>
      <c r="Z33" s="42" t="s">
        <v>189</v>
      </c>
      <c r="AA33" s="43">
        <v>0</v>
      </c>
      <c r="AB33" s="43"/>
      <c r="AC33" s="43">
        <v>0</v>
      </c>
    </row>
    <row r="34" spans="1:29" s="2" customFormat="1" ht="15" customHeight="1">
      <c r="A34" s="5" t="s">
        <v>28</v>
      </c>
      <c r="B34" s="6" t="s">
        <v>29</v>
      </c>
      <c r="C34" s="7" t="s">
        <v>30</v>
      </c>
      <c r="D34" s="7" t="s">
        <v>31</v>
      </c>
      <c r="E34" s="5" t="s">
        <v>184</v>
      </c>
      <c r="F34" s="5" t="s">
        <v>185</v>
      </c>
      <c r="G34" s="5" t="s">
        <v>34</v>
      </c>
      <c r="H34" s="11" t="s">
        <v>186</v>
      </c>
      <c r="I34" s="11" t="str">
        <f>VLOOKUP(H34,合同高级查询数据!$A$2:$A$51,1,FALSE)</f>
        <v>182315IDC00214</v>
      </c>
      <c r="J34" s="14" t="s">
        <v>36</v>
      </c>
      <c r="K34" s="5" t="s">
        <v>56</v>
      </c>
      <c r="L34" s="11" t="s">
        <v>190</v>
      </c>
      <c r="M34" s="5"/>
      <c r="N34" s="19">
        <v>44986</v>
      </c>
      <c r="O34" s="5"/>
      <c r="P34" s="20">
        <v>4000</v>
      </c>
      <c r="Q34" s="26">
        <v>7.17</v>
      </c>
      <c r="R34" s="27">
        <f t="shared" si="2"/>
        <v>28680</v>
      </c>
      <c r="S34" s="28">
        <v>202306</v>
      </c>
      <c r="T34" s="29" t="s">
        <v>191</v>
      </c>
      <c r="U34" s="29"/>
      <c r="V34" s="101">
        <v>7.1697306630000002</v>
      </c>
      <c r="W34" s="35"/>
      <c r="X34" s="36">
        <v>44896</v>
      </c>
      <c r="Y34" s="36">
        <v>45260</v>
      </c>
      <c r="Z34" s="42" t="s">
        <v>192</v>
      </c>
      <c r="AA34" s="43">
        <v>0</v>
      </c>
      <c r="AB34" s="43"/>
      <c r="AC34" s="43">
        <v>0</v>
      </c>
    </row>
    <row r="35" spans="1:29" s="3" customFormat="1" ht="15" customHeight="1">
      <c r="A35" s="65" t="s">
        <v>28</v>
      </c>
      <c r="B35" s="85" t="s">
        <v>29</v>
      </c>
      <c r="C35" s="86" t="s">
        <v>30</v>
      </c>
      <c r="D35" s="86" t="s">
        <v>31</v>
      </c>
      <c r="E35" s="65" t="s">
        <v>193</v>
      </c>
      <c r="F35" s="65" t="s">
        <v>194</v>
      </c>
      <c r="G35" s="65" t="s">
        <v>34</v>
      </c>
      <c r="H35" s="53" t="s">
        <v>195</v>
      </c>
      <c r="I35" s="53" t="e">
        <f>VLOOKUP(H35,合同高级查询数据!$A$2:$A$51,1,FALSE)</f>
        <v>#N/A</v>
      </c>
      <c r="J35" s="88" t="s">
        <v>36</v>
      </c>
      <c r="K35" s="65" t="s">
        <v>196</v>
      </c>
      <c r="L35" s="53" t="s">
        <v>196</v>
      </c>
      <c r="M35" s="65"/>
      <c r="N35" s="89">
        <v>44562</v>
      </c>
      <c r="O35" s="65"/>
      <c r="P35" s="90">
        <v>8400</v>
      </c>
      <c r="Q35" s="98"/>
      <c r="R35" s="58">
        <f t="shared" si="2"/>
        <v>0</v>
      </c>
      <c r="S35" s="59">
        <v>202306</v>
      </c>
      <c r="T35" s="97" t="s">
        <v>197</v>
      </c>
      <c r="U35" s="97"/>
      <c r="V35" s="102">
        <v>0</v>
      </c>
      <c r="W35" s="103"/>
      <c r="X35" s="64"/>
      <c r="Y35" s="64"/>
      <c r="Z35" s="107" t="s">
        <v>198</v>
      </c>
      <c r="AA35" s="108">
        <v>0</v>
      </c>
      <c r="AB35" s="108"/>
      <c r="AC35" s="108">
        <v>0</v>
      </c>
    </row>
    <row r="36" spans="1:29" s="2" customFormat="1" ht="15" customHeight="1">
      <c r="A36" s="5" t="s">
        <v>28</v>
      </c>
      <c r="B36" s="6" t="s">
        <v>29</v>
      </c>
      <c r="C36" s="7" t="s">
        <v>30</v>
      </c>
      <c r="D36" s="7" t="s">
        <v>31</v>
      </c>
      <c r="E36" s="5" t="s">
        <v>199</v>
      </c>
      <c r="F36" s="5" t="s">
        <v>200</v>
      </c>
      <c r="G36" s="5" t="s">
        <v>34</v>
      </c>
      <c r="H36" s="11" t="s">
        <v>201</v>
      </c>
      <c r="I36" s="11" t="e">
        <f>VLOOKUP(H36,合同高级查询数据!$A$2:$A$51,1,FALSE)</f>
        <v>#N/A</v>
      </c>
      <c r="J36" s="14" t="s">
        <v>36</v>
      </c>
      <c r="K36" s="5" t="s">
        <v>202</v>
      </c>
      <c r="L36" s="11" t="s">
        <v>203</v>
      </c>
      <c r="M36" s="5"/>
      <c r="N36" s="19">
        <v>44470</v>
      </c>
      <c r="O36" s="5"/>
      <c r="P36" s="20" t="s">
        <v>204</v>
      </c>
      <c r="Q36" s="26"/>
      <c r="R36" s="27">
        <f>ROUND(6200*Q36,2)</f>
        <v>0</v>
      </c>
      <c r="S36" s="28">
        <v>202306</v>
      </c>
      <c r="T36" s="29" t="s">
        <v>205</v>
      </c>
      <c r="U36" s="29"/>
      <c r="V36" s="101">
        <v>0</v>
      </c>
      <c r="W36" s="35"/>
      <c r="X36" s="36">
        <v>44470</v>
      </c>
      <c r="Y36" s="36">
        <v>44834</v>
      </c>
      <c r="Z36" s="42" t="s">
        <v>206</v>
      </c>
      <c r="AA36" s="43">
        <v>0</v>
      </c>
      <c r="AB36" s="43"/>
      <c r="AC36" s="43">
        <v>0</v>
      </c>
    </row>
    <row r="37" spans="1:29" s="3" customFormat="1" ht="15" customHeight="1">
      <c r="A37" s="65" t="s">
        <v>28</v>
      </c>
      <c r="B37" s="85" t="s">
        <v>29</v>
      </c>
      <c r="C37" s="86" t="s">
        <v>30</v>
      </c>
      <c r="D37" s="86" t="s">
        <v>31</v>
      </c>
      <c r="E37" s="65" t="s">
        <v>199</v>
      </c>
      <c r="F37" s="65" t="s">
        <v>200</v>
      </c>
      <c r="G37" s="65" t="s">
        <v>34</v>
      </c>
      <c r="H37" s="53" t="s">
        <v>207</v>
      </c>
      <c r="I37" s="53" t="e">
        <f>VLOOKUP(H37,合同高级查询数据!$A$2:$A$51,1,FALSE)</f>
        <v>#N/A</v>
      </c>
      <c r="J37" s="88" t="s">
        <v>36</v>
      </c>
      <c r="K37" s="65" t="s">
        <v>208</v>
      </c>
      <c r="L37" s="53" t="s">
        <v>209</v>
      </c>
      <c r="M37" s="65"/>
      <c r="N37" s="89">
        <v>44593</v>
      </c>
      <c r="O37" s="65"/>
      <c r="P37" s="90">
        <v>8200</v>
      </c>
      <c r="Q37" s="98"/>
      <c r="R37" s="58">
        <f t="shared" ref="R37:R48" si="3">ROUND(P37*Q37,2)</f>
        <v>0</v>
      </c>
      <c r="S37" s="59">
        <v>202306</v>
      </c>
      <c r="T37" s="97" t="s">
        <v>210</v>
      </c>
      <c r="U37" s="97"/>
      <c r="V37" s="102">
        <v>0</v>
      </c>
      <c r="W37" s="103"/>
      <c r="X37" s="64"/>
      <c r="Y37" s="64"/>
      <c r="Z37" s="107" t="s">
        <v>211</v>
      </c>
      <c r="AA37" s="108">
        <v>0</v>
      </c>
      <c r="AB37" s="108"/>
      <c r="AC37" s="108">
        <v>0</v>
      </c>
    </row>
    <row r="38" spans="1:29" s="3" customFormat="1" ht="15" customHeight="1">
      <c r="A38" s="65" t="s">
        <v>212</v>
      </c>
      <c r="B38" s="85" t="s">
        <v>213</v>
      </c>
      <c r="C38" s="86" t="s">
        <v>214</v>
      </c>
      <c r="D38" s="85" t="s">
        <v>215</v>
      </c>
      <c r="E38" s="65" t="s">
        <v>216</v>
      </c>
      <c r="F38" s="65" t="s">
        <v>217</v>
      </c>
      <c r="G38" s="65" t="s">
        <v>34</v>
      </c>
      <c r="H38" s="53" t="s">
        <v>218</v>
      </c>
      <c r="I38" s="53" t="e">
        <f>VLOOKUP(H38,合同高级查询数据!$A$2:$A$51,1,FALSE)</f>
        <v>#N/A</v>
      </c>
      <c r="J38" s="88" t="s">
        <v>75</v>
      </c>
      <c r="K38" s="65" t="s">
        <v>219</v>
      </c>
      <c r="L38" s="53" t="s">
        <v>220</v>
      </c>
      <c r="M38" s="65"/>
      <c r="N38" s="89" t="s">
        <v>221</v>
      </c>
      <c r="O38" s="65" t="s">
        <v>222</v>
      </c>
      <c r="P38" s="90">
        <v>175000</v>
      </c>
      <c r="Q38" s="98">
        <v>4.2</v>
      </c>
      <c r="R38" s="58">
        <f t="shared" si="3"/>
        <v>735000</v>
      </c>
      <c r="S38" s="59">
        <v>202306</v>
      </c>
      <c r="T38" s="97" t="s">
        <v>223</v>
      </c>
      <c r="U38" s="97"/>
      <c r="V38" s="104">
        <v>4.0024022879999999</v>
      </c>
      <c r="W38" s="103">
        <v>4.4000000000000004</v>
      </c>
      <c r="X38" s="64"/>
      <c r="Y38" s="64"/>
      <c r="Z38" s="107" t="s">
        <v>224</v>
      </c>
      <c r="AA38" s="108">
        <v>0.1</v>
      </c>
      <c r="AB38" s="108">
        <v>20</v>
      </c>
      <c r="AC38" s="108">
        <v>2</v>
      </c>
    </row>
    <row r="39" spans="1:29" s="3" customFormat="1" ht="15" customHeight="1">
      <c r="A39" s="65" t="s">
        <v>212</v>
      </c>
      <c r="B39" s="85" t="s">
        <v>213</v>
      </c>
      <c r="C39" s="86" t="s">
        <v>214</v>
      </c>
      <c r="D39" s="86" t="s">
        <v>215</v>
      </c>
      <c r="E39" s="65" t="s">
        <v>216</v>
      </c>
      <c r="F39" s="65" t="s">
        <v>217</v>
      </c>
      <c r="G39" s="65" t="s">
        <v>34</v>
      </c>
      <c r="H39" s="53" t="s">
        <v>225</v>
      </c>
      <c r="I39" s="53" t="e">
        <f>VLOOKUP(H39,合同高级查询数据!$A$2:$A$51,1,FALSE)</f>
        <v>#N/A</v>
      </c>
      <c r="J39" s="88" t="s">
        <v>36</v>
      </c>
      <c r="K39" s="65" t="s">
        <v>226</v>
      </c>
      <c r="L39" s="53" t="s">
        <v>227</v>
      </c>
      <c r="M39" s="65"/>
      <c r="N39" s="92" t="s">
        <v>228</v>
      </c>
      <c r="O39" s="93" t="s">
        <v>229</v>
      </c>
      <c r="P39" s="90">
        <v>9000</v>
      </c>
      <c r="Q39" s="98">
        <v>72</v>
      </c>
      <c r="R39" s="58">
        <f t="shared" si="3"/>
        <v>648000</v>
      </c>
      <c r="S39" s="59">
        <v>202306</v>
      </c>
      <c r="T39" s="97" t="s">
        <v>230</v>
      </c>
      <c r="U39" s="97"/>
      <c r="V39" s="104">
        <v>69.830884245999997</v>
      </c>
      <c r="W39" s="103"/>
      <c r="X39" s="64"/>
      <c r="Y39" s="64"/>
      <c r="Z39" s="107" t="s">
        <v>231</v>
      </c>
      <c r="AA39" s="108">
        <v>0.3</v>
      </c>
      <c r="AB39" s="108">
        <v>240</v>
      </c>
      <c r="AC39" s="108">
        <v>72</v>
      </c>
    </row>
    <row r="40" spans="1:29" s="3" customFormat="1" ht="15" customHeight="1">
      <c r="A40" s="65" t="s">
        <v>212</v>
      </c>
      <c r="B40" s="85" t="s">
        <v>213</v>
      </c>
      <c r="C40" s="86" t="s">
        <v>214</v>
      </c>
      <c r="D40" s="85" t="s">
        <v>215</v>
      </c>
      <c r="E40" s="65" t="s">
        <v>216</v>
      </c>
      <c r="F40" s="65" t="s">
        <v>217</v>
      </c>
      <c r="G40" s="65" t="s">
        <v>34</v>
      </c>
      <c r="H40" s="53" t="s">
        <v>232</v>
      </c>
      <c r="I40" s="53" t="e">
        <f>VLOOKUP(H40,合同高级查询数据!$A$2:$A$51,1,FALSE)</f>
        <v>#N/A</v>
      </c>
      <c r="J40" s="88" t="s">
        <v>233</v>
      </c>
      <c r="K40" s="65" t="s">
        <v>234</v>
      </c>
      <c r="L40" s="53" t="s">
        <v>235</v>
      </c>
      <c r="M40" s="65"/>
      <c r="N40" s="89" t="s">
        <v>236</v>
      </c>
      <c r="O40" s="65" t="s">
        <v>237</v>
      </c>
      <c r="P40" s="90">
        <v>13333.33</v>
      </c>
      <c r="Q40" s="98">
        <v>63.5</v>
      </c>
      <c r="R40" s="58">
        <f t="shared" si="3"/>
        <v>846666.46</v>
      </c>
      <c r="S40" s="59">
        <v>202306</v>
      </c>
      <c r="T40" s="97" t="s">
        <v>238</v>
      </c>
      <c r="U40" s="97"/>
      <c r="V40" s="104">
        <v>62.197050034</v>
      </c>
      <c r="W40" s="103">
        <v>64.8</v>
      </c>
      <c r="X40" s="64"/>
      <c r="Y40" s="64"/>
      <c r="Z40" s="107" t="s">
        <v>239</v>
      </c>
      <c r="AA40" s="108">
        <v>0.2</v>
      </c>
      <c r="AB40" s="108">
        <v>240</v>
      </c>
      <c r="AC40" s="108">
        <v>48</v>
      </c>
    </row>
    <row r="41" spans="1:29" s="3" customFormat="1" ht="15" customHeight="1">
      <c r="A41" s="65" t="s">
        <v>212</v>
      </c>
      <c r="B41" s="85" t="s">
        <v>213</v>
      </c>
      <c r="C41" s="86" t="s">
        <v>214</v>
      </c>
      <c r="D41" s="85" t="s">
        <v>215</v>
      </c>
      <c r="E41" s="65" t="s">
        <v>216</v>
      </c>
      <c r="F41" s="65" t="s">
        <v>217</v>
      </c>
      <c r="G41" s="65" t="s">
        <v>34</v>
      </c>
      <c r="H41" s="53" t="s">
        <v>232</v>
      </c>
      <c r="I41" s="53" t="e">
        <f>VLOOKUP(H41,合同高级查询数据!$A$2:$A$51,1,FALSE)</f>
        <v>#N/A</v>
      </c>
      <c r="J41" s="88" t="s">
        <v>233</v>
      </c>
      <c r="K41" s="65" t="s">
        <v>240</v>
      </c>
      <c r="L41" s="53" t="s">
        <v>241</v>
      </c>
      <c r="M41" s="65"/>
      <c r="N41" s="89" t="s">
        <v>242</v>
      </c>
      <c r="O41" s="65" t="s">
        <v>243</v>
      </c>
      <c r="P41" s="90">
        <v>13333.33</v>
      </c>
      <c r="Q41" s="98">
        <v>11.9</v>
      </c>
      <c r="R41" s="58">
        <f t="shared" si="3"/>
        <v>158666.63</v>
      </c>
      <c r="S41" s="59">
        <v>202306</v>
      </c>
      <c r="T41" s="97" t="s">
        <v>244</v>
      </c>
      <c r="U41" s="97"/>
      <c r="V41" s="104">
        <v>11.587670281999999</v>
      </c>
      <c r="W41" s="103">
        <v>12.1</v>
      </c>
      <c r="X41" s="64"/>
      <c r="Y41" s="64"/>
      <c r="Z41" s="107" t="s">
        <v>245</v>
      </c>
      <c r="AA41" s="108">
        <v>0.2</v>
      </c>
      <c r="AB41" s="108">
        <v>40</v>
      </c>
      <c r="AC41" s="108">
        <v>8</v>
      </c>
    </row>
    <row r="42" spans="1:29" s="2" customFormat="1" ht="15" customHeight="1">
      <c r="A42" s="5" t="s">
        <v>212</v>
      </c>
      <c r="B42" s="6" t="s">
        <v>213</v>
      </c>
      <c r="C42" s="7" t="s">
        <v>214</v>
      </c>
      <c r="D42" s="6" t="s">
        <v>215</v>
      </c>
      <c r="E42" s="5" t="s">
        <v>216</v>
      </c>
      <c r="F42" s="5" t="s">
        <v>246</v>
      </c>
      <c r="G42" s="5" t="s">
        <v>34</v>
      </c>
      <c r="H42" s="11" t="s">
        <v>247</v>
      </c>
      <c r="I42" s="11" t="e">
        <f>VLOOKUP(H42,合同高级查询数据!$A$2:$A$51,1,FALSE)</f>
        <v>#N/A</v>
      </c>
      <c r="J42" s="14" t="s">
        <v>233</v>
      </c>
      <c r="K42" s="5" t="s">
        <v>248</v>
      </c>
      <c r="L42" s="11" t="s">
        <v>249</v>
      </c>
      <c r="M42" s="5"/>
      <c r="N42" s="19">
        <v>44453</v>
      </c>
      <c r="O42" s="5" t="s">
        <v>250</v>
      </c>
      <c r="P42" s="20">
        <v>9000</v>
      </c>
      <c r="Q42" s="26">
        <v>71.7</v>
      </c>
      <c r="R42" s="27">
        <f t="shared" si="3"/>
        <v>645300</v>
      </c>
      <c r="S42" s="28">
        <v>202306</v>
      </c>
      <c r="T42" s="29" t="s">
        <v>251</v>
      </c>
      <c r="U42" s="29"/>
      <c r="V42" s="34">
        <v>69.927178906999998</v>
      </c>
      <c r="W42" s="35">
        <v>73.3</v>
      </c>
      <c r="X42" s="36">
        <v>44440</v>
      </c>
      <c r="Y42" s="36">
        <v>45169</v>
      </c>
      <c r="Z42" s="42" t="s">
        <v>252</v>
      </c>
      <c r="AA42" s="43">
        <v>0.3</v>
      </c>
      <c r="AB42" s="43">
        <v>180</v>
      </c>
      <c r="AC42" s="43">
        <v>54</v>
      </c>
    </row>
    <row r="43" spans="1:29" s="2" customFormat="1" ht="15" customHeight="1">
      <c r="A43" s="5" t="s">
        <v>212</v>
      </c>
      <c r="B43" s="6" t="s">
        <v>213</v>
      </c>
      <c r="C43" s="7" t="s">
        <v>214</v>
      </c>
      <c r="D43" s="7" t="s">
        <v>215</v>
      </c>
      <c r="E43" s="5" t="s">
        <v>216</v>
      </c>
      <c r="F43" s="5" t="s">
        <v>217</v>
      </c>
      <c r="G43" s="5" t="s">
        <v>34</v>
      </c>
      <c r="H43" s="11" t="s">
        <v>253</v>
      </c>
      <c r="I43" s="11" t="e">
        <f>VLOOKUP(H43,合同高级查询数据!$A$2:$A$51,1,FALSE)</f>
        <v>#N/A</v>
      </c>
      <c r="J43" s="14" t="s">
        <v>36</v>
      </c>
      <c r="K43" s="5" t="s">
        <v>254</v>
      </c>
      <c r="L43" s="11" t="s">
        <v>255</v>
      </c>
      <c r="M43" s="5"/>
      <c r="N43" s="19" t="s">
        <v>256</v>
      </c>
      <c r="O43" s="5" t="s">
        <v>257</v>
      </c>
      <c r="P43" s="20">
        <v>9000</v>
      </c>
      <c r="Q43" s="26">
        <v>58.7</v>
      </c>
      <c r="R43" s="27">
        <f t="shared" si="3"/>
        <v>528300</v>
      </c>
      <c r="S43" s="28">
        <v>202306</v>
      </c>
      <c r="T43" s="29" t="s">
        <v>258</v>
      </c>
      <c r="U43" s="29"/>
      <c r="V43" s="34">
        <v>58.663851088999998</v>
      </c>
      <c r="W43" s="35">
        <v>59.9</v>
      </c>
      <c r="X43" s="36">
        <v>44044</v>
      </c>
      <c r="Y43" s="36">
        <v>45199</v>
      </c>
      <c r="Z43" s="42" t="s">
        <v>259</v>
      </c>
      <c r="AA43" s="43">
        <v>0.3</v>
      </c>
      <c r="AB43" s="43">
        <v>180</v>
      </c>
      <c r="AC43" s="43">
        <v>54</v>
      </c>
    </row>
    <row r="44" spans="1:29" s="2" customFormat="1" ht="15" customHeight="1">
      <c r="A44" s="5" t="s">
        <v>260</v>
      </c>
      <c r="B44" s="6" t="s">
        <v>213</v>
      </c>
      <c r="C44" s="7" t="s">
        <v>214</v>
      </c>
      <c r="D44" s="7" t="s">
        <v>215</v>
      </c>
      <c r="E44" s="5" t="s">
        <v>216</v>
      </c>
      <c r="F44" s="5" t="s">
        <v>217</v>
      </c>
      <c r="G44" s="5" t="s">
        <v>34</v>
      </c>
      <c r="H44" s="11" t="s">
        <v>253</v>
      </c>
      <c r="I44" s="11" t="e">
        <f>VLOOKUP(H44,合同高级查询数据!$A$2:$A$51,1,FALSE)</f>
        <v>#N/A</v>
      </c>
      <c r="J44" s="14" t="s">
        <v>36</v>
      </c>
      <c r="K44" s="5" t="s">
        <v>261</v>
      </c>
      <c r="L44" s="11" t="s">
        <v>262</v>
      </c>
      <c r="M44" s="5"/>
      <c r="N44" s="19" t="s">
        <v>263</v>
      </c>
      <c r="O44" s="5" t="s">
        <v>264</v>
      </c>
      <c r="P44" s="20">
        <v>7794</v>
      </c>
      <c r="Q44" s="26">
        <v>115.1</v>
      </c>
      <c r="R44" s="27">
        <f t="shared" si="3"/>
        <v>897089.4</v>
      </c>
      <c r="S44" s="28">
        <v>202306</v>
      </c>
      <c r="T44" s="29" t="s">
        <v>265</v>
      </c>
      <c r="U44" s="29"/>
      <c r="V44" s="34">
        <v>112.925149078</v>
      </c>
      <c r="W44" s="35">
        <v>117.2</v>
      </c>
      <c r="X44" s="36">
        <v>44044</v>
      </c>
      <c r="Y44" s="36">
        <v>45199</v>
      </c>
      <c r="Z44" s="42" t="s">
        <v>266</v>
      </c>
      <c r="AA44" s="43">
        <v>0.3</v>
      </c>
      <c r="AB44" s="43">
        <v>280</v>
      </c>
      <c r="AC44" s="43">
        <v>84</v>
      </c>
    </row>
    <row r="45" spans="1:29" s="2" customFormat="1" ht="15" customHeight="1">
      <c r="A45" s="5" t="s">
        <v>267</v>
      </c>
      <c r="B45" s="6" t="s">
        <v>213</v>
      </c>
      <c r="C45" s="7" t="s">
        <v>214</v>
      </c>
      <c r="D45" s="7" t="s">
        <v>215</v>
      </c>
      <c r="E45" s="5" t="s">
        <v>216</v>
      </c>
      <c r="F45" s="5" t="s">
        <v>217</v>
      </c>
      <c r="G45" s="5" t="s">
        <v>34</v>
      </c>
      <c r="H45" s="11" t="s">
        <v>253</v>
      </c>
      <c r="I45" s="11" t="e">
        <f>VLOOKUP(H45,合同高级查询数据!$A$2:$A$51,1,FALSE)</f>
        <v>#N/A</v>
      </c>
      <c r="J45" s="14" t="s">
        <v>36</v>
      </c>
      <c r="K45" s="5" t="s">
        <v>268</v>
      </c>
      <c r="L45" s="11" t="s">
        <v>269</v>
      </c>
      <c r="M45" s="5"/>
      <c r="N45" s="19" t="s">
        <v>270</v>
      </c>
      <c r="O45" s="5" t="s">
        <v>271</v>
      </c>
      <c r="P45" s="20">
        <v>5000</v>
      </c>
      <c r="Q45" s="26">
        <v>104.6</v>
      </c>
      <c r="R45" s="27">
        <f t="shared" si="3"/>
        <v>523000</v>
      </c>
      <c r="S45" s="28">
        <v>202306</v>
      </c>
      <c r="T45" s="29" t="s">
        <v>272</v>
      </c>
      <c r="U45" s="29"/>
      <c r="V45" s="34">
        <v>99.960449218999997</v>
      </c>
      <c r="W45" s="35">
        <v>109.1</v>
      </c>
      <c r="X45" s="36">
        <v>44044</v>
      </c>
      <c r="Y45" s="36">
        <v>45199</v>
      </c>
      <c r="Z45" s="42" t="s">
        <v>273</v>
      </c>
      <c r="AA45" s="43">
        <v>0.3</v>
      </c>
      <c r="AB45" s="43">
        <v>260</v>
      </c>
      <c r="AC45" s="43">
        <v>78</v>
      </c>
    </row>
    <row r="46" spans="1:29" s="3" customFormat="1" ht="15" customHeight="1">
      <c r="A46" s="65" t="s">
        <v>212</v>
      </c>
      <c r="B46" s="85" t="s">
        <v>213</v>
      </c>
      <c r="C46" s="86" t="s">
        <v>214</v>
      </c>
      <c r="D46" s="86" t="s">
        <v>215</v>
      </c>
      <c r="E46" s="65" t="s">
        <v>216</v>
      </c>
      <c r="F46" s="65" t="s">
        <v>217</v>
      </c>
      <c r="G46" s="65" t="s">
        <v>34</v>
      </c>
      <c r="H46" s="53" t="s">
        <v>225</v>
      </c>
      <c r="I46" s="53" t="e">
        <f>VLOOKUP(H46,合同高级查询数据!$A$2:$A$51,1,FALSE)</f>
        <v>#N/A</v>
      </c>
      <c r="J46" s="88" t="s">
        <v>36</v>
      </c>
      <c r="K46" s="65" t="s">
        <v>274</v>
      </c>
      <c r="L46" s="53" t="s">
        <v>275</v>
      </c>
      <c r="M46" s="65" t="s">
        <v>276</v>
      </c>
      <c r="N46" s="89">
        <v>44835</v>
      </c>
      <c r="O46" s="65" t="s">
        <v>277</v>
      </c>
      <c r="P46" s="90">
        <v>9000</v>
      </c>
      <c r="Q46" s="98">
        <v>65.400000000000006</v>
      </c>
      <c r="R46" s="58">
        <f t="shared" si="3"/>
        <v>588600</v>
      </c>
      <c r="S46" s="59">
        <v>202306</v>
      </c>
      <c r="T46" s="97" t="s">
        <v>278</v>
      </c>
      <c r="U46" s="97"/>
      <c r="V46" s="104">
        <v>63.533474873000003</v>
      </c>
      <c r="W46" s="103">
        <v>67.2</v>
      </c>
      <c r="X46" s="64"/>
      <c r="Y46" s="64"/>
      <c r="Z46" s="107" t="s">
        <v>279</v>
      </c>
      <c r="AA46" s="108">
        <v>0.3</v>
      </c>
      <c r="AB46" s="108">
        <v>100</v>
      </c>
      <c r="AC46" s="108">
        <v>30</v>
      </c>
    </row>
    <row r="47" spans="1:29" s="3" customFormat="1" ht="15" customHeight="1">
      <c r="A47" s="65" t="s">
        <v>212</v>
      </c>
      <c r="B47" s="85" t="s">
        <v>213</v>
      </c>
      <c r="C47" s="86" t="s">
        <v>214</v>
      </c>
      <c r="D47" s="86" t="s">
        <v>215</v>
      </c>
      <c r="E47" s="65" t="s">
        <v>216</v>
      </c>
      <c r="F47" s="65" t="s">
        <v>217</v>
      </c>
      <c r="G47" s="87" t="s">
        <v>34</v>
      </c>
      <c r="H47" s="88" t="s">
        <v>280</v>
      </c>
      <c r="I47" s="53" t="e">
        <f>VLOOKUP(H47,合同高级查询数据!$A$2:$A$51,1,FALSE)</f>
        <v>#N/A</v>
      </c>
      <c r="J47" s="88" t="s">
        <v>36</v>
      </c>
      <c r="K47" s="87" t="s">
        <v>281</v>
      </c>
      <c r="L47" s="53" t="s">
        <v>282</v>
      </c>
      <c r="M47" s="54" t="s">
        <v>283</v>
      </c>
      <c r="N47" s="94" t="s">
        <v>284</v>
      </c>
      <c r="O47" s="94" t="s">
        <v>285</v>
      </c>
      <c r="P47" s="95">
        <v>9000</v>
      </c>
      <c r="Q47" s="99">
        <v>6.4</v>
      </c>
      <c r="R47" s="99">
        <f t="shared" si="3"/>
        <v>57600</v>
      </c>
      <c r="S47" s="59">
        <v>202306</v>
      </c>
      <c r="T47" s="100" t="s">
        <v>286</v>
      </c>
      <c r="U47" s="105"/>
      <c r="V47" s="104">
        <v>6.2107790649999997</v>
      </c>
      <c r="W47" s="106">
        <v>6.4</v>
      </c>
      <c r="X47" s="64"/>
      <c r="Y47" s="64"/>
      <c r="Z47" s="107" t="s">
        <v>287</v>
      </c>
      <c r="AA47" s="108">
        <v>0.3</v>
      </c>
      <c r="AB47" s="109">
        <v>10</v>
      </c>
      <c r="AC47" s="108">
        <v>3</v>
      </c>
    </row>
    <row r="48" spans="1:29" s="2" customFormat="1" ht="15" customHeight="1">
      <c r="A48" s="5" t="s">
        <v>28</v>
      </c>
      <c r="B48" s="6" t="s">
        <v>29</v>
      </c>
      <c r="C48" s="7" t="s">
        <v>30</v>
      </c>
      <c r="D48" s="7" t="s">
        <v>31</v>
      </c>
      <c r="E48" s="5" t="s">
        <v>288</v>
      </c>
      <c r="F48" s="5" t="s">
        <v>289</v>
      </c>
      <c r="G48" s="5" t="s">
        <v>34</v>
      </c>
      <c r="H48" s="11" t="s">
        <v>290</v>
      </c>
      <c r="I48" s="11" t="str">
        <f>VLOOKUP(H48,合同高级查询数据!$A$2:$A$51,1,FALSE)</f>
        <v>182315IDC00249</v>
      </c>
      <c r="J48" s="14" t="s">
        <v>36</v>
      </c>
      <c r="K48" s="5" t="s">
        <v>56</v>
      </c>
      <c r="L48" s="11" t="s">
        <v>291</v>
      </c>
      <c r="M48" s="5"/>
      <c r="N48" s="19">
        <v>45017</v>
      </c>
      <c r="O48" s="5"/>
      <c r="P48" s="20">
        <v>5100</v>
      </c>
      <c r="Q48" s="26">
        <v>376.74400000000003</v>
      </c>
      <c r="R48" s="27">
        <f t="shared" si="3"/>
        <v>1921394.4</v>
      </c>
      <c r="S48" s="28">
        <v>202306</v>
      </c>
      <c r="T48" s="29" t="s">
        <v>58</v>
      </c>
      <c r="U48" s="29"/>
      <c r="V48" s="101">
        <v>376.74377441399997</v>
      </c>
      <c r="W48" s="35"/>
      <c r="X48" s="36">
        <v>45017</v>
      </c>
      <c r="Y48" s="36">
        <v>45382</v>
      </c>
      <c r="Z48" s="42" t="s">
        <v>292</v>
      </c>
      <c r="AA48" s="43">
        <v>0</v>
      </c>
      <c r="AB48" s="43"/>
      <c r="AC48" s="43">
        <v>0</v>
      </c>
    </row>
    <row r="49" spans="1:29" s="3" customFormat="1" ht="15" customHeight="1">
      <c r="A49" s="65" t="s">
        <v>28</v>
      </c>
      <c r="B49" s="85" t="s">
        <v>29</v>
      </c>
      <c r="C49" s="86" t="s">
        <v>30</v>
      </c>
      <c r="D49" s="86" t="s">
        <v>31</v>
      </c>
      <c r="E49" s="65" t="s">
        <v>293</v>
      </c>
      <c r="F49" s="65" t="s">
        <v>294</v>
      </c>
      <c r="G49" s="65" t="s">
        <v>34</v>
      </c>
      <c r="H49" s="53" t="s">
        <v>295</v>
      </c>
      <c r="I49" s="53" t="e">
        <f>VLOOKUP(H49,合同高级查询数据!$A$2:$A$51,1,FALSE)</f>
        <v>#N/A</v>
      </c>
      <c r="J49" s="88" t="s">
        <v>36</v>
      </c>
      <c r="K49" s="65" t="s">
        <v>296</v>
      </c>
      <c r="L49" s="53" t="s">
        <v>297</v>
      </c>
      <c r="M49" s="65"/>
      <c r="N49" s="89">
        <v>43922</v>
      </c>
      <c r="O49" s="65"/>
      <c r="P49" s="96" t="s">
        <v>298</v>
      </c>
      <c r="Q49" s="98"/>
      <c r="R49" s="58">
        <v>0</v>
      </c>
      <c r="S49" s="59">
        <v>202306</v>
      </c>
      <c r="T49" s="97" t="s">
        <v>299</v>
      </c>
      <c r="U49" s="97"/>
      <c r="V49" s="102"/>
      <c r="W49" s="103"/>
      <c r="X49" s="64"/>
      <c r="Y49" s="64"/>
      <c r="Z49" s="107"/>
      <c r="AA49" s="108">
        <v>0</v>
      </c>
      <c r="AB49" s="108"/>
      <c r="AC49" s="108">
        <v>0</v>
      </c>
    </row>
    <row r="50" spans="1:29" s="3" customFormat="1" ht="15" customHeight="1">
      <c r="A50" s="65" t="s">
        <v>28</v>
      </c>
      <c r="B50" s="85" t="s">
        <v>29</v>
      </c>
      <c r="C50" s="86" t="s">
        <v>30</v>
      </c>
      <c r="D50" s="86" t="s">
        <v>31</v>
      </c>
      <c r="E50" s="65" t="s">
        <v>293</v>
      </c>
      <c r="F50" s="65" t="s">
        <v>294</v>
      </c>
      <c r="G50" s="65" t="s">
        <v>34</v>
      </c>
      <c r="H50" s="53" t="s">
        <v>295</v>
      </c>
      <c r="I50" s="53" t="e">
        <f>VLOOKUP(H50,合同高级查询数据!$A$2:$A$51,1,FALSE)</f>
        <v>#N/A</v>
      </c>
      <c r="J50" s="88" t="s">
        <v>36</v>
      </c>
      <c r="K50" s="65"/>
      <c r="L50" s="53" t="s">
        <v>300</v>
      </c>
      <c r="M50" s="65"/>
      <c r="N50" s="89"/>
      <c r="O50" s="65"/>
      <c r="P50" s="90">
        <v>0.2</v>
      </c>
      <c r="Q50" s="98"/>
      <c r="R50" s="58">
        <f>ROUND(P50*Q50,2)</f>
        <v>0</v>
      </c>
      <c r="S50" s="59">
        <v>202306</v>
      </c>
      <c r="T50" s="97" t="s">
        <v>301</v>
      </c>
      <c r="U50" s="97"/>
      <c r="V50" s="102"/>
      <c r="W50" s="103"/>
      <c r="X50" s="64"/>
      <c r="Y50" s="64"/>
      <c r="Z50" s="107"/>
      <c r="AA50" s="108">
        <v>0</v>
      </c>
      <c r="AB50" s="108"/>
      <c r="AC50" s="108">
        <v>0</v>
      </c>
    </row>
    <row r="51" spans="1:29" s="3" customFormat="1" ht="15" customHeight="1">
      <c r="A51" s="65" t="s">
        <v>28</v>
      </c>
      <c r="B51" s="85" t="s">
        <v>29</v>
      </c>
      <c r="C51" s="86" t="s">
        <v>30</v>
      </c>
      <c r="D51" s="86" t="s">
        <v>31</v>
      </c>
      <c r="E51" s="65" t="s">
        <v>293</v>
      </c>
      <c r="F51" s="65" t="s">
        <v>294</v>
      </c>
      <c r="G51" s="65" t="s">
        <v>34</v>
      </c>
      <c r="H51" s="53" t="s">
        <v>295</v>
      </c>
      <c r="I51" s="53" t="e">
        <f>VLOOKUP(H51,合同高级查询数据!$A$2:$A$51,1,FALSE)</f>
        <v>#N/A</v>
      </c>
      <c r="J51" s="88" t="s">
        <v>36</v>
      </c>
      <c r="K51" s="65" t="s">
        <v>302</v>
      </c>
      <c r="L51" s="53" t="s">
        <v>303</v>
      </c>
      <c r="M51" s="65"/>
      <c r="N51" s="89">
        <v>43922</v>
      </c>
      <c r="O51" s="65"/>
      <c r="P51" s="90" t="s">
        <v>304</v>
      </c>
      <c r="Q51" s="98"/>
      <c r="R51" s="58">
        <f>ROUND(Q51*0.3,2)</f>
        <v>0</v>
      </c>
      <c r="S51" s="59">
        <v>202306</v>
      </c>
      <c r="T51" s="97" t="s">
        <v>305</v>
      </c>
      <c r="U51" s="97"/>
      <c r="V51" s="102"/>
      <c r="W51" s="103"/>
      <c r="X51" s="64"/>
      <c r="Y51" s="64"/>
      <c r="Z51" s="107"/>
      <c r="AA51" s="108">
        <v>0</v>
      </c>
      <c r="AB51" s="108"/>
      <c r="AC51" s="108">
        <v>0</v>
      </c>
    </row>
    <row r="52" spans="1:29" s="2" customFormat="1" ht="15" customHeight="1">
      <c r="A52" s="5" t="s">
        <v>28</v>
      </c>
      <c r="B52" s="6" t="s">
        <v>29</v>
      </c>
      <c r="C52" s="7" t="s">
        <v>30</v>
      </c>
      <c r="D52" s="7" t="s">
        <v>31</v>
      </c>
      <c r="E52" s="5" t="s">
        <v>306</v>
      </c>
      <c r="F52" s="5" t="s">
        <v>307</v>
      </c>
      <c r="G52" s="5" t="s">
        <v>34</v>
      </c>
      <c r="H52" s="11" t="s">
        <v>308</v>
      </c>
      <c r="I52" s="11" t="e">
        <f>VLOOKUP(H52,合同高级查询数据!$A$2:$A$51,1,FALSE)</f>
        <v>#N/A</v>
      </c>
      <c r="J52" s="14" t="s">
        <v>36</v>
      </c>
      <c r="K52" s="5" t="s">
        <v>101</v>
      </c>
      <c r="L52" s="11" t="s">
        <v>309</v>
      </c>
      <c r="M52" s="5"/>
      <c r="N52" s="19">
        <v>44774</v>
      </c>
      <c r="O52" s="5"/>
      <c r="P52" s="20">
        <v>5300</v>
      </c>
      <c r="Q52" s="26"/>
      <c r="R52" s="27">
        <f t="shared" ref="R52:R81" si="4">ROUND(P52*Q52,2)</f>
        <v>0</v>
      </c>
      <c r="S52" s="28">
        <v>202306</v>
      </c>
      <c r="T52" s="29" t="s">
        <v>310</v>
      </c>
      <c r="U52" s="29"/>
      <c r="V52" s="101">
        <v>0</v>
      </c>
      <c r="W52" s="35"/>
      <c r="X52" s="36">
        <v>44774</v>
      </c>
      <c r="Y52" s="36">
        <v>45138</v>
      </c>
      <c r="Z52" s="42" t="s">
        <v>311</v>
      </c>
      <c r="AA52" s="43">
        <v>0</v>
      </c>
      <c r="AB52" s="43"/>
      <c r="AC52" s="43">
        <v>0</v>
      </c>
    </row>
    <row r="53" spans="1:29" s="2" customFormat="1" ht="15" customHeight="1">
      <c r="A53" s="5" t="s">
        <v>28</v>
      </c>
      <c r="B53" s="6" t="s">
        <v>29</v>
      </c>
      <c r="C53" s="7" t="s">
        <v>30</v>
      </c>
      <c r="D53" s="7" t="s">
        <v>31</v>
      </c>
      <c r="E53" s="5" t="s">
        <v>306</v>
      </c>
      <c r="F53" s="5" t="s">
        <v>307</v>
      </c>
      <c r="G53" s="5" t="s">
        <v>34</v>
      </c>
      <c r="H53" s="11" t="s">
        <v>308</v>
      </c>
      <c r="I53" s="11" t="e">
        <f>VLOOKUP(H53,合同高级查询数据!$A$2:$A$51,1,FALSE)</f>
        <v>#N/A</v>
      </c>
      <c r="J53" s="14" t="s">
        <v>36</v>
      </c>
      <c r="K53" s="5" t="s">
        <v>312</v>
      </c>
      <c r="L53" s="11" t="s">
        <v>313</v>
      </c>
      <c r="M53" s="5"/>
      <c r="N53" s="19">
        <v>44774</v>
      </c>
      <c r="O53" s="5"/>
      <c r="P53" s="20">
        <v>5300</v>
      </c>
      <c r="Q53" s="26"/>
      <c r="R53" s="27">
        <f t="shared" si="4"/>
        <v>0</v>
      </c>
      <c r="S53" s="28">
        <v>202306</v>
      </c>
      <c r="T53" s="29" t="s">
        <v>310</v>
      </c>
      <c r="U53" s="29"/>
      <c r="V53" s="101">
        <v>0</v>
      </c>
      <c r="W53" s="35"/>
      <c r="X53" s="36">
        <v>44774</v>
      </c>
      <c r="Y53" s="36">
        <v>45138</v>
      </c>
      <c r="Z53" s="42" t="s">
        <v>314</v>
      </c>
      <c r="AA53" s="43">
        <v>0</v>
      </c>
      <c r="AB53" s="43"/>
      <c r="AC53" s="43">
        <v>0</v>
      </c>
    </row>
    <row r="54" spans="1:29" s="2" customFormat="1" ht="15" customHeight="1">
      <c r="A54" s="5" t="s">
        <v>28</v>
      </c>
      <c r="B54" s="6" t="s">
        <v>29</v>
      </c>
      <c r="C54" s="7" t="s">
        <v>30</v>
      </c>
      <c r="D54" s="7" t="s">
        <v>31</v>
      </c>
      <c r="E54" s="5" t="s">
        <v>306</v>
      </c>
      <c r="F54" s="5" t="s">
        <v>307</v>
      </c>
      <c r="G54" s="5" t="s">
        <v>34</v>
      </c>
      <c r="H54" s="11" t="s">
        <v>308</v>
      </c>
      <c r="I54" s="11" t="e">
        <f>VLOOKUP(H54,合同高级查询数据!$A$2:$A$51,1,FALSE)</f>
        <v>#N/A</v>
      </c>
      <c r="J54" s="14" t="s">
        <v>36</v>
      </c>
      <c r="K54" s="5" t="s">
        <v>127</v>
      </c>
      <c r="L54" s="11" t="s">
        <v>315</v>
      </c>
      <c r="M54" s="5"/>
      <c r="N54" s="19">
        <v>44774</v>
      </c>
      <c r="O54" s="5"/>
      <c r="P54" s="20">
        <v>5000</v>
      </c>
      <c r="Q54" s="26"/>
      <c r="R54" s="27">
        <f t="shared" si="4"/>
        <v>0</v>
      </c>
      <c r="S54" s="28">
        <v>202306</v>
      </c>
      <c r="T54" s="29" t="s">
        <v>310</v>
      </c>
      <c r="U54" s="29"/>
      <c r="V54" s="101">
        <v>0</v>
      </c>
      <c r="W54" s="35"/>
      <c r="X54" s="36">
        <v>44774</v>
      </c>
      <c r="Y54" s="36">
        <v>45138</v>
      </c>
      <c r="Z54" s="42" t="s">
        <v>316</v>
      </c>
      <c r="AA54" s="43">
        <v>0</v>
      </c>
      <c r="AB54" s="43"/>
      <c r="AC54" s="43">
        <v>0</v>
      </c>
    </row>
    <row r="55" spans="1:29" s="3" customFormat="1" ht="15" customHeight="1">
      <c r="A55" s="65" t="s">
        <v>28</v>
      </c>
      <c r="B55" s="85" t="s">
        <v>29</v>
      </c>
      <c r="C55" s="86" t="s">
        <v>30</v>
      </c>
      <c r="D55" s="86" t="s">
        <v>31</v>
      </c>
      <c r="E55" s="65" t="s">
        <v>317</v>
      </c>
      <c r="F55" s="65" t="s">
        <v>318</v>
      </c>
      <c r="G55" s="65" t="s">
        <v>34</v>
      </c>
      <c r="H55" s="53" t="s">
        <v>319</v>
      </c>
      <c r="I55" s="53" t="e">
        <f>VLOOKUP(H55,合同高级查询数据!$A$2:$A$51,1,FALSE)</f>
        <v>#N/A</v>
      </c>
      <c r="J55" s="88" t="s">
        <v>36</v>
      </c>
      <c r="K55" s="65" t="s">
        <v>320</v>
      </c>
      <c r="L55" s="53" t="s">
        <v>321</v>
      </c>
      <c r="M55" s="65"/>
      <c r="N55" s="89">
        <v>44287</v>
      </c>
      <c r="O55" s="65"/>
      <c r="P55" s="90">
        <v>6200</v>
      </c>
      <c r="Q55" s="98"/>
      <c r="R55" s="58">
        <f t="shared" si="4"/>
        <v>0</v>
      </c>
      <c r="S55" s="59">
        <v>202306</v>
      </c>
      <c r="T55" s="97" t="s">
        <v>322</v>
      </c>
      <c r="U55" s="97"/>
      <c r="V55" s="102">
        <v>0</v>
      </c>
      <c r="W55" s="103"/>
      <c r="X55" s="64"/>
      <c r="Y55" s="64"/>
      <c r="Z55" s="107" t="s">
        <v>323</v>
      </c>
      <c r="AA55" s="108">
        <v>0</v>
      </c>
      <c r="AB55" s="108"/>
      <c r="AC55" s="108">
        <v>0</v>
      </c>
    </row>
    <row r="56" spans="1:29" s="3" customFormat="1" ht="15" customHeight="1">
      <c r="A56" s="65" t="s">
        <v>28</v>
      </c>
      <c r="B56" s="85" t="s">
        <v>29</v>
      </c>
      <c r="C56" s="86" t="s">
        <v>30</v>
      </c>
      <c r="D56" s="86" t="s">
        <v>31</v>
      </c>
      <c r="E56" s="65" t="s">
        <v>317</v>
      </c>
      <c r="F56" s="65" t="s">
        <v>318</v>
      </c>
      <c r="G56" s="65" t="s">
        <v>34</v>
      </c>
      <c r="H56" s="53" t="s">
        <v>324</v>
      </c>
      <c r="I56" s="53" t="e">
        <f>VLOOKUP(H56,合同高级查询数据!$A$2:$A$51,1,FALSE)</f>
        <v>#N/A</v>
      </c>
      <c r="J56" s="88" t="s">
        <v>36</v>
      </c>
      <c r="K56" s="65" t="s">
        <v>325</v>
      </c>
      <c r="L56" s="53" t="s">
        <v>326</v>
      </c>
      <c r="M56" s="65"/>
      <c r="N56" s="89">
        <v>44378</v>
      </c>
      <c r="O56" s="65"/>
      <c r="P56" s="90">
        <v>7000</v>
      </c>
      <c r="Q56" s="98"/>
      <c r="R56" s="58">
        <f t="shared" si="4"/>
        <v>0</v>
      </c>
      <c r="S56" s="59">
        <v>202306</v>
      </c>
      <c r="T56" s="97" t="s">
        <v>322</v>
      </c>
      <c r="U56" s="97"/>
      <c r="V56" s="102">
        <v>0</v>
      </c>
      <c r="W56" s="103"/>
      <c r="X56" s="64"/>
      <c r="Y56" s="64"/>
      <c r="Z56" s="107" t="s">
        <v>327</v>
      </c>
      <c r="AA56" s="108">
        <v>0</v>
      </c>
      <c r="AB56" s="108"/>
      <c r="AC56" s="108">
        <v>0</v>
      </c>
    </row>
    <row r="57" spans="1:29" s="3" customFormat="1" ht="15" customHeight="1">
      <c r="A57" s="65" t="s">
        <v>28</v>
      </c>
      <c r="B57" s="85" t="s">
        <v>29</v>
      </c>
      <c r="C57" s="86" t="s">
        <v>30</v>
      </c>
      <c r="D57" s="86" t="s">
        <v>31</v>
      </c>
      <c r="E57" s="65" t="s">
        <v>328</v>
      </c>
      <c r="F57" s="65" t="s">
        <v>329</v>
      </c>
      <c r="G57" s="65" t="s">
        <v>34</v>
      </c>
      <c r="H57" s="53" t="s">
        <v>330</v>
      </c>
      <c r="I57" s="53" t="e">
        <f>VLOOKUP(H57,合同高级查询数据!$A$2:$A$51,1,FALSE)</f>
        <v>#N/A</v>
      </c>
      <c r="J57" s="88" t="s">
        <v>36</v>
      </c>
      <c r="K57" s="65" t="s">
        <v>331</v>
      </c>
      <c r="L57" s="53" t="s">
        <v>331</v>
      </c>
      <c r="M57" s="65"/>
      <c r="N57" s="89">
        <v>44197</v>
      </c>
      <c r="O57" s="65"/>
      <c r="P57" s="90">
        <v>6200</v>
      </c>
      <c r="Q57" s="98"/>
      <c r="R57" s="58">
        <f t="shared" si="4"/>
        <v>0</v>
      </c>
      <c r="S57" s="59">
        <v>202306</v>
      </c>
      <c r="T57" s="97" t="s">
        <v>332</v>
      </c>
      <c r="U57" s="97"/>
      <c r="V57" s="102">
        <v>7.4906811710000003</v>
      </c>
      <c r="W57" s="103"/>
      <c r="X57" s="64"/>
      <c r="Y57" s="64"/>
      <c r="Z57" s="107" t="s">
        <v>333</v>
      </c>
      <c r="AA57" s="108">
        <v>0</v>
      </c>
      <c r="AB57" s="108"/>
      <c r="AC57" s="108">
        <v>0</v>
      </c>
    </row>
    <row r="58" spans="1:29" s="2" customFormat="1" ht="15" customHeight="1">
      <c r="A58" s="5" t="s">
        <v>28</v>
      </c>
      <c r="B58" s="6" t="s">
        <v>29</v>
      </c>
      <c r="C58" s="7" t="s">
        <v>30</v>
      </c>
      <c r="D58" s="7" t="s">
        <v>31</v>
      </c>
      <c r="E58" s="5" t="s">
        <v>328</v>
      </c>
      <c r="F58" s="5" t="s">
        <v>329</v>
      </c>
      <c r="G58" s="5" t="s">
        <v>34</v>
      </c>
      <c r="H58" s="11" t="s">
        <v>334</v>
      </c>
      <c r="I58" s="11" t="str">
        <f>VLOOKUP(H58,合同高级查询数据!$A$2:$A$51,1,FALSE)</f>
        <v>182315IDC00212</v>
      </c>
      <c r="J58" s="14" t="s">
        <v>36</v>
      </c>
      <c r="K58" s="5" t="s">
        <v>335</v>
      </c>
      <c r="L58" s="11" t="s">
        <v>335</v>
      </c>
      <c r="M58" s="5"/>
      <c r="N58" s="19">
        <v>44197</v>
      </c>
      <c r="O58" s="5"/>
      <c r="P58" s="20">
        <v>4800</v>
      </c>
      <c r="Q58" s="26">
        <v>103.28400000000001</v>
      </c>
      <c r="R58" s="27">
        <f t="shared" si="4"/>
        <v>495763.20000000001</v>
      </c>
      <c r="S58" s="28">
        <v>202306</v>
      </c>
      <c r="T58" s="29" t="s">
        <v>336</v>
      </c>
      <c r="U58" s="29"/>
      <c r="V58" s="101">
        <v>103.283180237</v>
      </c>
      <c r="W58" s="35"/>
      <c r="X58" s="36">
        <v>45047</v>
      </c>
      <c r="Y58" s="36">
        <v>45412</v>
      </c>
      <c r="Z58" s="42" t="s">
        <v>337</v>
      </c>
      <c r="AA58" s="43">
        <v>0</v>
      </c>
      <c r="AB58" s="43"/>
      <c r="AC58" s="43">
        <v>0</v>
      </c>
    </row>
    <row r="59" spans="1:29" s="3" customFormat="1" ht="15" customHeight="1">
      <c r="A59" s="65" t="s">
        <v>28</v>
      </c>
      <c r="B59" s="85" t="s">
        <v>29</v>
      </c>
      <c r="C59" s="86" t="s">
        <v>30</v>
      </c>
      <c r="D59" s="86" t="s">
        <v>31</v>
      </c>
      <c r="E59" s="65" t="s">
        <v>338</v>
      </c>
      <c r="F59" s="65" t="s">
        <v>339</v>
      </c>
      <c r="G59" s="65" t="s">
        <v>34</v>
      </c>
      <c r="H59" s="53" t="s">
        <v>340</v>
      </c>
      <c r="I59" s="53" t="e">
        <f>VLOOKUP(H59,合同高级查询数据!$A$2:$A$51,1,FALSE)</f>
        <v>#N/A</v>
      </c>
      <c r="J59" s="88" t="s">
        <v>36</v>
      </c>
      <c r="K59" s="65"/>
      <c r="L59" s="53" t="s">
        <v>341</v>
      </c>
      <c r="M59" s="65"/>
      <c r="N59" s="89">
        <v>44287</v>
      </c>
      <c r="O59" s="65"/>
      <c r="P59" s="90">
        <v>6550</v>
      </c>
      <c r="Q59" s="98"/>
      <c r="R59" s="58">
        <f t="shared" si="4"/>
        <v>0</v>
      </c>
      <c r="S59" s="59">
        <v>202306</v>
      </c>
      <c r="T59" s="97" t="s">
        <v>342</v>
      </c>
      <c r="U59" s="97"/>
      <c r="V59" s="102">
        <v>0</v>
      </c>
      <c r="W59" s="103"/>
      <c r="X59" s="64"/>
      <c r="Y59" s="64"/>
      <c r="Z59" s="107" t="s">
        <v>343</v>
      </c>
      <c r="AA59" s="108">
        <v>0</v>
      </c>
      <c r="AB59" s="108"/>
      <c r="AC59" s="108">
        <v>0</v>
      </c>
    </row>
    <row r="60" spans="1:29" s="2" customFormat="1" ht="15" customHeight="1">
      <c r="A60" s="5" t="s">
        <v>28</v>
      </c>
      <c r="B60" s="6" t="s">
        <v>29</v>
      </c>
      <c r="C60" s="7" t="s">
        <v>30</v>
      </c>
      <c r="D60" s="7" t="s">
        <v>31</v>
      </c>
      <c r="E60" s="5" t="s">
        <v>344</v>
      </c>
      <c r="F60" s="5" t="s">
        <v>345</v>
      </c>
      <c r="G60" s="5" t="s">
        <v>34</v>
      </c>
      <c r="H60" s="11" t="s">
        <v>346</v>
      </c>
      <c r="I60" s="11" t="e">
        <f>VLOOKUP(H60,合同高级查询数据!$A$2:$A$51,1,FALSE)</f>
        <v>#N/A</v>
      </c>
      <c r="J60" s="14" t="s">
        <v>36</v>
      </c>
      <c r="K60" s="5"/>
      <c r="L60" s="11" t="s">
        <v>347</v>
      </c>
      <c r="M60" s="5"/>
      <c r="N60" s="19">
        <v>44409</v>
      </c>
      <c r="O60" s="5"/>
      <c r="P60" s="20">
        <v>6550</v>
      </c>
      <c r="Q60" s="26"/>
      <c r="R60" s="27">
        <f t="shared" si="4"/>
        <v>0</v>
      </c>
      <c r="S60" s="28">
        <v>202306</v>
      </c>
      <c r="T60" s="29" t="s">
        <v>134</v>
      </c>
      <c r="U60" s="29"/>
      <c r="V60" s="101">
        <v>0</v>
      </c>
      <c r="W60" s="35"/>
      <c r="X60" s="36">
        <v>44409</v>
      </c>
      <c r="Y60" s="36">
        <v>44773</v>
      </c>
      <c r="Z60" s="42" t="s">
        <v>348</v>
      </c>
      <c r="AA60" s="43">
        <v>0</v>
      </c>
      <c r="AB60" s="43"/>
      <c r="AC60" s="43">
        <v>0</v>
      </c>
    </row>
    <row r="61" spans="1:29" s="2" customFormat="1" ht="15" customHeight="1">
      <c r="A61" s="5" t="s">
        <v>28</v>
      </c>
      <c r="B61" s="6" t="s">
        <v>29</v>
      </c>
      <c r="C61" s="7" t="s">
        <v>30</v>
      </c>
      <c r="D61" s="7" t="s">
        <v>31</v>
      </c>
      <c r="E61" s="5" t="s">
        <v>344</v>
      </c>
      <c r="F61" s="5" t="s">
        <v>345</v>
      </c>
      <c r="G61" s="5" t="s">
        <v>34</v>
      </c>
      <c r="H61" s="11" t="s">
        <v>346</v>
      </c>
      <c r="I61" s="11" t="e">
        <f>VLOOKUP(H61,合同高级查询数据!$A$2:$A$51,1,FALSE)</f>
        <v>#N/A</v>
      </c>
      <c r="J61" s="14" t="s">
        <v>36</v>
      </c>
      <c r="K61" s="5"/>
      <c r="L61" s="11" t="s">
        <v>349</v>
      </c>
      <c r="M61" s="5"/>
      <c r="N61" s="19">
        <v>44409</v>
      </c>
      <c r="O61" s="5"/>
      <c r="P61" s="20">
        <v>6550</v>
      </c>
      <c r="Q61" s="26"/>
      <c r="R61" s="27">
        <f t="shared" si="4"/>
        <v>0</v>
      </c>
      <c r="S61" s="28">
        <v>202306</v>
      </c>
      <c r="T61" s="29" t="s">
        <v>134</v>
      </c>
      <c r="U61" s="29"/>
      <c r="V61" s="101">
        <v>0</v>
      </c>
      <c r="W61" s="35"/>
      <c r="X61" s="36">
        <v>44409</v>
      </c>
      <c r="Y61" s="36">
        <v>44773</v>
      </c>
      <c r="Z61" s="42" t="s">
        <v>350</v>
      </c>
      <c r="AA61" s="43">
        <v>0</v>
      </c>
      <c r="AB61" s="43"/>
      <c r="AC61" s="43">
        <v>0</v>
      </c>
    </row>
    <row r="62" spans="1:29" s="2" customFormat="1" ht="15" customHeight="1">
      <c r="A62" s="5" t="s">
        <v>28</v>
      </c>
      <c r="B62" s="6" t="s">
        <v>29</v>
      </c>
      <c r="C62" s="7" t="s">
        <v>30</v>
      </c>
      <c r="D62" s="7" t="s">
        <v>31</v>
      </c>
      <c r="E62" s="5" t="s">
        <v>351</v>
      </c>
      <c r="F62" s="5" t="s">
        <v>352</v>
      </c>
      <c r="G62" s="5" t="s">
        <v>34</v>
      </c>
      <c r="H62" s="11" t="s">
        <v>353</v>
      </c>
      <c r="I62" s="11" t="e">
        <f>VLOOKUP(H62,合同高级查询数据!$A$2:$A$51,1,FALSE)</f>
        <v>#N/A</v>
      </c>
      <c r="J62" s="14" t="s">
        <v>36</v>
      </c>
      <c r="K62" s="5"/>
      <c r="L62" s="11" t="s">
        <v>354</v>
      </c>
      <c r="M62" s="5"/>
      <c r="N62" s="19">
        <v>44562</v>
      </c>
      <c r="O62" s="5"/>
      <c r="P62" s="20">
        <v>5800</v>
      </c>
      <c r="Q62" s="26">
        <v>1279.8879999999999</v>
      </c>
      <c r="R62" s="27">
        <f t="shared" si="4"/>
        <v>7423350.4000000004</v>
      </c>
      <c r="S62" s="28">
        <v>202306</v>
      </c>
      <c r="T62" s="29" t="s">
        <v>355</v>
      </c>
      <c r="U62" s="29"/>
      <c r="V62" s="101">
        <v>1279.887084961</v>
      </c>
      <c r="W62" s="35"/>
      <c r="X62" s="36">
        <v>44866</v>
      </c>
      <c r="Y62" s="36">
        <v>45230</v>
      </c>
      <c r="Z62" s="42" t="s">
        <v>356</v>
      </c>
      <c r="AA62" s="43"/>
      <c r="AB62" s="43"/>
      <c r="AC62" s="43">
        <v>0</v>
      </c>
    </row>
    <row r="63" spans="1:29" s="2" customFormat="1" ht="15" customHeight="1">
      <c r="A63" s="5" t="s">
        <v>28</v>
      </c>
      <c r="B63" s="6" t="s">
        <v>29</v>
      </c>
      <c r="C63" s="7" t="s">
        <v>30</v>
      </c>
      <c r="D63" s="7" t="s">
        <v>31</v>
      </c>
      <c r="E63" s="5" t="s">
        <v>357</v>
      </c>
      <c r="F63" s="5" t="s">
        <v>358</v>
      </c>
      <c r="G63" s="5" t="s">
        <v>34</v>
      </c>
      <c r="H63" s="11" t="s">
        <v>359</v>
      </c>
      <c r="I63" s="11" t="e">
        <f>VLOOKUP(H63,合同高级查询数据!$A$2:$A$51,1,FALSE)</f>
        <v>#N/A</v>
      </c>
      <c r="J63" s="14" t="s">
        <v>36</v>
      </c>
      <c r="K63" s="5"/>
      <c r="L63" s="11" t="s">
        <v>360</v>
      </c>
      <c r="M63" s="5"/>
      <c r="N63" s="19">
        <v>44896</v>
      </c>
      <c r="O63" s="5"/>
      <c r="P63" s="20">
        <v>8400</v>
      </c>
      <c r="Q63" s="26">
        <v>465.00099999999998</v>
      </c>
      <c r="R63" s="27">
        <f t="shared" si="4"/>
        <v>3906008.4</v>
      </c>
      <c r="S63" s="28">
        <v>202306</v>
      </c>
      <c r="T63" s="29" t="s">
        <v>361</v>
      </c>
      <c r="U63" s="29"/>
      <c r="V63" s="101">
        <v>465.00015258799999</v>
      </c>
      <c r="W63" s="35"/>
      <c r="X63" s="36">
        <v>44896</v>
      </c>
      <c r="Y63" s="36">
        <v>45260</v>
      </c>
      <c r="Z63" s="42" t="s">
        <v>362</v>
      </c>
      <c r="AA63" s="43">
        <v>0</v>
      </c>
      <c r="AB63" s="43"/>
      <c r="AC63" s="43">
        <v>0</v>
      </c>
    </row>
    <row r="64" spans="1:29" s="2" customFormat="1" ht="15" customHeight="1">
      <c r="A64" s="5" t="s">
        <v>28</v>
      </c>
      <c r="B64" s="6" t="s">
        <v>29</v>
      </c>
      <c r="C64" s="7" t="s">
        <v>30</v>
      </c>
      <c r="D64" s="7" t="s">
        <v>31</v>
      </c>
      <c r="E64" s="5" t="s">
        <v>363</v>
      </c>
      <c r="F64" s="5" t="s">
        <v>364</v>
      </c>
      <c r="G64" s="5" t="s">
        <v>34</v>
      </c>
      <c r="H64" s="11" t="s">
        <v>365</v>
      </c>
      <c r="I64" s="11" t="e">
        <f>VLOOKUP(H64,合同高级查询数据!$A$2:$A$51,1,FALSE)</f>
        <v>#N/A</v>
      </c>
      <c r="J64" s="14" t="s">
        <v>36</v>
      </c>
      <c r="K64" s="5" t="s">
        <v>366</v>
      </c>
      <c r="L64" s="11" t="s">
        <v>367</v>
      </c>
      <c r="M64" s="5"/>
      <c r="N64" s="19">
        <v>44593</v>
      </c>
      <c r="O64" s="5"/>
      <c r="P64" s="20">
        <v>5400</v>
      </c>
      <c r="Q64" s="26">
        <v>451.37299999999999</v>
      </c>
      <c r="R64" s="27">
        <f t="shared" si="4"/>
        <v>2437414.2000000002</v>
      </c>
      <c r="S64" s="28">
        <v>202306</v>
      </c>
      <c r="T64" s="29" t="s">
        <v>368</v>
      </c>
      <c r="U64" s="29"/>
      <c r="V64" s="101">
        <v>451.372558594</v>
      </c>
      <c r="W64" s="35"/>
      <c r="X64" s="36">
        <v>44958</v>
      </c>
      <c r="Y64" s="36">
        <v>45322</v>
      </c>
      <c r="Z64" s="42" t="s">
        <v>369</v>
      </c>
      <c r="AA64" s="43">
        <v>0</v>
      </c>
      <c r="AB64" s="43"/>
      <c r="AC64" s="43">
        <v>0</v>
      </c>
    </row>
    <row r="65" spans="1:29" s="3" customFormat="1" ht="15" customHeight="1">
      <c r="A65" s="65" t="s">
        <v>28</v>
      </c>
      <c r="B65" s="85" t="s">
        <v>29</v>
      </c>
      <c r="C65" s="86" t="s">
        <v>30</v>
      </c>
      <c r="D65" s="86" t="s">
        <v>31</v>
      </c>
      <c r="E65" s="65" t="s">
        <v>363</v>
      </c>
      <c r="F65" s="65" t="s">
        <v>364</v>
      </c>
      <c r="G65" s="65" t="s">
        <v>34</v>
      </c>
      <c r="H65" s="53" t="s">
        <v>370</v>
      </c>
      <c r="I65" s="53" t="e">
        <f>VLOOKUP(H65,合同高级查询数据!$A$2:$A$51,1,FALSE)</f>
        <v>#N/A</v>
      </c>
      <c r="J65" s="88" t="s">
        <v>36</v>
      </c>
      <c r="K65" s="65" t="s">
        <v>371</v>
      </c>
      <c r="L65" s="53" t="s">
        <v>372</v>
      </c>
      <c r="M65" s="65"/>
      <c r="N65" s="89">
        <v>44287</v>
      </c>
      <c r="O65" s="65"/>
      <c r="P65" s="90">
        <v>3500</v>
      </c>
      <c r="Q65" s="98">
        <v>17.946999999999999</v>
      </c>
      <c r="R65" s="58">
        <f t="shared" si="4"/>
        <v>62814.5</v>
      </c>
      <c r="S65" s="59">
        <v>202306</v>
      </c>
      <c r="T65" s="97" t="s">
        <v>373</v>
      </c>
      <c r="U65" s="97"/>
      <c r="V65" s="102">
        <v>17.946094512999998</v>
      </c>
      <c r="W65" s="103"/>
      <c r="X65" s="64"/>
      <c r="Y65" s="64"/>
      <c r="Z65" s="107" t="s">
        <v>374</v>
      </c>
      <c r="AA65" s="108">
        <v>0</v>
      </c>
      <c r="AB65" s="108"/>
      <c r="AC65" s="108">
        <v>0</v>
      </c>
    </row>
    <row r="66" spans="1:29" s="3" customFormat="1" ht="15" customHeight="1">
      <c r="A66" s="65" t="s">
        <v>28</v>
      </c>
      <c r="B66" s="85" t="s">
        <v>29</v>
      </c>
      <c r="C66" s="86" t="s">
        <v>30</v>
      </c>
      <c r="D66" s="86" t="s">
        <v>31</v>
      </c>
      <c r="E66" s="65" t="s">
        <v>363</v>
      </c>
      <c r="F66" s="65" t="s">
        <v>364</v>
      </c>
      <c r="G66" s="65" t="s">
        <v>34</v>
      </c>
      <c r="H66" s="53" t="s">
        <v>375</v>
      </c>
      <c r="I66" s="53" t="e">
        <f>VLOOKUP(H66,合同高级查询数据!$A$2:$A$51,1,FALSE)</f>
        <v>#N/A</v>
      </c>
      <c r="J66" s="88" t="s">
        <v>36</v>
      </c>
      <c r="K66" s="65" t="s">
        <v>376</v>
      </c>
      <c r="L66" s="53" t="s">
        <v>377</v>
      </c>
      <c r="M66" s="65"/>
      <c r="N66" s="89">
        <v>44774</v>
      </c>
      <c r="O66" s="65"/>
      <c r="P66" s="90">
        <v>6500</v>
      </c>
      <c r="Q66" s="98">
        <v>142.65299999999999</v>
      </c>
      <c r="R66" s="58">
        <f t="shared" si="4"/>
        <v>927244.5</v>
      </c>
      <c r="S66" s="59">
        <v>202306</v>
      </c>
      <c r="T66" s="97" t="s">
        <v>378</v>
      </c>
      <c r="U66" s="97"/>
      <c r="V66" s="102">
        <v>142.652252197</v>
      </c>
      <c r="W66" s="103"/>
      <c r="X66" s="64"/>
      <c r="Y66" s="64"/>
      <c r="Z66" s="107" t="s">
        <v>379</v>
      </c>
      <c r="AA66" s="108">
        <v>0</v>
      </c>
      <c r="AB66" s="108"/>
      <c r="AC66" s="108">
        <v>0</v>
      </c>
    </row>
    <row r="67" spans="1:29" s="3" customFormat="1" ht="15" customHeight="1">
      <c r="A67" s="65" t="s">
        <v>28</v>
      </c>
      <c r="B67" s="85" t="s">
        <v>29</v>
      </c>
      <c r="C67" s="86" t="s">
        <v>30</v>
      </c>
      <c r="D67" s="86" t="s">
        <v>31</v>
      </c>
      <c r="E67" s="65" t="s">
        <v>380</v>
      </c>
      <c r="F67" s="65" t="s">
        <v>381</v>
      </c>
      <c r="G67" s="65" t="s">
        <v>34</v>
      </c>
      <c r="H67" s="53" t="s">
        <v>382</v>
      </c>
      <c r="I67" s="53" t="e">
        <f>VLOOKUP(H67,合同高级查询数据!$A$2:$A$51,1,FALSE)</f>
        <v>#N/A</v>
      </c>
      <c r="J67" s="88" t="s">
        <v>36</v>
      </c>
      <c r="K67" s="65" t="s">
        <v>383</v>
      </c>
      <c r="L67" s="53" t="s">
        <v>384</v>
      </c>
      <c r="M67" s="65"/>
      <c r="N67" s="89">
        <v>44593</v>
      </c>
      <c r="O67" s="65"/>
      <c r="P67" s="90">
        <v>6800</v>
      </c>
      <c r="Q67" s="98"/>
      <c r="R67" s="58">
        <f t="shared" si="4"/>
        <v>0</v>
      </c>
      <c r="S67" s="59">
        <v>202306</v>
      </c>
      <c r="T67" s="97" t="s">
        <v>385</v>
      </c>
      <c r="U67" s="97"/>
      <c r="V67" s="102">
        <v>0</v>
      </c>
      <c r="W67" s="103"/>
      <c r="X67" s="64"/>
      <c r="Y67" s="64"/>
      <c r="Z67" s="107" t="s">
        <v>386</v>
      </c>
      <c r="AA67" s="108">
        <v>0</v>
      </c>
      <c r="AB67" s="108"/>
      <c r="AC67" s="108">
        <v>0</v>
      </c>
    </row>
    <row r="68" spans="1:29" s="2" customFormat="1" ht="15" customHeight="1">
      <c r="A68" s="5" t="s">
        <v>28</v>
      </c>
      <c r="B68" s="6" t="s">
        <v>29</v>
      </c>
      <c r="C68" s="7" t="s">
        <v>30</v>
      </c>
      <c r="D68" s="7" t="s">
        <v>31</v>
      </c>
      <c r="E68" s="5" t="s">
        <v>380</v>
      </c>
      <c r="F68" s="5" t="s">
        <v>381</v>
      </c>
      <c r="G68" s="5" t="s">
        <v>34</v>
      </c>
      <c r="H68" s="11" t="s">
        <v>387</v>
      </c>
      <c r="I68" s="11" t="e">
        <f>VLOOKUP(H68,合同高级查询数据!$A$2:$A$51,1,FALSE)</f>
        <v>#N/A</v>
      </c>
      <c r="J68" s="14" t="s">
        <v>36</v>
      </c>
      <c r="K68" s="5" t="s">
        <v>37</v>
      </c>
      <c r="L68" s="11" t="s">
        <v>388</v>
      </c>
      <c r="M68" s="5"/>
      <c r="N68" s="19">
        <v>43556</v>
      </c>
      <c r="O68" s="5"/>
      <c r="P68" s="20">
        <v>8400</v>
      </c>
      <c r="Q68" s="26">
        <v>1800.6990000000001</v>
      </c>
      <c r="R68" s="27">
        <f t="shared" si="4"/>
        <v>15125871.6</v>
      </c>
      <c r="S68" s="28">
        <v>202306</v>
      </c>
      <c r="T68" s="29" t="s">
        <v>389</v>
      </c>
      <c r="U68" s="29"/>
      <c r="V68" s="101">
        <v>1800.6984863279999</v>
      </c>
      <c r="W68" s="35"/>
      <c r="X68" s="36">
        <v>44927</v>
      </c>
      <c r="Y68" s="36">
        <v>45291</v>
      </c>
      <c r="Z68" s="42" t="s">
        <v>390</v>
      </c>
      <c r="AA68" s="43">
        <v>0</v>
      </c>
      <c r="AB68" s="43"/>
      <c r="AC68" s="43">
        <v>0</v>
      </c>
    </row>
    <row r="69" spans="1:29" s="3" customFormat="1" ht="15" customHeight="1">
      <c r="A69" s="65" t="s">
        <v>28</v>
      </c>
      <c r="B69" s="85" t="s">
        <v>29</v>
      </c>
      <c r="C69" s="86" t="s">
        <v>30</v>
      </c>
      <c r="D69" s="86" t="s">
        <v>31</v>
      </c>
      <c r="E69" s="65" t="s">
        <v>380</v>
      </c>
      <c r="F69" s="65" t="s">
        <v>381</v>
      </c>
      <c r="G69" s="65" t="s">
        <v>34</v>
      </c>
      <c r="H69" s="53" t="s">
        <v>391</v>
      </c>
      <c r="I69" s="53" t="e">
        <f>VLOOKUP(H69,合同高级查询数据!$A$2:$A$51,1,FALSE)</f>
        <v>#N/A</v>
      </c>
      <c r="J69" s="88" t="s">
        <v>36</v>
      </c>
      <c r="K69" s="65" t="s">
        <v>392</v>
      </c>
      <c r="L69" s="53" t="s">
        <v>393</v>
      </c>
      <c r="M69" s="65"/>
      <c r="N69" s="89">
        <v>44621</v>
      </c>
      <c r="O69" s="65"/>
      <c r="P69" s="90">
        <v>5300</v>
      </c>
      <c r="Q69" s="98"/>
      <c r="R69" s="58">
        <f t="shared" si="4"/>
        <v>0</v>
      </c>
      <c r="S69" s="59">
        <v>202306</v>
      </c>
      <c r="T69" s="97" t="s">
        <v>394</v>
      </c>
      <c r="U69" s="97"/>
      <c r="V69" s="102">
        <v>0</v>
      </c>
      <c r="W69" s="103"/>
      <c r="X69" s="64"/>
      <c r="Y69" s="64"/>
      <c r="Z69" s="107" t="s">
        <v>395</v>
      </c>
      <c r="AA69" s="108">
        <v>0</v>
      </c>
      <c r="AB69" s="108"/>
      <c r="AC69" s="108">
        <v>0</v>
      </c>
    </row>
    <row r="70" spans="1:29" s="2" customFormat="1" ht="15" customHeight="1">
      <c r="A70" s="5" t="s">
        <v>28</v>
      </c>
      <c r="B70" s="6" t="s">
        <v>29</v>
      </c>
      <c r="C70" s="7" t="s">
        <v>30</v>
      </c>
      <c r="D70" s="7" t="s">
        <v>31</v>
      </c>
      <c r="E70" s="5" t="s">
        <v>396</v>
      </c>
      <c r="F70" s="5" t="s">
        <v>397</v>
      </c>
      <c r="G70" s="5" t="s">
        <v>34</v>
      </c>
      <c r="H70" s="11" t="s">
        <v>398</v>
      </c>
      <c r="I70" s="11" t="e">
        <f>VLOOKUP(H70,合同高级查询数据!$A$2:$A$51,1,FALSE)</f>
        <v>#N/A</v>
      </c>
      <c r="J70" s="14" t="s">
        <v>36</v>
      </c>
      <c r="K70" s="5"/>
      <c r="L70" s="11" t="s">
        <v>399</v>
      </c>
      <c r="M70" s="5"/>
      <c r="N70" s="19">
        <v>44896</v>
      </c>
      <c r="O70" s="5"/>
      <c r="P70" s="20">
        <v>5000</v>
      </c>
      <c r="Q70" s="26"/>
      <c r="R70" s="27">
        <f t="shared" si="4"/>
        <v>0</v>
      </c>
      <c r="S70" s="28">
        <v>202306</v>
      </c>
      <c r="T70" s="29" t="s">
        <v>400</v>
      </c>
      <c r="U70" s="29"/>
      <c r="V70" s="101">
        <v>0</v>
      </c>
      <c r="W70" s="35"/>
      <c r="X70" s="36">
        <v>44896</v>
      </c>
      <c r="Y70" s="36">
        <v>45260</v>
      </c>
      <c r="Z70" s="42" t="s">
        <v>401</v>
      </c>
      <c r="AA70" s="43">
        <v>0</v>
      </c>
      <c r="AB70" s="43"/>
      <c r="AC70" s="43">
        <v>0</v>
      </c>
    </row>
    <row r="71" spans="1:29" s="2" customFormat="1" ht="15" customHeight="1">
      <c r="A71" s="5" t="s">
        <v>28</v>
      </c>
      <c r="B71" s="6" t="s">
        <v>29</v>
      </c>
      <c r="C71" s="7" t="s">
        <v>30</v>
      </c>
      <c r="D71" s="7" t="s">
        <v>31</v>
      </c>
      <c r="E71" s="5" t="s">
        <v>396</v>
      </c>
      <c r="F71" s="5" t="s">
        <v>397</v>
      </c>
      <c r="G71" s="5" t="s">
        <v>34</v>
      </c>
      <c r="H71" s="11" t="s">
        <v>398</v>
      </c>
      <c r="I71" s="11" t="e">
        <f>VLOOKUP(H71,合同高级查询数据!$A$2:$A$51,1,FALSE)</f>
        <v>#N/A</v>
      </c>
      <c r="J71" s="14" t="s">
        <v>36</v>
      </c>
      <c r="K71" s="5"/>
      <c r="L71" s="11" t="s">
        <v>402</v>
      </c>
      <c r="M71" s="5"/>
      <c r="N71" s="19">
        <v>44896</v>
      </c>
      <c r="O71" s="5"/>
      <c r="P71" s="20">
        <v>5000</v>
      </c>
      <c r="Q71" s="26"/>
      <c r="R71" s="27">
        <f t="shared" si="4"/>
        <v>0</v>
      </c>
      <c r="S71" s="28">
        <v>202306</v>
      </c>
      <c r="T71" s="29" t="s">
        <v>403</v>
      </c>
      <c r="U71" s="29"/>
      <c r="V71" s="101">
        <v>0</v>
      </c>
      <c r="W71" s="35"/>
      <c r="X71" s="36">
        <v>44896</v>
      </c>
      <c r="Y71" s="36">
        <v>45260</v>
      </c>
      <c r="Z71" s="42" t="s">
        <v>404</v>
      </c>
      <c r="AA71" s="43">
        <v>0</v>
      </c>
      <c r="AB71" s="43"/>
      <c r="AC71" s="43">
        <v>0</v>
      </c>
    </row>
    <row r="72" spans="1:29" s="2" customFormat="1" ht="15" customHeight="1">
      <c r="A72" s="5" t="s">
        <v>28</v>
      </c>
      <c r="B72" s="6" t="s">
        <v>29</v>
      </c>
      <c r="C72" s="7" t="s">
        <v>30</v>
      </c>
      <c r="D72" s="7" t="s">
        <v>31</v>
      </c>
      <c r="E72" s="5" t="s">
        <v>405</v>
      </c>
      <c r="F72" s="5" t="s">
        <v>406</v>
      </c>
      <c r="G72" s="5" t="s">
        <v>34</v>
      </c>
      <c r="H72" s="11" t="s">
        <v>407</v>
      </c>
      <c r="I72" s="11" t="e">
        <f>VLOOKUP(H72,合同高级查询数据!$A$2:$A$51,1,FALSE)</f>
        <v>#N/A</v>
      </c>
      <c r="J72" s="14" t="s">
        <v>36</v>
      </c>
      <c r="K72" s="5"/>
      <c r="L72" s="11" t="s">
        <v>408</v>
      </c>
      <c r="M72" s="5"/>
      <c r="N72" s="19">
        <v>44317</v>
      </c>
      <c r="O72" s="5"/>
      <c r="P72" s="20">
        <v>8000</v>
      </c>
      <c r="Q72" s="26"/>
      <c r="R72" s="27">
        <f t="shared" si="4"/>
        <v>0</v>
      </c>
      <c r="S72" s="28">
        <v>202306</v>
      </c>
      <c r="T72" s="29" t="s">
        <v>409</v>
      </c>
      <c r="U72" s="29"/>
      <c r="V72" s="101">
        <v>0</v>
      </c>
      <c r="W72" s="35"/>
      <c r="X72" s="36">
        <v>44317</v>
      </c>
      <c r="Y72" s="36">
        <v>44681</v>
      </c>
      <c r="Z72" s="42" t="s">
        <v>410</v>
      </c>
      <c r="AA72" s="43">
        <v>0</v>
      </c>
      <c r="AB72" s="43"/>
      <c r="AC72" s="43">
        <v>0</v>
      </c>
    </row>
    <row r="73" spans="1:29" s="2" customFormat="1" ht="15" customHeight="1">
      <c r="A73" s="5" t="s">
        <v>28</v>
      </c>
      <c r="B73" s="6" t="s">
        <v>29</v>
      </c>
      <c r="C73" s="7" t="s">
        <v>30</v>
      </c>
      <c r="D73" s="7" t="s">
        <v>31</v>
      </c>
      <c r="E73" s="5" t="s">
        <v>411</v>
      </c>
      <c r="F73" s="5" t="s">
        <v>412</v>
      </c>
      <c r="G73" s="5" t="s">
        <v>34</v>
      </c>
      <c r="H73" s="11" t="s">
        <v>413</v>
      </c>
      <c r="I73" s="11" t="e">
        <f>VLOOKUP(H73,合同高级查询数据!$A$2:$A$51,1,FALSE)</f>
        <v>#N/A</v>
      </c>
      <c r="J73" s="14" t="s">
        <v>36</v>
      </c>
      <c r="K73" s="5" t="s">
        <v>56</v>
      </c>
      <c r="L73" s="11" t="s">
        <v>414</v>
      </c>
      <c r="M73" s="5"/>
      <c r="N73" s="19">
        <v>45017</v>
      </c>
      <c r="O73" s="5"/>
      <c r="P73" s="20">
        <v>8533</v>
      </c>
      <c r="Q73" s="26">
        <v>65.481999999999999</v>
      </c>
      <c r="R73" s="27">
        <f t="shared" si="4"/>
        <v>558757.91</v>
      </c>
      <c r="S73" s="28">
        <v>202306</v>
      </c>
      <c r="T73" s="29" t="s">
        <v>415</v>
      </c>
      <c r="U73" s="29"/>
      <c r="V73" s="101">
        <v>65.481903075999995</v>
      </c>
      <c r="W73" s="35"/>
      <c r="X73" s="36">
        <v>44927</v>
      </c>
      <c r="Y73" s="36">
        <v>46022</v>
      </c>
      <c r="Z73" s="42" t="s">
        <v>416</v>
      </c>
      <c r="AA73" s="43">
        <v>0</v>
      </c>
      <c r="AB73" s="43"/>
      <c r="AC73" s="43">
        <v>0</v>
      </c>
    </row>
    <row r="74" spans="1:29" s="2" customFormat="1" ht="15" customHeight="1">
      <c r="A74" s="5" t="s">
        <v>260</v>
      </c>
      <c r="B74" s="6" t="s">
        <v>213</v>
      </c>
      <c r="C74" s="7" t="s">
        <v>417</v>
      </c>
      <c r="D74" s="6" t="s">
        <v>418</v>
      </c>
      <c r="E74" s="5" t="s">
        <v>419</v>
      </c>
      <c r="F74" s="5" t="s">
        <v>420</v>
      </c>
      <c r="G74" s="5" t="s">
        <v>34</v>
      </c>
      <c r="H74" s="11" t="s">
        <v>421</v>
      </c>
      <c r="I74" s="11" t="e">
        <f>VLOOKUP(H74,合同高级查询数据!$A$2:$A$51,1,FALSE)</f>
        <v>#N/A</v>
      </c>
      <c r="J74" s="14" t="s">
        <v>422</v>
      </c>
      <c r="K74" s="5" t="s">
        <v>423</v>
      </c>
      <c r="L74" s="11" t="s">
        <v>424</v>
      </c>
      <c r="M74" s="5" t="s">
        <v>425</v>
      </c>
      <c r="N74" s="19" t="s">
        <v>426</v>
      </c>
      <c r="O74" s="5" t="s">
        <v>427</v>
      </c>
      <c r="P74" s="20">
        <v>9500</v>
      </c>
      <c r="Q74" s="26">
        <v>133.58000000000001</v>
      </c>
      <c r="R74" s="27">
        <f t="shared" si="4"/>
        <v>1269010</v>
      </c>
      <c r="S74" s="28">
        <v>202306</v>
      </c>
      <c r="T74" s="29" t="s">
        <v>428</v>
      </c>
      <c r="U74" s="29"/>
      <c r="V74" s="34">
        <v>133.57925647299999</v>
      </c>
      <c r="W74" s="35"/>
      <c r="X74" s="36">
        <v>44409</v>
      </c>
      <c r="Y74" s="36">
        <v>45138</v>
      </c>
      <c r="Z74" s="42" t="s">
        <v>429</v>
      </c>
      <c r="AA74" s="43">
        <v>0.2</v>
      </c>
      <c r="AB74" s="43">
        <v>600</v>
      </c>
      <c r="AC74" s="43">
        <v>120</v>
      </c>
    </row>
    <row r="75" spans="1:29" s="3" customFormat="1" ht="15" customHeight="1">
      <c r="A75" s="65" t="s">
        <v>260</v>
      </c>
      <c r="B75" s="85" t="s">
        <v>213</v>
      </c>
      <c r="C75" s="86" t="s">
        <v>417</v>
      </c>
      <c r="D75" s="85" t="s">
        <v>418</v>
      </c>
      <c r="E75" s="65" t="s">
        <v>419</v>
      </c>
      <c r="F75" s="65" t="s">
        <v>420</v>
      </c>
      <c r="G75" s="65" t="s">
        <v>34</v>
      </c>
      <c r="H75" s="53" t="s">
        <v>430</v>
      </c>
      <c r="I75" s="53" t="e">
        <f>VLOOKUP(H75,合同高级查询数据!$A$2:$A$51,1,FALSE)</f>
        <v>#N/A</v>
      </c>
      <c r="J75" s="88" t="s">
        <v>36</v>
      </c>
      <c r="K75" s="65"/>
      <c r="L75" s="53" t="s">
        <v>431</v>
      </c>
      <c r="M75" s="65" t="s">
        <v>432</v>
      </c>
      <c r="N75" s="92" t="s">
        <v>433</v>
      </c>
      <c r="O75" s="65" t="s">
        <v>434</v>
      </c>
      <c r="P75" s="90">
        <v>9500</v>
      </c>
      <c r="Q75" s="98"/>
      <c r="R75" s="58">
        <f t="shared" si="4"/>
        <v>0</v>
      </c>
      <c r="S75" s="59">
        <v>202306</v>
      </c>
      <c r="T75" s="97" t="s">
        <v>435</v>
      </c>
      <c r="U75" s="97"/>
      <c r="V75" s="102">
        <v>0</v>
      </c>
      <c r="W75" s="103"/>
      <c r="X75" s="64"/>
      <c r="Y75" s="64"/>
      <c r="Z75" s="107" t="s">
        <v>436</v>
      </c>
      <c r="AA75" s="108" t="s">
        <v>180</v>
      </c>
      <c r="AB75" s="108">
        <v>0</v>
      </c>
      <c r="AC75" s="108">
        <v>0</v>
      </c>
    </row>
    <row r="76" spans="1:29" s="3" customFormat="1" ht="15" customHeight="1">
      <c r="A76" s="65" t="s">
        <v>260</v>
      </c>
      <c r="B76" s="85" t="s">
        <v>213</v>
      </c>
      <c r="C76" s="86" t="s">
        <v>214</v>
      </c>
      <c r="D76" s="86" t="s">
        <v>215</v>
      </c>
      <c r="E76" s="65" t="s">
        <v>437</v>
      </c>
      <c r="F76" s="65" t="s">
        <v>438</v>
      </c>
      <c r="G76" s="65" t="s">
        <v>34</v>
      </c>
      <c r="H76" s="53" t="s">
        <v>439</v>
      </c>
      <c r="I76" s="53" t="e">
        <f>VLOOKUP(H76,合同高级查询数据!$A$2:$A$51,1,FALSE)</f>
        <v>#N/A</v>
      </c>
      <c r="J76" s="88" t="s">
        <v>440</v>
      </c>
      <c r="K76" s="65" t="s">
        <v>441</v>
      </c>
      <c r="L76" s="53" t="s">
        <v>442</v>
      </c>
      <c r="M76" s="65"/>
      <c r="N76" s="89" t="s">
        <v>443</v>
      </c>
      <c r="O76" s="65" t="s">
        <v>444</v>
      </c>
      <c r="P76" s="90">
        <v>9500</v>
      </c>
      <c r="Q76" s="98"/>
      <c r="R76" s="58">
        <f t="shared" si="4"/>
        <v>0</v>
      </c>
      <c r="S76" s="59">
        <v>202306</v>
      </c>
      <c r="T76" s="97" t="s">
        <v>445</v>
      </c>
      <c r="U76" s="97"/>
      <c r="V76" s="102"/>
      <c r="W76" s="103"/>
      <c r="X76" s="64"/>
      <c r="Y76" s="64"/>
      <c r="Z76" s="107"/>
      <c r="AA76" s="108" t="s">
        <v>180</v>
      </c>
      <c r="AB76" s="108">
        <v>0</v>
      </c>
      <c r="AC76" s="108">
        <v>0</v>
      </c>
    </row>
    <row r="77" spans="1:29" s="3" customFormat="1" ht="15" customHeight="1">
      <c r="A77" s="65" t="s">
        <v>260</v>
      </c>
      <c r="B77" s="85" t="s">
        <v>213</v>
      </c>
      <c r="C77" s="86" t="s">
        <v>214</v>
      </c>
      <c r="D77" s="86" t="s">
        <v>215</v>
      </c>
      <c r="E77" s="65" t="s">
        <v>437</v>
      </c>
      <c r="F77" s="65" t="s">
        <v>438</v>
      </c>
      <c r="G77" s="65" t="s">
        <v>34</v>
      </c>
      <c r="H77" s="53" t="s">
        <v>439</v>
      </c>
      <c r="I77" s="53" t="e">
        <f>VLOOKUP(H77,合同高级查询数据!$A$2:$A$51,1,FALSE)</f>
        <v>#N/A</v>
      </c>
      <c r="J77" s="88" t="s">
        <v>440</v>
      </c>
      <c r="K77" s="65" t="s">
        <v>446</v>
      </c>
      <c r="L77" s="53" t="s">
        <v>447</v>
      </c>
      <c r="M77" s="65"/>
      <c r="N77" s="89">
        <v>44462</v>
      </c>
      <c r="O77" s="65" t="s">
        <v>222</v>
      </c>
      <c r="P77" s="90">
        <v>9500</v>
      </c>
      <c r="Q77" s="98">
        <v>3.9</v>
      </c>
      <c r="R77" s="58">
        <f t="shared" si="4"/>
        <v>37050</v>
      </c>
      <c r="S77" s="59">
        <v>202306</v>
      </c>
      <c r="T77" s="97" t="s">
        <v>448</v>
      </c>
      <c r="U77" s="97"/>
      <c r="V77" s="104">
        <v>3.9</v>
      </c>
      <c r="W77" s="103"/>
      <c r="X77" s="64"/>
      <c r="Y77" s="64"/>
      <c r="Z77" s="107" t="s">
        <v>449</v>
      </c>
      <c r="AA77" s="108">
        <v>0.3</v>
      </c>
      <c r="AB77" s="108">
        <v>20</v>
      </c>
      <c r="AC77" s="108">
        <v>0</v>
      </c>
    </row>
    <row r="78" spans="1:29" s="3" customFormat="1" ht="15" customHeight="1">
      <c r="A78" s="65" t="s">
        <v>260</v>
      </c>
      <c r="B78" s="85" t="s">
        <v>213</v>
      </c>
      <c r="C78" s="86" t="s">
        <v>214</v>
      </c>
      <c r="D78" s="86" t="s">
        <v>215</v>
      </c>
      <c r="E78" s="65" t="s">
        <v>437</v>
      </c>
      <c r="F78" s="65" t="s">
        <v>438</v>
      </c>
      <c r="G78" s="65" t="s">
        <v>34</v>
      </c>
      <c r="H78" s="53" t="s">
        <v>439</v>
      </c>
      <c r="I78" s="53" t="e">
        <f>VLOOKUP(H78,合同高级查询数据!$A$2:$A$51,1,FALSE)</f>
        <v>#N/A</v>
      </c>
      <c r="J78" s="88" t="s">
        <v>36</v>
      </c>
      <c r="K78" s="93" t="s">
        <v>450</v>
      </c>
      <c r="L78" s="53" t="s">
        <v>438</v>
      </c>
      <c r="M78" s="65"/>
      <c r="N78" s="89" t="s">
        <v>451</v>
      </c>
      <c r="O78" s="65" t="s">
        <v>452</v>
      </c>
      <c r="P78" s="90">
        <v>9500</v>
      </c>
      <c r="Q78" s="98">
        <v>52.7</v>
      </c>
      <c r="R78" s="58">
        <f t="shared" si="4"/>
        <v>500650</v>
      </c>
      <c r="S78" s="59">
        <v>202306</v>
      </c>
      <c r="T78" s="97" t="s">
        <v>453</v>
      </c>
      <c r="U78" s="97"/>
      <c r="V78" s="104">
        <v>52.607518081999999</v>
      </c>
      <c r="W78" s="103"/>
      <c r="X78" s="64"/>
      <c r="Y78" s="64"/>
      <c r="Z78" s="107" t="s">
        <v>454</v>
      </c>
      <c r="AA78" s="108">
        <v>0.3</v>
      </c>
      <c r="AB78" s="108">
        <v>160</v>
      </c>
      <c r="AC78" s="108">
        <f>AB78*0.3+20*0.3</f>
        <v>54</v>
      </c>
    </row>
    <row r="79" spans="1:29" s="3" customFormat="1" ht="15" customHeight="1">
      <c r="A79" s="65" t="s">
        <v>260</v>
      </c>
      <c r="B79" s="85" t="s">
        <v>213</v>
      </c>
      <c r="C79" s="86" t="s">
        <v>214</v>
      </c>
      <c r="D79" s="86" t="s">
        <v>215</v>
      </c>
      <c r="E79" s="65" t="s">
        <v>437</v>
      </c>
      <c r="F79" s="65" t="s">
        <v>438</v>
      </c>
      <c r="G79" s="65" t="s">
        <v>34</v>
      </c>
      <c r="H79" s="53" t="s">
        <v>439</v>
      </c>
      <c r="I79" s="53" t="e">
        <f>VLOOKUP(H79,合同高级查询数据!$A$2:$A$51,1,FALSE)</f>
        <v>#N/A</v>
      </c>
      <c r="J79" s="88" t="s">
        <v>36</v>
      </c>
      <c r="K79" s="65" t="s">
        <v>455</v>
      </c>
      <c r="L79" s="53" t="s">
        <v>456</v>
      </c>
      <c r="M79" s="65"/>
      <c r="N79" s="89" t="s">
        <v>457</v>
      </c>
      <c r="O79" s="65" t="s">
        <v>458</v>
      </c>
      <c r="P79" s="90">
        <v>9500</v>
      </c>
      <c r="Q79" s="98">
        <v>42</v>
      </c>
      <c r="R79" s="58">
        <f t="shared" si="4"/>
        <v>399000</v>
      </c>
      <c r="S79" s="59">
        <v>202306</v>
      </c>
      <c r="T79" s="97" t="s">
        <v>459</v>
      </c>
      <c r="U79" s="97"/>
      <c r="V79" s="104">
        <v>39.808772812000001</v>
      </c>
      <c r="W79" s="103"/>
      <c r="X79" s="64"/>
      <c r="Y79" s="64"/>
      <c r="Z79" s="107" t="s">
        <v>460</v>
      </c>
      <c r="AA79" s="108">
        <v>0.3</v>
      </c>
      <c r="AB79" s="108">
        <v>140</v>
      </c>
      <c r="AC79" s="108">
        <v>42</v>
      </c>
    </row>
    <row r="80" spans="1:29" s="3" customFormat="1" ht="15" customHeight="1">
      <c r="A80" s="65" t="s">
        <v>260</v>
      </c>
      <c r="B80" s="85" t="s">
        <v>213</v>
      </c>
      <c r="C80" s="86" t="s">
        <v>214</v>
      </c>
      <c r="D80" s="86" t="s">
        <v>215</v>
      </c>
      <c r="E80" s="65" t="s">
        <v>437</v>
      </c>
      <c r="F80" s="65" t="s">
        <v>461</v>
      </c>
      <c r="G80" s="65" t="s">
        <v>34</v>
      </c>
      <c r="H80" s="53" t="s">
        <v>462</v>
      </c>
      <c r="I80" s="53" t="e">
        <f>VLOOKUP(H80,合同高级查询数据!$A$2:$A$51,1,FALSE)</f>
        <v>#N/A</v>
      </c>
      <c r="J80" s="88" t="s">
        <v>36</v>
      </c>
      <c r="K80" s="65" t="s">
        <v>463</v>
      </c>
      <c r="L80" s="53" t="s">
        <v>464</v>
      </c>
      <c r="M80" s="65"/>
      <c r="N80" s="89" t="s">
        <v>465</v>
      </c>
      <c r="O80" s="93" t="s">
        <v>466</v>
      </c>
      <c r="P80" s="90">
        <v>9500</v>
      </c>
      <c r="Q80" s="98"/>
      <c r="R80" s="58">
        <f t="shared" si="4"/>
        <v>0</v>
      </c>
      <c r="S80" s="59">
        <v>202306</v>
      </c>
      <c r="T80" s="97" t="s">
        <v>467</v>
      </c>
      <c r="U80" s="97"/>
      <c r="V80" s="102">
        <v>0</v>
      </c>
      <c r="W80" s="103"/>
      <c r="X80" s="64"/>
      <c r="Y80" s="64"/>
      <c r="Z80" s="107" t="s">
        <v>468</v>
      </c>
      <c r="AA80" s="108" t="s">
        <v>180</v>
      </c>
      <c r="AB80" s="108"/>
      <c r="AC80" s="108"/>
    </row>
    <row r="81" spans="1:29" s="3" customFormat="1" ht="15" customHeight="1">
      <c r="A81" s="65" t="s">
        <v>260</v>
      </c>
      <c r="B81" s="85" t="s">
        <v>213</v>
      </c>
      <c r="C81" s="86" t="s">
        <v>214</v>
      </c>
      <c r="D81" s="86" t="s">
        <v>215</v>
      </c>
      <c r="E81" s="65" t="s">
        <v>437</v>
      </c>
      <c r="F81" s="65" t="s">
        <v>461</v>
      </c>
      <c r="G81" s="65" t="s">
        <v>34</v>
      </c>
      <c r="H81" s="53" t="s">
        <v>462</v>
      </c>
      <c r="I81" s="53" t="e">
        <f>VLOOKUP(H81,合同高级查询数据!$A$2:$A$51,1,FALSE)</f>
        <v>#N/A</v>
      </c>
      <c r="J81" s="88" t="s">
        <v>36</v>
      </c>
      <c r="K81" s="65" t="s">
        <v>469</v>
      </c>
      <c r="L81" s="53" t="s">
        <v>469</v>
      </c>
      <c r="M81" s="65"/>
      <c r="N81" s="89">
        <v>44730</v>
      </c>
      <c r="O81" s="65" t="s">
        <v>470</v>
      </c>
      <c r="P81" s="90">
        <v>9500</v>
      </c>
      <c r="Q81" s="98">
        <v>120</v>
      </c>
      <c r="R81" s="58">
        <f t="shared" si="4"/>
        <v>1140000</v>
      </c>
      <c r="S81" s="59">
        <v>202306</v>
      </c>
      <c r="T81" s="97" t="s">
        <v>471</v>
      </c>
      <c r="U81" s="97"/>
      <c r="V81" s="104">
        <v>119.979620818</v>
      </c>
      <c r="W81" s="103"/>
      <c r="X81" s="64"/>
      <c r="Y81" s="64"/>
      <c r="Z81" s="107" t="s">
        <v>472</v>
      </c>
      <c r="AA81" s="108">
        <v>0.3</v>
      </c>
      <c r="AB81" s="108">
        <v>400</v>
      </c>
      <c r="AC81" s="108">
        <v>120</v>
      </c>
    </row>
    <row r="82" spans="1:29" s="3" customFormat="1" ht="15" customHeight="1">
      <c r="A82" s="65" t="s">
        <v>260</v>
      </c>
      <c r="B82" s="85" t="s">
        <v>213</v>
      </c>
      <c r="C82" s="86" t="s">
        <v>214</v>
      </c>
      <c r="D82" s="85" t="s">
        <v>215</v>
      </c>
      <c r="E82" s="65" t="s">
        <v>437</v>
      </c>
      <c r="F82" s="65" t="s">
        <v>473</v>
      </c>
      <c r="G82" s="65" t="s">
        <v>34</v>
      </c>
      <c r="H82" s="53" t="s">
        <v>474</v>
      </c>
      <c r="I82" s="53" t="e">
        <f>VLOOKUP(H82,合同高级查询数据!$A$2:$A$51,1,FALSE)</f>
        <v>#N/A</v>
      </c>
      <c r="J82" s="88" t="s">
        <v>233</v>
      </c>
      <c r="K82" s="93" t="s">
        <v>475</v>
      </c>
      <c r="L82" s="53" t="s">
        <v>476</v>
      </c>
      <c r="M82" s="65"/>
      <c r="N82" s="89">
        <v>41244</v>
      </c>
      <c r="O82" s="65" t="s">
        <v>477</v>
      </c>
      <c r="P82" s="96" t="s">
        <v>478</v>
      </c>
      <c r="Q82" s="98">
        <v>90.76</v>
      </c>
      <c r="R82" s="58">
        <f>ROUND(14000*Q82,2)</f>
        <v>1270640</v>
      </c>
      <c r="S82" s="59">
        <v>202306</v>
      </c>
      <c r="T82" s="97" t="s">
        <v>479</v>
      </c>
      <c r="U82" s="97"/>
      <c r="V82" s="104">
        <v>90.760588088999995</v>
      </c>
      <c r="W82" s="103"/>
      <c r="X82" s="64"/>
      <c r="Y82" s="64"/>
      <c r="Z82" s="107" t="s">
        <v>480</v>
      </c>
      <c r="AA82" s="108">
        <f>85/620</f>
        <v>0.13709677419354838</v>
      </c>
      <c r="AB82" s="108">
        <v>420</v>
      </c>
      <c r="AC82" s="108" t="s">
        <v>481</v>
      </c>
    </row>
    <row r="83" spans="1:29" s="3" customFormat="1" ht="15" customHeight="1">
      <c r="A83" s="65" t="s">
        <v>260</v>
      </c>
      <c r="B83" s="85" t="s">
        <v>213</v>
      </c>
      <c r="C83" s="86" t="s">
        <v>214</v>
      </c>
      <c r="D83" s="85" t="s">
        <v>215</v>
      </c>
      <c r="E83" s="65" t="s">
        <v>437</v>
      </c>
      <c r="F83" s="65" t="s">
        <v>473</v>
      </c>
      <c r="G83" s="65" t="s">
        <v>34</v>
      </c>
      <c r="H83" s="53" t="s">
        <v>474</v>
      </c>
      <c r="I83" s="53" t="e">
        <f>VLOOKUP(H83,合同高级查询数据!$A$2:$A$51,1,FALSE)</f>
        <v>#N/A</v>
      </c>
      <c r="J83" s="88" t="s">
        <v>233</v>
      </c>
      <c r="K83" s="65" t="s">
        <v>482</v>
      </c>
      <c r="L83" s="53" t="s">
        <v>483</v>
      </c>
      <c r="M83" s="65"/>
      <c r="N83" s="89">
        <v>41244</v>
      </c>
      <c r="O83" s="65" t="s">
        <v>434</v>
      </c>
      <c r="P83" s="96" t="s">
        <v>478</v>
      </c>
      <c r="Q83" s="98">
        <v>90.4</v>
      </c>
      <c r="R83" s="58">
        <f>ROUND(14000*Q83,2)</f>
        <v>1265600</v>
      </c>
      <c r="S83" s="59">
        <v>202306</v>
      </c>
      <c r="T83" s="97" t="s">
        <v>484</v>
      </c>
      <c r="U83" s="97"/>
      <c r="V83" s="104">
        <v>90.397780862999994</v>
      </c>
      <c r="W83" s="103"/>
      <c r="X83" s="64"/>
      <c r="Y83" s="64"/>
      <c r="Z83" s="107" t="s">
        <v>485</v>
      </c>
      <c r="AA83" s="108">
        <f>85/620</f>
        <v>0.13709677419354838</v>
      </c>
      <c r="AB83" s="108">
        <v>200</v>
      </c>
      <c r="AC83" s="108" t="s">
        <v>481</v>
      </c>
    </row>
    <row r="84" spans="1:29" s="3" customFormat="1" ht="15" customHeight="1">
      <c r="A84" s="65" t="s">
        <v>260</v>
      </c>
      <c r="B84" s="85" t="s">
        <v>213</v>
      </c>
      <c r="C84" s="86" t="s">
        <v>214</v>
      </c>
      <c r="D84" s="85" t="s">
        <v>215</v>
      </c>
      <c r="E84" s="65" t="s">
        <v>437</v>
      </c>
      <c r="F84" s="65" t="s">
        <v>473</v>
      </c>
      <c r="G84" s="65" t="s">
        <v>34</v>
      </c>
      <c r="H84" s="53" t="s">
        <v>474</v>
      </c>
      <c r="I84" s="53" t="e">
        <f>VLOOKUP(H84,合同高级查询数据!$A$2:$A$51,1,FALSE)</f>
        <v>#N/A</v>
      </c>
      <c r="J84" s="88" t="s">
        <v>75</v>
      </c>
      <c r="K84" s="65" t="s">
        <v>486</v>
      </c>
      <c r="L84" s="53" t="s">
        <v>487</v>
      </c>
      <c r="M84" s="65"/>
      <c r="N84" s="89">
        <v>42796</v>
      </c>
      <c r="O84" s="65" t="s">
        <v>222</v>
      </c>
      <c r="P84" s="90">
        <v>120000</v>
      </c>
      <c r="Q84" s="98">
        <v>3.78</v>
      </c>
      <c r="R84" s="58">
        <f>ROUND(P84*Q84,2)</f>
        <v>453600</v>
      </c>
      <c r="S84" s="59">
        <v>202306</v>
      </c>
      <c r="T84" s="97" t="s">
        <v>488</v>
      </c>
      <c r="U84" s="97"/>
      <c r="V84" s="104">
        <v>3.7826549680000001</v>
      </c>
      <c r="W84" s="103"/>
      <c r="X84" s="64"/>
      <c r="Y84" s="64"/>
      <c r="Z84" s="107" t="s">
        <v>489</v>
      </c>
      <c r="AA84" s="108">
        <v>0.1</v>
      </c>
      <c r="AB84" s="108">
        <v>20</v>
      </c>
      <c r="AC84" s="108">
        <v>2</v>
      </c>
    </row>
    <row r="85" spans="1:29" s="3" customFormat="1" ht="15" customHeight="1">
      <c r="A85" s="65" t="s">
        <v>260</v>
      </c>
      <c r="B85" s="85" t="s">
        <v>213</v>
      </c>
      <c r="C85" s="86" t="s">
        <v>214</v>
      </c>
      <c r="D85" s="85" t="s">
        <v>215</v>
      </c>
      <c r="E85" s="65" t="s">
        <v>437</v>
      </c>
      <c r="F85" s="65" t="s">
        <v>438</v>
      </c>
      <c r="G85" s="65" t="s">
        <v>34</v>
      </c>
      <c r="H85" s="53" t="s">
        <v>490</v>
      </c>
      <c r="I85" s="53" t="e">
        <f>VLOOKUP(H85,合同高级查询数据!$A$2:$A$51,1,FALSE)</f>
        <v>#N/A</v>
      </c>
      <c r="J85" s="88" t="s">
        <v>233</v>
      </c>
      <c r="K85" s="65" t="s">
        <v>491</v>
      </c>
      <c r="L85" s="53" t="s">
        <v>492</v>
      </c>
      <c r="M85" s="65"/>
      <c r="N85" s="89">
        <v>42795</v>
      </c>
      <c r="O85" s="65" t="s">
        <v>493</v>
      </c>
      <c r="P85" s="96" t="s">
        <v>494</v>
      </c>
      <c r="Q85" s="98">
        <v>26.54</v>
      </c>
      <c r="R85" s="58">
        <f>ROUND(14000*Q85,2)</f>
        <v>371560</v>
      </c>
      <c r="S85" s="59">
        <v>202306</v>
      </c>
      <c r="T85" s="97" t="s">
        <v>495</v>
      </c>
      <c r="U85" s="97"/>
      <c r="V85" s="104">
        <v>26.539276995000002</v>
      </c>
      <c r="W85" s="103"/>
      <c r="X85" s="64"/>
      <c r="Y85" s="64"/>
      <c r="Z85" s="107" t="s">
        <v>496</v>
      </c>
      <c r="AA85" s="108">
        <f>AC85/AB85</f>
        <v>0.13333333333333333</v>
      </c>
      <c r="AB85" s="108">
        <v>120</v>
      </c>
      <c r="AC85" s="108">
        <v>16</v>
      </c>
    </row>
    <row r="86" spans="1:29" s="3" customFormat="1" ht="15" customHeight="1">
      <c r="A86" s="65" t="s">
        <v>260</v>
      </c>
      <c r="B86" s="85" t="s">
        <v>213</v>
      </c>
      <c r="C86" s="86" t="s">
        <v>214</v>
      </c>
      <c r="D86" s="85" t="s">
        <v>215</v>
      </c>
      <c r="E86" s="65" t="s">
        <v>437</v>
      </c>
      <c r="F86" s="65" t="s">
        <v>497</v>
      </c>
      <c r="G86" s="65" t="s">
        <v>34</v>
      </c>
      <c r="H86" s="53" t="s">
        <v>498</v>
      </c>
      <c r="I86" s="53" t="e">
        <f>VLOOKUP(H86,合同高级查询数据!$A$2:$A$51,1,FALSE)</f>
        <v>#N/A</v>
      </c>
      <c r="J86" s="88" t="s">
        <v>233</v>
      </c>
      <c r="K86" s="65" t="s">
        <v>499</v>
      </c>
      <c r="L86" s="53" t="s">
        <v>500</v>
      </c>
      <c r="M86" s="65"/>
      <c r="N86" s="92" t="s">
        <v>501</v>
      </c>
      <c r="O86" s="93" t="s">
        <v>502</v>
      </c>
      <c r="P86" s="90">
        <v>9500</v>
      </c>
      <c r="Q86" s="98">
        <v>149.6</v>
      </c>
      <c r="R86" s="58">
        <f t="shared" ref="R86:R95" si="5">ROUND(P86*Q86,2)</f>
        <v>1421200</v>
      </c>
      <c r="S86" s="59">
        <v>202306</v>
      </c>
      <c r="T86" s="97" t="s">
        <v>503</v>
      </c>
      <c r="U86" s="97"/>
      <c r="V86" s="104">
        <v>149.602044869</v>
      </c>
      <c r="W86" s="103"/>
      <c r="X86" s="64"/>
      <c r="Y86" s="64"/>
      <c r="Z86" s="107" t="s">
        <v>504</v>
      </c>
      <c r="AA86" s="108">
        <v>0.3</v>
      </c>
      <c r="AB86" s="108">
        <v>400</v>
      </c>
      <c r="AC86" s="108">
        <f>AA86*AB86</f>
        <v>120</v>
      </c>
    </row>
    <row r="87" spans="1:29" s="3" customFormat="1" ht="15" customHeight="1">
      <c r="A87" s="65" t="s">
        <v>260</v>
      </c>
      <c r="B87" s="85" t="s">
        <v>213</v>
      </c>
      <c r="C87" s="86" t="s">
        <v>214</v>
      </c>
      <c r="D87" s="86" t="s">
        <v>215</v>
      </c>
      <c r="E87" s="65" t="s">
        <v>505</v>
      </c>
      <c r="F87" s="65" t="s">
        <v>506</v>
      </c>
      <c r="G87" s="65" t="s">
        <v>34</v>
      </c>
      <c r="H87" s="53" t="s">
        <v>507</v>
      </c>
      <c r="I87" s="53" t="e">
        <f>VLOOKUP(H87,合同高级查询数据!$A$2:$A$51,1,FALSE)</f>
        <v>#N/A</v>
      </c>
      <c r="J87" s="88" t="s">
        <v>36</v>
      </c>
      <c r="K87" s="65" t="s">
        <v>508</v>
      </c>
      <c r="L87" s="53" t="s">
        <v>509</v>
      </c>
      <c r="M87" s="65" t="s">
        <v>510</v>
      </c>
      <c r="N87" s="89">
        <v>44971</v>
      </c>
      <c r="O87" s="65" t="s">
        <v>511</v>
      </c>
      <c r="P87" s="90">
        <v>9500</v>
      </c>
      <c r="Q87" s="98">
        <v>29.7</v>
      </c>
      <c r="R87" s="58">
        <f t="shared" si="5"/>
        <v>282150</v>
      </c>
      <c r="S87" s="59">
        <v>202306</v>
      </c>
      <c r="T87" s="97" t="s">
        <v>512</v>
      </c>
      <c r="U87" s="97"/>
      <c r="V87" s="104">
        <v>29.703287314000001</v>
      </c>
      <c r="W87" s="103"/>
      <c r="X87" s="64"/>
      <c r="Y87" s="64"/>
      <c r="Z87" s="107" t="s">
        <v>513</v>
      </c>
      <c r="AA87" s="108">
        <v>0.3</v>
      </c>
      <c r="AB87" s="109">
        <v>50</v>
      </c>
      <c r="AC87" s="108">
        <f>AA87*AB87</f>
        <v>15</v>
      </c>
    </row>
    <row r="88" spans="1:29" s="3" customFormat="1" ht="15" customHeight="1">
      <c r="A88" s="65" t="s">
        <v>260</v>
      </c>
      <c r="B88" s="85" t="s">
        <v>213</v>
      </c>
      <c r="C88" s="86" t="s">
        <v>417</v>
      </c>
      <c r="D88" s="85" t="s">
        <v>418</v>
      </c>
      <c r="E88" s="65" t="s">
        <v>514</v>
      </c>
      <c r="F88" s="65" t="s">
        <v>515</v>
      </c>
      <c r="G88" s="65" t="s">
        <v>34</v>
      </c>
      <c r="H88" s="53" t="s">
        <v>516</v>
      </c>
      <c r="I88" s="53" t="e">
        <f>VLOOKUP(H88,合同高级查询数据!$A$2:$A$51,1,FALSE)</f>
        <v>#N/A</v>
      </c>
      <c r="J88" s="88" t="s">
        <v>36</v>
      </c>
      <c r="K88" s="65" t="s">
        <v>517</v>
      </c>
      <c r="L88" s="53" t="s">
        <v>515</v>
      </c>
      <c r="M88" s="65"/>
      <c r="N88" s="89" t="s">
        <v>518</v>
      </c>
      <c r="O88" s="65" t="s">
        <v>519</v>
      </c>
      <c r="P88" s="90">
        <v>7750</v>
      </c>
      <c r="Q88" s="98">
        <v>112.6</v>
      </c>
      <c r="R88" s="58">
        <f t="shared" si="5"/>
        <v>872650</v>
      </c>
      <c r="S88" s="59">
        <v>202306</v>
      </c>
      <c r="T88" s="97" t="s">
        <v>520</v>
      </c>
      <c r="U88" s="97"/>
      <c r="V88" s="104">
        <v>112.587028503</v>
      </c>
      <c r="W88" s="103"/>
      <c r="X88" s="64"/>
      <c r="Y88" s="64"/>
      <c r="Z88" s="107" t="s">
        <v>521</v>
      </c>
      <c r="AA88" s="108">
        <v>0.3</v>
      </c>
      <c r="AB88" s="108">
        <v>280</v>
      </c>
      <c r="AC88" s="108">
        <v>84</v>
      </c>
    </row>
    <row r="89" spans="1:29" s="3" customFormat="1" ht="15" customHeight="1">
      <c r="A89" s="65" t="s">
        <v>260</v>
      </c>
      <c r="B89" s="85" t="s">
        <v>213</v>
      </c>
      <c r="C89" s="86" t="s">
        <v>417</v>
      </c>
      <c r="D89" s="85" t="s">
        <v>418</v>
      </c>
      <c r="E89" s="65" t="s">
        <v>514</v>
      </c>
      <c r="F89" s="65" t="s">
        <v>515</v>
      </c>
      <c r="G89" s="65" t="s">
        <v>34</v>
      </c>
      <c r="H89" s="53" t="s">
        <v>516</v>
      </c>
      <c r="I89" s="53" t="e">
        <f>VLOOKUP(H89,合同高级查询数据!$A$2:$A$51,1,FALSE)</f>
        <v>#N/A</v>
      </c>
      <c r="J89" s="88" t="s">
        <v>36</v>
      </c>
      <c r="K89" s="65" t="s">
        <v>522</v>
      </c>
      <c r="L89" s="53" t="s">
        <v>523</v>
      </c>
      <c r="M89" s="65"/>
      <c r="N89" s="89" t="s">
        <v>524</v>
      </c>
      <c r="O89" s="65" t="s">
        <v>525</v>
      </c>
      <c r="P89" s="90">
        <v>7750</v>
      </c>
      <c r="Q89" s="98"/>
      <c r="R89" s="58">
        <f t="shared" si="5"/>
        <v>0</v>
      </c>
      <c r="S89" s="59">
        <v>202306</v>
      </c>
      <c r="T89" s="97" t="s">
        <v>526</v>
      </c>
      <c r="U89" s="97"/>
      <c r="V89" s="102">
        <v>0</v>
      </c>
      <c r="W89" s="103"/>
      <c r="X89" s="64"/>
      <c r="Y89" s="64"/>
      <c r="Z89" s="107" t="s">
        <v>527</v>
      </c>
      <c r="AA89" s="108" t="s">
        <v>180</v>
      </c>
      <c r="AB89" s="108">
        <v>0</v>
      </c>
      <c r="AC89" s="108">
        <v>0</v>
      </c>
    </row>
    <row r="90" spans="1:29" s="3" customFormat="1" ht="15" customHeight="1">
      <c r="A90" s="65" t="s">
        <v>260</v>
      </c>
      <c r="B90" s="85" t="s">
        <v>213</v>
      </c>
      <c r="C90" s="86" t="s">
        <v>417</v>
      </c>
      <c r="D90" s="85" t="s">
        <v>418</v>
      </c>
      <c r="E90" s="65" t="s">
        <v>514</v>
      </c>
      <c r="F90" s="65" t="s">
        <v>515</v>
      </c>
      <c r="G90" s="65" t="s">
        <v>34</v>
      </c>
      <c r="H90" s="53" t="s">
        <v>516</v>
      </c>
      <c r="I90" s="53" t="e">
        <f>VLOOKUP(H90,合同高级查询数据!$A$2:$A$51,1,FALSE)</f>
        <v>#N/A</v>
      </c>
      <c r="J90" s="88" t="s">
        <v>233</v>
      </c>
      <c r="K90" s="65" t="s">
        <v>528</v>
      </c>
      <c r="L90" s="53" t="s">
        <v>529</v>
      </c>
      <c r="M90" s="65"/>
      <c r="N90" s="89" t="s">
        <v>530</v>
      </c>
      <c r="O90" s="65" t="s">
        <v>531</v>
      </c>
      <c r="P90" s="90">
        <v>7750</v>
      </c>
      <c r="Q90" s="98">
        <v>95.9</v>
      </c>
      <c r="R90" s="58">
        <f t="shared" si="5"/>
        <v>743225</v>
      </c>
      <c r="S90" s="59">
        <v>202306</v>
      </c>
      <c r="T90" s="97" t="s">
        <v>532</v>
      </c>
      <c r="U90" s="97"/>
      <c r="V90" s="104">
        <v>95.886664289050003</v>
      </c>
      <c r="W90" s="103"/>
      <c r="X90" s="64"/>
      <c r="Y90" s="64"/>
      <c r="Z90" s="107" t="s">
        <v>533</v>
      </c>
      <c r="AA90" s="108">
        <v>0.3</v>
      </c>
      <c r="AB90" s="108">
        <v>240</v>
      </c>
      <c r="AC90" s="108">
        <v>72</v>
      </c>
    </row>
    <row r="91" spans="1:29" s="3" customFormat="1" ht="15" customHeight="1">
      <c r="A91" s="65" t="s">
        <v>260</v>
      </c>
      <c r="B91" s="85" t="s">
        <v>213</v>
      </c>
      <c r="C91" s="86" t="s">
        <v>417</v>
      </c>
      <c r="D91" s="85" t="s">
        <v>418</v>
      </c>
      <c r="E91" s="65" t="s">
        <v>514</v>
      </c>
      <c r="F91" s="65" t="s">
        <v>515</v>
      </c>
      <c r="G91" s="65" t="s">
        <v>34</v>
      </c>
      <c r="H91" s="53" t="s">
        <v>516</v>
      </c>
      <c r="I91" s="53" t="e">
        <f>VLOOKUP(H91,合同高级查询数据!$A$2:$A$51,1,FALSE)</f>
        <v>#N/A</v>
      </c>
      <c r="J91" s="88" t="s">
        <v>36</v>
      </c>
      <c r="K91" s="65" t="s">
        <v>534</v>
      </c>
      <c r="L91" s="53" t="s">
        <v>535</v>
      </c>
      <c r="M91" s="65"/>
      <c r="N91" s="89" t="s">
        <v>536</v>
      </c>
      <c r="O91" s="65" t="s">
        <v>537</v>
      </c>
      <c r="P91" s="90">
        <v>7750</v>
      </c>
      <c r="Q91" s="98">
        <v>54</v>
      </c>
      <c r="R91" s="58">
        <f t="shared" si="5"/>
        <v>418500</v>
      </c>
      <c r="S91" s="59">
        <v>202306</v>
      </c>
      <c r="T91" s="97" t="s">
        <v>538</v>
      </c>
      <c r="U91" s="97"/>
      <c r="V91" s="104">
        <v>52.837501525999997</v>
      </c>
      <c r="W91" s="103"/>
      <c r="X91" s="64"/>
      <c r="Y91" s="64"/>
      <c r="Z91" s="107" t="s">
        <v>539</v>
      </c>
      <c r="AA91" s="108">
        <v>0.3</v>
      </c>
      <c r="AB91" s="108">
        <v>180</v>
      </c>
      <c r="AC91" s="108">
        <v>54</v>
      </c>
    </row>
    <row r="92" spans="1:29" s="3" customFormat="1" ht="15" customHeight="1">
      <c r="A92" s="65" t="s">
        <v>260</v>
      </c>
      <c r="B92" s="85" t="s">
        <v>213</v>
      </c>
      <c r="C92" s="86" t="s">
        <v>417</v>
      </c>
      <c r="D92" s="85" t="s">
        <v>418</v>
      </c>
      <c r="E92" s="65" t="s">
        <v>514</v>
      </c>
      <c r="F92" s="65" t="s">
        <v>515</v>
      </c>
      <c r="G92" s="65" t="s">
        <v>34</v>
      </c>
      <c r="H92" s="53" t="s">
        <v>516</v>
      </c>
      <c r="I92" s="53" t="e">
        <f>VLOOKUP(H92,合同高级查询数据!$A$2:$A$51,1,FALSE)</f>
        <v>#N/A</v>
      </c>
      <c r="J92" s="88" t="s">
        <v>440</v>
      </c>
      <c r="K92" s="65" t="s">
        <v>540</v>
      </c>
      <c r="L92" s="53" t="s">
        <v>541</v>
      </c>
      <c r="M92" s="65"/>
      <c r="N92" s="89"/>
      <c r="O92" s="65" t="s">
        <v>542</v>
      </c>
      <c r="P92" s="90">
        <v>7750</v>
      </c>
      <c r="Q92" s="98">
        <v>2</v>
      </c>
      <c r="R92" s="58">
        <f t="shared" si="5"/>
        <v>15500</v>
      </c>
      <c r="S92" s="59">
        <v>202306</v>
      </c>
      <c r="T92" s="97" t="s">
        <v>543</v>
      </c>
      <c r="U92" s="97"/>
      <c r="V92" s="104">
        <v>1.94</v>
      </c>
      <c r="W92" s="103"/>
      <c r="X92" s="64"/>
      <c r="Y92" s="64"/>
      <c r="Z92" s="107" t="s">
        <v>544</v>
      </c>
      <c r="AA92" s="108">
        <v>0.1</v>
      </c>
      <c r="AB92" s="108">
        <v>10</v>
      </c>
      <c r="AC92" s="108">
        <v>1</v>
      </c>
    </row>
    <row r="93" spans="1:29" s="3" customFormat="1" ht="15" customHeight="1">
      <c r="A93" s="65" t="s">
        <v>260</v>
      </c>
      <c r="B93" s="85" t="s">
        <v>213</v>
      </c>
      <c r="C93" s="86" t="s">
        <v>545</v>
      </c>
      <c r="D93" s="86" t="s">
        <v>215</v>
      </c>
      <c r="E93" s="65" t="s">
        <v>546</v>
      </c>
      <c r="F93" s="86" t="s">
        <v>547</v>
      </c>
      <c r="G93" s="65" t="s">
        <v>34</v>
      </c>
      <c r="H93" s="53" t="s">
        <v>548</v>
      </c>
      <c r="I93" s="53" t="e">
        <f>VLOOKUP(H93,合同高级查询数据!$A$2:$A$51,1,FALSE)</f>
        <v>#N/A</v>
      </c>
      <c r="J93" s="88" t="s">
        <v>36</v>
      </c>
      <c r="K93" s="65" t="s">
        <v>549</v>
      </c>
      <c r="L93" s="53" t="s">
        <v>547</v>
      </c>
      <c r="M93" s="65"/>
      <c r="N93" s="92" t="s">
        <v>550</v>
      </c>
      <c r="O93" s="93" t="s">
        <v>551</v>
      </c>
      <c r="P93" s="90">
        <v>9833</v>
      </c>
      <c r="Q93" s="98"/>
      <c r="R93" s="58">
        <f t="shared" si="5"/>
        <v>0</v>
      </c>
      <c r="S93" s="59">
        <v>202306</v>
      </c>
      <c r="T93" s="97" t="s">
        <v>552</v>
      </c>
      <c r="U93" s="97"/>
      <c r="V93" s="102">
        <v>0</v>
      </c>
      <c r="W93" s="103"/>
      <c r="X93" s="64"/>
      <c r="Y93" s="64"/>
      <c r="Z93" s="107" t="s">
        <v>553</v>
      </c>
      <c r="AA93" s="108" t="s">
        <v>180</v>
      </c>
      <c r="AB93" s="108">
        <v>0</v>
      </c>
      <c r="AC93" s="108">
        <v>0</v>
      </c>
    </row>
    <row r="94" spans="1:29" s="3" customFormat="1" ht="15" customHeight="1">
      <c r="A94" s="65" t="s">
        <v>260</v>
      </c>
      <c r="B94" s="85" t="s">
        <v>213</v>
      </c>
      <c r="C94" s="86" t="s">
        <v>545</v>
      </c>
      <c r="D94" s="86" t="s">
        <v>215</v>
      </c>
      <c r="E94" s="65" t="s">
        <v>546</v>
      </c>
      <c r="F94" s="86" t="s">
        <v>547</v>
      </c>
      <c r="G94" s="65" t="s">
        <v>34</v>
      </c>
      <c r="H94" s="53" t="s">
        <v>548</v>
      </c>
      <c r="I94" s="53" t="e">
        <f>VLOOKUP(H94,合同高级查询数据!$A$2:$A$51,1,FALSE)</f>
        <v>#N/A</v>
      </c>
      <c r="J94" s="88" t="s">
        <v>36</v>
      </c>
      <c r="K94" s="65" t="s">
        <v>554</v>
      </c>
      <c r="L94" s="53" t="s">
        <v>555</v>
      </c>
      <c r="M94" s="65"/>
      <c r="N94" s="92" t="s">
        <v>556</v>
      </c>
      <c r="O94" s="93" t="s">
        <v>557</v>
      </c>
      <c r="P94" s="90">
        <v>11500</v>
      </c>
      <c r="Q94" s="98">
        <v>8.6999999999999993</v>
      </c>
      <c r="R94" s="58">
        <f t="shared" si="5"/>
        <v>100050</v>
      </c>
      <c r="S94" s="59">
        <v>202306</v>
      </c>
      <c r="T94" s="97" t="s">
        <v>558</v>
      </c>
      <c r="U94" s="97"/>
      <c r="V94" s="104">
        <v>8.6529485130000001</v>
      </c>
      <c r="W94" s="103"/>
      <c r="X94" s="64"/>
      <c r="Y94" s="64"/>
      <c r="Z94" s="107" t="s">
        <v>559</v>
      </c>
      <c r="AA94" s="108">
        <v>0.4</v>
      </c>
      <c r="AB94" s="108">
        <v>60</v>
      </c>
      <c r="AC94" s="108">
        <f>AA94*AB94</f>
        <v>24</v>
      </c>
    </row>
    <row r="95" spans="1:29" s="2" customFormat="1" ht="15" customHeight="1">
      <c r="A95" s="5" t="s">
        <v>260</v>
      </c>
      <c r="B95" s="6" t="s">
        <v>213</v>
      </c>
      <c r="C95" s="7" t="s">
        <v>214</v>
      </c>
      <c r="D95" s="7" t="s">
        <v>215</v>
      </c>
      <c r="E95" s="5" t="s">
        <v>560</v>
      </c>
      <c r="F95" s="5" t="s">
        <v>438</v>
      </c>
      <c r="G95" s="5" t="s">
        <v>34</v>
      </c>
      <c r="H95" s="11" t="s">
        <v>561</v>
      </c>
      <c r="I95" s="11" t="e">
        <f>VLOOKUP(H95,合同高级查询数据!$A$2:$A$51,1,FALSE)</f>
        <v>#N/A</v>
      </c>
      <c r="J95" s="14" t="s">
        <v>36</v>
      </c>
      <c r="K95" s="5" t="s">
        <v>281</v>
      </c>
      <c r="L95" s="11" t="s">
        <v>562</v>
      </c>
      <c r="M95" s="5"/>
      <c r="N95" s="19">
        <v>43889</v>
      </c>
      <c r="O95" s="5" t="s">
        <v>277</v>
      </c>
      <c r="P95" s="20">
        <v>0</v>
      </c>
      <c r="Q95" s="26"/>
      <c r="R95" s="27">
        <f t="shared" si="5"/>
        <v>0</v>
      </c>
      <c r="S95" s="28">
        <v>202306</v>
      </c>
      <c r="T95" s="29" t="s">
        <v>563</v>
      </c>
      <c r="U95" s="29"/>
      <c r="V95" s="101">
        <v>0</v>
      </c>
      <c r="W95" s="35"/>
      <c r="X95" s="36">
        <v>43825</v>
      </c>
      <c r="Y95" s="36">
        <v>45549</v>
      </c>
      <c r="Z95" s="42" t="s">
        <v>564</v>
      </c>
      <c r="AA95" s="43" t="s">
        <v>565</v>
      </c>
      <c r="AB95" s="43">
        <v>100</v>
      </c>
      <c r="AC95" s="43">
        <v>0</v>
      </c>
    </row>
    <row r="96" spans="1:29" s="2" customFormat="1" ht="15" customHeight="1">
      <c r="A96" s="5" t="s">
        <v>260</v>
      </c>
      <c r="B96" s="6" t="s">
        <v>213</v>
      </c>
      <c r="C96" s="7" t="s">
        <v>417</v>
      </c>
      <c r="D96" s="6" t="s">
        <v>418</v>
      </c>
      <c r="E96" s="5" t="s">
        <v>566</v>
      </c>
      <c r="F96" s="5" t="s">
        <v>420</v>
      </c>
      <c r="G96" s="5" t="s">
        <v>34</v>
      </c>
      <c r="H96" s="11" t="s">
        <v>567</v>
      </c>
      <c r="I96" s="11" t="e">
        <f>VLOOKUP(H96,合同高级查询数据!$A$2:$A$51,1,FALSE)</f>
        <v>#N/A</v>
      </c>
      <c r="J96" s="14" t="s">
        <v>75</v>
      </c>
      <c r="K96" s="5" t="s">
        <v>568</v>
      </c>
      <c r="L96" s="11" t="s">
        <v>569</v>
      </c>
      <c r="M96" s="5"/>
      <c r="N96" s="19"/>
      <c r="O96" s="5" t="s">
        <v>222</v>
      </c>
      <c r="P96" s="91" t="s">
        <v>570</v>
      </c>
      <c r="Q96" s="26">
        <v>2</v>
      </c>
      <c r="R96" s="27">
        <f>ROUND(2*50000,2)</f>
        <v>100000</v>
      </c>
      <c r="S96" s="28">
        <v>202306</v>
      </c>
      <c r="T96" s="29" t="s">
        <v>571</v>
      </c>
      <c r="U96" s="29"/>
      <c r="V96" s="34">
        <v>1.2503565679999999</v>
      </c>
      <c r="W96" s="35"/>
      <c r="X96" s="36">
        <v>44013</v>
      </c>
      <c r="Y96" s="36">
        <v>45107</v>
      </c>
      <c r="Z96" s="42" t="s">
        <v>568</v>
      </c>
      <c r="AA96" s="43">
        <v>0.1</v>
      </c>
      <c r="AB96" s="43">
        <v>20</v>
      </c>
      <c r="AC96" s="43">
        <v>2</v>
      </c>
    </row>
    <row r="97" spans="1:29" s="2" customFormat="1" ht="15" customHeight="1">
      <c r="A97" s="5" t="s">
        <v>212</v>
      </c>
      <c r="B97" s="6" t="s">
        <v>213</v>
      </c>
      <c r="C97" s="7" t="s">
        <v>417</v>
      </c>
      <c r="D97" s="6" t="s">
        <v>418</v>
      </c>
      <c r="E97" s="5" t="s">
        <v>572</v>
      </c>
      <c r="F97" s="5" t="s">
        <v>573</v>
      </c>
      <c r="G97" s="5" t="s">
        <v>34</v>
      </c>
      <c r="H97" s="11" t="s">
        <v>574</v>
      </c>
      <c r="I97" s="11" t="e">
        <f>VLOOKUP(H97,合同高级查询数据!$A$2:$A$51,1,FALSE)</f>
        <v>#N/A</v>
      </c>
      <c r="J97" s="14" t="s">
        <v>36</v>
      </c>
      <c r="K97" s="5" t="s">
        <v>575</v>
      </c>
      <c r="L97" s="11" t="s">
        <v>576</v>
      </c>
      <c r="M97" s="5"/>
      <c r="N97" s="19" t="s">
        <v>577</v>
      </c>
      <c r="O97" s="5" t="s">
        <v>578</v>
      </c>
      <c r="P97" s="20">
        <v>9000</v>
      </c>
      <c r="Q97" s="26">
        <v>25.8</v>
      </c>
      <c r="R97" s="27">
        <f t="shared" ref="R97:R142" si="6">ROUND(P97*Q97,2)</f>
        <v>232200</v>
      </c>
      <c r="S97" s="28">
        <v>202306</v>
      </c>
      <c r="T97" s="29" t="s">
        <v>579</v>
      </c>
      <c r="U97" s="29"/>
      <c r="V97" s="34">
        <v>24.578996199999999</v>
      </c>
      <c r="W97" s="35">
        <v>26.9</v>
      </c>
      <c r="X97" s="36">
        <v>44562</v>
      </c>
      <c r="Y97" s="36">
        <v>45291</v>
      </c>
      <c r="Z97" s="42" t="s">
        <v>580</v>
      </c>
      <c r="AA97" s="43">
        <v>0.3</v>
      </c>
      <c r="AB97" s="43">
        <v>180</v>
      </c>
      <c r="AC97" s="43">
        <f>AA97*AB97-30</f>
        <v>24</v>
      </c>
    </row>
    <row r="98" spans="1:29" s="2" customFormat="1" ht="15" customHeight="1">
      <c r="A98" s="5" t="s">
        <v>212</v>
      </c>
      <c r="B98" s="6" t="s">
        <v>213</v>
      </c>
      <c r="C98" s="7" t="s">
        <v>417</v>
      </c>
      <c r="D98" s="6" t="s">
        <v>418</v>
      </c>
      <c r="E98" s="5" t="s">
        <v>572</v>
      </c>
      <c r="F98" s="5" t="s">
        <v>573</v>
      </c>
      <c r="G98" s="5" t="s">
        <v>34</v>
      </c>
      <c r="H98" s="11" t="s">
        <v>574</v>
      </c>
      <c r="I98" s="11" t="e">
        <f>VLOOKUP(H98,合同高级查询数据!$A$2:$A$51,1,FALSE)</f>
        <v>#N/A</v>
      </c>
      <c r="J98" s="14" t="s">
        <v>36</v>
      </c>
      <c r="K98" s="5" t="s">
        <v>575</v>
      </c>
      <c r="L98" s="11" t="s">
        <v>581</v>
      </c>
      <c r="M98" s="5"/>
      <c r="N98" s="19">
        <v>44804</v>
      </c>
      <c r="O98" s="5" t="s">
        <v>582</v>
      </c>
      <c r="P98" s="20">
        <v>9000</v>
      </c>
      <c r="Q98" s="26">
        <v>88.4</v>
      </c>
      <c r="R98" s="27">
        <f t="shared" si="6"/>
        <v>795600</v>
      </c>
      <c r="S98" s="28">
        <v>202306</v>
      </c>
      <c r="T98" s="29" t="s">
        <v>583</v>
      </c>
      <c r="U98" s="29"/>
      <c r="V98" s="34">
        <v>86.563282165000004</v>
      </c>
      <c r="W98" s="35">
        <v>90.2</v>
      </c>
      <c r="X98" s="36">
        <v>44562</v>
      </c>
      <c r="Y98" s="36">
        <v>45291</v>
      </c>
      <c r="Z98" s="42" t="s">
        <v>584</v>
      </c>
      <c r="AA98" s="43">
        <v>0.3</v>
      </c>
      <c r="AB98" s="43">
        <v>300</v>
      </c>
      <c r="AC98" s="43">
        <v>90</v>
      </c>
    </row>
    <row r="99" spans="1:29" s="2" customFormat="1" ht="15" customHeight="1">
      <c r="A99" s="5" t="s">
        <v>212</v>
      </c>
      <c r="B99" s="6" t="s">
        <v>213</v>
      </c>
      <c r="C99" s="7" t="s">
        <v>417</v>
      </c>
      <c r="D99" s="6" t="s">
        <v>418</v>
      </c>
      <c r="E99" s="5" t="s">
        <v>572</v>
      </c>
      <c r="F99" s="5" t="s">
        <v>573</v>
      </c>
      <c r="G99" s="5" t="s">
        <v>34</v>
      </c>
      <c r="H99" s="11" t="s">
        <v>574</v>
      </c>
      <c r="I99" s="11" t="e">
        <f>VLOOKUP(H99,合同高级查询数据!$A$2:$A$51,1,FALSE)</f>
        <v>#N/A</v>
      </c>
      <c r="J99" s="14" t="s">
        <v>440</v>
      </c>
      <c r="K99" s="5" t="s">
        <v>585</v>
      </c>
      <c r="L99" s="11" t="s">
        <v>586</v>
      </c>
      <c r="M99" s="5" t="s">
        <v>587</v>
      </c>
      <c r="N99" s="19" t="s">
        <v>588</v>
      </c>
      <c r="O99" s="5" t="s">
        <v>589</v>
      </c>
      <c r="P99" s="20">
        <v>9000</v>
      </c>
      <c r="Q99" s="26"/>
      <c r="R99" s="27">
        <f t="shared" si="6"/>
        <v>0</v>
      </c>
      <c r="S99" s="28">
        <v>202306</v>
      </c>
      <c r="T99" s="29" t="s">
        <v>590</v>
      </c>
      <c r="U99" s="29"/>
      <c r="V99" s="101">
        <v>0</v>
      </c>
      <c r="W99" s="35"/>
      <c r="X99" s="36">
        <v>44562</v>
      </c>
      <c r="Y99" s="36">
        <v>45291</v>
      </c>
      <c r="Z99" s="42" t="s">
        <v>591</v>
      </c>
      <c r="AA99" s="43" t="s">
        <v>180</v>
      </c>
      <c r="AB99" s="43">
        <v>0</v>
      </c>
      <c r="AC99" s="43">
        <v>0</v>
      </c>
    </row>
    <row r="100" spans="1:29" s="2" customFormat="1" ht="15" customHeight="1">
      <c r="A100" s="5" t="s">
        <v>212</v>
      </c>
      <c r="B100" s="6" t="s">
        <v>213</v>
      </c>
      <c r="C100" s="7" t="s">
        <v>417</v>
      </c>
      <c r="D100" s="6" t="s">
        <v>418</v>
      </c>
      <c r="E100" s="5" t="s">
        <v>572</v>
      </c>
      <c r="F100" s="5" t="s">
        <v>573</v>
      </c>
      <c r="G100" s="5" t="s">
        <v>34</v>
      </c>
      <c r="H100" s="11" t="s">
        <v>574</v>
      </c>
      <c r="I100" s="11" t="e">
        <f>VLOOKUP(H100,合同高级查询数据!$A$2:$A$51,1,FALSE)</f>
        <v>#N/A</v>
      </c>
      <c r="J100" s="14" t="s">
        <v>422</v>
      </c>
      <c r="K100" s="5" t="s">
        <v>592</v>
      </c>
      <c r="L100" s="11" t="s">
        <v>593</v>
      </c>
      <c r="M100" s="5"/>
      <c r="N100" s="19"/>
      <c r="O100" s="5" t="s">
        <v>434</v>
      </c>
      <c r="P100" s="20">
        <v>9000</v>
      </c>
      <c r="Q100" s="26">
        <v>76.5</v>
      </c>
      <c r="R100" s="27">
        <f t="shared" si="6"/>
        <v>688500</v>
      </c>
      <c r="S100" s="28">
        <v>202306</v>
      </c>
      <c r="T100" s="29" t="s">
        <v>594</v>
      </c>
      <c r="U100" s="29"/>
      <c r="V100" s="34">
        <v>77.776348964999997</v>
      </c>
      <c r="W100" s="35">
        <v>76.5</v>
      </c>
      <c r="X100" s="36">
        <v>44562</v>
      </c>
      <c r="Y100" s="36">
        <v>45291</v>
      </c>
      <c r="Z100" s="42" t="s">
        <v>595</v>
      </c>
      <c r="AA100" s="43">
        <v>0.24</v>
      </c>
      <c r="AB100" s="43">
        <v>200</v>
      </c>
      <c r="AC100" s="43">
        <v>48</v>
      </c>
    </row>
    <row r="101" spans="1:29" s="3" customFormat="1" ht="15" customHeight="1">
      <c r="A101" s="65" t="s">
        <v>212</v>
      </c>
      <c r="B101" s="85" t="s">
        <v>213</v>
      </c>
      <c r="C101" s="86" t="s">
        <v>417</v>
      </c>
      <c r="D101" s="85" t="s">
        <v>418</v>
      </c>
      <c r="E101" s="65" t="s">
        <v>572</v>
      </c>
      <c r="F101" s="65" t="s">
        <v>573</v>
      </c>
      <c r="G101" s="65" t="s">
        <v>34</v>
      </c>
      <c r="H101" s="53" t="s">
        <v>596</v>
      </c>
      <c r="I101" s="53" t="e">
        <f>VLOOKUP(H101,合同高级查询数据!$A$2:$A$51,1,FALSE)</f>
        <v>#N/A</v>
      </c>
      <c r="J101" s="88" t="s">
        <v>36</v>
      </c>
      <c r="K101" s="65" t="s">
        <v>597</v>
      </c>
      <c r="L101" s="53" t="s">
        <v>598</v>
      </c>
      <c r="M101" s="65" t="s">
        <v>599</v>
      </c>
      <c r="N101" s="89" t="s">
        <v>600</v>
      </c>
      <c r="O101" s="65" t="s">
        <v>601</v>
      </c>
      <c r="P101" s="90">
        <v>0</v>
      </c>
      <c r="Q101" s="98"/>
      <c r="R101" s="58">
        <f t="shared" si="6"/>
        <v>0</v>
      </c>
      <c r="S101" s="59">
        <v>202306</v>
      </c>
      <c r="T101" s="97" t="s">
        <v>602</v>
      </c>
      <c r="U101" s="97"/>
      <c r="V101" s="102">
        <v>0</v>
      </c>
      <c r="W101" s="103"/>
      <c r="X101" s="64"/>
      <c r="Y101" s="64"/>
      <c r="Z101" s="107" t="s">
        <v>597</v>
      </c>
      <c r="AA101" s="108" t="s">
        <v>180</v>
      </c>
      <c r="AB101" s="108">
        <v>0</v>
      </c>
      <c r="AC101" s="108">
        <v>0</v>
      </c>
    </row>
    <row r="102" spans="1:29" s="3" customFormat="1" ht="15" customHeight="1">
      <c r="A102" s="65" t="s">
        <v>212</v>
      </c>
      <c r="B102" s="85" t="s">
        <v>213</v>
      </c>
      <c r="C102" s="86" t="s">
        <v>417</v>
      </c>
      <c r="D102" s="85" t="s">
        <v>418</v>
      </c>
      <c r="E102" s="65" t="s">
        <v>572</v>
      </c>
      <c r="F102" s="65" t="s">
        <v>573</v>
      </c>
      <c r="G102" s="65" t="s">
        <v>34</v>
      </c>
      <c r="H102" s="53" t="s">
        <v>603</v>
      </c>
      <c r="I102" s="53" t="e">
        <f>VLOOKUP(H102,合同高级查询数据!$A$2:$A$51,1,FALSE)</f>
        <v>#N/A</v>
      </c>
      <c r="J102" s="88" t="s">
        <v>36</v>
      </c>
      <c r="K102" s="65" t="s">
        <v>575</v>
      </c>
      <c r="L102" s="53" t="s">
        <v>604</v>
      </c>
      <c r="M102" s="65"/>
      <c r="N102" s="92" t="s">
        <v>605</v>
      </c>
      <c r="O102" s="93" t="s">
        <v>606</v>
      </c>
      <c r="P102" s="90">
        <v>0</v>
      </c>
      <c r="Q102" s="98"/>
      <c r="R102" s="58">
        <f t="shared" si="6"/>
        <v>0</v>
      </c>
      <c r="S102" s="59">
        <v>202306</v>
      </c>
      <c r="T102" s="97" t="s">
        <v>607</v>
      </c>
      <c r="U102" s="97"/>
      <c r="V102" s="102">
        <v>0</v>
      </c>
      <c r="W102" s="103"/>
      <c r="X102" s="64"/>
      <c r="Y102" s="64"/>
      <c r="Z102" s="107" t="s">
        <v>608</v>
      </c>
      <c r="AA102" s="108" t="s">
        <v>565</v>
      </c>
      <c r="AB102" s="108">
        <v>140</v>
      </c>
      <c r="AC102" s="108">
        <v>0</v>
      </c>
    </row>
    <row r="103" spans="1:29" s="2" customFormat="1" ht="15" customHeight="1">
      <c r="A103" s="5" t="s">
        <v>212</v>
      </c>
      <c r="B103" s="6" t="s">
        <v>213</v>
      </c>
      <c r="C103" s="7" t="s">
        <v>417</v>
      </c>
      <c r="D103" s="6" t="s">
        <v>418</v>
      </c>
      <c r="E103" s="5" t="s">
        <v>572</v>
      </c>
      <c r="F103" s="5" t="s">
        <v>573</v>
      </c>
      <c r="G103" s="5" t="s">
        <v>34</v>
      </c>
      <c r="H103" s="11" t="s">
        <v>574</v>
      </c>
      <c r="I103" s="11" t="e">
        <f>VLOOKUP(H103,合同高级查询数据!$A$2:$A$51,1,FALSE)</f>
        <v>#N/A</v>
      </c>
      <c r="J103" s="14" t="s">
        <v>36</v>
      </c>
      <c r="K103" s="5" t="s">
        <v>575</v>
      </c>
      <c r="L103" s="11" t="s">
        <v>609</v>
      </c>
      <c r="M103" s="5"/>
      <c r="N103" s="19">
        <v>44866</v>
      </c>
      <c r="O103" s="5" t="s">
        <v>610</v>
      </c>
      <c r="P103" s="20">
        <v>9000</v>
      </c>
      <c r="Q103" s="26">
        <v>150</v>
      </c>
      <c r="R103" s="27">
        <f t="shared" si="6"/>
        <v>1350000</v>
      </c>
      <c r="S103" s="28">
        <v>202306</v>
      </c>
      <c r="T103" s="29" t="s">
        <v>611</v>
      </c>
      <c r="U103" s="29"/>
      <c r="V103" s="34">
        <v>146.11733410599999</v>
      </c>
      <c r="W103" s="35">
        <v>150</v>
      </c>
      <c r="X103" s="36">
        <v>44562</v>
      </c>
      <c r="Y103" s="36">
        <v>45291</v>
      </c>
      <c r="Z103" s="42" t="s">
        <v>612</v>
      </c>
      <c r="AA103" s="43">
        <v>0.3</v>
      </c>
      <c r="AB103" s="43">
        <v>500</v>
      </c>
      <c r="AC103" s="43">
        <v>150</v>
      </c>
    </row>
    <row r="104" spans="1:29" s="3" customFormat="1" ht="15" customHeight="1">
      <c r="A104" s="65" t="s">
        <v>212</v>
      </c>
      <c r="B104" s="85" t="s">
        <v>213</v>
      </c>
      <c r="C104" s="86" t="s">
        <v>214</v>
      </c>
      <c r="D104" s="86" t="s">
        <v>215</v>
      </c>
      <c r="E104" s="65" t="s">
        <v>613</v>
      </c>
      <c r="F104" s="65" t="s">
        <v>614</v>
      </c>
      <c r="G104" s="65" t="s">
        <v>34</v>
      </c>
      <c r="H104" s="53" t="s">
        <v>615</v>
      </c>
      <c r="I104" s="53" t="e">
        <f>VLOOKUP(H104,合同高级查询数据!$A$2:$A$51,1,FALSE)</f>
        <v>#N/A</v>
      </c>
      <c r="J104" s="88" t="s">
        <v>36</v>
      </c>
      <c r="K104" s="65" t="s">
        <v>508</v>
      </c>
      <c r="L104" s="53" t="s">
        <v>616</v>
      </c>
      <c r="M104" s="65" t="s">
        <v>510</v>
      </c>
      <c r="N104" s="89">
        <v>44958</v>
      </c>
      <c r="O104" s="65" t="s">
        <v>78</v>
      </c>
      <c r="P104" s="90">
        <v>9000</v>
      </c>
      <c r="Q104" s="98">
        <v>17.7</v>
      </c>
      <c r="R104" s="58">
        <f t="shared" si="6"/>
        <v>159300</v>
      </c>
      <c r="S104" s="59">
        <v>202306</v>
      </c>
      <c r="T104" s="97" t="s">
        <v>617</v>
      </c>
      <c r="U104" s="97"/>
      <c r="V104" s="104">
        <v>17.7</v>
      </c>
      <c r="W104" s="103"/>
      <c r="X104" s="64"/>
      <c r="Y104" s="64"/>
      <c r="Z104" s="107" t="s">
        <v>618</v>
      </c>
      <c r="AA104" s="108">
        <v>0.3</v>
      </c>
      <c r="AB104" s="109">
        <v>30</v>
      </c>
      <c r="AC104" s="108">
        <f>AA104*AB104</f>
        <v>9</v>
      </c>
    </row>
    <row r="105" spans="1:29" s="3" customFormat="1" ht="15" customHeight="1">
      <c r="A105" s="65" t="s">
        <v>212</v>
      </c>
      <c r="B105" s="85" t="s">
        <v>213</v>
      </c>
      <c r="C105" s="86" t="s">
        <v>417</v>
      </c>
      <c r="D105" s="85" t="s">
        <v>418</v>
      </c>
      <c r="E105" s="65" t="s">
        <v>619</v>
      </c>
      <c r="F105" s="65" t="s">
        <v>620</v>
      </c>
      <c r="G105" s="65" t="s">
        <v>34</v>
      </c>
      <c r="H105" s="53" t="s">
        <v>621</v>
      </c>
      <c r="I105" s="53" t="e">
        <f>VLOOKUP(H105,合同高级查询数据!$A$2:$A$51,1,FALSE)</f>
        <v>#N/A</v>
      </c>
      <c r="J105" s="88" t="s">
        <v>233</v>
      </c>
      <c r="K105" s="65" t="s">
        <v>622</v>
      </c>
      <c r="L105" s="53" t="s">
        <v>623</v>
      </c>
      <c r="M105" s="65" t="s">
        <v>624</v>
      </c>
      <c r="N105" s="89">
        <v>43132</v>
      </c>
      <c r="O105" s="65" t="s">
        <v>237</v>
      </c>
      <c r="P105" s="90">
        <v>9000</v>
      </c>
      <c r="Q105" s="98">
        <v>127.5</v>
      </c>
      <c r="R105" s="58">
        <f t="shared" si="6"/>
        <v>1147500</v>
      </c>
      <c r="S105" s="59">
        <v>202306</v>
      </c>
      <c r="T105" s="97" t="s">
        <v>625</v>
      </c>
      <c r="U105" s="97"/>
      <c r="V105" s="104">
        <v>127.48601879899999</v>
      </c>
      <c r="W105" s="103"/>
      <c r="X105" s="64"/>
      <c r="Y105" s="64"/>
      <c r="Z105" s="107" t="s">
        <v>626</v>
      </c>
      <c r="AA105" s="108">
        <v>0.3</v>
      </c>
      <c r="AB105" s="108">
        <v>240</v>
      </c>
      <c r="AC105" s="108">
        <v>72</v>
      </c>
    </row>
    <row r="106" spans="1:29" s="3" customFormat="1" ht="15" customHeight="1">
      <c r="A106" s="65" t="s">
        <v>212</v>
      </c>
      <c r="B106" s="85" t="s">
        <v>213</v>
      </c>
      <c r="C106" s="86" t="s">
        <v>417</v>
      </c>
      <c r="D106" s="85" t="s">
        <v>418</v>
      </c>
      <c r="E106" s="65" t="s">
        <v>619</v>
      </c>
      <c r="F106" s="65" t="s">
        <v>620</v>
      </c>
      <c r="G106" s="65" t="s">
        <v>34</v>
      </c>
      <c r="H106" s="53" t="s">
        <v>627</v>
      </c>
      <c r="I106" s="53" t="e">
        <f>VLOOKUP(H106,合同高级查询数据!$A$2:$A$51,1,FALSE)</f>
        <v>#N/A</v>
      </c>
      <c r="J106" s="88" t="s">
        <v>36</v>
      </c>
      <c r="K106" s="65" t="s">
        <v>628</v>
      </c>
      <c r="L106" s="53" t="s">
        <v>629</v>
      </c>
      <c r="M106" s="65"/>
      <c r="N106" s="89" t="s">
        <v>630</v>
      </c>
      <c r="O106" s="93" t="s">
        <v>631</v>
      </c>
      <c r="P106" s="90">
        <v>9000</v>
      </c>
      <c r="Q106" s="98">
        <v>51</v>
      </c>
      <c r="R106" s="58">
        <f t="shared" si="6"/>
        <v>459000</v>
      </c>
      <c r="S106" s="59">
        <v>202306</v>
      </c>
      <c r="T106" s="97" t="s">
        <v>632</v>
      </c>
      <c r="U106" s="97"/>
      <c r="V106" s="104">
        <v>48.792492447000001</v>
      </c>
      <c r="W106" s="103"/>
      <c r="X106" s="64"/>
      <c r="Y106" s="64"/>
      <c r="Z106" s="107" t="s">
        <v>633</v>
      </c>
      <c r="AA106" s="108">
        <v>0.3</v>
      </c>
      <c r="AB106" s="108">
        <v>160</v>
      </c>
      <c r="AC106" s="108">
        <f>AA106*AB106+10*0.3</f>
        <v>51</v>
      </c>
    </row>
    <row r="107" spans="1:29" s="3" customFormat="1" ht="15" customHeight="1">
      <c r="A107" s="65" t="s">
        <v>212</v>
      </c>
      <c r="B107" s="85" t="s">
        <v>213</v>
      </c>
      <c r="C107" s="86" t="s">
        <v>417</v>
      </c>
      <c r="D107" s="85" t="s">
        <v>418</v>
      </c>
      <c r="E107" s="65" t="s">
        <v>619</v>
      </c>
      <c r="F107" s="65" t="s">
        <v>620</v>
      </c>
      <c r="G107" s="65" t="s">
        <v>34</v>
      </c>
      <c r="H107" s="53" t="s">
        <v>627</v>
      </c>
      <c r="I107" s="53" t="e">
        <f>VLOOKUP(H107,合同高级查询数据!$A$2:$A$51,1,FALSE)</f>
        <v>#N/A</v>
      </c>
      <c r="J107" s="88" t="s">
        <v>36</v>
      </c>
      <c r="K107" s="65" t="s">
        <v>634</v>
      </c>
      <c r="L107" s="53" t="s">
        <v>635</v>
      </c>
      <c r="M107" s="65"/>
      <c r="N107" s="89">
        <v>44774</v>
      </c>
      <c r="O107" s="65" t="s">
        <v>434</v>
      </c>
      <c r="P107" s="90">
        <v>9000</v>
      </c>
      <c r="Q107" s="98">
        <v>60</v>
      </c>
      <c r="R107" s="58">
        <f t="shared" si="6"/>
        <v>540000</v>
      </c>
      <c r="S107" s="59">
        <v>202306</v>
      </c>
      <c r="T107" s="97" t="s">
        <v>636</v>
      </c>
      <c r="U107" s="97"/>
      <c r="V107" s="104">
        <v>58.621448516999997</v>
      </c>
      <c r="W107" s="103"/>
      <c r="X107" s="64"/>
      <c r="Y107" s="64"/>
      <c r="Z107" s="107" t="s">
        <v>637</v>
      </c>
      <c r="AA107" s="108">
        <v>0.3</v>
      </c>
      <c r="AB107" s="108">
        <v>200</v>
      </c>
      <c r="AC107" s="108">
        <v>60</v>
      </c>
    </row>
    <row r="108" spans="1:29" s="3" customFormat="1" ht="15" customHeight="1">
      <c r="A108" s="65" t="s">
        <v>212</v>
      </c>
      <c r="B108" s="85" t="s">
        <v>213</v>
      </c>
      <c r="C108" s="86" t="s">
        <v>417</v>
      </c>
      <c r="D108" s="85" t="s">
        <v>418</v>
      </c>
      <c r="E108" s="65" t="s">
        <v>619</v>
      </c>
      <c r="F108" s="65" t="s">
        <v>620</v>
      </c>
      <c r="G108" s="65" t="s">
        <v>34</v>
      </c>
      <c r="H108" s="53" t="s">
        <v>627</v>
      </c>
      <c r="I108" s="53" t="e">
        <f>VLOOKUP(H108,合同高级查询数据!$A$2:$A$51,1,FALSE)</f>
        <v>#N/A</v>
      </c>
      <c r="J108" s="88" t="s">
        <v>36</v>
      </c>
      <c r="K108" s="65" t="s">
        <v>638</v>
      </c>
      <c r="L108" s="53" t="s">
        <v>620</v>
      </c>
      <c r="M108" s="65"/>
      <c r="N108" s="89">
        <v>44774</v>
      </c>
      <c r="O108" s="65" t="s">
        <v>250</v>
      </c>
      <c r="P108" s="90">
        <v>9000</v>
      </c>
      <c r="Q108" s="98">
        <v>59</v>
      </c>
      <c r="R108" s="58">
        <f t="shared" si="6"/>
        <v>531000</v>
      </c>
      <c r="S108" s="59">
        <v>202306</v>
      </c>
      <c r="T108" s="97" t="s">
        <v>639</v>
      </c>
      <c r="U108" s="97"/>
      <c r="V108" s="104">
        <v>58.605363769</v>
      </c>
      <c r="W108" s="103"/>
      <c r="X108" s="64"/>
      <c r="Y108" s="64"/>
      <c r="Z108" s="107" t="s">
        <v>640</v>
      </c>
      <c r="AA108" s="108">
        <v>0.3</v>
      </c>
      <c r="AB108" s="108">
        <v>180</v>
      </c>
      <c r="AC108" s="108">
        <v>54</v>
      </c>
    </row>
    <row r="109" spans="1:29" s="3" customFormat="1" ht="15" customHeight="1">
      <c r="A109" s="65" t="s">
        <v>212</v>
      </c>
      <c r="B109" s="85" t="s">
        <v>213</v>
      </c>
      <c r="C109" s="86" t="s">
        <v>417</v>
      </c>
      <c r="D109" s="85" t="s">
        <v>418</v>
      </c>
      <c r="E109" s="65" t="s">
        <v>619</v>
      </c>
      <c r="F109" s="65" t="s">
        <v>620</v>
      </c>
      <c r="G109" s="65" t="s">
        <v>34</v>
      </c>
      <c r="H109" s="53" t="s">
        <v>627</v>
      </c>
      <c r="I109" s="53" t="e">
        <f>VLOOKUP(H109,合同高级查询数据!$A$2:$A$51,1,FALSE)</f>
        <v>#N/A</v>
      </c>
      <c r="J109" s="88" t="s">
        <v>440</v>
      </c>
      <c r="K109" s="65" t="s">
        <v>641</v>
      </c>
      <c r="L109" s="53" t="s">
        <v>642</v>
      </c>
      <c r="M109" s="65" t="s">
        <v>643</v>
      </c>
      <c r="N109" s="89" t="s">
        <v>644</v>
      </c>
      <c r="O109" s="65" t="s">
        <v>645</v>
      </c>
      <c r="P109" s="90">
        <v>9000</v>
      </c>
      <c r="Q109" s="98"/>
      <c r="R109" s="58">
        <f t="shared" si="6"/>
        <v>0</v>
      </c>
      <c r="S109" s="59">
        <v>202306</v>
      </c>
      <c r="T109" s="97" t="s">
        <v>646</v>
      </c>
      <c r="U109" s="97"/>
      <c r="V109" s="102">
        <v>0</v>
      </c>
      <c r="W109" s="103"/>
      <c r="X109" s="64"/>
      <c r="Y109" s="64"/>
      <c r="Z109" s="107" t="s">
        <v>647</v>
      </c>
      <c r="AA109" s="108" t="s">
        <v>180</v>
      </c>
      <c r="AB109" s="108">
        <v>0</v>
      </c>
      <c r="AC109" s="108">
        <v>0</v>
      </c>
    </row>
    <row r="110" spans="1:29" s="3" customFormat="1" ht="15" customHeight="1">
      <c r="A110" s="65" t="s">
        <v>212</v>
      </c>
      <c r="B110" s="85" t="s">
        <v>213</v>
      </c>
      <c r="C110" s="86" t="s">
        <v>417</v>
      </c>
      <c r="D110" s="85" t="s">
        <v>418</v>
      </c>
      <c r="E110" s="65" t="s">
        <v>619</v>
      </c>
      <c r="F110" s="65" t="s">
        <v>620</v>
      </c>
      <c r="G110" s="65" t="s">
        <v>34</v>
      </c>
      <c r="H110" s="53" t="s">
        <v>627</v>
      </c>
      <c r="I110" s="53" t="e">
        <f>VLOOKUP(H110,合同高级查询数据!$A$2:$A$51,1,FALSE)</f>
        <v>#N/A</v>
      </c>
      <c r="J110" s="88" t="s">
        <v>36</v>
      </c>
      <c r="K110" s="65"/>
      <c r="L110" s="53" t="s">
        <v>648</v>
      </c>
      <c r="M110" s="65" t="s">
        <v>649</v>
      </c>
      <c r="N110" s="89" t="s">
        <v>650</v>
      </c>
      <c r="O110" s="65" t="s">
        <v>651</v>
      </c>
      <c r="P110" s="90">
        <v>9000</v>
      </c>
      <c r="Q110" s="98"/>
      <c r="R110" s="58">
        <f t="shared" si="6"/>
        <v>0</v>
      </c>
      <c r="S110" s="59">
        <v>202306</v>
      </c>
      <c r="T110" s="97" t="s">
        <v>652</v>
      </c>
      <c r="U110" s="97"/>
      <c r="V110" s="102"/>
      <c r="W110" s="103"/>
      <c r="X110" s="64"/>
      <c r="Y110" s="64"/>
      <c r="Z110" s="107" t="s">
        <v>653</v>
      </c>
      <c r="AA110" s="108" t="s">
        <v>180</v>
      </c>
      <c r="AB110" s="108">
        <v>0</v>
      </c>
      <c r="AC110" s="108">
        <v>0</v>
      </c>
    </row>
    <row r="111" spans="1:29" s="3" customFormat="1" ht="15" customHeight="1">
      <c r="A111" s="65" t="s">
        <v>212</v>
      </c>
      <c r="B111" s="85" t="s">
        <v>213</v>
      </c>
      <c r="C111" s="86" t="s">
        <v>417</v>
      </c>
      <c r="D111" s="85" t="s">
        <v>418</v>
      </c>
      <c r="E111" s="65" t="s">
        <v>619</v>
      </c>
      <c r="F111" s="65" t="s">
        <v>620</v>
      </c>
      <c r="G111" s="65" t="s">
        <v>34</v>
      </c>
      <c r="H111" s="53" t="s">
        <v>627</v>
      </c>
      <c r="I111" s="53" t="e">
        <f>VLOOKUP(H111,合同高级查询数据!$A$2:$A$51,1,FALSE)</f>
        <v>#N/A</v>
      </c>
      <c r="J111" s="88" t="s">
        <v>36</v>
      </c>
      <c r="K111" s="65"/>
      <c r="L111" s="53" t="s">
        <v>654</v>
      </c>
      <c r="M111" s="65" t="s">
        <v>655</v>
      </c>
      <c r="N111" s="89" t="s">
        <v>656</v>
      </c>
      <c r="O111" s="65" t="s">
        <v>657</v>
      </c>
      <c r="P111" s="90">
        <v>9000</v>
      </c>
      <c r="Q111" s="98"/>
      <c r="R111" s="58">
        <f t="shared" si="6"/>
        <v>0</v>
      </c>
      <c r="S111" s="59">
        <v>202306</v>
      </c>
      <c r="T111" s="97" t="s">
        <v>658</v>
      </c>
      <c r="U111" s="97"/>
      <c r="V111" s="102"/>
      <c r="W111" s="103"/>
      <c r="X111" s="64"/>
      <c r="Y111" s="64"/>
      <c r="Z111" s="107" t="s">
        <v>659</v>
      </c>
      <c r="AA111" s="108" t="s">
        <v>180</v>
      </c>
      <c r="AB111" s="108">
        <v>0</v>
      </c>
      <c r="AC111" s="108">
        <v>0</v>
      </c>
    </row>
    <row r="112" spans="1:29" s="3" customFormat="1" ht="15" customHeight="1">
      <c r="A112" s="65" t="s">
        <v>212</v>
      </c>
      <c r="B112" s="85" t="s">
        <v>213</v>
      </c>
      <c r="C112" s="86" t="s">
        <v>417</v>
      </c>
      <c r="D112" s="85" t="s">
        <v>418</v>
      </c>
      <c r="E112" s="65" t="s">
        <v>619</v>
      </c>
      <c r="F112" s="65" t="s">
        <v>620</v>
      </c>
      <c r="G112" s="65" t="s">
        <v>34</v>
      </c>
      <c r="H112" s="53" t="s">
        <v>660</v>
      </c>
      <c r="I112" s="53" t="e">
        <f>VLOOKUP(H112,合同高级查询数据!$A$2:$A$51,1,FALSE)</f>
        <v>#N/A</v>
      </c>
      <c r="J112" s="88" t="s">
        <v>36</v>
      </c>
      <c r="K112" s="65" t="s">
        <v>661</v>
      </c>
      <c r="L112" s="53" t="s">
        <v>662</v>
      </c>
      <c r="M112" s="65"/>
      <c r="N112" s="89" t="s">
        <v>663</v>
      </c>
      <c r="O112" s="65" t="s">
        <v>664</v>
      </c>
      <c r="P112" s="90">
        <v>9000</v>
      </c>
      <c r="Q112" s="98"/>
      <c r="R112" s="58">
        <f t="shared" si="6"/>
        <v>0</v>
      </c>
      <c r="S112" s="59">
        <v>202306</v>
      </c>
      <c r="T112" s="97" t="s">
        <v>665</v>
      </c>
      <c r="U112" s="97"/>
      <c r="V112" s="102"/>
      <c r="W112" s="103"/>
      <c r="X112" s="64"/>
      <c r="Y112" s="64"/>
      <c r="Z112" s="107" t="s">
        <v>666</v>
      </c>
      <c r="AA112" s="108" t="s">
        <v>565</v>
      </c>
      <c r="AB112" s="108">
        <v>100</v>
      </c>
      <c r="AC112" s="108">
        <v>0</v>
      </c>
    </row>
    <row r="113" spans="1:29" s="3" customFormat="1" ht="15" customHeight="1">
      <c r="A113" s="65" t="s">
        <v>212</v>
      </c>
      <c r="B113" s="85" t="s">
        <v>213</v>
      </c>
      <c r="C113" s="86" t="s">
        <v>417</v>
      </c>
      <c r="D113" s="85" t="s">
        <v>418</v>
      </c>
      <c r="E113" s="65" t="s">
        <v>619</v>
      </c>
      <c r="F113" s="65" t="s">
        <v>620</v>
      </c>
      <c r="G113" s="65" t="s">
        <v>34</v>
      </c>
      <c r="H113" s="53" t="s">
        <v>667</v>
      </c>
      <c r="I113" s="53" t="e">
        <f>VLOOKUP(H113,合同高级查询数据!$A$2:$A$51,1,FALSE)</f>
        <v>#N/A</v>
      </c>
      <c r="J113" s="88" t="s">
        <v>36</v>
      </c>
      <c r="K113" s="65"/>
      <c r="L113" s="53" t="s">
        <v>668</v>
      </c>
      <c r="M113" s="65" t="s">
        <v>669</v>
      </c>
      <c r="N113" s="89">
        <v>44958</v>
      </c>
      <c r="O113" s="65" t="s">
        <v>670</v>
      </c>
      <c r="P113" s="90">
        <v>0</v>
      </c>
      <c r="Q113" s="98"/>
      <c r="R113" s="58">
        <f t="shared" si="6"/>
        <v>0</v>
      </c>
      <c r="S113" s="59">
        <v>202306</v>
      </c>
      <c r="T113" s="97" t="s">
        <v>671</v>
      </c>
      <c r="U113" s="97"/>
      <c r="V113" s="102">
        <v>0</v>
      </c>
      <c r="W113" s="103"/>
      <c r="X113" s="64"/>
      <c r="Y113" s="64"/>
      <c r="Z113" s="107" t="s">
        <v>672</v>
      </c>
      <c r="AA113" s="108" t="s">
        <v>565</v>
      </c>
      <c r="AB113" s="108">
        <v>120</v>
      </c>
      <c r="AC113" s="108">
        <v>0</v>
      </c>
    </row>
    <row r="114" spans="1:29" s="3" customFormat="1" ht="15" customHeight="1">
      <c r="A114" s="65" t="s">
        <v>212</v>
      </c>
      <c r="B114" s="85" t="s">
        <v>213</v>
      </c>
      <c r="C114" s="86" t="s">
        <v>545</v>
      </c>
      <c r="D114" s="86" t="s">
        <v>215</v>
      </c>
      <c r="E114" s="65" t="s">
        <v>673</v>
      </c>
      <c r="F114" s="65" t="s">
        <v>674</v>
      </c>
      <c r="G114" s="65" t="s">
        <v>34</v>
      </c>
      <c r="H114" s="53" t="s">
        <v>675</v>
      </c>
      <c r="I114" s="53" t="e">
        <f>VLOOKUP(H114,合同高级查询数据!$A$2:$A$51,1,FALSE)</f>
        <v>#N/A</v>
      </c>
      <c r="J114" s="88" t="s">
        <v>36</v>
      </c>
      <c r="K114" s="65" t="s">
        <v>676</v>
      </c>
      <c r="L114" s="53" t="s">
        <v>674</v>
      </c>
      <c r="M114" s="65"/>
      <c r="N114" s="89" t="s">
        <v>677</v>
      </c>
      <c r="O114" s="65" t="s">
        <v>678</v>
      </c>
      <c r="P114" s="90">
        <v>10000</v>
      </c>
      <c r="Q114" s="98">
        <v>30</v>
      </c>
      <c r="R114" s="58">
        <f t="shared" si="6"/>
        <v>300000</v>
      </c>
      <c r="S114" s="59">
        <v>202306</v>
      </c>
      <c r="T114" s="97" t="s">
        <v>679</v>
      </c>
      <c r="U114" s="97"/>
      <c r="V114" s="104">
        <v>28.78934864</v>
      </c>
      <c r="W114" s="103"/>
      <c r="X114" s="64"/>
      <c r="Y114" s="64"/>
      <c r="Z114" s="107" t="s">
        <v>680</v>
      </c>
      <c r="AA114" s="108">
        <v>0.3</v>
      </c>
      <c r="AB114" s="108">
        <v>100</v>
      </c>
      <c r="AC114" s="108">
        <v>30</v>
      </c>
    </row>
    <row r="115" spans="1:29" s="3" customFormat="1" ht="15" customHeight="1">
      <c r="A115" s="65" t="s">
        <v>212</v>
      </c>
      <c r="B115" s="85" t="s">
        <v>213</v>
      </c>
      <c r="C115" s="86" t="s">
        <v>417</v>
      </c>
      <c r="D115" s="85" t="s">
        <v>418</v>
      </c>
      <c r="E115" s="65" t="s">
        <v>681</v>
      </c>
      <c r="F115" s="65" t="s">
        <v>682</v>
      </c>
      <c r="G115" s="65" t="s">
        <v>34</v>
      </c>
      <c r="H115" s="53" t="s">
        <v>683</v>
      </c>
      <c r="I115" s="53" t="e">
        <f>VLOOKUP(H115,合同高级查询数据!$A$2:$A$51,1,FALSE)</f>
        <v>#N/A</v>
      </c>
      <c r="J115" s="88" t="s">
        <v>36</v>
      </c>
      <c r="K115" s="65" t="s">
        <v>684</v>
      </c>
      <c r="L115" s="53" t="s">
        <v>682</v>
      </c>
      <c r="M115" s="65"/>
      <c r="N115" s="89" t="s">
        <v>685</v>
      </c>
      <c r="O115" s="65" t="s">
        <v>686</v>
      </c>
      <c r="P115" s="90">
        <v>9000</v>
      </c>
      <c r="Q115" s="98">
        <v>18</v>
      </c>
      <c r="R115" s="58">
        <f t="shared" si="6"/>
        <v>162000</v>
      </c>
      <c r="S115" s="59">
        <v>202306</v>
      </c>
      <c r="T115" s="97" t="s">
        <v>687</v>
      </c>
      <c r="U115" s="97"/>
      <c r="V115" s="104">
        <v>16.817293319000001</v>
      </c>
      <c r="W115" s="103"/>
      <c r="X115" s="64"/>
      <c r="Y115" s="64"/>
      <c r="Z115" s="107" t="s">
        <v>688</v>
      </c>
      <c r="AA115" s="108">
        <v>0.3</v>
      </c>
      <c r="AB115" s="108">
        <v>60</v>
      </c>
      <c r="AC115" s="108">
        <v>18</v>
      </c>
    </row>
    <row r="116" spans="1:29" s="2" customFormat="1" ht="15" customHeight="1">
      <c r="A116" s="5" t="s">
        <v>267</v>
      </c>
      <c r="B116" s="6" t="s">
        <v>213</v>
      </c>
      <c r="C116" s="7" t="s">
        <v>214</v>
      </c>
      <c r="D116" s="7" t="s">
        <v>215</v>
      </c>
      <c r="E116" s="5" t="s">
        <v>689</v>
      </c>
      <c r="F116" s="5" t="s">
        <v>690</v>
      </c>
      <c r="G116" s="5" t="s">
        <v>34</v>
      </c>
      <c r="H116" s="11" t="s">
        <v>691</v>
      </c>
      <c r="I116" s="11" t="e">
        <f>VLOOKUP(H116,合同高级查询数据!$A$2:$A$51,1,FALSE)</f>
        <v>#N/A</v>
      </c>
      <c r="J116" s="14" t="s">
        <v>36</v>
      </c>
      <c r="K116" s="5" t="s">
        <v>508</v>
      </c>
      <c r="L116" s="11" t="s">
        <v>692</v>
      </c>
      <c r="M116" s="5" t="s">
        <v>510</v>
      </c>
      <c r="N116" s="19">
        <v>44958</v>
      </c>
      <c r="O116" s="5" t="s">
        <v>693</v>
      </c>
      <c r="P116" s="20">
        <v>6740</v>
      </c>
      <c r="Q116" s="26">
        <v>29.54</v>
      </c>
      <c r="R116" s="27">
        <f t="shared" si="6"/>
        <v>199099.6</v>
      </c>
      <c r="S116" s="28">
        <v>202306</v>
      </c>
      <c r="T116" s="29" t="s">
        <v>694</v>
      </c>
      <c r="U116" s="29"/>
      <c r="V116" s="34">
        <v>29.543968200999998</v>
      </c>
      <c r="W116" s="35"/>
      <c r="X116" s="36">
        <v>44958</v>
      </c>
      <c r="Y116" s="36">
        <v>45107</v>
      </c>
      <c r="Z116" s="42" t="s">
        <v>695</v>
      </c>
      <c r="AA116" s="43">
        <v>0.4</v>
      </c>
      <c r="AB116" s="111">
        <v>70</v>
      </c>
      <c r="AC116" s="43">
        <f>AA116*AB116</f>
        <v>28</v>
      </c>
    </row>
    <row r="117" spans="1:29" s="3" customFormat="1" ht="15" customHeight="1">
      <c r="A117" s="65" t="s">
        <v>267</v>
      </c>
      <c r="B117" s="85" t="s">
        <v>213</v>
      </c>
      <c r="C117" s="86" t="s">
        <v>214</v>
      </c>
      <c r="D117" s="85" t="s">
        <v>215</v>
      </c>
      <c r="E117" s="65" t="s">
        <v>696</v>
      </c>
      <c r="F117" s="65" t="s">
        <v>697</v>
      </c>
      <c r="G117" s="65" t="s">
        <v>34</v>
      </c>
      <c r="H117" s="53" t="s">
        <v>698</v>
      </c>
      <c r="I117" s="53" t="e">
        <f>VLOOKUP(H117,合同高级查询数据!$A$2:$A$51,1,FALSE)</f>
        <v>#N/A</v>
      </c>
      <c r="J117" s="88" t="s">
        <v>75</v>
      </c>
      <c r="K117" s="65" t="s">
        <v>699</v>
      </c>
      <c r="L117" s="53" t="s">
        <v>700</v>
      </c>
      <c r="M117" s="65"/>
      <c r="N117" s="89" t="s">
        <v>701</v>
      </c>
      <c r="O117" s="65" t="s">
        <v>702</v>
      </c>
      <c r="P117" s="90">
        <v>120000</v>
      </c>
      <c r="Q117" s="98">
        <v>4</v>
      </c>
      <c r="R117" s="58">
        <f t="shared" si="6"/>
        <v>480000</v>
      </c>
      <c r="S117" s="59">
        <v>202306</v>
      </c>
      <c r="T117" s="97" t="s">
        <v>703</v>
      </c>
      <c r="U117" s="97"/>
      <c r="V117" s="104">
        <v>3.691825707</v>
      </c>
      <c r="W117" s="103"/>
      <c r="X117" s="64"/>
      <c r="Y117" s="64"/>
      <c r="Z117" s="107" t="s">
        <v>704</v>
      </c>
      <c r="AA117" s="108">
        <v>0.2</v>
      </c>
      <c r="AB117" s="108">
        <v>20</v>
      </c>
      <c r="AC117" s="108">
        <v>4</v>
      </c>
    </row>
    <row r="118" spans="1:29" s="3" customFormat="1" ht="15" customHeight="1">
      <c r="A118" s="65" t="s">
        <v>267</v>
      </c>
      <c r="B118" s="85" t="s">
        <v>213</v>
      </c>
      <c r="C118" s="86" t="s">
        <v>214</v>
      </c>
      <c r="D118" s="85" t="s">
        <v>215</v>
      </c>
      <c r="E118" s="65" t="s">
        <v>696</v>
      </c>
      <c r="F118" s="65" t="s">
        <v>697</v>
      </c>
      <c r="G118" s="65" t="s">
        <v>34</v>
      </c>
      <c r="H118" s="53" t="s">
        <v>705</v>
      </c>
      <c r="I118" s="53" t="e">
        <f>VLOOKUP(H118,合同高级查询数据!$A$2:$A$51,1,FALSE)</f>
        <v>#N/A</v>
      </c>
      <c r="J118" s="88" t="s">
        <v>233</v>
      </c>
      <c r="K118" s="65" t="s">
        <v>706</v>
      </c>
      <c r="L118" s="53" t="s">
        <v>697</v>
      </c>
      <c r="M118" s="65"/>
      <c r="N118" s="89" t="s">
        <v>707</v>
      </c>
      <c r="O118" s="65" t="s">
        <v>708</v>
      </c>
      <c r="P118" s="90">
        <v>15000</v>
      </c>
      <c r="Q118" s="98">
        <v>119.33</v>
      </c>
      <c r="R118" s="58">
        <f t="shared" si="6"/>
        <v>1789950</v>
      </c>
      <c r="S118" s="59">
        <v>202306</v>
      </c>
      <c r="T118" s="97" t="s">
        <v>709</v>
      </c>
      <c r="U118" s="97"/>
      <c r="V118" s="104">
        <v>119.32682964</v>
      </c>
      <c r="W118" s="103"/>
      <c r="X118" s="64"/>
      <c r="Y118" s="64"/>
      <c r="Z118" s="107" t="s">
        <v>710</v>
      </c>
      <c r="AA118" s="108">
        <v>0.1</v>
      </c>
      <c r="AB118" s="108">
        <v>200</v>
      </c>
      <c r="AC118" s="108">
        <v>20</v>
      </c>
    </row>
    <row r="119" spans="1:29" s="3" customFormat="1" ht="15" customHeight="1">
      <c r="A119" s="65" t="s">
        <v>267</v>
      </c>
      <c r="B119" s="85" t="s">
        <v>213</v>
      </c>
      <c r="C119" s="86" t="s">
        <v>214</v>
      </c>
      <c r="D119" s="85" t="s">
        <v>215</v>
      </c>
      <c r="E119" s="65" t="s">
        <v>711</v>
      </c>
      <c r="F119" s="65" t="s">
        <v>712</v>
      </c>
      <c r="G119" s="65" t="s">
        <v>34</v>
      </c>
      <c r="H119" s="53" t="s">
        <v>713</v>
      </c>
      <c r="I119" s="53" t="e">
        <f>VLOOKUP(H119,合同高级查询数据!$A$2:$A$51,1,FALSE)</f>
        <v>#N/A</v>
      </c>
      <c r="J119" s="88" t="s">
        <v>233</v>
      </c>
      <c r="K119" s="65" t="s">
        <v>714</v>
      </c>
      <c r="L119" s="53" t="s">
        <v>715</v>
      </c>
      <c r="M119" s="65"/>
      <c r="N119" s="92" t="s">
        <v>716</v>
      </c>
      <c r="O119" s="93" t="s">
        <v>717</v>
      </c>
      <c r="P119" s="90">
        <v>6740</v>
      </c>
      <c r="Q119" s="98">
        <v>160</v>
      </c>
      <c r="R119" s="58">
        <f t="shared" si="6"/>
        <v>1078400</v>
      </c>
      <c r="S119" s="59">
        <v>202306</v>
      </c>
      <c r="T119" s="97" t="s">
        <v>718</v>
      </c>
      <c r="U119" s="97"/>
      <c r="V119" s="104">
        <v>147.65522391535001</v>
      </c>
      <c r="W119" s="103"/>
      <c r="X119" s="64"/>
      <c r="Y119" s="64"/>
      <c r="Z119" s="107" t="s">
        <v>719</v>
      </c>
      <c r="AA119" s="108">
        <v>0.4</v>
      </c>
      <c r="AB119" s="108">
        <v>400</v>
      </c>
      <c r="AC119" s="108">
        <f>AA119*AB119</f>
        <v>160</v>
      </c>
    </row>
    <row r="120" spans="1:29" s="3" customFormat="1" ht="15" customHeight="1">
      <c r="A120" s="65" t="s">
        <v>267</v>
      </c>
      <c r="B120" s="85" t="s">
        <v>213</v>
      </c>
      <c r="C120" s="86" t="s">
        <v>214</v>
      </c>
      <c r="D120" s="86" t="s">
        <v>215</v>
      </c>
      <c r="E120" s="65" t="s">
        <v>720</v>
      </c>
      <c r="F120" s="65" t="s">
        <v>721</v>
      </c>
      <c r="G120" s="65" t="s">
        <v>34</v>
      </c>
      <c r="H120" s="53" t="s">
        <v>722</v>
      </c>
      <c r="I120" s="53" t="e">
        <f>VLOOKUP(H120,合同高级查询数据!$A$2:$A$51,1,FALSE)</f>
        <v>#N/A</v>
      </c>
      <c r="J120" s="88" t="s">
        <v>36</v>
      </c>
      <c r="K120" s="65" t="s">
        <v>723</v>
      </c>
      <c r="L120" s="53" t="s">
        <v>724</v>
      </c>
      <c r="M120" s="65" t="s">
        <v>725</v>
      </c>
      <c r="N120" s="92" t="s">
        <v>726</v>
      </c>
      <c r="O120" s="93" t="s">
        <v>727</v>
      </c>
      <c r="P120" s="90">
        <v>6740</v>
      </c>
      <c r="Q120" s="98"/>
      <c r="R120" s="58">
        <f t="shared" si="6"/>
        <v>0</v>
      </c>
      <c r="S120" s="59">
        <v>202306</v>
      </c>
      <c r="T120" s="110" t="s">
        <v>728</v>
      </c>
      <c r="U120" s="97"/>
      <c r="V120" s="102">
        <v>0</v>
      </c>
      <c r="W120" s="103"/>
      <c r="X120" s="64"/>
      <c r="Y120" s="64"/>
      <c r="Z120" s="107" t="s">
        <v>729</v>
      </c>
      <c r="AA120" s="108" t="s">
        <v>180</v>
      </c>
      <c r="AB120" s="108">
        <v>0</v>
      </c>
      <c r="AC120" s="108">
        <v>0</v>
      </c>
    </row>
    <row r="121" spans="1:29" s="2" customFormat="1" ht="15" customHeight="1">
      <c r="A121" s="5" t="s">
        <v>267</v>
      </c>
      <c r="B121" s="6" t="s">
        <v>213</v>
      </c>
      <c r="C121" s="7" t="s">
        <v>214</v>
      </c>
      <c r="D121" s="7" t="s">
        <v>215</v>
      </c>
      <c r="E121" s="5" t="s">
        <v>730</v>
      </c>
      <c r="F121" s="5" t="s">
        <v>731</v>
      </c>
      <c r="G121" s="5" t="s">
        <v>34</v>
      </c>
      <c r="H121" s="11" t="s">
        <v>732</v>
      </c>
      <c r="I121" s="11" t="e">
        <f>VLOOKUP(H121,合同高级查询数据!$A$2:$A$51,1,FALSE)</f>
        <v>#N/A</v>
      </c>
      <c r="J121" s="14" t="s">
        <v>36</v>
      </c>
      <c r="K121" s="5" t="s">
        <v>733</v>
      </c>
      <c r="L121" s="11" t="s">
        <v>731</v>
      </c>
      <c r="M121" s="5" t="s">
        <v>734</v>
      </c>
      <c r="N121" s="19">
        <v>44927</v>
      </c>
      <c r="O121" s="5" t="s">
        <v>735</v>
      </c>
      <c r="P121" s="20">
        <v>6740</v>
      </c>
      <c r="Q121" s="26">
        <v>111.91</v>
      </c>
      <c r="R121" s="27">
        <f t="shared" si="6"/>
        <v>754273.4</v>
      </c>
      <c r="S121" s="28">
        <v>202306</v>
      </c>
      <c r="T121" s="29" t="s">
        <v>736</v>
      </c>
      <c r="U121" s="29"/>
      <c r="V121" s="34">
        <v>111.90802002</v>
      </c>
      <c r="W121" s="35"/>
      <c r="X121" s="36">
        <v>44905</v>
      </c>
      <c r="Y121" s="36">
        <v>45269</v>
      </c>
      <c r="Z121" s="42" t="s">
        <v>737</v>
      </c>
      <c r="AA121" s="43">
        <v>0.4</v>
      </c>
      <c r="AB121" s="43">
        <v>220</v>
      </c>
      <c r="AC121" s="43">
        <v>88</v>
      </c>
    </row>
    <row r="122" spans="1:29" s="2" customFormat="1" ht="15" customHeight="1">
      <c r="A122" s="5" t="s">
        <v>267</v>
      </c>
      <c r="B122" s="6" t="s">
        <v>213</v>
      </c>
      <c r="C122" s="7" t="s">
        <v>214</v>
      </c>
      <c r="D122" s="7" t="s">
        <v>215</v>
      </c>
      <c r="E122" s="5" t="s">
        <v>738</v>
      </c>
      <c r="F122" s="5" t="s">
        <v>739</v>
      </c>
      <c r="G122" s="5" t="s">
        <v>34</v>
      </c>
      <c r="H122" s="11" t="s">
        <v>740</v>
      </c>
      <c r="I122" s="11" t="e">
        <f>VLOOKUP(H122,合同高级查询数据!$A$2:$A$51,1,FALSE)</f>
        <v>#N/A</v>
      </c>
      <c r="J122" s="14" t="s">
        <v>36</v>
      </c>
      <c r="K122" s="5" t="s">
        <v>741</v>
      </c>
      <c r="L122" s="11" t="s">
        <v>739</v>
      </c>
      <c r="M122" s="5"/>
      <c r="N122" s="19" t="s">
        <v>742</v>
      </c>
      <c r="O122" s="5" t="s">
        <v>743</v>
      </c>
      <c r="P122" s="20">
        <v>6740</v>
      </c>
      <c r="Q122" s="26"/>
      <c r="R122" s="27">
        <f t="shared" si="6"/>
        <v>0</v>
      </c>
      <c r="S122" s="28">
        <v>202306</v>
      </c>
      <c r="T122" s="29" t="s">
        <v>744</v>
      </c>
      <c r="U122" s="29"/>
      <c r="V122" s="101">
        <v>0</v>
      </c>
      <c r="W122" s="35"/>
      <c r="X122" s="36">
        <v>44927</v>
      </c>
      <c r="Y122" s="36">
        <v>45107</v>
      </c>
      <c r="Z122" s="42" t="s">
        <v>745</v>
      </c>
      <c r="AA122" s="43" t="s">
        <v>180</v>
      </c>
      <c r="AB122" s="43">
        <v>0</v>
      </c>
      <c r="AC122" s="43">
        <v>0</v>
      </c>
    </row>
    <row r="123" spans="1:29" s="2" customFormat="1" ht="15" customHeight="1">
      <c r="A123" s="5" t="s">
        <v>267</v>
      </c>
      <c r="B123" s="6" t="s">
        <v>213</v>
      </c>
      <c r="C123" s="7" t="s">
        <v>214</v>
      </c>
      <c r="D123" s="7" t="s">
        <v>215</v>
      </c>
      <c r="E123" s="5" t="s">
        <v>738</v>
      </c>
      <c r="F123" s="5" t="s">
        <v>739</v>
      </c>
      <c r="G123" s="5" t="s">
        <v>34</v>
      </c>
      <c r="H123" s="11" t="s">
        <v>740</v>
      </c>
      <c r="I123" s="11" t="e">
        <f>VLOOKUP(H123,合同高级查询数据!$A$2:$A$51,1,FALSE)</f>
        <v>#N/A</v>
      </c>
      <c r="J123" s="14" t="s">
        <v>440</v>
      </c>
      <c r="K123" s="5" t="s">
        <v>746</v>
      </c>
      <c r="L123" s="11" t="s">
        <v>747</v>
      </c>
      <c r="M123" s="5"/>
      <c r="N123" s="19" t="s">
        <v>748</v>
      </c>
      <c r="O123" s="5" t="s">
        <v>749</v>
      </c>
      <c r="P123" s="20">
        <v>6740</v>
      </c>
      <c r="Q123" s="26">
        <v>4</v>
      </c>
      <c r="R123" s="27">
        <f t="shared" si="6"/>
        <v>26960</v>
      </c>
      <c r="S123" s="28">
        <v>202306</v>
      </c>
      <c r="T123" s="29" t="s">
        <v>750</v>
      </c>
      <c r="U123" s="29"/>
      <c r="V123" s="34">
        <v>1.1000000000000001</v>
      </c>
      <c r="W123" s="35"/>
      <c r="X123" s="36">
        <v>44927</v>
      </c>
      <c r="Y123" s="36">
        <v>45107</v>
      </c>
      <c r="Z123" s="42" t="s">
        <v>751</v>
      </c>
      <c r="AA123" s="43">
        <v>0.4</v>
      </c>
      <c r="AB123" s="43">
        <v>10</v>
      </c>
      <c r="AC123" s="43">
        <v>4</v>
      </c>
    </row>
    <row r="124" spans="1:29" s="2" customFormat="1" ht="15" customHeight="1">
      <c r="A124" s="5" t="s">
        <v>267</v>
      </c>
      <c r="B124" s="6" t="s">
        <v>213</v>
      </c>
      <c r="C124" s="7" t="s">
        <v>214</v>
      </c>
      <c r="D124" s="7" t="s">
        <v>215</v>
      </c>
      <c r="E124" s="5" t="s">
        <v>738</v>
      </c>
      <c r="F124" s="5" t="s">
        <v>739</v>
      </c>
      <c r="G124" s="5" t="s">
        <v>34</v>
      </c>
      <c r="H124" s="11" t="s">
        <v>740</v>
      </c>
      <c r="I124" s="11" t="e">
        <f>VLOOKUP(H124,合同高级查询数据!$A$2:$A$51,1,FALSE)</f>
        <v>#N/A</v>
      </c>
      <c r="J124" s="14" t="s">
        <v>36</v>
      </c>
      <c r="K124" s="5" t="s">
        <v>752</v>
      </c>
      <c r="L124" s="11" t="s">
        <v>753</v>
      </c>
      <c r="M124" s="5"/>
      <c r="N124" s="19" t="s">
        <v>754</v>
      </c>
      <c r="O124" s="5" t="s">
        <v>755</v>
      </c>
      <c r="P124" s="20">
        <v>0</v>
      </c>
      <c r="Q124" s="26"/>
      <c r="R124" s="27">
        <f t="shared" si="6"/>
        <v>0</v>
      </c>
      <c r="S124" s="28">
        <v>202306</v>
      </c>
      <c r="T124" s="29" t="s">
        <v>756</v>
      </c>
      <c r="U124" s="29"/>
      <c r="V124" s="101">
        <v>0</v>
      </c>
      <c r="W124" s="35"/>
      <c r="X124" s="36">
        <v>44927</v>
      </c>
      <c r="Y124" s="36">
        <v>45107</v>
      </c>
      <c r="Z124" s="42" t="s">
        <v>757</v>
      </c>
      <c r="AA124" s="43" t="s">
        <v>180</v>
      </c>
      <c r="AB124" s="43">
        <v>0</v>
      </c>
      <c r="AC124" s="43">
        <v>0</v>
      </c>
    </row>
    <row r="125" spans="1:29" s="2" customFormat="1" ht="15" customHeight="1">
      <c r="A125" s="5" t="s">
        <v>267</v>
      </c>
      <c r="B125" s="6" t="s">
        <v>213</v>
      </c>
      <c r="C125" s="7" t="s">
        <v>214</v>
      </c>
      <c r="D125" s="7" t="s">
        <v>215</v>
      </c>
      <c r="E125" s="5" t="s">
        <v>738</v>
      </c>
      <c r="F125" s="5" t="s">
        <v>739</v>
      </c>
      <c r="G125" s="5" t="s">
        <v>34</v>
      </c>
      <c r="H125" s="11" t="s">
        <v>740</v>
      </c>
      <c r="I125" s="11" t="e">
        <f>VLOOKUP(H125,合同高级查询数据!$A$2:$A$51,1,FALSE)</f>
        <v>#N/A</v>
      </c>
      <c r="J125" s="14" t="s">
        <v>36</v>
      </c>
      <c r="K125" s="5" t="s">
        <v>758</v>
      </c>
      <c r="L125" s="11" t="s">
        <v>759</v>
      </c>
      <c r="M125" s="5"/>
      <c r="N125" s="19" t="s">
        <v>760</v>
      </c>
      <c r="O125" s="5" t="s">
        <v>761</v>
      </c>
      <c r="P125" s="20">
        <v>6740</v>
      </c>
      <c r="Q125" s="26">
        <v>12</v>
      </c>
      <c r="R125" s="27">
        <f t="shared" si="6"/>
        <v>80880</v>
      </c>
      <c r="S125" s="28">
        <v>202306</v>
      </c>
      <c r="T125" s="29" t="s">
        <v>762</v>
      </c>
      <c r="U125" s="29"/>
      <c r="V125" s="34">
        <v>11.937999724999999</v>
      </c>
      <c r="W125" s="35"/>
      <c r="X125" s="36">
        <v>44927</v>
      </c>
      <c r="Y125" s="36">
        <v>45107</v>
      </c>
      <c r="Z125" s="42" t="s">
        <v>763</v>
      </c>
      <c r="AA125" s="43">
        <v>0.4</v>
      </c>
      <c r="AB125" s="43">
        <v>30</v>
      </c>
      <c r="AC125" s="43">
        <v>12</v>
      </c>
    </row>
    <row r="126" spans="1:29" s="3" customFormat="1" ht="15" customHeight="1">
      <c r="A126" s="65" t="s">
        <v>267</v>
      </c>
      <c r="B126" s="85" t="s">
        <v>213</v>
      </c>
      <c r="C126" s="86" t="s">
        <v>214</v>
      </c>
      <c r="D126" s="86" t="s">
        <v>215</v>
      </c>
      <c r="E126" s="65" t="s">
        <v>764</v>
      </c>
      <c r="F126" s="65" t="s">
        <v>765</v>
      </c>
      <c r="G126" s="65" t="s">
        <v>34</v>
      </c>
      <c r="H126" s="53" t="s">
        <v>766</v>
      </c>
      <c r="I126" s="53" t="e">
        <f>VLOOKUP(H126,合同高级查询数据!$A$2:$A$51,1,FALSE)</f>
        <v>#N/A</v>
      </c>
      <c r="J126" s="88" t="s">
        <v>36</v>
      </c>
      <c r="K126" s="65" t="s">
        <v>767</v>
      </c>
      <c r="L126" s="53" t="s">
        <v>765</v>
      </c>
      <c r="M126" s="65"/>
      <c r="N126" s="89" t="s">
        <v>768</v>
      </c>
      <c r="O126" s="93" t="s">
        <v>769</v>
      </c>
      <c r="P126" s="90">
        <v>6740</v>
      </c>
      <c r="Q126" s="98">
        <v>112.45</v>
      </c>
      <c r="R126" s="58">
        <f t="shared" si="6"/>
        <v>757913</v>
      </c>
      <c r="S126" s="59">
        <v>202306</v>
      </c>
      <c r="T126" s="97" t="s">
        <v>770</v>
      </c>
      <c r="U126" s="97"/>
      <c r="V126" s="104">
        <v>112.451507568</v>
      </c>
      <c r="W126" s="103"/>
      <c r="X126" s="64"/>
      <c r="Y126" s="64"/>
      <c r="Z126" s="107" t="s">
        <v>771</v>
      </c>
      <c r="AA126" s="108">
        <v>0.4</v>
      </c>
      <c r="AB126" s="108">
        <v>200</v>
      </c>
      <c r="AC126" s="108">
        <v>80</v>
      </c>
    </row>
    <row r="127" spans="1:29" s="2" customFormat="1" ht="14.5" customHeight="1">
      <c r="A127" s="5" t="s">
        <v>267</v>
      </c>
      <c r="B127" s="6" t="s">
        <v>213</v>
      </c>
      <c r="C127" s="7" t="s">
        <v>214</v>
      </c>
      <c r="D127" s="7" t="s">
        <v>215</v>
      </c>
      <c r="E127" s="5" t="s">
        <v>764</v>
      </c>
      <c r="F127" s="5" t="s">
        <v>765</v>
      </c>
      <c r="G127" s="5" t="s">
        <v>34</v>
      </c>
      <c r="H127" s="11" t="s">
        <v>772</v>
      </c>
      <c r="I127" s="11" t="e">
        <f>VLOOKUP(H127,合同高级查询数据!$A$2:$A$51,1,FALSE)</f>
        <v>#N/A</v>
      </c>
      <c r="J127" s="14" t="s">
        <v>36</v>
      </c>
      <c r="K127" s="5" t="s">
        <v>767</v>
      </c>
      <c r="L127" s="11" t="s">
        <v>773</v>
      </c>
      <c r="M127" s="5" t="s">
        <v>774</v>
      </c>
      <c r="N127" s="19">
        <v>44835</v>
      </c>
      <c r="O127" s="5" t="s">
        <v>582</v>
      </c>
      <c r="P127" s="20">
        <v>6740</v>
      </c>
      <c r="Q127" s="26">
        <v>120.1</v>
      </c>
      <c r="R127" s="27">
        <f t="shared" si="6"/>
        <v>809474</v>
      </c>
      <c r="S127" s="28">
        <v>202306</v>
      </c>
      <c r="T127" s="29" t="s">
        <v>775</v>
      </c>
      <c r="U127" s="29"/>
      <c r="V127" s="34">
        <v>120.10105133099999</v>
      </c>
      <c r="W127" s="35"/>
      <c r="X127" s="36">
        <v>44927</v>
      </c>
      <c r="Y127" s="36">
        <v>45107</v>
      </c>
      <c r="Z127" s="42" t="s">
        <v>776</v>
      </c>
      <c r="AA127" s="43">
        <v>0.4</v>
      </c>
      <c r="AB127" s="43">
        <v>300</v>
      </c>
      <c r="AC127" s="43">
        <v>120</v>
      </c>
    </row>
    <row r="128" spans="1:29" s="2" customFormat="1" ht="15" customHeight="1">
      <c r="A128" s="5" t="s">
        <v>267</v>
      </c>
      <c r="B128" s="6" t="s">
        <v>213</v>
      </c>
      <c r="C128" s="7" t="s">
        <v>214</v>
      </c>
      <c r="D128" s="7" t="s">
        <v>215</v>
      </c>
      <c r="E128" s="5" t="s">
        <v>777</v>
      </c>
      <c r="F128" s="5" t="s">
        <v>778</v>
      </c>
      <c r="G128" s="5" t="s">
        <v>34</v>
      </c>
      <c r="H128" s="11" t="s">
        <v>779</v>
      </c>
      <c r="I128" s="11" t="e">
        <f>VLOOKUP(H128,合同高级查询数据!$A$2:$A$51,1,FALSE)</f>
        <v>#N/A</v>
      </c>
      <c r="J128" s="14" t="s">
        <v>36</v>
      </c>
      <c r="K128" s="5" t="s">
        <v>780</v>
      </c>
      <c r="L128" s="11" t="s">
        <v>778</v>
      </c>
      <c r="M128" s="5"/>
      <c r="N128" s="19" t="s">
        <v>781</v>
      </c>
      <c r="O128" s="5" t="s">
        <v>782</v>
      </c>
      <c r="P128" s="20">
        <v>6740</v>
      </c>
      <c r="Q128" s="26"/>
      <c r="R128" s="27">
        <f t="shared" si="6"/>
        <v>0</v>
      </c>
      <c r="S128" s="28">
        <v>202306</v>
      </c>
      <c r="T128" s="29" t="s">
        <v>783</v>
      </c>
      <c r="U128" s="29"/>
      <c r="V128" s="101">
        <v>0</v>
      </c>
      <c r="W128" s="35"/>
      <c r="X128" s="36">
        <v>44927</v>
      </c>
      <c r="Y128" s="36">
        <v>45107</v>
      </c>
      <c r="Z128" s="42" t="s">
        <v>784</v>
      </c>
      <c r="AA128" s="43" t="s">
        <v>180</v>
      </c>
      <c r="AB128" s="43">
        <v>0</v>
      </c>
      <c r="AC128" s="43">
        <v>0</v>
      </c>
    </row>
    <row r="129" spans="1:29" s="2" customFormat="1" ht="15" customHeight="1">
      <c r="A129" s="5" t="s">
        <v>267</v>
      </c>
      <c r="B129" s="6" t="s">
        <v>213</v>
      </c>
      <c r="C129" s="7" t="s">
        <v>214</v>
      </c>
      <c r="D129" s="7" t="s">
        <v>215</v>
      </c>
      <c r="E129" s="5" t="s">
        <v>777</v>
      </c>
      <c r="F129" s="5" t="s">
        <v>778</v>
      </c>
      <c r="G129" s="5" t="s">
        <v>34</v>
      </c>
      <c r="H129" s="11" t="s">
        <v>779</v>
      </c>
      <c r="I129" s="11" t="e">
        <f>VLOOKUP(H129,合同高级查询数据!$A$2:$A$51,1,FALSE)</f>
        <v>#N/A</v>
      </c>
      <c r="J129" s="14" t="s">
        <v>36</v>
      </c>
      <c r="K129" s="5" t="s">
        <v>785</v>
      </c>
      <c r="L129" s="11" t="s">
        <v>786</v>
      </c>
      <c r="M129" s="5"/>
      <c r="N129" s="19" t="s">
        <v>787</v>
      </c>
      <c r="O129" s="125" t="s">
        <v>788</v>
      </c>
      <c r="P129" s="20">
        <v>6740</v>
      </c>
      <c r="Q129" s="26">
        <v>137.91999999999999</v>
      </c>
      <c r="R129" s="27">
        <f t="shared" si="6"/>
        <v>929580.8</v>
      </c>
      <c r="S129" s="28">
        <v>202306</v>
      </c>
      <c r="T129" s="29" t="s">
        <v>789</v>
      </c>
      <c r="U129" s="29"/>
      <c r="V129" s="34">
        <v>137.91810607900001</v>
      </c>
      <c r="W129" s="35"/>
      <c r="X129" s="36">
        <v>44927</v>
      </c>
      <c r="Y129" s="36">
        <v>45107</v>
      </c>
      <c r="Z129" s="42" t="s">
        <v>790</v>
      </c>
      <c r="AA129" s="43">
        <v>0.4</v>
      </c>
      <c r="AB129" s="43">
        <v>340</v>
      </c>
      <c r="AC129" s="43">
        <v>136</v>
      </c>
    </row>
    <row r="130" spans="1:29" s="2" customFormat="1" ht="15" customHeight="1">
      <c r="A130" s="5" t="s">
        <v>267</v>
      </c>
      <c r="B130" s="6" t="s">
        <v>213</v>
      </c>
      <c r="C130" s="7" t="s">
        <v>214</v>
      </c>
      <c r="D130" s="7" t="s">
        <v>215</v>
      </c>
      <c r="E130" s="5" t="s">
        <v>777</v>
      </c>
      <c r="F130" s="5" t="s">
        <v>778</v>
      </c>
      <c r="G130" s="5" t="s">
        <v>34</v>
      </c>
      <c r="H130" s="11" t="s">
        <v>779</v>
      </c>
      <c r="I130" s="11" t="e">
        <f>VLOOKUP(H130,合同高级查询数据!$A$2:$A$51,1,FALSE)</f>
        <v>#N/A</v>
      </c>
      <c r="J130" s="14" t="s">
        <v>36</v>
      </c>
      <c r="K130" s="5" t="s">
        <v>791</v>
      </c>
      <c r="L130" s="11" t="s">
        <v>792</v>
      </c>
      <c r="M130" s="5"/>
      <c r="N130" s="19" t="s">
        <v>793</v>
      </c>
      <c r="O130" s="125" t="s">
        <v>794</v>
      </c>
      <c r="P130" s="20">
        <v>6740</v>
      </c>
      <c r="Q130" s="26">
        <v>10.62</v>
      </c>
      <c r="R130" s="27">
        <f t="shared" si="6"/>
        <v>71578.8</v>
      </c>
      <c r="S130" s="28">
        <v>202306</v>
      </c>
      <c r="T130" s="29" t="s">
        <v>795</v>
      </c>
      <c r="U130" s="29"/>
      <c r="V130" s="34">
        <v>10.619174957</v>
      </c>
      <c r="W130" s="35"/>
      <c r="X130" s="36">
        <v>44927</v>
      </c>
      <c r="Y130" s="36">
        <v>45107</v>
      </c>
      <c r="Z130" s="42" t="s">
        <v>796</v>
      </c>
      <c r="AA130" s="43">
        <v>0.4</v>
      </c>
      <c r="AB130" s="111">
        <v>20</v>
      </c>
      <c r="AC130" s="43">
        <v>8</v>
      </c>
    </row>
    <row r="131" spans="1:29" s="2" customFormat="1" ht="15" customHeight="1">
      <c r="A131" s="5" t="s">
        <v>267</v>
      </c>
      <c r="B131" s="6" t="s">
        <v>213</v>
      </c>
      <c r="C131" s="7" t="s">
        <v>417</v>
      </c>
      <c r="D131" s="6" t="s">
        <v>418</v>
      </c>
      <c r="E131" s="5" t="s">
        <v>797</v>
      </c>
      <c r="F131" s="5" t="s">
        <v>798</v>
      </c>
      <c r="G131" s="5" t="s">
        <v>34</v>
      </c>
      <c r="H131" s="11" t="s">
        <v>799</v>
      </c>
      <c r="I131" s="11" t="e">
        <f>VLOOKUP(H131,合同高级查询数据!$A$2:$A$51,1,FALSE)</f>
        <v>#N/A</v>
      </c>
      <c r="J131" s="14" t="s">
        <v>36</v>
      </c>
      <c r="K131" s="5" t="s">
        <v>800</v>
      </c>
      <c r="L131" s="11" t="s">
        <v>801</v>
      </c>
      <c r="M131" s="5"/>
      <c r="N131" s="19" t="s">
        <v>802</v>
      </c>
      <c r="O131" s="125" t="s">
        <v>803</v>
      </c>
      <c r="P131" s="20">
        <v>6740</v>
      </c>
      <c r="Q131" s="26">
        <v>205.63</v>
      </c>
      <c r="R131" s="27">
        <f t="shared" si="6"/>
        <v>1385946.2</v>
      </c>
      <c r="S131" s="28">
        <v>202306</v>
      </c>
      <c r="T131" s="29" t="s">
        <v>804</v>
      </c>
      <c r="U131" s="29"/>
      <c r="V131" s="34">
        <v>205.62680053700001</v>
      </c>
      <c r="W131" s="35"/>
      <c r="X131" s="36">
        <v>44927</v>
      </c>
      <c r="Y131" s="36">
        <v>45107</v>
      </c>
      <c r="Z131" s="42" t="s">
        <v>805</v>
      </c>
      <c r="AA131" s="43">
        <v>0.4</v>
      </c>
      <c r="AB131" s="43">
        <v>500</v>
      </c>
      <c r="AC131" s="43">
        <v>200</v>
      </c>
    </row>
    <row r="132" spans="1:29" s="2" customFormat="1" ht="15" customHeight="1">
      <c r="A132" s="5" t="s">
        <v>267</v>
      </c>
      <c r="B132" s="6" t="s">
        <v>213</v>
      </c>
      <c r="C132" s="7" t="s">
        <v>417</v>
      </c>
      <c r="D132" s="6" t="s">
        <v>418</v>
      </c>
      <c r="E132" s="5" t="s">
        <v>797</v>
      </c>
      <c r="F132" s="5" t="s">
        <v>798</v>
      </c>
      <c r="G132" s="5" t="s">
        <v>34</v>
      </c>
      <c r="H132" s="11" t="s">
        <v>806</v>
      </c>
      <c r="I132" s="11" t="e">
        <f>VLOOKUP(H132,合同高级查询数据!$A$2:$A$51,1,FALSE)</f>
        <v>#N/A</v>
      </c>
      <c r="J132" s="14" t="s">
        <v>75</v>
      </c>
      <c r="K132" s="5" t="s">
        <v>807</v>
      </c>
      <c r="L132" s="11" t="s">
        <v>808</v>
      </c>
      <c r="M132" s="5"/>
      <c r="N132" s="19">
        <v>42522</v>
      </c>
      <c r="O132" s="5" t="s">
        <v>222</v>
      </c>
      <c r="P132" s="20">
        <v>20000</v>
      </c>
      <c r="Q132" s="26">
        <v>4</v>
      </c>
      <c r="R132" s="27">
        <f t="shared" si="6"/>
        <v>80000</v>
      </c>
      <c r="S132" s="28">
        <v>202306</v>
      </c>
      <c r="T132" s="29" t="s">
        <v>809</v>
      </c>
      <c r="U132" s="29"/>
      <c r="V132" s="34">
        <v>0.79391145054251</v>
      </c>
      <c r="W132" s="35"/>
      <c r="X132" s="36">
        <v>44378</v>
      </c>
      <c r="Y132" s="36">
        <v>45473</v>
      </c>
      <c r="Z132" s="42" t="s">
        <v>810</v>
      </c>
      <c r="AA132" s="43">
        <v>0.2</v>
      </c>
      <c r="AB132" s="43">
        <v>20</v>
      </c>
      <c r="AC132" s="43">
        <v>4</v>
      </c>
    </row>
    <row r="133" spans="1:29" s="2" customFormat="1" ht="15" customHeight="1">
      <c r="A133" s="5" t="s">
        <v>267</v>
      </c>
      <c r="B133" s="6" t="s">
        <v>213</v>
      </c>
      <c r="C133" s="7" t="s">
        <v>417</v>
      </c>
      <c r="D133" s="6" t="s">
        <v>418</v>
      </c>
      <c r="E133" s="5" t="s">
        <v>797</v>
      </c>
      <c r="F133" s="5" t="s">
        <v>798</v>
      </c>
      <c r="G133" s="5" t="s">
        <v>34</v>
      </c>
      <c r="H133" s="11" t="s">
        <v>799</v>
      </c>
      <c r="I133" s="11" t="e">
        <f>VLOOKUP(H133,合同高级查询数据!$A$2:$A$51,1,FALSE)</f>
        <v>#N/A</v>
      </c>
      <c r="J133" s="14" t="s">
        <v>36</v>
      </c>
      <c r="K133" s="5" t="s">
        <v>811</v>
      </c>
      <c r="L133" s="11" t="s">
        <v>811</v>
      </c>
      <c r="M133" s="5" t="s">
        <v>812</v>
      </c>
      <c r="N133" s="19">
        <v>44839</v>
      </c>
      <c r="O133" s="5" t="s">
        <v>434</v>
      </c>
      <c r="P133" s="20">
        <v>6740</v>
      </c>
      <c r="Q133" s="26">
        <v>80</v>
      </c>
      <c r="R133" s="27">
        <f t="shared" si="6"/>
        <v>539200</v>
      </c>
      <c r="S133" s="28">
        <v>202306</v>
      </c>
      <c r="T133" s="29" t="s">
        <v>813</v>
      </c>
      <c r="U133" s="29"/>
      <c r="V133" s="34">
        <v>73.070519981000004</v>
      </c>
      <c r="W133" s="35"/>
      <c r="X133" s="36">
        <v>44927</v>
      </c>
      <c r="Y133" s="36">
        <v>45107</v>
      </c>
      <c r="Z133" s="42" t="s">
        <v>814</v>
      </c>
      <c r="AA133" s="43">
        <v>0.4</v>
      </c>
      <c r="AB133" s="43">
        <v>200</v>
      </c>
      <c r="AC133" s="43">
        <v>80</v>
      </c>
    </row>
    <row r="134" spans="1:29" s="2" customFormat="1" ht="15" customHeight="1">
      <c r="A134" s="5" t="s">
        <v>267</v>
      </c>
      <c r="B134" s="6" t="s">
        <v>213</v>
      </c>
      <c r="C134" s="7" t="s">
        <v>417</v>
      </c>
      <c r="D134" s="6" t="s">
        <v>418</v>
      </c>
      <c r="E134" s="5" t="s">
        <v>815</v>
      </c>
      <c r="F134" s="5" t="s">
        <v>816</v>
      </c>
      <c r="G134" s="5" t="s">
        <v>34</v>
      </c>
      <c r="H134" s="11" t="s">
        <v>817</v>
      </c>
      <c r="I134" s="11" t="e">
        <f>VLOOKUP(H134,合同高级查询数据!$A$2:$A$51,1,FALSE)</f>
        <v>#N/A</v>
      </c>
      <c r="J134" s="14" t="s">
        <v>36</v>
      </c>
      <c r="K134" s="5" t="s">
        <v>816</v>
      </c>
      <c r="L134" s="11" t="s">
        <v>818</v>
      </c>
      <c r="M134" s="5"/>
      <c r="N134" s="19" t="s">
        <v>819</v>
      </c>
      <c r="O134" s="125" t="s">
        <v>820</v>
      </c>
      <c r="P134" s="20">
        <v>6740</v>
      </c>
      <c r="Q134" s="26">
        <v>122.09</v>
      </c>
      <c r="R134" s="27">
        <f t="shared" si="6"/>
        <v>822886.6</v>
      </c>
      <c r="S134" s="28">
        <v>202306</v>
      </c>
      <c r="T134" s="29" t="s">
        <v>821</v>
      </c>
      <c r="U134" s="29"/>
      <c r="V134" s="34">
        <v>122.094604492</v>
      </c>
      <c r="W134" s="35"/>
      <c r="X134" s="36">
        <v>44927</v>
      </c>
      <c r="Y134" s="36">
        <v>45107</v>
      </c>
      <c r="Z134" s="42" t="s">
        <v>822</v>
      </c>
      <c r="AA134" s="43">
        <v>0.4</v>
      </c>
      <c r="AB134" s="43">
        <v>300</v>
      </c>
      <c r="AC134" s="43">
        <v>120</v>
      </c>
    </row>
    <row r="135" spans="1:29" s="2" customFormat="1" ht="15" customHeight="1">
      <c r="A135" s="5" t="s">
        <v>267</v>
      </c>
      <c r="B135" s="6" t="s">
        <v>213</v>
      </c>
      <c r="C135" s="7" t="s">
        <v>417</v>
      </c>
      <c r="D135" s="6" t="s">
        <v>418</v>
      </c>
      <c r="E135" s="5" t="s">
        <v>815</v>
      </c>
      <c r="F135" s="5" t="s">
        <v>816</v>
      </c>
      <c r="G135" s="5" t="s">
        <v>34</v>
      </c>
      <c r="H135" s="11" t="s">
        <v>817</v>
      </c>
      <c r="I135" s="11" t="e">
        <f>VLOOKUP(H135,合同高级查询数据!$A$2:$A$51,1,FALSE)</f>
        <v>#N/A</v>
      </c>
      <c r="J135" s="14" t="s">
        <v>36</v>
      </c>
      <c r="K135" s="5" t="s">
        <v>823</v>
      </c>
      <c r="L135" s="11" t="s">
        <v>824</v>
      </c>
      <c r="M135" s="5"/>
      <c r="N135" s="19">
        <v>44228</v>
      </c>
      <c r="O135" s="5" t="s">
        <v>434</v>
      </c>
      <c r="P135" s="20">
        <v>6740</v>
      </c>
      <c r="Q135" s="26">
        <v>80</v>
      </c>
      <c r="R135" s="27">
        <f t="shared" si="6"/>
        <v>539200</v>
      </c>
      <c r="S135" s="28">
        <v>202306</v>
      </c>
      <c r="T135" s="29" t="s">
        <v>825</v>
      </c>
      <c r="U135" s="29"/>
      <c r="V135" s="34">
        <v>79.869796753000003</v>
      </c>
      <c r="W135" s="35"/>
      <c r="X135" s="36">
        <v>44927</v>
      </c>
      <c r="Y135" s="36">
        <v>45107</v>
      </c>
      <c r="Z135" s="42" t="s">
        <v>826</v>
      </c>
      <c r="AA135" s="43">
        <v>0.4</v>
      </c>
      <c r="AB135" s="43">
        <v>200</v>
      </c>
      <c r="AC135" s="43">
        <v>80</v>
      </c>
    </row>
    <row r="136" spans="1:29" s="2" customFormat="1" ht="15" customHeight="1">
      <c r="A136" s="5" t="s">
        <v>267</v>
      </c>
      <c r="B136" s="6" t="s">
        <v>213</v>
      </c>
      <c r="C136" s="7" t="s">
        <v>417</v>
      </c>
      <c r="D136" s="6" t="s">
        <v>418</v>
      </c>
      <c r="E136" s="5" t="s">
        <v>827</v>
      </c>
      <c r="F136" s="5" t="s">
        <v>828</v>
      </c>
      <c r="G136" s="5" t="s">
        <v>34</v>
      </c>
      <c r="H136" s="11" t="s">
        <v>829</v>
      </c>
      <c r="I136" s="11" t="e">
        <f>VLOOKUP(H136,合同高级查询数据!$A$2:$A$51,1,FALSE)</f>
        <v>#N/A</v>
      </c>
      <c r="J136" s="14" t="s">
        <v>36</v>
      </c>
      <c r="K136" s="5" t="s">
        <v>830</v>
      </c>
      <c r="L136" s="11" t="s">
        <v>831</v>
      </c>
      <c r="M136" s="5" t="s">
        <v>832</v>
      </c>
      <c r="N136" s="19">
        <v>44967</v>
      </c>
      <c r="O136" s="5" t="s">
        <v>833</v>
      </c>
      <c r="P136" s="20">
        <v>6740</v>
      </c>
      <c r="Q136" s="26">
        <v>347.57</v>
      </c>
      <c r="R136" s="27">
        <f t="shared" si="6"/>
        <v>2342621.7999999998</v>
      </c>
      <c r="S136" s="28">
        <v>202306</v>
      </c>
      <c r="T136" s="29" t="s">
        <v>834</v>
      </c>
      <c r="U136" s="29"/>
      <c r="V136" s="34">
        <v>347.57211303700001</v>
      </c>
      <c r="W136" s="35"/>
      <c r="X136" s="36">
        <v>44967</v>
      </c>
      <c r="Y136" s="36">
        <v>45107</v>
      </c>
      <c r="Z136" s="42" t="s">
        <v>835</v>
      </c>
      <c r="AA136" s="43">
        <v>0.4</v>
      </c>
      <c r="AB136" s="43">
        <v>600</v>
      </c>
      <c r="AC136" s="43">
        <f>AA136*AB136</f>
        <v>240</v>
      </c>
    </row>
    <row r="137" spans="1:29" s="2" customFormat="1" ht="15" customHeight="1">
      <c r="A137" s="6" t="s">
        <v>267</v>
      </c>
      <c r="B137" s="7" t="s">
        <v>213</v>
      </c>
      <c r="C137" s="6" t="s">
        <v>417</v>
      </c>
      <c r="D137" s="6" t="s">
        <v>418</v>
      </c>
      <c r="E137" s="6" t="s">
        <v>836</v>
      </c>
      <c r="F137" s="6" t="s">
        <v>837</v>
      </c>
      <c r="G137" s="116" t="s">
        <v>34</v>
      </c>
      <c r="H137" s="11" t="s">
        <v>838</v>
      </c>
      <c r="I137" s="11" t="str">
        <f>VLOOKUP(H137,合同高级查询数据!$A$2:$A$51,1,FALSE)</f>
        <v>182315IDC00239</v>
      </c>
      <c r="J137" s="121" t="s">
        <v>36</v>
      </c>
      <c r="K137" s="121" t="s">
        <v>839</v>
      </c>
      <c r="L137" s="11" t="s">
        <v>840</v>
      </c>
      <c r="M137" s="16" t="s">
        <v>841</v>
      </c>
      <c r="N137" s="126">
        <v>45022</v>
      </c>
      <c r="O137" s="127" t="s">
        <v>434</v>
      </c>
      <c r="P137" s="128">
        <v>6740</v>
      </c>
      <c r="Q137" s="128">
        <v>85.84</v>
      </c>
      <c r="R137" s="140">
        <f t="shared" si="6"/>
        <v>578561.6</v>
      </c>
      <c r="S137" s="28">
        <v>202306</v>
      </c>
      <c r="T137" s="141" t="s">
        <v>842</v>
      </c>
      <c r="U137" s="141"/>
      <c r="V137" s="34">
        <v>85.837547302000004</v>
      </c>
      <c r="W137" s="154"/>
      <c r="X137" s="36">
        <v>45022</v>
      </c>
      <c r="Y137" s="36">
        <v>45107</v>
      </c>
      <c r="Z137" s="42" t="s">
        <v>843</v>
      </c>
      <c r="AA137" s="165">
        <v>0.4</v>
      </c>
      <c r="AB137" s="165">
        <v>200</v>
      </c>
      <c r="AC137" s="165">
        <f>AA137*AB137</f>
        <v>80</v>
      </c>
    </row>
    <row r="138" spans="1:29" s="3" customFormat="1" ht="15" customHeight="1">
      <c r="A138" s="65" t="s">
        <v>267</v>
      </c>
      <c r="B138" s="85" t="s">
        <v>213</v>
      </c>
      <c r="C138" s="86" t="s">
        <v>545</v>
      </c>
      <c r="D138" s="86" t="s">
        <v>215</v>
      </c>
      <c r="E138" s="65" t="s">
        <v>844</v>
      </c>
      <c r="F138" s="65" t="s">
        <v>845</v>
      </c>
      <c r="G138" s="65" t="s">
        <v>34</v>
      </c>
      <c r="H138" s="53" t="s">
        <v>846</v>
      </c>
      <c r="I138" s="53" t="e">
        <f>VLOOKUP(H138,合同高级查询数据!$A$2:$A$51,1,FALSE)</f>
        <v>#N/A</v>
      </c>
      <c r="J138" s="88" t="s">
        <v>36</v>
      </c>
      <c r="K138" s="65" t="s">
        <v>545</v>
      </c>
      <c r="L138" s="53" t="s">
        <v>847</v>
      </c>
      <c r="M138" s="65" t="s">
        <v>848</v>
      </c>
      <c r="N138" s="89" t="s">
        <v>849</v>
      </c>
      <c r="O138" s="65" t="s">
        <v>850</v>
      </c>
      <c r="P138" s="90">
        <v>15000</v>
      </c>
      <c r="Q138" s="98">
        <v>8.06</v>
      </c>
      <c r="R138" s="58">
        <f t="shared" si="6"/>
        <v>120900</v>
      </c>
      <c r="S138" s="59">
        <v>202306</v>
      </c>
      <c r="T138" s="97" t="s">
        <v>851</v>
      </c>
      <c r="U138" s="97"/>
      <c r="V138" s="104">
        <v>8.0571355820000008</v>
      </c>
      <c r="W138" s="103"/>
      <c r="X138" s="64"/>
      <c r="Y138" s="64"/>
      <c r="Z138" s="107" t="s">
        <v>852</v>
      </c>
      <c r="AA138" s="108">
        <v>0.4</v>
      </c>
      <c r="AB138" s="108">
        <v>20</v>
      </c>
      <c r="AC138" s="108">
        <v>8</v>
      </c>
    </row>
    <row r="139" spans="1:29" s="3" customFormat="1" ht="15" customHeight="1">
      <c r="A139" s="65" t="s">
        <v>267</v>
      </c>
      <c r="B139" s="85" t="s">
        <v>213</v>
      </c>
      <c r="C139" s="86" t="s">
        <v>545</v>
      </c>
      <c r="D139" s="85" t="s">
        <v>215</v>
      </c>
      <c r="E139" s="65" t="s">
        <v>844</v>
      </c>
      <c r="F139" s="65" t="s">
        <v>845</v>
      </c>
      <c r="G139" s="65" t="s">
        <v>34</v>
      </c>
      <c r="H139" s="53" t="s">
        <v>853</v>
      </c>
      <c r="I139" s="53" t="e">
        <f>VLOOKUP(H139,合同高级查询数据!$A$2:$A$51,1,FALSE)</f>
        <v>#N/A</v>
      </c>
      <c r="J139" s="88" t="s">
        <v>233</v>
      </c>
      <c r="K139" s="65" t="s">
        <v>854</v>
      </c>
      <c r="L139" s="53" t="s">
        <v>845</v>
      </c>
      <c r="M139" s="65"/>
      <c r="N139" s="89" t="s">
        <v>855</v>
      </c>
      <c r="O139" s="65" t="s">
        <v>856</v>
      </c>
      <c r="P139" s="90">
        <v>19800</v>
      </c>
      <c r="Q139" s="98"/>
      <c r="R139" s="58">
        <f t="shared" si="6"/>
        <v>0</v>
      </c>
      <c r="S139" s="59">
        <v>202306</v>
      </c>
      <c r="T139" s="97" t="s">
        <v>857</v>
      </c>
      <c r="U139" s="97"/>
      <c r="V139" s="102">
        <v>0</v>
      </c>
      <c r="W139" s="103"/>
      <c r="X139" s="64"/>
      <c r="Y139" s="64"/>
      <c r="Z139" s="107" t="s">
        <v>858</v>
      </c>
      <c r="AA139" s="108" t="s">
        <v>180</v>
      </c>
      <c r="AB139" s="108">
        <v>0</v>
      </c>
      <c r="AC139" s="108">
        <v>0</v>
      </c>
    </row>
    <row r="140" spans="1:29" s="3" customFormat="1" ht="15" customHeight="1">
      <c r="A140" s="50" t="s">
        <v>859</v>
      </c>
      <c r="B140" s="85" t="s">
        <v>213</v>
      </c>
      <c r="C140" s="49" t="s">
        <v>860</v>
      </c>
      <c r="D140" s="86" t="s">
        <v>215</v>
      </c>
      <c r="E140" s="50" t="s">
        <v>861</v>
      </c>
      <c r="F140" s="50" t="s">
        <v>862</v>
      </c>
      <c r="G140" s="53" t="s">
        <v>34</v>
      </c>
      <c r="H140" s="53" t="s">
        <v>863</v>
      </c>
      <c r="I140" s="53" t="e">
        <f>VLOOKUP(H140,合同高级查询数据!$A$2:$A$51,1,FALSE)</f>
        <v>#N/A</v>
      </c>
      <c r="J140" s="88" t="s">
        <v>36</v>
      </c>
      <c r="K140" s="50" t="s">
        <v>864</v>
      </c>
      <c r="L140" s="52" t="s">
        <v>865</v>
      </c>
      <c r="M140" s="54" t="s">
        <v>866</v>
      </c>
      <c r="N140" s="55" t="s">
        <v>867</v>
      </c>
      <c r="O140" s="55" t="s">
        <v>868</v>
      </c>
      <c r="P140" s="129">
        <v>7333.33</v>
      </c>
      <c r="Q140" s="142">
        <v>105.5</v>
      </c>
      <c r="R140" s="99">
        <f t="shared" si="6"/>
        <v>773666.32</v>
      </c>
      <c r="S140" s="59">
        <v>202306</v>
      </c>
      <c r="T140" s="143" t="s">
        <v>869</v>
      </c>
      <c r="U140" s="143"/>
      <c r="V140" s="104">
        <v>105.433799744</v>
      </c>
      <c r="W140" s="155"/>
      <c r="X140" s="64"/>
      <c r="Y140" s="64"/>
      <c r="Z140" s="107" t="s">
        <v>870</v>
      </c>
      <c r="AA140" s="108">
        <v>0.3</v>
      </c>
      <c r="AB140" s="108">
        <v>280</v>
      </c>
      <c r="AC140" s="108">
        <f t="shared" ref="AC140:AC146" si="7">AA140*AB140</f>
        <v>84</v>
      </c>
    </row>
    <row r="141" spans="1:29" s="3" customFormat="1" ht="15" customHeight="1">
      <c r="A141" s="50" t="s">
        <v>871</v>
      </c>
      <c r="B141" s="85" t="s">
        <v>213</v>
      </c>
      <c r="C141" s="49" t="s">
        <v>860</v>
      </c>
      <c r="D141" s="86" t="s">
        <v>215</v>
      </c>
      <c r="E141" s="50" t="s">
        <v>861</v>
      </c>
      <c r="F141" s="50" t="s">
        <v>872</v>
      </c>
      <c r="G141" s="53" t="s">
        <v>34</v>
      </c>
      <c r="H141" s="53" t="s">
        <v>873</v>
      </c>
      <c r="I141" s="53" t="e">
        <f>VLOOKUP(H141,合同高级查询数据!$A$2:$A$51,1,FALSE)</f>
        <v>#N/A</v>
      </c>
      <c r="J141" s="88" t="s">
        <v>36</v>
      </c>
      <c r="K141" s="50" t="s">
        <v>864</v>
      </c>
      <c r="L141" s="52" t="s">
        <v>874</v>
      </c>
      <c r="M141" s="54" t="s">
        <v>866</v>
      </c>
      <c r="N141" s="55" t="s">
        <v>867</v>
      </c>
      <c r="O141" s="55" t="s">
        <v>875</v>
      </c>
      <c r="P141" s="129">
        <v>8500</v>
      </c>
      <c r="Q141" s="142">
        <v>60.2</v>
      </c>
      <c r="R141" s="99">
        <f t="shared" si="6"/>
        <v>511700</v>
      </c>
      <c r="S141" s="59">
        <v>202306</v>
      </c>
      <c r="T141" s="143" t="s">
        <v>876</v>
      </c>
      <c r="U141" s="143"/>
      <c r="V141" s="104">
        <v>60.135299683</v>
      </c>
      <c r="W141" s="155"/>
      <c r="X141" s="64"/>
      <c r="Y141" s="64"/>
      <c r="Z141" s="107" t="s">
        <v>877</v>
      </c>
      <c r="AA141" s="108">
        <v>0.3</v>
      </c>
      <c r="AB141" s="108">
        <v>180</v>
      </c>
      <c r="AC141" s="108">
        <f t="shared" si="7"/>
        <v>54</v>
      </c>
    </row>
    <row r="142" spans="1:29" s="3" customFormat="1" ht="15" customHeight="1">
      <c r="A142" s="50" t="s">
        <v>878</v>
      </c>
      <c r="B142" s="85" t="s">
        <v>213</v>
      </c>
      <c r="C142" s="49" t="s">
        <v>860</v>
      </c>
      <c r="D142" s="86" t="s">
        <v>215</v>
      </c>
      <c r="E142" s="50" t="s">
        <v>861</v>
      </c>
      <c r="F142" s="50" t="s">
        <v>879</v>
      </c>
      <c r="G142" s="53" t="s">
        <v>34</v>
      </c>
      <c r="H142" s="53" t="s">
        <v>880</v>
      </c>
      <c r="I142" s="53" t="e">
        <f>VLOOKUP(H142,合同高级查询数据!$A$2:$A$51,1,FALSE)</f>
        <v>#N/A</v>
      </c>
      <c r="J142" s="88" t="s">
        <v>36</v>
      </c>
      <c r="K142" s="50" t="s">
        <v>864</v>
      </c>
      <c r="L142" s="52" t="s">
        <v>881</v>
      </c>
      <c r="M142" s="54" t="s">
        <v>866</v>
      </c>
      <c r="N142" s="55" t="s">
        <v>867</v>
      </c>
      <c r="O142" s="94" t="s">
        <v>882</v>
      </c>
      <c r="P142" s="129">
        <v>5600</v>
      </c>
      <c r="Q142" s="142">
        <v>114.1</v>
      </c>
      <c r="R142" s="99">
        <f t="shared" si="6"/>
        <v>638960</v>
      </c>
      <c r="S142" s="59">
        <v>202306</v>
      </c>
      <c r="T142" s="143" t="s">
        <v>883</v>
      </c>
      <c r="U142" s="143"/>
      <c r="V142" s="104">
        <v>114.08476257300001</v>
      </c>
      <c r="W142" s="155"/>
      <c r="X142" s="64"/>
      <c r="Y142" s="64"/>
      <c r="Z142" s="107" t="s">
        <v>884</v>
      </c>
      <c r="AA142" s="108">
        <v>0.4</v>
      </c>
      <c r="AB142" s="108">
        <v>260</v>
      </c>
      <c r="AC142" s="108">
        <f t="shared" si="7"/>
        <v>104</v>
      </c>
    </row>
    <row r="143" spans="1:29" s="2" customFormat="1" ht="15" customHeight="1">
      <c r="A143" s="9" t="s">
        <v>260</v>
      </c>
      <c r="B143" s="6" t="s">
        <v>213</v>
      </c>
      <c r="C143" s="8" t="s">
        <v>860</v>
      </c>
      <c r="D143" s="7" t="s">
        <v>215</v>
      </c>
      <c r="E143" s="9" t="s">
        <v>885</v>
      </c>
      <c r="F143" s="9" t="s">
        <v>886</v>
      </c>
      <c r="G143" s="11" t="s">
        <v>34</v>
      </c>
      <c r="H143" s="11" t="s">
        <v>887</v>
      </c>
      <c r="I143" s="11" t="e">
        <f>VLOOKUP(H143,合同高级查询数据!$A$2:$A$51,1,FALSE)</f>
        <v>#N/A</v>
      </c>
      <c r="J143" s="11" t="s">
        <v>233</v>
      </c>
      <c r="K143" s="9" t="s">
        <v>888</v>
      </c>
      <c r="L143" s="15" t="s">
        <v>886</v>
      </c>
      <c r="M143" s="16"/>
      <c r="N143" s="21" t="s">
        <v>889</v>
      </c>
      <c r="O143" s="21" t="s">
        <v>890</v>
      </c>
      <c r="P143" s="130" t="s">
        <v>891</v>
      </c>
      <c r="Q143" s="23"/>
      <c r="R143" s="140">
        <v>0</v>
      </c>
      <c r="S143" s="28">
        <v>202306</v>
      </c>
      <c r="T143" s="144" t="s">
        <v>892</v>
      </c>
      <c r="U143" s="144"/>
      <c r="V143" s="101">
        <v>0</v>
      </c>
      <c r="W143" s="156"/>
      <c r="X143" s="36">
        <v>43466</v>
      </c>
      <c r="Y143" s="36">
        <v>43830</v>
      </c>
      <c r="Z143" s="42">
        <v>0</v>
      </c>
      <c r="AA143" s="43" t="s">
        <v>180</v>
      </c>
      <c r="AB143" s="43">
        <v>0</v>
      </c>
      <c r="AC143" s="43">
        <v>0</v>
      </c>
    </row>
    <row r="144" spans="1:29" s="2" customFormat="1" ht="15" customHeight="1">
      <c r="A144" s="9" t="s">
        <v>260</v>
      </c>
      <c r="B144" s="6" t="s">
        <v>213</v>
      </c>
      <c r="C144" s="8" t="s">
        <v>860</v>
      </c>
      <c r="D144" s="7" t="s">
        <v>215</v>
      </c>
      <c r="E144" s="9" t="s">
        <v>893</v>
      </c>
      <c r="F144" s="9" t="s">
        <v>894</v>
      </c>
      <c r="G144" s="11" t="s">
        <v>34</v>
      </c>
      <c r="H144" s="11" t="s">
        <v>895</v>
      </c>
      <c r="I144" s="11" t="e">
        <f>VLOOKUP(H144,合同高级查询数据!$A$2:$A$51,1,FALSE)</f>
        <v>#N/A</v>
      </c>
      <c r="J144" s="14" t="s">
        <v>36</v>
      </c>
      <c r="K144" s="9" t="s">
        <v>896</v>
      </c>
      <c r="L144" s="15" t="s">
        <v>897</v>
      </c>
      <c r="M144" s="16" t="s">
        <v>898</v>
      </c>
      <c r="N144" s="21">
        <v>44934</v>
      </c>
      <c r="O144" s="21" t="s">
        <v>582</v>
      </c>
      <c r="P144" s="130">
        <v>9500</v>
      </c>
      <c r="Q144" s="23">
        <v>90</v>
      </c>
      <c r="R144" s="140">
        <f t="shared" ref="R144:R199" si="8">ROUND(P144*Q144,2)</f>
        <v>855000</v>
      </c>
      <c r="S144" s="28">
        <v>202306</v>
      </c>
      <c r="T144" s="144" t="s">
        <v>899</v>
      </c>
      <c r="U144" s="144"/>
      <c r="V144" s="34">
        <v>86.202646576999996</v>
      </c>
      <c r="W144" s="156"/>
      <c r="X144" s="36">
        <v>44927</v>
      </c>
      <c r="Y144" s="36">
        <v>45291</v>
      </c>
      <c r="Z144" s="42" t="s">
        <v>900</v>
      </c>
      <c r="AA144" s="43">
        <v>0.3</v>
      </c>
      <c r="AB144" s="43">
        <v>300</v>
      </c>
      <c r="AC144" s="43">
        <f t="shared" si="7"/>
        <v>90</v>
      </c>
    </row>
    <row r="145" spans="1:29" s="2" customFormat="1" ht="15" customHeight="1">
      <c r="A145" s="9" t="s">
        <v>260</v>
      </c>
      <c r="B145" s="6" t="s">
        <v>213</v>
      </c>
      <c r="C145" s="8" t="s">
        <v>860</v>
      </c>
      <c r="D145" s="7" t="s">
        <v>215</v>
      </c>
      <c r="E145" s="9" t="s">
        <v>901</v>
      </c>
      <c r="F145" s="9" t="s">
        <v>902</v>
      </c>
      <c r="G145" s="11" t="s">
        <v>34</v>
      </c>
      <c r="H145" s="11" t="s">
        <v>903</v>
      </c>
      <c r="I145" s="11" t="str">
        <f>VLOOKUP(H145,合同高级查询数据!$A$2:$A$51,1,FALSE)</f>
        <v>182315IDC00258</v>
      </c>
      <c r="J145" s="14" t="s">
        <v>36</v>
      </c>
      <c r="K145" s="122" t="s">
        <v>904</v>
      </c>
      <c r="L145" s="15" t="s">
        <v>905</v>
      </c>
      <c r="M145" s="16"/>
      <c r="N145" s="131" t="s">
        <v>906</v>
      </c>
      <c r="O145" s="131" t="s">
        <v>907</v>
      </c>
      <c r="P145" s="130">
        <v>6750</v>
      </c>
      <c r="Q145" s="23">
        <v>139.5</v>
      </c>
      <c r="R145" s="140">
        <f t="shared" si="8"/>
        <v>941625</v>
      </c>
      <c r="S145" s="28">
        <v>202306</v>
      </c>
      <c r="T145" s="144" t="s">
        <v>908</v>
      </c>
      <c r="U145" s="144"/>
      <c r="V145" s="34">
        <v>139.49122619600001</v>
      </c>
      <c r="W145" s="156"/>
      <c r="X145" s="36">
        <v>45017</v>
      </c>
      <c r="Y145" s="36">
        <v>45382</v>
      </c>
      <c r="Z145" s="42" t="s">
        <v>909</v>
      </c>
      <c r="AA145" s="43">
        <v>0.3</v>
      </c>
      <c r="AB145" s="111">
        <v>440</v>
      </c>
      <c r="AC145" s="43">
        <f t="shared" si="7"/>
        <v>132</v>
      </c>
    </row>
    <row r="146" spans="1:29" s="2" customFormat="1" ht="15" customHeight="1">
      <c r="A146" s="9" t="s">
        <v>260</v>
      </c>
      <c r="B146" s="6" t="s">
        <v>213</v>
      </c>
      <c r="C146" s="8" t="s">
        <v>860</v>
      </c>
      <c r="D146" s="7" t="s">
        <v>215</v>
      </c>
      <c r="E146" s="9" t="s">
        <v>901</v>
      </c>
      <c r="F146" s="9" t="s">
        <v>902</v>
      </c>
      <c r="G146" s="11" t="s">
        <v>34</v>
      </c>
      <c r="H146" s="11" t="s">
        <v>903</v>
      </c>
      <c r="I146" s="11" t="str">
        <f>VLOOKUP(H146,合同高级查询数据!$A$2:$A$51,1,FALSE)</f>
        <v>182315IDC00258</v>
      </c>
      <c r="J146" s="14" t="s">
        <v>36</v>
      </c>
      <c r="K146" s="122" t="s">
        <v>910</v>
      </c>
      <c r="L146" s="15" t="s">
        <v>911</v>
      </c>
      <c r="M146" s="16"/>
      <c r="N146" s="131" t="s">
        <v>912</v>
      </c>
      <c r="O146" s="131" t="s">
        <v>913</v>
      </c>
      <c r="P146" s="130">
        <v>6750</v>
      </c>
      <c r="Q146" s="23"/>
      <c r="R146" s="140">
        <f t="shared" si="8"/>
        <v>0</v>
      </c>
      <c r="S146" s="28">
        <v>202306</v>
      </c>
      <c r="T146" s="144" t="s">
        <v>914</v>
      </c>
      <c r="U146" s="144"/>
      <c r="V146" s="101">
        <v>0</v>
      </c>
      <c r="W146" s="156"/>
      <c r="X146" s="36">
        <v>45017</v>
      </c>
      <c r="Y146" s="36">
        <v>45382</v>
      </c>
      <c r="Z146" s="42"/>
      <c r="AA146" s="43">
        <v>0.3</v>
      </c>
      <c r="AB146" s="43">
        <v>0</v>
      </c>
      <c r="AC146" s="43">
        <f t="shared" si="7"/>
        <v>0</v>
      </c>
    </row>
    <row r="147" spans="1:29" s="2" customFormat="1" ht="15" customHeight="1">
      <c r="A147" s="9" t="s">
        <v>260</v>
      </c>
      <c r="B147" s="6" t="s">
        <v>213</v>
      </c>
      <c r="C147" s="8" t="s">
        <v>860</v>
      </c>
      <c r="D147" s="7" t="s">
        <v>215</v>
      </c>
      <c r="E147" s="9" t="s">
        <v>901</v>
      </c>
      <c r="F147" s="9" t="s">
        <v>902</v>
      </c>
      <c r="G147" s="11" t="s">
        <v>34</v>
      </c>
      <c r="H147" s="11" t="s">
        <v>903</v>
      </c>
      <c r="I147" s="11" t="str">
        <f>VLOOKUP(H147,合同高级查询数据!$A$2:$A$51,1,FALSE)</f>
        <v>182315IDC00258</v>
      </c>
      <c r="J147" s="11" t="s">
        <v>440</v>
      </c>
      <c r="K147" s="9" t="s">
        <v>915</v>
      </c>
      <c r="L147" s="15" t="s">
        <v>915</v>
      </c>
      <c r="M147" s="16" t="s">
        <v>916</v>
      </c>
      <c r="N147" s="21"/>
      <c r="O147" s="21" t="s">
        <v>78</v>
      </c>
      <c r="P147" s="130">
        <v>6750</v>
      </c>
      <c r="Q147" s="23">
        <v>3</v>
      </c>
      <c r="R147" s="140">
        <f t="shared" si="8"/>
        <v>20250</v>
      </c>
      <c r="S147" s="28">
        <v>202306</v>
      </c>
      <c r="T147" s="144" t="s">
        <v>917</v>
      </c>
      <c r="U147" s="144"/>
      <c r="V147" s="34">
        <v>2.4300000000000002</v>
      </c>
      <c r="W147" s="156"/>
      <c r="X147" s="36">
        <v>45017</v>
      </c>
      <c r="Y147" s="36">
        <v>45382</v>
      </c>
      <c r="Z147" s="42" t="s">
        <v>918</v>
      </c>
      <c r="AA147" s="43">
        <v>10</v>
      </c>
      <c r="AB147" s="43">
        <v>30</v>
      </c>
      <c r="AC147" s="43">
        <v>3</v>
      </c>
    </row>
    <row r="148" spans="1:29" s="3" customFormat="1" ht="15" customHeight="1">
      <c r="A148" s="50" t="s">
        <v>260</v>
      </c>
      <c r="B148" s="85" t="s">
        <v>213</v>
      </c>
      <c r="C148" s="49" t="s">
        <v>860</v>
      </c>
      <c r="D148" s="86" t="s">
        <v>215</v>
      </c>
      <c r="E148" s="50" t="s">
        <v>919</v>
      </c>
      <c r="F148" s="50" t="s">
        <v>920</v>
      </c>
      <c r="G148" s="53" t="s">
        <v>34</v>
      </c>
      <c r="H148" s="53" t="s">
        <v>921</v>
      </c>
      <c r="I148" s="53" t="e">
        <f>VLOOKUP(H148,合同高级查询数据!$A$2:$A$51,1,FALSE)</f>
        <v>#N/A</v>
      </c>
      <c r="J148" s="88" t="s">
        <v>36</v>
      </c>
      <c r="K148" s="50" t="s">
        <v>922</v>
      </c>
      <c r="L148" s="52" t="s">
        <v>922</v>
      </c>
      <c r="M148" s="54" t="s">
        <v>923</v>
      </c>
      <c r="N148" s="55" t="s">
        <v>924</v>
      </c>
      <c r="O148" s="55" t="s">
        <v>925</v>
      </c>
      <c r="P148" s="129">
        <v>9500</v>
      </c>
      <c r="Q148" s="142">
        <v>6</v>
      </c>
      <c r="R148" s="99">
        <f t="shared" si="8"/>
        <v>57000</v>
      </c>
      <c r="S148" s="59">
        <v>202306</v>
      </c>
      <c r="T148" s="143" t="s">
        <v>926</v>
      </c>
      <c r="U148" s="143"/>
      <c r="V148" s="104">
        <v>5.2097682949999999</v>
      </c>
      <c r="W148" s="155"/>
      <c r="X148" s="64"/>
      <c r="Y148" s="64"/>
      <c r="Z148" s="107" t="s">
        <v>927</v>
      </c>
      <c r="AA148" s="108">
        <v>0.3</v>
      </c>
      <c r="AB148" s="108">
        <v>20</v>
      </c>
      <c r="AC148" s="108">
        <f>AA148*AB148</f>
        <v>6</v>
      </c>
    </row>
    <row r="149" spans="1:29" s="3" customFormat="1" ht="15" customHeight="1">
      <c r="A149" s="50" t="s">
        <v>260</v>
      </c>
      <c r="B149" s="85" t="s">
        <v>213</v>
      </c>
      <c r="C149" s="49" t="s">
        <v>860</v>
      </c>
      <c r="D149" s="86" t="s">
        <v>215</v>
      </c>
      <c r="E149" s="50" t="s">
        <v>919</v>
      </c>
      <c r="F149" s="50" t="s">
        <v>920</v>
      </c>
      <c r="G149" s="53" t="s">
        <v>34</v>
      </c>
      <c r="H149" s="53" t="s">
        <v>928</v>
      </c>
      <c r="I149" s="53" t="e">
        <f>VLOOKUP(H149,合同高级查询数据!$A$2:$A$51,1,FALSE)</f>
        <v>#N/A</v>
      </c>
      <c r="J149" s="88" t="s">
        <v>36</v>
      </c>
      <c r="K149" s="50" t="s">
        <v>929</v>
      </c>
      <c r="L149" s="52" t="s">
        <v>929</v>
      </c>
      <c r="M149" s="54" t="s">
        <v>923</v>
      </c>
      <c r="N149" s="55" t="s">
        <v>930</v>
      </c>
      <c r="O149" s="55" t="s">
        <v>782</v>
      </c>
      <c r="P149" s="129">
        <v>9833.33</v>
      </c>
      <c r="Q149" s="142"/>
      <c r="R149" s="99">
        <f t="shared" si="8"/>
        <v>0</v>
      </c>
      <c r="S149" s="59">
        <v>202306</v>
      </c>
      <c r="T149" s="143" t="s">
        <v>931</v>
      </c>
      <c r="U149" s="143"/>
      <c r="V149" s="102">
        <v>0</v>
      </c>
      <c r="W149" s="155"/>
      <c r="X149" s="64"/>
      <c r="Y149" s="64"/>
      <c r="Z149" s="107">
        <v>0</v>
      </c>
      <c r="AA149" s="108" t="s">
        <v>180</v>
      </c>
      <c r="AB149" s="108">
        <v>0</v>
      </c>
      <c r="AC149" s="108">
        <v>0</v>
      </c>
    </row>
    <row r="150" spans="1:29" s="3" customFormat="1" ht="15" customHeight="1">
      <c r="A150" s="50" t="s">
        <v>260</v>
      </c>
      <c r="B150" s="85" t="s">
        <v>213</v>
      </c>
      <c r="C150" s="49" t="s">
        <v>860</v>
      </c>
      <c r="D150" s="86" t="s">
        <v>215</v>
      </c>
      <c r="E150" s="50" t="s">
        <v>919</v>
      </c>
      <c r="F150" s="50" t="s">
        <v>920</v>
      </c>
      <c r="G150" s="53" t="s">
        <v>34</v>
      </c>
      <c r="H150" s="53" t="s">
        <v>928</v>
      </c>
      <c r="I150" s="53" t="e">
        <f>VLOOKUP(H150,合同高级查询数据!$A$2:$A$51,1,FALSE)</f>
        <v>#N/A</v>
      </c>
      <c r="J150" s="88" t="s">
        <v>36</v>
      </c>
      <c r="K150" s="50" t="s">
        <v>932</v>
      </c>
      <c r="L150" s="52" t="s">
        <v>933</v>
      </c>
      <c r="M150" s="54" t="s">
        <v>923</v>
      </c>
      <c r="N150" s="55" t="s">
        <v>934</v>
      </c>
      <c r="O150" s="55" t="s">
        <v>890</v>
      </c>
      <c r="P150" s="129">
        <v>9833.33</v>
      </c>
      <c r="Q150" s="142"/>
      <c r="R150" s="99">
        <f t="shared" si="8"/>
        <v>0</v>
      </c>
      <c r="S150" s="59">
        <v>202306</v>
      </c>
      <c r="T150" s="143" t="s">
        <v>935</v>
      </c>
      <c r="U150" s="143"/>
      <c r="V150" s="102">
        <v>0</v>
      </c>
      <c r="W150" s="155"/>
      <c r="X150" s="64"/>
      <c r="Y150" s="64"/>
      <c r="Z150" s="107">
        <v>0</v>
      </c>
      <c r="AA150" s="108" t="s">
        <v>180</v>
      </c>
      <c r="AB150" s="108">
        <v>0</v>
      </c>
      <c r="AC150" s="108">
        <v>0</v>
      </c>
    </row>
    <row r="151" spans="1:29" s="3" customFormat="1" ht="15" customHeight="1">
      <c r="A151" s="50" t="s">
        <v>260</v>
      </c>
      <c r="B151" s="85" t="s">
        <v>213</v>
      </c>
      <c r="C151" s="49" t="s">
        <v>860</v>
      </c>
      <c r="D151" s="86" t="s">
        <v>215</v>
      </c>
      <c r="E151" s="50" t="s">
        <v>919</v>
      </c>
      <c r="F151" s="50" t="s">
        <v>920</v>
      </c>
      <c r="G151" s="53" t="s">
        <v>34</v>
      </c>
      <c r="H151" s="53" t="s">
        <v>936</v>
      </c>
      <c r="I151" s="53" t="e">
        <f>VLOOKUP(H151,合同高级查询数据!$A$2:$A$51,1,FALSE)</f>
        <v>#N/A</v>
      </c>
      <c r="J151" s="88" t="s">
        <v>36</v>
      </c>
      <c r="K151" s="50" t="s">
        <v>937</v>
      </c>
      <c r="L151" s="52" t="s">
        <v>937</v>
      </c>
      <c r="M151" s="54" t="s">
        <v>938</v>
      </c>
      <c r="N151" s="55" t="s">
        <v>939</v>
      </c>
      <c r="O151" s="94" t="s">
        <v>890</v>
      </c>
      <c r="P151" s="129">
        <v>0</v>
      </c>
      <c r="Q151" s="142"/>
      <c r="R151" s="99">
        <f t="shared" si="8"/>
        <v>0</v>
      </c>
      <c r="S151" s="59">
        <v>202306</v>
      </c>
      <c r="T151" s="143" t="s">
        <v>940</v>
      </c>
      <c r="U151" s="143"/>
      <c r="V151" s="102">
        <v>0</v>
      </c>
      <c r="W151" s="155"/>
      <c r="X151" s="64"/>
      <c r="Y151" s="64"/>
      <c r="Z151" s="107">
        <v>0</v>
      </c>
      <c r="AA151" s="108" t="s">
        <v>180</v>
      </c>
      <c r="AB151" s="108">
        <v>0</v>
      </c>
      <c r="AC151" s="108">
        <v>0</v>
      </c>
    </row>
    <row r="152" spans="1:29" s="3" customFormat="1" ht="15" customHeight="1">
      <c r="A152" s="50" t="s">
        <v>212</v>
      </c>
      <c r="B152" s="85" t="s">
        <v>213</v>
      </c>
      <c r="C152" s="49" t="s">
        <v>860</v>
      </c>
      <c r="D152" s="86" t="s">
        <v>215</v>
      </c>
      <c r="E152" s="50" t="s">
        <v>941</v>
      </c>
      <c r="F152" s="50" t="s">
        <v>942</v>
      </c>
      <c r="G152" s="53" t="s">
        <v>34</v>
      </c>
      <c r="H152" s="53" t="s">
        <v>943</v>
      </c>
      <c r="I152" s="53" t="e">
        <f>VLOOKUP(H152,合同高级查询数据!$A$2:$A$51,1,FALSE)</f>
        <v>#N/A</v>
      </c>
      <c r="J152" s="88" t="s">
        <v>36</v>
      </c>
      <c r="K152" s="50" t="s">
        <v>942</v>
      </c>
      <c r="L152" s="52" t="s">
        <v>944</v>
      </c>
      <c r="M152" s="54" t="s">
        <v>945</v>
      </c>
      <c r="N152" s="55" t="s">
        <v>946</v>
      </c>
      <c r="O152" s="55" t="s">
        <v>947</v>
      </c>
      <c r="P152" s="129">
        <v>9000</v>
      </c>
      <c r="Q152" s="142">
        <v>17.260000000000002</v>
      </c>
      <c r="R152" s="99">
        <f t="shared" si="8"/>
        <v>155340</v>
      </c>
      <c r="S152" s="59">
        <v>202306</v>
      </c>
      <c r="T152" s="143" t="s">
        <v>948</v>
      </c>
      <c r="U152" s="143"/>
      <c r="V152" s="104">
        <v>17.258192729000001</v>
      </c>
      <c r="W152" s="155"/>
      <c r="X152" s="64"/>
      <c r="Y152" s="64"/>
      <c r="Z152" s="107" t="s">
        <v>949</v>
      </c>
      <c r="AA152" s="108">
        <v>0.2</v>
      </c>
      <c r="AB152" s="108">
        <v>80</v>
      </c>
      <c r="AC152" s="108">
        <f>AA152*AB152</f>
        <v>16</v>
      </c>
    </row>
    <row r="153" spans="1:29" s="2" customFormat="1" ht="15" customHeight="1">
      <c r="A153" s="9" t="s">
        <v>212</v>
      </c>
      <c r="B153" s="6" t="s">
        <v>213</v>
      </c>
      <c r="C153" s="8" t="s">
        <v>860</v>
      </c>
      <c r="D153" s="7" t="s">
        <v>215</v>
      </c>
      <c r="E153" s="9" t="s">
        <v>950</v>
      </c>
      <c r="F153" s="9" t="s">
        <v>951</v>
      </c>
      <c r="G153" s="11" t="s">
        <v>34</v>
      </c>
      <c r="H153" s="11" t="s">
        <v>952</v>
      </c>
      <c r="I153" s="11" t="e">
        <f>VLOOKUP(H153,合同高级查询数据!$A$2:$A$51,1,FALSE)</f>
        <v>#N/A</v>
      </c>
      <c r="J153" s="11" t="s">
        <v>440</v>
      </c>
      <c r="K153" s="9" t="s">
        <v>953</v>
      </c>
      <c r="L153" s="15" t="s">
        <v>953</v>
      </c>
      <c r="M153" s="16" t="s">
        <v>954</v>
      </c>
      <c r="N153" s="21" t="s">
        <v>955</v>
      </c>
      <c r="O153" s="21" t="s">
        <v>956</v>
      </c>
      <c r="P153" s="130">
        <v>9000</v>
      </c>
      <c r="Q153" s="23"/>
      <c r="R153" s="140">
        <f t="shared" si="8"/>
        <v>0</v>
      </c>
      <c r="S153" s="28">
        <v>202306</v>
      </c>
      <c r="T153" s="144" t="s">
        <v>957</v>
      </c>
      <c r="U153" s="144"/>
      <c r="V153" s="101">
        <v>0</v>
      </c>
      <c r="W153" s="156"/>
      <c r="X153" s="36">
        <v>44317</v>
      </c>
      <c r="Y153" s="36">
        <v>45046</v>
      </c>
      <c r="Z153" s="42"/>
      <c r="AA153" s="43" t="s">
        <v>180</v>
      </c>
      <c r="AB153" s="43"/>
      <c r="AC153" s="43">
        <v>0</v>
      </c>
    </row>
    <row r="154" spans="1:29" s="2" customFormat="1" ht="15" customHeight="1">
      <c r="A154" s="9" t="s">
        <v>212</v>
      </c>
      <c r="B154" s="6" t="s">
        <v>213</v>
      </c>
      <c r="C154" s="8" t="s">
        <v>860</v>
      </c>
      <c r="D154" s="7" t="s">
        <v>215</v>
      </c>
      <c r="E154" s="9" t="s">
        <v>950</v>
      </c>
      <c r="F154" s="9" t="s">
        <v>951</v>
      </c>
      <c r="G154" s="11" t="s">
        <v>34</v>
      </c>
      <c r="H154" s="11" t="s">
        <v>952</v>
      </c>
      <c r="I154" s="11" t="e">
        <f>VLOOKUP(H154,合同高级查询数据!$A$2:$A$51,1,FALSE)</f>
        <v>#N/A</v>
      </c>
      <c r="J154" s="14" t="s">
        <v>36</v>
      </c>
      <c r="K154" s="9" t="s">
        <v>958</v>
      </c>
      <c r="L154" s="15" t="s">
        <v>959</v>
      </c>
      <c r="M154" s="16" t="s">
        <v>960</v>
      </c>
      <c r="N154" s="21" t="s">
        <v>961</v>
      </c>
      <c r="O154" s="21" t="s">
        <v>962</v>
      </c>
      <c r="P154" s="130">
        <v>9000</v>
      </c>
      <c r="Q154" s="23"/>
      <c r="R154" s="140">
        <f t="shared" si="8"/>
        <v>0</v>
      </c>
      <c r="S154" s="28">
        <v>202306</v>
      </c>
      <c r="T154" s="144" t="s">
        <v>963</v>
      </c>
      <c r="U154" s="144"/>
      <c r="V154" s="101">
        <v>0</v>
      </c>
      <c r="W154" s="156"/>
      <c r="X154" s="36">
        <v>44317</v>
      </c>
      <c r="Y154" s="36">
        <v>45046</v>
      </c>
      <c r="Z154" s="42">
        <v>0</v>
      </c>
      <c r="AA154" s="43" t="s">
        <v>180</v>
      </c>
      <c r="AB154" s="43"/>
      <c r="AC154" s="43">
        <v>0</v>
      </c>
    </row>
    <row r="155" spans="1:29" s="3" customFormat="1" ht="15" customHeight="1">
      <c r="A155" s="50" t="s">
        <v>212</v>
      </c>
      <c r="B155" s="85" t="s">
        <v>213</v>
      </c>
      <c r="C155" s="49" t="s">
        <v>860</v>
      </c>
      <c r="D155" s="86" t="s">
        <v>215</v>
      </c>
      <c r="E155" s="50" t="s">
        <v>964</v>
      </c>
      <c r="F155" s="50" t="s">
        <v>965</v>
      </c>
      <c r="G155" s="53" t="s">
        <v>34</v>
      </c>
      <c r="H155" s="53" t="s">
        <v>966</v>
      </c>
      <c r="I155" s="53" t="e">
        <f>VLOOKUP(H155,合同高级查询数据!$A$2:$A$51,1,FALSE)</f>
        <v>#N/A</v>
      </c>
      <c r="J155" s="88" t="s">
        <v>36</v>
      </c>
      <c r="K155" s="50" t="s">
        <v>965</v>
      </c>
      <c r="L155" s="52" t="s">
        <v>965</v>
      </c>
      <c r="M155" s="54" t="s">
        <v>967</v>
      </c>
      <c r="N155" s="94" t="s">
        <v>968</v>
      </c>
      <c r="O155" s="55" t="s">
        <v>969</v>
      </c>
      <c r="P155" s="129">
        <v>9000</v>
      </c>
      <c r="Q155" s="142">
        <v>64.2</v>
      </c>
      <c r="R155" s="99">
        <f t="shared" si="8"/>
        <v>577800</v>
      </c>
      <c r="S155" s="59">
        <v>202306</v>
      </c>
      <c r="T155" s="143" t="s">
        <v>970</v>
      </c>
      <c r="U155" s="143"/>
      <c r="V155" s="104">
        <v>64.122</v>
      </c>
      <c r="W155" s="155"/>
      <c r="X155" s="64"/>
      <c r="Y155" s="64"/>
      <c r="Z155" s="107" t="s">
        <v>971</v>
      </c>
      <c r="AA155" s="108">
        <v>0.2</v>
      </c>
      <c r="AB155" s="108">
        <v>200</v>
      </c>
      <c r="AC155" s="108">
        <f t="shared" ref="AC155:AC176" si="9">AA155*AB155</f>
        <v>40</v>
      </c>
    </row>
    <row r="156" spans="1:29" s="3" customFormat="1" ht="15" customHeight="1">
      <c r="A156" s="50" t="s">
        <v>212</v>
      </c>
      <c r="B156" s="85" t="s">
        <v>213</v>
      </c>
      <c r="C156" s="49" t="s">
        <v>860</v>
      </c>
      <c r="D156" s="86" t="s">
        <v>215</v>
      </c>
      <c r="E156" s="50" t="s">
        <v>972</v>
      </c>
      <c r="F156" s="50" t="s">
        <v>973</v>
      </c>
      <c r="G156" s="53" t="s">
        <v>34</v>
      </c>
      <c r="H156" s="53" t="s">
        <v>974</v>
      </c>
      <c r="I156" s="53" t="e">
        <f>VLOOKUP(H156,合同高级查询数据!$A$2:$A$51,1,FALSE)</f>
        <v>#N/A</v>
      </c>
      <c r="J156" s="88" t="s">
        <v>36</v>
      </c>
      <c r="K156" s="50" t="s">
        <v>973</v>
      </c>
      <c r="L156" s="52" t="s">
        <v>973</v>
      </c>
      <c r="M156" s="54" t="s">
        <v>975</v>
      </c>
      <c r="N156" s="94" t="s">
        <v>976</v>
      </c>
      <c r="O156" s="55" t="s">
        <v>977</v>
      </c>
      <c r="P156" s="129">
        <v>9000</v>
      </c>
      <c r="Q156" s="142">
        <v>73.34</v>
      </c>
      <c r="R156" s="99">
        <f t="shared" si="8"/>
        <v>660060</v>
      </c>
      <c r="S156" s="59">
        <v>202306</v>
      </c>
      <c r="T156" s="143" t="s">
        <v>978</v>
      </c>
      <c r="U156" s="143"/>
      <c r="V156" s="104">
        <v>73.337000000000003</v>
      </c>
      <c r="W156" s="155"/>
      <c r="X156" s="64"/>
      <c r="Y156" s="64"/>
      <c r="Z156" s="107" t="s">
        <v>979</v>
      </c>
      <c r="AA156" s="108">
        <v>0.2</v>
      </c>
      <c r="AB156" s="108">
        <v>300</v>
      </c>
      <c r="AC156" s="108">
        <f t="shared" si="9"/>
        <v>60</v>
      </c>
    </row>
    <row r="157" spans="1:29" s="3" customFormat="1" ht="15" customHeight="1">
      <c r="A157" s="50" t="s">
        <v>212</v>
      </c>
      <c r="B157" s="85" t="s">
        <v>213</v>
      </c>
      <c r="C157" s="49" t="s">
        <v>860</v>
      </c>
      <c r="D157" s="86" t="s">
        <v>215</v>
      </c>
      <c r="E157" s="50" t="s">
        <v>980</v>
      </c>
      <c r="F157" s="50" t="s">
        <v>981</v>
      </c>
      <c r="G157" s="53" t="s">
        <v>34</v>
      </c>
      <c r="H157" s="53" t="s">
        <v>982</v>
      </c>
      <c r="I157" s="53" t="e">
        <f>VLOOKUP(H157,合同高级查询数据!$A$2:$A$51,1,FALSE)</f>
        <v>#N/A</v>
      </c>
      <c r="J157" s="88" t="s">
        <v>36</v>
      </c>
      <c r="K157" s="50" t="s">
        <v>983</v>
      </c>
      <c r="L157" s="52" t="s">
        <v>983</v>
      </c>
      <c r="M157" s="54" t="s">
        <v>984</v>
      </c>
      <c r="N157" s="94" t="s">
        <v>985</v>
      </c>
      <c r="O157" s="94" t="s">
        <v>986</v>
      </c>
      <c r="P157" s="129">
        <v>9000</v>
      </c>
      <c r="Q157" s="142">
        <v>12</v>
      </c>
      <c r="R157" s="99">
        <f t="shared" si="8"/>
        <v>108000</v>
      </c>
      <c r="S157" s="59">
        <v>202306</v>
      </c>
      <c r="T157" s="143" t="s">
        <v>987</v>
      </c>
      <c r="U157" s="143"/>
      <c r="V157" s="104">
        <v>11.217159537000001</v>
      </c>
      <c r="W157" s="155">
        <v>11.7</v>
      </c>
      <c r="X157" s="64"/>
      <c r="Y157" s="64"/>
      <c r="Z157" s="107" t="s">
        <v>988</v>
      </c>
      <c r="AA157" s="108">
        <v>0.3</v>
      </c>
      <c r="AB157" s="108">
        <v>40</v>
      </c>
      <c r="AC157" s="108">
        <f t="shared" si="9"/>
        <v>12</v>
      </c>
    </row>
    <row r="158" spans="1:29" s="3" customFormat="1" ht="15" customHeight="1">
      <c r="A158" s="50" t="s">
        <v>212</v>
      </c>
      <c r="B158" s="85" t="s">
        <v>213</v>
      </c>
      <c r="C158" s="49" t="s">
        <v>860</v>
      </c>
      <c r="D158" s="86" t="s">
        <v>215</v>
      </c>
      <c r="E158" s="50" t="s">
        <v>980</v>
      </c>
      <c r="F158" s="50" t="s">
        <v>981</v>
      </c>
      <c r="G158" s="53" t="s">
        <v>34</v>
      </c>
      <c r="H158" s="53" t="s">
        <v>989</v>
      </c>
      <c r="I158" s="53" t="e">
        <f>VLOOKUP(H158,合同高级查询数据!$A$2:$A$51,1,FALSE)</f>
        <v>#N/A</v>
      </c>
      <c r="J158" s="88" t="s">
        <v>36</v>
      </c>
      <c r="K158" s="50" t="s">
        <v>990</v>
      </c>
      <c r="L158" s="52" t="s">
        <v>990</v>
      </c>
      <c r="M158" s="54" t="s">
        <v>984</v>
      </c>
      <c r="N158" s="55">
        <v>45001</v>
      </c>
      <c r="O158" s="55" t="s">
        <v>277</v>
      </c>
      <c r="P158" s="129">
        <v>9000</v>
      </c>
      <c r="Q158" s="142">
        <v>44.1</v>
      </c>
      <c r="R158" s="99">
        <f t="shared" si="8"/>
        <v>396900</v>
      </c>
      <c r="S158" s="59">
        <v>202306</v>
      </c>
      <c r="T158" s="143" t="s">
        <v>991</v>
      </c>
      <c r="U158" s="143"/>
      <c r="V158" s="104">
        <v>43.215477147999998</v>
      </c>
      <c r="W158" s="155">
        <v>44.8</v>
      </c>
      <c r="X158" s="64"/>
      <c r="Y158" s="64"/>
      <c r="Z158" s="107" t="s">
        <v>992</v>
      </c>
      <c r="AA158" s="108">
        <v>0.3</v>
      </c>
      <c r="AB158" s="108">
        <v>100</v>
      </c>
      <c r="AC158" s="108">
        <f t="shared" si="9"/>
        <v>30</v>
      </c>
    </row>
    <row r="159" spans="1:29" s="2" customFormat="1" ht="15" customHeight="1">
      <c r="A159" s="9" t="s">
        <v>212</v>
      </c>
      <c r="B159" s="6" t="s">
        <v>213</v>
      </c>
      <c r="C159" s="8" t="s">
        <v>860</v>
      </c>
      <c r="D159" s="7" t="s">
        <v>215</v>
      </c>
      <c r="E159" s="9" t="s">
        <v>993</v>
      </c>
      <c r="F159" s="9" t="s">
        <v>994</v>
      </c>
      <c r="G159" s="11" t="s">
        <v>34</v>
      </c>
      <c r="H159" s="11" t="s">
        <v>995</v>
      </c>
      <c r="I159" s="11" t="e">
        <f>VLOOKUP(H159,合同高级查询数据!$A$2:$A$51,1,FALSE)</f>
        <v>#N/A</v>
      </c>
      <c r="J159" s="14" t="s">
        <v>36</v>
      </c>
      <c r="K159" s="9" t="s">
        <v>994</v>
      </c>
      <c r="L159" s="15" t="s">
        <v>994</v>
      </c>
      <c r="M159" s="16" t="s">
        <v>996</v>
      </c>
      <c r="N159" s="131" t="s">
        <v>997</v>
      </c>
      <c r="O159" s="131" t="s">
        <v>998</v>
      </c>
      <c r="P159" s="130">
        <v>9000</v>
      </c>
      <c r="Q159" s="23">
        <v>40.83</v>
      </c>
      <c r="R159" s="140">
        <f t="shared" si="8"/>
        <v>367470</v>
      </c>
      <c r="S159" s="28">
        <v>202306</v>
      </c>
      <c r="T159" s="144" t="s">
        <v>999</v>
      </c>
      <c r="U159" s="144"/>
      <c r="V159" s="34">
        <v>40.83</v>
      </c>
      <c r="W159" s="156"/>
      <c r="X159" s="36">
        <v>44774</v>
      </c>
      <c r="Y159" s="36">
        <v>45138</v>
      </c>
      <c r="Z159" s="42" t="s">
        <v>1000</v>
      </c>
      <c r="AA159" s="43">
        <v>0.2</v>
      </c>
      <c r="AB159" s="43">
        <v>200</v>
      </c>
      <c r="AC159" s="43">
        <f t="shared" si="9"/>
        <v>40</v>
      </c>
    </row>
    <row r="160" spans="1:29" s="3" customFormat="1" ht="15" customHeight="1">
      <c r="A160" s="50" t="s">
        <v>212</v>
      </c>
      <c r="B160" s="85" t="s">
        <v>213</v>
      </c>
      <c r="C160" s="49" t="s">
        <v>860</v>
      </c>
      <c r="D160" s="86" t="s">
        <v>215</v>
      </c>
      <c r="E160" s="50" t="s">
        <v>1001</v>
      </c>
      <c r="F160" s="50" t="s">
        <v>1002</v>
      </c>
      <c r="G160" s="53" t="s">
        <v>34</v>
      </c>
      <c r="H160" s="53" t="s">
        <v>1003</v>
      </c>
      <c r="I160" s="53" t="e">
        <f>VLOOKUP(H160,合同高级查询数据!$A$2:$A$51,1,FALSE)</f>
        <v>#N/A</v>
      </c>
      <c r="J160" s="88" t="s">
        <v>36</v>
      </c>
      <c r="K160" s="50" t="s">
        <v>1002</v>
      </c>
      <c r="L160" s="52" t="s">
        <v>1002</v>
      </c>
      <c r="M160" s="54" t="s">
        <v>1004</v>
      </c>
      <c r="N160" s="94" t="s">
        <v>1005</v>
      </c>
      <c r="O160" s="94" t="s">
        <v>1006</v>
      </c>
      <c r="P160" s="129">
        <v>9000</v>
      </c>
      <c r="Q160" s="142">
        <v>185.9</v>
      </c>
      <c r="R160" s="99">
        <f t="shared" si="8"/>
        <v>1673100</v>
      </c>
      <c r="S160" s="59">
        <v>202306</v>
      </c>
      <c r="T160" s="143" t="s">
        <v>1007</v>
      </c>
      <c r="U160" s="143"/>
      <c r="V160" s="104">
        <v>184.5</v>
      </c>
      <c r="W160" s="155"/>
      <c r="X160" s="64"/>
      <c r="Y160" s="64"/>
      <c r="Z160" s="107" t="s">
        <v>1008</v>
      </c>
      <c r="AA160" s="108">
        <v>0.2</v>
      </c>
      <c r="AB160" s="108">
        <v>400</v>
      </c>
      <c r="AC160" s="108">
        <f t="shared" si="9"/>
        <v>80</v>
      </c>
    </row>
    <row r="161" spans="1:29" s="2" customFormat="1" ht="15" customHeight="1">
      <c r="A161" s="9" t="s">
        <v>212</v>
      </c>
      <c r="B161" s="6" t="s">
        <v>213</v>
      </c>
      <c r="C161" s="8" t="s">
        <v>860</v>
      </c>
      <c r="D161" s="7" t="s">
        <v>215</v>
      </c>
      <c r="E161" s="9" t="s">
        <v>1009</v>
      </c>
      <c r="F161" s="9" t="s">
        <v>1010</v>
      </c>
      <c r="G161" s="11" t="s">
        <v>34</v>
      </c>
      <c r="H161" s="11" t="s">
        <v>1011</v>
      </c>
      <c r="I161" s="11" t="e">
        <f>VLOOKUP(H161,合同高级查询数据!$A$2:$A$51,1,FALSE)</f>
        <v>#N/A</v>
      </c>
      <c r="J161" s="14" t="s">
        <v>36</v>
      </c>
      <c r="K161" s="9" t="s">
        <v>1010</v>
      </c>
      <c r="L161" s="15" t="s">
        <v>1010</v>
      </c>
      <c r="M161" s="16" t="s">
        <v>1012</v>
      </c>
      <c r="N161" s="21">
        <v>44789</v>
      </c>
      <c r="O161" s="21" t="s">
        <v>277</v>
      </c>
      <c r="P161" s="130">
        <v>9000</v>
      </c>
      <c r="Q161" s="23">
        <v>20</v>
      </c>
      <c r="R161" s="140">
        <f t="shared" si="8"/>
        <v>180000</v>
      </c>
      <c r="S161" s="28">
        <v>202306</v>
      </c>
      <c r="T161" s="144" t="s">
        <v>1013</v>
      </c>
      <c r="U161" s="144"/>
      <c r="V161" s="34">
        <v>19.596</v>
      </c>
      <c r="W161" s="156">
        <v>20</v>
      </c>
      <c r="X161" s="36">
        <v>44774</v>
      </c>
      <c r="Y161" s="36">
        <v>45138</v>
      </c>
      <c r="Z161" s="42" t="s">
        <v>1014</v>
      </c>
      <c r="AA161" s="43">
        <v>0.2</v>
      </c>
      <c r="AB161" s="43">
        <v>100</v>
      </c>
      <c r="AC161" s="43">
        <f t="shared" si="9"/>
        <v>20</v>
      </c>
    </row>
    <row r="162" spans="1:29" s="3" customFormat="1" ht="15" customHeight="1">
      <c r="A162" s="50" t="s">
        <v>267</v>
      </c>
      <c r="B162" s="85" t="s">
        <v>213</v>
      </c>
      <c r="C162" s="49" t="s">
        <v>860</v>
      </c>
      <c r="D162" s="86" t="s">
        <v>215</v>
      </c>
      <c r="E162" s="50" t="s">
        <v>1015</v>
      </c>
      <c r="F162" s="50" t="s">
        <v>1016</v>
      </c>
      <c r="G162" s="53" t="s">
        <v>34</v>
      </c>
      <c r="H162" s="53" t="s">
        <v>1017</v>
      </c>
      <c r="I162" s="53" t="e">
        <f>VLOOKUP(H162,合同高级查询数据!$A$2:$A$51,1,FALSE)</f>
        <v>#N/A</v>
      </c>
      <c r="J162" s="88" t="s">
        <v>36</v>
      </c>
      <c r="K162" s="52" t="s">
        <v>1016</v>
      </c>
      <c r="L162" s="52" t="s">
        <v>1016</v>
      </c>
      <c r="M162" s="54" t="s">
        <v>1018</v>
      </c>
      <c r="N162" s="94" t="s">
        <v>1019</v>
      </c>
      <c r="O162" s="94" t="s">
        <v>1020</v>
      </c>
      <c r="P162" s="129">
        <v>6740</v>
      </c>
      <c r="Q162" s="142">
        <v>44</v>
      </c>
      <c r="R162" s="99">
        <f t="shared" si="8"/>
        <v>296560</v>
      </c>
      <c r="S162" s="59">
        <v>202306</v>
      </c>
      <c r="T162" s="143" t="s">
        <v>1021</v>
      </c>
      <c r="U162" s="143"/>
      <c r="V162" s="104">
        <v>43.814365387000002</v>
      </c>
      <c r="W162" s="155"/>
      <c r="X162" s="64"/>
      <c r="Y162" s="64"/>
      <c r="Z162" s="107" t="s">
        <v>1022</v>
      </c>
      <c r="AA162" s="108">
        <v>0.4</v>
      </c>
      <c r="AB162" s="108">
        <v>110</v>
      </c>
      <c r="AC162" s="108">
        <f t="shared" si="9"/>
        <v>44</v>
      </c>
    </row>
    <row r="163" spans="1:29" s="3" customFormat="1" ht="15" customHeight="1">
      <c r="A163" s="50" t="s">
        <v>267</v>
      </c>
      <c r="B163" s="85" t="s">
        <v>213</v>
      </c>
      <c r="C163" s="49" t="s">
        <v>860</v>
      </c>
      <c r="D163" s="86" t="s">
        <v>215</v>
      </c>
      <c r="E163" s="50" t="s">
        <v>1015</v>
      </c>
      <c r="F163" s="50" t="s">
        <v>1016</v>
      </c>
      <c r="G163" s="53" t="s">
        <v>34</v>
      </c>
      <c r="H163" s="53" t="s">
        <v>1017</v>
      </c>
      <c r="I163" s="53" t="e">
        <f>VLOOKUP(H163,合同高级查询数据!$A$2:$A$51,1,FALSE)</f>
        <v>#N/A</v>
      </c>
      <c r="J163" s="88" t="s">
        <v>36</v>
      </c>
      <c r="K163" s="52" t="s">
        <v>1023</v>
      </c>
      <c r="L163" s="52" t="s">
        <v>1023</v>
      </c>
      <c r="M163" s="54" t="s">
        <v>1024</v>
      </c>
      <c r="N163" s="94" t="s">
        <v>1025</v>
      </c>
      <c r="O163" s="94" t="s">
        <v>1026</v>
      </c>
      <c r="P163" s="129">
        <v>6740</v>
      </c>
      <c r="Q163" s="142">
        <v>180.03</v>
      </c>
      <c r="R163" s="99">
        <f t="shared" si="8"/>
        <v>1213402.2</v>
      </c>
      <c r="S163" s="59">
        <v>202306</v>
      </c>
      <c r="T163" s="143" t="s">
        <v>1027</v>
      </c>
      <c r="U163" s="143"/>
      <c r="V163" s="104">
        <v>180.03250787299999</v>
      </c>
      <c r="W163" s="155"/>
      <c r="X163" s="64"/>
      <c r="Y163" s="64"/>
      <c r="Z163" s="107" t="s">
        <v>1028</v>
      </c>
      <c r="AA163" s="108">
        <v>0.4</v>
      </c>
      <c r="AB163" s="108">
        <v>500</v>
      </c>
      <c r="AC163" s="108">
        <f t="shared" si="9"/>
        <v>200</v>
      </c>
    </row>
    <row r="164" spans="1:29" s="2" customFormat="1" ht="15" customHeight="1">
      <c r="A164" s="9" t="s">
        <v>267</v>
      </c>
      <c r="B164" s="6" t="s">
        <v>213</v>
      </c>
      <c r="C164" s="8" t="s">
        <v>860</v>
      </c>
      <c r="D164" s="7" t="s">
        <v>215</v>
      </c>
      <c r="E164" s="9" t="s">
        <v>1029</v>
      </c>
      <c r="F164" s="9" t="s">
        <v>1030</v>
      </c>
      <c r="G164" s="11" t="s">
        <v>34</v>
      </c>
      <c r="H164" s="11" t="s">
        <v>1031</v>
      </c>
      <c r="I164" s="11" t="e">
        <f>VLOOKUP(H164,合同高级查询数据!$A$2:$A$51,1,FALSE)</f>
        <v>#N/A</v>
      </c>
      <c r="J164" s="14" t="s">
        <v>36</v>
      </c>
      <c r="K164" s="9" t="s">
        <v>1032</v>
      </c>
      <c r="L164" s="15" t="s">
        <v>1030</v>
      </c>
      <c r="M164" s="16" t="s">
        <v>1033</v>
      </c>
      <c r="N164" s="21" t="s">
        <v>1034</v>
      </c>
      <c r="O164" s="21" t="s">
        <v>1035</v>
      </c>
      <c r="P164" s="130">
        <v>6740</v>
      </c>
      <c r="Q164" s="23"/>
      <c r="R164" s="140">
        <f t="shared" si="8"/>
        <v>0</v>
      </c>
      <c r="S164" s="28">
        <v>202306</v>
      </c>
      <c r="T164" s="144" t="s">
        <v>1036</v>
      </c>
      <c r="U164" s="144"/>
      <c r="V164" s="101">
        <v>0</v>
      </c>
      <c r="W164" s="156"/>
      <c r="X164" s="36">
        <v>44197</v>
      </c>
      <c r="Y164" s="36">
        <v>44926</v>
      </c>
      <c r="Z164" s="42">
        <v>0</v>
      </c>
      <c r="AA164" s="43" t="s">
        <v>180</v>
      </c>
      <c r="AB164" s="43">
        <v>0</v>
      </c>
      <c r="AC164" s="43">
        <v>0</v>
      </c>
    </row>
    <row r="165" spans="1:29" s="2" customFormat="1" ht="15" customHeight="1">
      <c r="A165" s="9" t="s">
        <v>267</v>
      </c>
      <c r="B165" s="6" t="s">
        <v>213</v>
      </c>
      <c r="C165" s="8" t="s">
        <v>860</v>
      </c>
      <c r="D165" s="7" t="s">
        <v>215</v>
      </c>
      <c r="E165" s="9" t="s">
        <v>1037</v>
      </c>
      <c r="F165" s="9" t="s">
        <v>1038</v>
      </c>
      <c r="G165" s="11" t="s">
        <v>34</v>
      </c>
      <c r="H165" s="11" t="s">
        <v>1039</v>
      </c>
      <c r="I165" s="11" t="e">
        <f>VLOOKUP(H165,合同高级查询数据!$A$2:$A$51,1,FALSE)</f>
        <v>#N/A</v>
      </c>
      <c r="J165" s="14" t="s">
        <v>36</v>
      </c>
      <c r="K165" s="9" t="s">
        <v>1038</v>
      </c>
      <c r="L165" s="15" t="s">
        <v>1038</v>
      </c>
      <c r="M165" s="16" t="s">
        <v>1040</v>
      </c>
      <c r="N165" s="21" t="s">
        <v>1041</v>
      </c>
      <c r="O165" s="21" t="s">
        <v>1042</v>
      </c>
      <c r="P165" s="130">
        <v>6740</v>
      </c>
      <c r="Q165" s="23"/>
      <c r="R165" s="140">
        <f t="shared" si="8"/>
        <v>0</v>
      </c>
      <c r="S165" s="28">
        <v>202306</v>
      </c>
      <c r="T165" s="144" t="s">
        <v>1043</v>
      </c>
      <c r="U165" s="144"/>
      <c r="V165" s="101">
        <v>0</v>
      </c>
      <c r="W165" s="156"/>
      <c r="X165" s="36">
        <v>44927</v>
      </c>
      <c r="Y165" s="36">
        <v>45107</v>
      </c>
      <c r="Z165" s="42">
        <v>0</v>
      </c>
      <c r="AA165" s="43" t="s">
        <v>180</v>
      </c>
      <c r="AB165" s="43">
        <v>0</v>
      </c>
      <c r="AC165" s="43">
        <v>0</v>
      </c>
    </row>
    <row r="166" spans="1:29" s="2" customFormat="1" ht="15" customHeight="1">
      <c r="A166" s="9" t="s">
        <v>267</v>
      </c>
      <c r="B166" s="6" t="s">
        <v>213</v>
      </c>
      <c r="C166" s="8" t="s">
        <v>860</v>
      </c>
      <c r="D166" s="7" t="s">
        <v>215</v>
      </c>
      <c r="E166" s="9" t="s">
        <v>1037</v>
      </c>
      <c r="F166" s="9" t="s">
        <v>1038</v>
      </c>
      <c r="G166" s="11" t="s">
        <v>34</v>
      </c>
      <c r="H166" s="11" t="s">
        <v>1039</v>
      </c>
      <c r="I166" s="11" t="e">
        <f>VLOOKUP(H166,合同高级查询数据!$A$2:$A$51,1,FALSE)</f>
        <v>#N/A</v>
      </c>
      <c r="J166" s="14" t="s">
        <v>36</v>
      </c>
      <c r="K166" s="9" t="s">
        <v>1044</v>
      </c>
      <c r="L166" s="15" t="s">
        <v>1044</v>
      </c>
      <c r="M166" s="16" t="s">
        <v>1045</v>
      </c>
      <c r="N166" s="21" t="s">
        <v>1046</v>
      </c>
      <c r="O166" s="131" t="s">
        <v>1047</v>
      </c>
      <c r="P166" s="130">
        <v>6740</v>
      </c>
      <c r="Q166" s="23">
        <v>32</v>
      </c>
      <c r="R166" s="140">
        <f t="shared" si="8"/>
        <v>215680</v>
      </c>
      <c r="S166" s="28">
        <v>202306</v>
      </c>
      <c r="T166" s="144" t="s">
        <v>1048</v>
      </c>
      <c r="U166" s="144"/>
      <c r="V166" s="34">
        <v>31.785133362</v>
      </c>
      <c r="W166" s="156"/>
      <c r="X166" s="36">
        <v>44927</v>
      </c>
      <c r="Y166" s="36">
        <v>45107</v>
      </c>
      <c r="Z166" s="42" t="s">
        <v>1049</v>
      </c>
      <c r="AA166" s="43">
        <v>0.4</v>
      </c>
      <c r="AB166" s="43">
        <v>80</v>
      </c>
      <c r="AC166" s="43">
        <f t="shared" si="9"/>
        <v>32</v>
      </c>
    </row>
    <row r="167" spans="1:29" s="2" customFormat="1" ht="15" customHeight="1">
      <c r="A167" s="9" t="s">
        <v>267</v>
      </c>
      <c r="B167" s="6" t="s">
        <v>213</v>
      </c>
      <c r="C167" s="8" t="s">
        <v>860</v>
      </c>
      <c r="D167" s="7" t="s">
        <v>215</v>
      </c>
      <c r="E167" s="9" t="s">
        <v>1037</v>
      </c>
      <c r="F167" s="9" t="s">
        <v>1038</v>
      </c>
      <c r="G167" s="11" t="s">
        <v>34</v>
      </c>
      <c r="H167" s="11" t="s">
        <v>1039</v>
      </c>
      <c r="I167" s="11" t="e">
        <f>VLOOKUP(H167,合同高级查询数据!$A$2:$A$51,1,FALSE)</f>
        <v>#N/A</v>
      </c>
      <c r="J167" s="11" t="s">
        <v>440</v>
      </c>
      <c r="K167" s="9" t="s">
        <v>1050</v>
      </c>
      <c r="L167" s="15" t="s">
        <v>1050</v>
      </c>
      <c r="M167" s="16" t="s">
        <v>1051</v>
      </c>
      <c r="N167" s="21" t="s">
        <v>1052</v>
      </c>
      <c r="O167" s="21" t="s">
        <v>956</v>
      </c>
      <c r="P167" s="130">
        <v>6740</v>
      </c>
      <c r="Q167" s="23"/>
      <c r="R167" s="140">
        <f t="shared" si="8"/>
        <v>0</v>
      </c>
      <c r="S167" s="28">
        <v>202306</v>
      </c>
      <c r="T167" s="144" t="s">
        <v>1053</v>
      </c>
      <c r="U167" s="144"/>
      <c r="V167" s="101">
        <v>0</v>
      </c>
      <c r="W167" s="156"/>
      <c r="X167" s="36">
        <v>44927</v>
      </c>
      <c r="Y167" s="36">
        <v>45107</v>
      </c>
      <c r="Z167" s="42">
        <v>0</v>
      </c>
      <c r="AA167" s="43" t="s">
        <v>180</v>
      </c>
      <c r="AB167" s="43">
        <v>0</v>
      </c>
      <c r="AC167" s="43">
        <v>0</v>
      </c>
    </row>
    <row r="168" spans="1:29" s="2" customFormat="1" ht="15" customHeight="1">
      <c r="A168" s="9" t="s">
        <v>267</v>
      </c>
      <c r="B168" s="6" t="s">
        <v>213</v>
      </c>
      <c r="C168" s="8" t="s">
        <v>860</v>
      </c>
      <c r="D168" s="7" t="s">
        <v>215</v>
      </c>
      <c r="E168" s="9" t="s">
        <v>1054</v>
      </c>
      <c r="F168" s="9" t="s">
        <v>1055</v>
      </c>
      <c r="G168" s="11" t="s">
        <v>34</v>
      </c>
      <c r="H168" s="11" t="s">
        <v>1056</v>
      </c>
      <c r="I168" s="11" t="e">
        <f>VLOOKUP(H168,合同高级查询数据!$A$2:$A$51,1,FALSE)</f>
        <v>#N/A</v>
      </c>
      <c r="J168" s="14" t="s">
        <v>36</v>
      </c>
      <c r="K168" s="9" t="s">
        <v>1057</v>
      </c>
      <c r="L168" s="15" t="s">
        <v>1057</v>
      </c>
      <c r="M168" s="16" t="s">
        <v>1058</v>
      </c>
      <c r="N168" s="21" t="s">
        <v>1059</v>
      </c>
      <c r="O168" s="21" t="s">
        <v>1060</v>
      </c>
      <c r="P168" s="130">
        <v>6740</v>
      </c>
      <c r="Q168" s="23"/>
      <c r="R168" s="140">
        <f t="shared" si="8"/>
        <v>0</v>
      </c>
      <c r="S168" s="28">
        <v>202306</v>
      </c>
      <c r="T168" s="144" t="s">
        <v>1061</v>
      </c>
      <c r="U168" s="144"/>
      <c r="V168" s="101">
        <v>0</v>
      </c>
      <c r="W168" s="156"/>
      <c r="X168" s="36">
        <v>44197</v>
      </c>
      <c r="Y168" s="36">
        <v>44926</v>
      </c>
      <c r="Z168" s="42"/>
      <c r="AA168" s="43" t="s">
        <v>180</v>
      </c>
      <c r="AB168" s="43">
        <v>0</v>
      </c>
      <c r="AC168" s="43">
        <v>0</v>
      </c>
    </row>
    <row r="169" spans="1:29" s="2" customFormat="1" ht="15" customHeight="1">
      <c r="A169" s="9" t="s">
        <v>267</v>
      </c>
      <c r="B169" s="6" t="s">
        <v>213</v>
      </c>
      <c r="C169" s="8" t="s">
        <v>860</v>
      </c>
      <c r="D169" s="7" t="s">
        <v>215</v>
      </c>
      <c r="E169" s="9" t="s">
        <v>1062</v>
      </c>
      <c r="F169" s="9" t="s">
        <v>1063</v>
      </c>
      <c r="G169" s="11" t="s">
        <v>34</v>
      </c>
      <c r="H169" s="11" t="s">
        <v>1064</v>
      </c>
      <c r="I169" s="11" t="e">
        <f>VLOOKUP(H169,合同高级查询数据!$A$2:$A$51,1,FALSE)</f>
        <v>#N/A</v>
      </c>
      <c r="J169" s="14" t="s">
        <v>36</v>
      </c>
      <c r="K169" s="9" t="s">
        <v>1065</v>
      </c>
      <c r="L169" s="15" t="s">
        <v>1063</v>
      </c>
      <c r="M169" s="16" t="s">
        <v>1066</v>
      </c>
      <c r="N169" s="21" t="s">
        <v>1067</v>
      </c>
      <c r="O169" s="21" t="s">
        <v>1068</v>
      </c>
      <c r="P169" s="130">
        <v>6740</v>
      </c>
      <c r="Q169" s="23"/>
      <c r="R169" s="140">
        <f t="shared" si="8"/>
        <v>0</v>
      </c>
      <c r="S169" s="28">
        <v>202306</v>
      </c>
      <c r="T169" s="144" t="s">
        <v>1069</v>
      </c>
      <c r="U169" s="144"/>
      <c r="V169" s="101">
        <v>0</v>
      </c>
      <c r="W169" s="156"/>
      <c r="X169" s="36">
        <v>44197</v>
      </c>
      <c r="Y169" s="36">
        <v>44926</v>
      </c>
      <c r="Z169" s="42">
        <v>0</v>
      </c>
      <c r="AA169" s="43" t="s">
        <v>180</v>
      </c>
      <c r="AB169" s="43">
        <v>0</v>
      </c>
      <c r="AC169" s="43">
        <v>0</v>
      </c>
    </row>
    <row r="170" spans="1:29" s="2" customFormat="1" ht="15" customHeight="1">
      <c r="A170" s="9" t="s">
        <v>267</v>
      </c>
      <c r="B170" s="6" t="s">
        <v>213</v>
      </c>
      <c r="C170" s="8" t="s">
        <v>860</v>
      </c>
      <c r="D170" s="7" t="s">
        <v>215</v>
      </c>
      <c r="E170" s="9" t="s">
        <v>1062</v>
      </c>
      <c r="F170" s="9" t="s">
        <v>1063</v>
      </c>
      <c r="G170" s="11" t="s">
        <v>34</v>
      </c>
      <c r="H170" s="11" t="s">
        <v>1064</v>
      </c>
      <c r="I170" s="11" t="e">
        <f>VLOOKUP(H170,合同高级查询数据!$A$2:$A$51,1,FALSE)</f>
        <v>#N/A</v>
      </c>
      <c r="J170" s="14" t="s">
        <v>36</v>
      </c>
      <c r="K170" s="9" t="s">
        <v>1070</v>
      </c>
      <c r="L170" s="15" t="s">
        <v>1071</v>
      </c>
      <c r="M170" s="16" t="s">
        <v>1072</v>
      </c>
      <c r="N170" s="21" t="s">
        <v>1073</v>
      </c>
      <c r="O170" s="21" t="s">
        <v>782</v>
      </c>
      <c r="P170" s="130">
        <v>6740</v>
      </c>
      <c r="Q170" s="23"/>
      <c r="R170" s="140">
        <f t="shared" si="8"/>
        <v>0</v>
      </c>
      <c r="S170" s="28">
        <v>202306</v>
      </c>
      <c r="T170" s="144" t="s">
        <v>1074</v>
      </c>
      <c r="U170" s="144"/>
      <c r="V170" s="101">
        <v>0</v>
      </c>
      <c r="W170" s="156"/>
      <c r="X170" s="36">
        <v>44197</v>
      </c>
      <c r="Y170" s="36">
        <v>44926</v>
      </c>
      <c r="Z170" s="42">
        <v>0</v>
      </c>
      <c r="AA170" s="43" t="s">
        <v>180</v>
      </c>
      <c r="AB170" s="43">
        <v>0</v>
      </c>
      <c r="AC170" s="43">
        <v>0</v>
      </c>
    </row>
    <row r="171" spans="1:29" s="3" customFormat="1" ht="15" customHeight="1">
      <c r="A171" s="50" t="s">
        <v>267</v>
      </c>
      <c r="B171" s="85" t="s">
        <v>213</v>
      </c>
      <c r="C171" s="49" t="s">
        <v>860</v>
      </c>
      <c r="D171" s="86" t="s">
        <v>215</v>
      </c>
      <c r="E171" s="50" t="s">
        <v>1075</v>
      </c>
      <c r="F171" s="50" t="s">
        <v>1076</v>
      </c>
      <c r="G171" s="53" t="s">
        <v>34</v>
      </c>
      <c r="H171" s="53" t="s">
        <v>1077</v>
      </c>
      <c r="I171" s="53" t="e">
        <f>VLOOKUP(H171,合同高级查询数据!$A$2:$A$51,1,FALSE)</f>
        <v>#N/A</v>
      </c>
      <c r="J171" s="88" t="s">
        <v>36</v>
      </c>
      <c r="K171" s="50" t="s">
        <v>1078</v>
      </c>
      <c r="L171" s="52" t="s">
        <v>1076</v>
      </c>
      <c r="M171" s="54" t="s">
        <v>1079</v>
      </c>
      <c r="N171" s="55">
        <v>45017</v>
      </c>
      <c r="O171" s="55" t="s">
        <v>434</v>
      </c>
      <c r="P171" s="129">
        <v>6740</v>
      </c>
      <c r="Q171" s="142">
        <v>90.93</v>
      </c>
      <c r="R171" s="99">
        <f t="shared" si="8"/>
        <v>612868.19999999995</v>
      </c>
      <c r="S171" s="59">
        <v>202306</v>
      </c>
      <c r="T171" s="143" t="s">
        <v>1080</v>
      </c>
      <c r="U171" s="143"/>
      <c r="V171" s="104">
        <v>90.93</v>
      </c>
      <c r="W171" s="155"/>
      <c r="X171" s="64"/>
      <c r="Y171" s="64"/>
      <c r="Z171" s="107" t="s">
        <v>1081</v>
      </c>
      <c r="AA171" s="108">
        <v>0.4</v>
      </c>
      <c r="AB171" s="108">
        <v>200</v>
      </c>
      <c r="AC171" s="108">
        <f t="shared" si="9"/>
        <v>80</v>
      </c>
    </row>
    <row r="172" spans="1:29" s="2" customFormat="1" ht="15" customHeight="1">
      <c r="A172" s="9" t="s">
        <v>267</v>
      </c>
      <c r="B172" s="6" t="s">
        <v>213</v>
      </c>
      <c r="C172" s="8" t="s">
        <v>860</v>
      </c>
      <c r="D172" s="7" t="s">
        <v>215</v>
      </c>
      <c r="E172" s="9" t="s">
        <v>1082</v>
      </c>
      <c r="F172" s="9" t="s">
        <v>1083</v>
      </c>
      <c r="G172" s="11" t="s">
        <v>34</v>
      </c>
      <c r="H172" s="11" t="s">
        <v>1084</v>
      </c>
      <c r="I172" s="11" t="e">
        <f>VLOOKUP(H172,合同高级查询数据!$A$2:$A$51,1,FALSE)</f>
        <v>#N/A</v>
      </c>
      <c r="J172" s="14" t="s">
        <v>36</v>
      </c>
      <c r="K172" s="9" t="s">
        <v>1085</v>
      </c>
      <c r="L172" s="15" t="s">
        <v>1086</v>
      </c>
      <c r="M172" s="16" t="s">
        <v>1087</v>
      </c>
      <c r="N172" s="21">
        <v>44816</v>
      </c>
      <c r="O172" s="21" t="s">
        <v>434</v>
      </c>
      <c r="P172" s="130">
        <v>6740</v>
      </c>
      <c r="Q172" s="23">
        <v>110.07</v>
      </c>
      <c r="R172" s="140">
        <f t="shared" si="8"/>
        <v>741871.8</v>
      </c>
      <c r="S172" s="28">
        <v>202306</v>
      </c>
      <c r="T172" s="144" t="s">
        <v>1088</v>
      </c>
      <c r="U172" s="144"/>
      <c r="V172" s="34">
        <v>110.069800754</v>
      </c>
      <c r="W172" s="157"/>
      <c r="X172" s="36">
        <v>44805</v>
      </c>
      <c r="Y172" s="36">
        <v>45170</v>
      </c>
      <c r="Z172" s="42" t="s">
        <v>1089</v>
      </c>
      <c r="AA172" s="43">
        <v>0.4</v>
      </c>
      <c r="AB172" s="43">
        <v>200</v>
      </c>
      <c r="AC172" s="43">
        <f t="shared" si="9"/>
        <v>80</v>
      </c>
    </row>
    <row r="173" spans="1:29" s="2" customFormat="1" ht="15" customHeight="1">
      <c r="A173" s="9" t="s">
        <v>267</v>
      </c>
      <c r="B173" s="6" t="s">
        <v>213</v>
      </c>
      <c r="C173" s="8" t="s">
        <v>860</v>
      </c>
      <c r="D173" s="7" t="s">
        <v>215</v>
      </c>
      <c r="E173" s="9" t="s">
        <v>1090</v>
      </c>
      <c r="F173" s="9" t="s">
        <v>1091</v>
      </c>
      <c r="G173" s="11" t="s">
        <v>34</v>
      </c>
      <c r="H173" s="11" t="s">
        <v>1092</v>
      </c>
      <c r="I173" s="11" t="e">
        <f>VLOOKUP(H173,合同高级查询数据!$A$2:$A$51,1,FALSE)</f>
        <v>#N/A</v>
      </c>
      <c r="J173" s="14" t="s">
        <v>36</v>
      </c>
      <c r="K173" s="9" t="s">
        <v>1093</v>
      </c>
      <c r="L173" s="15" t="s">
        <v>1093</v>
      </c>
      <c r="M173" s="16" t="s">
        <v>1094</v>
      </c>
      <c r="N173" s="21" t="s">
        <v>1095</v>
      </c>
      <c r="O173" s="21" t="s">
        <v>1096</v>
      </c>
      <c r="P173" s="130">
        <v>6740</v>
      </c>
      <c r="Q173" s="23">
        <v>48.04</v>
      </c>
      <c r="R173" s="140">
        <f t="shared" si="8"/>
        <v>323789.59999999998</v>
      </c>
      <c r="S173" s="28">
        <v>202306</v>
      </c>
      <c r="T173" s="144" t="s">
        <v>1097</v>
      </c>
      <c r="U173" s="144"/>
      <c r="V173" s="34">
        <v>48.044055939000003</v>
      </c>
      <c r="W173" s="156"/>
      <c r="X173" s="36">
        <v>44927</v>
      </c>
      <c r="Y173" s="36">
        <v>45107</v>
      </c>
      <c r="Z173" s="42" t="s">
        <v>1098</v>
      </c>
      <c r="AA173" s="43">
        <v>0.4</v>
      </c>
      <c r="AB173" s="43">
        <v>120</v>
      </c>
      <c r="AC173" s="43">
        <f t="shared" si="9"/>
        <v>48</v>
      </c>
    </row>
    <row r="174" spans="1:29" s="2" customFormat="1" ht="15" customHeight="1">
      <c r="A174" s="9" t="s">
        <v>267</v>
      </c>
      <c r="B174" s="6" t="s">
        <v>213</v>
      </c>
      <c r="C174" s="8" t="s">
        <v>860</v>
      </c>
      <c r="D174" s="7" t="s">
        <v>215</v>
      </c>
      <c r="E174" s="9" t="s">
        <v>1090</v>
      </c>
      <c r="F174" s="9" t="s">
        <v>1091</v>
      </c>
      <c r="G174" s="11" t="s">
        <v>34</v>
      </c>
      <c r="H174" s="11" t="s">
        <v>1092</v>
      </c>
      <c r="I174" s="11" t="e">
        <f>VLOOKUP(H174,合同高级查询数据!$A$2:$A$51,1,FALSE)</f>
        <v>#N/A</v>
      </c>
      <c r="J174" s="14" t="s">
        <v>36</v>
      </c>
      <c r="K174" s="9" t="s">
        <v>1099</v>
      </c>
      <c r="L174" s="15" t="s">
        <v>1100</v>
      </c>
      <c r="M174" s="16" t="s">
        <v>1094</v>
      </c>
      <c r="N174" s="21">
        <v>44812</v>
      </c>
      <c r="O174" s="21" t="s">
        <v>1101</v>
      </c>
      <c r="P174" s="130">
        <v>6740</v>
      </c>
      <c r="Q174" s="23">
        <v>131.28</v>
      </c>
      <c r="R174" s="140">
        <f t="shared" si="8"/>
        <v>884827.2</v>
      </c>
      <c r="S174" s="28">
        <v>202306</v>
      </c>
      <c r="T174" s="144" t="s">
        <v>1102</v>
      </c>
      <c r="U174" s="144"/>
      <c r="V174" s="34">
        <v>131.28498992199999</v>
      </c>
      <c r="W174" s="156"/>
      <c r="X174" s="36">
        <v>44927</v>
      </c>
      <c r="Y174" s="36">
        <v>45107</v>
      </c>
      <c r="Z174" s="42" t="s">
        <v>1103</v>
      </c>
      <c r="AA174" s="43">
        <v>0.4</v>
      </c>
      <c r="AB174" s="43">
        <v>260</v>
      </c>
      <c r="AC174" s="43">
        <f t="shared" si="9"/>
        <v>104</v>
      </c>
    </row>
    <row r="175" spans="1:29" s="2" customFormat="1" ht="15" customHeight="1">
      <c r="A175" s="9" t="s">
        <v>267</v>
      </c>
      <c r="B175" s="6" t="s">
        <v>213</v>
      </c>
      <c r="C175" s="8" t="s">
        <v>860</v>
      </c>
      <c r="D175" s="7" t="s">
        <v>215</v>
      </c>
      <c r="E175" s="9" t="s">
        <v>1104</v>
      </c>
      <c r="F175" s="9" t="s">
        <v>1105</v>
      </c>
      <c r="G175" s="11" t="s">
        <v>34</v>
      </c>
      <c r="H175" s="11" t="s">
        <v>1106</v>
      </c>
      <c r="I175" s="11" t="e">
        <f>VLOOKUP(H175,合同高级查询数据!$A$2:$A$51,1,FALSE)</f>
        <v>#N/A</v>
      </c>
      <c r="J175" s="14" t="s">
        <v>36</v>
      </c>
      <c r="K175" s="9" t="s">
        <v>1107</v>
      </c>
      <c r="L175" s="15" t="s">
        <v>1107</v>
      </c>
      <c r="M175" s="16" t="s">
        <v>1108</v>
      </c>
      <c r="N175" s="21" t="s">
        <v>1109</v>
      </c>
      <c r="O175" s="21" t="s">
        <v>1110</v>
      </c>
      <c r="P175" s="130">
        <v>6740</v>
      </c>
      <c r="Q175" s="23">
        <v>32</v>
      </c>
      <c r="R175" s="140">
        <f t="shared" si="8"/>
        <v>215680</v>
      </c>
      <c r="S175" s="28">
        <v>202306</v>
      </c>
      <c r="T175" s="144" t="s">
        <v>1111</v>
      </c>
      <c r="U175" s="144"/>
      <c r="V175" s="34">
        <v>31.983592987000002</v>
      </c>
      <c r="W175" s="156"/>
      <c r="X175" s="36">
        <v>44927</v>
      </c>
      <c r="Y175" s="36">
        <v>45107</v>
      </c>
      <c r="Z175" s="42" t="s">
        <v>1112</v>
      </c>
      <c r="AA175" s="43">
        <v>0.4</v>
      </c>
      <c r="AB175" s="43">
        <v>80</v>
      </c>
      <c r="AC175" s="43">
        <f t="shared" si="9"/>
        <v>32</v>
      </c>
    </row>
    <row r="176" spans="1:29" s="3" customFormat="1" ht="15" customHeight="1">
      <c r="A176" s="50" t="s">
        <v>267</v>
      </c>
      <c r="B176" s="85" t="s">
        <v>213</v>
      </c>
      <c r="C176" s="49" t="s">
        <v>860</v>
      </c>
      <c r="D176" s="86" t="s">
        <v>215</v>
      </c>
      <c r="E176" s="50" t="s">
        <v>1113</v>
      </c>
      <c r="F176" s="50" t="s">
        <v>1114</v>
      </c>
      <c r="G176" s="53" t="s">
        <v>34</v>
      </c>
      <c r="H176" s="117" t="s">
        <v>1115</v>
      </c>
      <c r="I176" s="53" t="e">
        <f>VLOOKUP(H176,合同高级查询数据!$A$2:$A$51,1,FALSE)</f>
        <v>#N/A</v>
      </c>
      <c r="J176" s="88" t="s">
        <v>36</v>
      </c>
      <c r="K176" s="50" t="s">
        <v>1116</v>
      </c>
      <c r="L176" s="52" t="s">
        <v>1114</v>
      </c>
      <c r="M176" s="54" t="s">
        <v>1117</v>
      </c>
      <c r="N176" s="94" t="s">
        <v>1118</v>
      </c>
      <c r="O176" s="94" t="s">
        <v>1119</v>
      </c>
      <c r="P176" s="129">
        <v>6740</v>
      </c>
      <c r="Q176" s="142">
        <v>242.67</v>
      </c>
      <c r="R176" s="99">
        <f t="shared" si="8"/>
        <v>1635595.8</v>
      </c>
      <c r="S176" s="59">
        <v>202306</v>
      </c>
      <c r="T176" s="143" t="s">
        <v>1120</v>
      </c>
      <c r="U176" s="143"/>
      <c r="V176" s="104">
        <v>238.80600000000001</v>
      </c>
      <c r="W176" s="155"/>
      <c r="X176" s="64"/>
      <c r="Y176" s="64"/>
      <c r="Z176" s="107" t="s">
        <v>1121</v>
      </c>
      <c r="AA176" s="108">
        <v>0.4</v>
      </c>
      <c r="AB176" s="108">
        <v>700</v>
      </c>
      <c r="AC176" s="108">
        <f t="shared" si="9"/>
        <v>280</v>
      </c>
    </row>
    <row r="177" spans="1:29" s="2" customFormat="1" ht="15" customHeight="1">
      <c r="A177" s="112" t="s">
        <v>260</v>
      </c>
      <c r="B177" s="113" t="s">
        <v>1122</v>
      </c>
      <c r="C177" s="113" t="s">
        <v>1123</v>
      </c>
      <c r="D177" s="113" t="s">
        <v>215</v>
      </c>
      <c r="E177" s="113" t="s">
        <v>1124</v>
      </c>
      <c r="F177" s="118" t="s">
        <v>1125</v>
      </c>
      <c r="G177" s="119" t="s">
        <v>34</v>
      </c>
      <c r="H177" s="119" t="s">
        <v>1126</v>
      </c>
      <c r="I177" s="11" t="str">
        <f>VLOOKUP(H177,合同高级查询数据!$A$2:$A$51,1,FALSE)</f>
        <v>182315IDC00246</v>
      </c>
      <c r="J177" s="118" t="s">
        <v>440</v>
      </c>
      <c r="K177" s="118" t="s">
        <v>1127</v>
      </c>
      <c r="L177" s="123" t="s">
        <v>1128</v>
      </c>
      <c r="M177" s="132" t="s">
        <v>1129</v>
      </c>
      <c r="N177" s="118" t="s">
        <v>1130</v>
      </c>
      <c r="O177" s="133" t="s">
        <v>956</v>
      </c>
      <c r="P177" s="134">
        <v>9500</v>
      </c>
      <c r="Q177" s="145"/>
      <c r="R177" s="146">
        <f t="shared" si="8"/>
        <v>0</v>
      </c>
      <c r="S177" s="28">
        <v>202306</v>
      </c>
      <c r="T177" s="147" t="s">
        <v>1131</v>
      </c>
      <c r="U177" s="158"/>
      <c r="V177" s="101">
        <v>0</v>
      </c>
      <c r="W177" s="159"/>
      <c r="X177" s="36">
        <v>44743</v>
      </c>
      <c r="Y177" s="36">
        <v>45107</v>
      </c>
      <c r="Z177" s="166" t="s">
        <v>1132</v>
      </c>
      <c r="AA177" s="43" t="s">
        <v>180</v>
      </c>
      <c r="AB177" s="167">
        <v>0</v>
      </c>
      <c r="AC177" s="172">
        <v>0</v>
      </c>
    </row>
    <row r="178" spans="1:29" s="2" customFormat="1" ht="15" customHeight="1">
      <c r="A178" s="112" t="s">
        <v>260</v>
      </c>
      <c r="B178" s="113" t="s">
        <v>1122</v>
      </c>
      <c r="C178" s="113" t="s">
        <v>1123</v>
      </c>
      <c r="D178" s="113" t="s">
        <v>215</v>
      </c>
      <c r="E178" s="113" t="s">
        <v>1124</v>
      </c>
      <c r="F178" s="118" t="s">
        <v>1125</v>
      </c>
      <c r="G178" s="119" t="s">
        <v>34</v>
      </c>
      <c r="H178" s="119" t="s">
        <v>1126</v>
      </c>
      <c r="I178" s="11" t="str">
        <f>VLOOKUP(H178,合同高级查询数据!$A$2:$A$51,1,FALSE)</f>
        <v>182315IDC00246</v>
      </c>
      <c r="J178" s="14" t="s">
        <v>36</v>
      </c>
      <c r="K178" s="118" t="s">
        <v>1133</v>
      </c>
      <c r="L178" s="123" t="s">
        <v>1134</v>
      </c>
      <c r="M178" s="132" t="s">
        <v>1129</v>
      </c>
      <c r="N178" s="118" t="s">
        <v>1135</v>
      </c>
      <c r="O178" s="133" t="s">
        <v>1136</v>
      </c>
      <c r="P178" s="134">
        <v>9500</v>
      </c>
      <c r="Q178" s="145">
        <v>32</v>
      </c>
      <c r="R178" s="146">
        <f t="shared" si="8"/>
        <v>304000</v>
      </c>
      <c r="S178" s="28">
        <v>202306</v>
      </c>
      <c r="T178" s="148" t="s">
        <v>1137</v>
      </c>
      <c r="U178" s="160"/>
      <c r="V178" s="34">
        <v>31.996889113999998</v>
      </c>
      <c r="W178" s="161"/>
      <c r="X178" s="36">
        <v>44743</v>
      </c>
      <c r="Y178" s="36">
        <v>45107</v>
      </c>
      <c r="Z178" s="42" t="s">
        <v>1138</v>
      </c>
      <c r="AA178" s="168">
        <v>0.3</v>
      </c>
      <c r="AB178" s="168">
        <v>100</v>
      </c>
      <c r="AC178" s="42">
        <v>30</v>
      </c>
    </row>
    <row r="179" spans="1:29" s="2" customFormat="1" ht="15" customHeight="1">
      <c r="A179" s="112" t="s">
        <v>260</v>
      </c>
      <c r="B179" s="113" t="s">
        <v>1122</v>
      </c>
      <c r="C179" s="113" t="s">
        <v>1123</v>
      </c>
      <c r="D179" s="113" t="s">
        <v>215</v>
      </c>
      <c r="E179" s="113" t="s">
        <v>1124</v>
      </c>
      <c r="F179" s="118" t="s">
        <v>1125</v>
      </c>
      <c r="G179" s="119" t="s">
        <v>34</v>
      </c>
      <c r="H179" s="119" t="s">
        <v>1126</v>
      </c>
      <c r="I179" s="11" t="str">
        <f>VLOOKUP(H179,合同高级查询数据!$A$2:$A$51,1,FALSE)</f>
        <v>182315IDC00246</v>
      </c>
      <c r="J179" s="14" t="s">
        <v>36</v>
      </c>
      <c r="K179" s="118" t="s">
        <v>1139</v>
      </c>
      <c r="L179" s="123" t="s">
        <v>1140</v>
      </c>
      <c r="M179" s="132" t="s">
        <v>1141</v>
      </c>
      <c r="N179" s="118" t="s">
        <v>1142</v>
      </c>
      <c r="O179" s="133" t="s">
        <v>1143</v>
      </c>
      <c r="P179" s="134">
        <v>9500</v>
      </c>
      <c r="Q179" s="145">
        <v>9.6</v>
      </c>
      <c r="R179" s="146">
        <f t="shared" si="8"/>
        <v>91200</v>
      </c>
      <c r="S179" s="28">
        <v>202306</v>
      </c>
      <c r="T179" s="148" t="s">
        <v>1144</v>
      </c>
      <c r="U179" s="158"/>
      <c r="V179" s="34">
        <v>9.6004333499999994</v>
      </c>
      <c r="W179" s="159"/>
      <c r="X179" s="36">
        <v>44743</v>
      </c>
      <c r="Y179" s="36">
        <v>45107</v>
      </c>
      <c r="Z179" s="166" t="s">
        <v>1145</v>
      </c>
      <c r="AA179" s="168">
        <v>0.3</v>
      </c>
      <c r="AB179" s="168">
        <v>30</v>
      </c>
      <c r="AC179" s="42">
        <v>9</v>
      </c>
    </row>
    <row r="180" spans="1:29" s="3" customFormat="1" ht="15" customHeight="1">
      <c r="A180" s="114" t="s">
        <v>212</v>
      </c>
      <c r="B180" s="115" t="s">
        <v>1122</v>
      </c>
      <c r="C180" s="115" t="s">
        <v>1123</v>
      </c>
      <c r="D180" s="115" t="s">
        <v>215</v>
      </c>
      <c r="E180" s="114" t="s">
        <v>1146</v>
      </c>
      <c r="F180" s="120" t="s">
        <v>1147</v>
      </c>
      <c r="G180" s="117" t="s">
        <v>34</v>
      </c>
      <c r="H180" s="53" t="s">
        <v>1148</v>
      </c>
      <c r="I180" s="53" t="e">
        <f>VLOOKUP(H180,合同高级查询数据!$A$2:$A$51,1,FALSE)</f>
        <v>#N/A</v>
      </c>
      <c r="J180" s="88" t="s">
        <v>36</v>
      </c>
      <c r="K180" s="120" t="s">
        <v>1133</v>
      </c>
      <c r="L180" s="124" t="s">
        <v>1149</v>
      </c>
      <c r="M180" s="135" t="s">
        <v>1150</v>
      </c>
      <c r="N180" s="120" t="s">
        <v>1151</v>
      </c>
      <c r="O180" s="136" t="s">
        <v>1152</v>
      </c>
      <c r="P180" s="137">
        <v>9000</v>
      </c>
      <c r="Q180" s="149">
        <v>10.1</v>
      </c>
      <c r="R180" s="150">
        <f t="shared" si="8"/>
        <v>90900</v>
      </c>
      <c r="S180" s="59">
        <v>202306</v>
      </c>
      <c r="T180" s="151" t="s">
        <v>1153</v>
      </c>
      <c r="U180" s="162"/>
      <c r="V180" s="104">
        <v>10.088444919000001</v>
      </c>
      <c r="W180" s="163"/>
      <c r="X180" s="64"/>
      <c r="Y180" s="64"/>
      <c r="Z180" s="169" t="s">
        <v>1154</v>
      </c>
      <c r="AA180" s="170">
        <v>0.3</v>
      </c>
      <c r="AB180" s="171">
        <v>20</v>
      </c>
      <c r="AC180" s="173">
        <v>6</v>
      </c>
    </row>
    <row r="181" spans="1:29" s="3" customFormat="1" ht="15" customHeight="1">
      <c r="A181" s="114" t="s">
        <v>267</v>
      </c>
      <c r="B181" s="115" t="s">
        <v>1122</v>
      </c>
      <c r="C181" s="115" t="s">
        <v>1123</v>
      </c>
      <c r="D181" s="115" t="s">
        <v>215</v>
      </c>
      <c r="E181" s="115" t="s">
        <v>1155</v>
      </c>
      <c r="F181" s="120" t="s">
        <v>1156</v>
      </c>
      <c r="G181" s="117" t="s">
        <v>34</v>
      </c>
      <c r="H181" s="53" t="s">
        <v>1157</v>
      </c>
      <c r="I181" s="53" t="e">
        <f>VLOOKUP(H181,合同高级查询数据!$A$2:$A$51,1,FALSE)</f>
        <v>#N/A</v>
      </c>
      <c r="J181" s="88" t="s">
        <v>36</v>
      </c>
      <c r="K181" s="120" t="s">
        <v>1133</v>
      </c>
      <c r="L181" s="124" t="s">
        <v>1156</v>
      </c>
      <c r="M181" s="135" t="s">
        <v>1158</v>
      </c>
      <c r="N181" s="120" t="s">
        <v>1159</v>
      </c>
      <c r="O181" s="136" t="s">
        <v>1160</v>
      </c>
      <c r="P181" s="138">
        <v>6740</v>
      </c>
      <c r="Q181" s="149"/>
      <c r="R181" s="150">
        <f t="shared" si="8"/>
        <v>0</v>
      </c>
      <c r="S181" s="59">
        <v>202306</v>
      </c>
      <c r="T181" s="152" t="s">
        <v>1161</v>
      </c>
      <c r="U181" s="162"/>
      <c r="V181" s="102">
        <v>0</v>
      </c>
      <c r="W181" s="163"/>
      <c r="X181" s="64"/>
      <c r="Y181" s="64"/>
      <c r="Z181" s="169" t="s">
        <v>1162</v>
      </c>
      <c r="AA181" s="108" t="s">
        <v>180</v>
      </c>
      <c r="AB181" s="171">
        <v>0</v>
      </c>
      <c r="AC181" s="173">
        <v>0</v>
      </c>
    </row>
    <row r="182" spans="1:29" s="3" customFormat="1" ht="15" customHeight="1">
      <c r="A182" s="114" t="s">
        <v>267</v>
      </c>
      <c r="B182" s="115" t="s">
        <v>1122</v>
      </c>
      <c r="C182" s="115" t="s">
        <v>1123</v>
      </c>
      <c r="D182" s="115" t="s">
        <v>215</v>
      </c>
      <c r="E182" s="115" t="s">
        <v>1155</v>
      </c>
      <c r="F182" s="120" t="s">
        <v>1156</v>
      </c>
      <c r="G182" s="117" t="s">
        <v>34</v>
      </c>
      <c r="H182" s="53" t="s">
        <v>1157</v>
      </c>
      <c r="I182" s="53" t="e">
        <f>VLOOKUP(H182,合同高级查询数据!$A$2:$A$51,1,FALSE)</f>
        <v>#N/A</v>
      </c>
      <c r="J182" s="88" t="s">
        <v>36</v>
      </c>
      <c r="K182" s="120" t="s">
        <v>1163</v>
      </c>
      <c r="L182" s="124" t="s">
        <v>1164</v>
      </c>
      <c r="M182" s="135" t="s">
        <v>1165</v>
      </c>
      <c r="N182" s="120" t="s">
        <v>1166</v>
      </c>
      <c r="O182" s="136" t="s">
        <v>1167</v>
      </c>
      <c r="P182" s="138">
        <v>6740</v>
      </c>
      <c r="Q182" s="149">
        <v>8.25</v>
      </c>
      <c r="R182" s="150">
        <f t="shared" si="8"/>
        <v>55605</v>
      </c>
      <c r="S182" s="59">
        <v>202306</v>
      </c>
      <c r="T182" s="151" t="s">
        <v>1168</v>
      </c>
      <c r="U182" s="162"/>
      <c r="V182" s="104">
        <v>8.2508668899999993</v>
      </c>
      <c r="W182" s="163"/>
      <c r="X182" s="64"/>
      <c r="Y182" s="64"/>
      <c r="Z182" s="169" t="s">
        <v>1169</v>
      </c>
      <c r="AA182" s="170">
        <v>0.4</v>
      </c>
      <c r="AB182" s="171">
        <v>20</v>
      </c>
      <c r="AC182" s="173">
        <v>8</v>
      </c>
    </row>
    <row r="183" spans="1:29" s="3" customFormat="1" ht="15" customHeight="1">
      <c r="A183" s="114" t="s">
        <v>267</v>
      </c>
      <c r="B183" s="115" t="s">
        <v>1122</v>
      </c>
      <c r="C183" s="115" t="s">
        <v>1123</v>
      </c>
      <c r="D183" s="115" t="s">
        <v>215</v>
      </c>
      <c r="E183" s="115" t="s">
        <v>1155</v>
      </c>
      <c r="F183" s="120" t="s">
        <v>1156</v>
      </c>
      <c r="G183" s="117" t="s">
        <v>34</v>
      </c>
      <c r="H183" s="53" t="s">
        <v>1157</v>
      </c>
      <c r="I183" s="53" t="e">
        <f>VLOOKUP(H183,合同高级查询数据!$A$2:$A$51,1,FALSE)</f>
        <v>#N/A</v>
      </c>
      <c r="J183" s="88" t="s">
        <v>36</v>
      </c>
      <c r="K183" s="120" t="s">
        <v>1170</v>
      </c>
      <c r="L183" s="124" t="s">
        <v>1171</v>
      </c>
      <c r="M183" s="135" t="s">
        <v>1165</v>
      </c>
      <c r="N183" s="120" t="s">
        <v>1172</v>
      </c>
      <c r="O183" s="136" t="s">
        <v>1173</v>
      </c>
      <c r="P183" s="138">
        <v>6740</v>
      </c>
      <c r="Q183" s="149"/>
      <c r="R183" s="150">
        <f t="shared" si="8"/>
        <v>0</v>
      </c>
      <c r="S183" s="59">
        <v>202306</v>
      </c>
      <c r="T183" s="152" t="s">
        <v>1174</v>
      </c>
      <c r="U183" s="162"/>
      <c r="V183" s="102">
        <v>0</v>
      </c>
      <c r="W183" s="163"/>
      <c r="X183" s="64"/>
      <c r="Y183" s="64"/>
      <c r="Z183" s="169" t="s">
        <v>1175</v>
      </c>
      <c r="AA183" s="108" t="s">
        <v>180</v>
      </c>
      <c r="AB183" s="171">
        <v>0</v>
      </c>
      <c r="AC183" s="173">
        <v>0</v>
      </c>
    </row>
    <row r="184" spans="1:29" s="3" customFormat="1" ht="15" customHeight="1">
      <c r="A184" s="114" t="s">
        <v>267</v>
      </c>
      <c r="B184" s="115" t="s">
        <v>1122</v>
      </c>
      <c r="C184" s="115" t="s">
        <v>1123</v>
      </c>
      <c r="D184" s="115" t="s">
        <v>215</v>
      </c>
      <c r="E184" s="115" t="s">
        <v>1176</v>
      </c>
      <c r="F184" s="120" t="s">
        <v>1177</v>
      </c>
      <c r="G184" s="117" t="s">
        <v>34</v>
      </c>
      <c r="H184" s="115" t="s">
        <v>1178</v>
      </c>
      <c r="I184" s="53" t="e">
        <f>VLOOKUP(H184,合同高级查询数据!$A$2:$A$51,1,FALSE)</f>
        <v>#N/A</v>
      </c>
      <c r="J184" s="88" t="s">
        <v>36</v>
      </c>
      <c r="K184" s="120" t="s">
        <v>1179</v>
      </c>
      <c r="L184" s="124" t="s">
        <v>1180</v>
      </c>
      <c r="M184" s="135" t="s">
        <v>1181</v>
      </c>
      <c r="N184" s="94" t="s">
        <v>1182</v>
      </c>
      <c r="O184" s="136" t="s">
        <v>1183</v>
      </c>
      <c r="P184" s="137">
        <v>6740</v>
      </c>
      <c r="Q184" s="149">
        <v>451.83</v>
      </c>
      <c r="R184" s="150">
        <f t="shared" si="8"/>
        <v>3045334.2</v>
      </c>
      <c r="S184" s="59">
        <v>202306</v>
      </c>
      <c r="T184" s="152" t="s">
        <v>1184</v>
      </c>
      <c r="U184" s="164" t="s">
        <v>1185</v>
      </c>
      <c r="V184" s="104">
        <v>451.83</v>
      </c>
      <c r="W184" s="163"/>
      <c r="X184" s="64"/>
      <c r="Y184" s="64"/>
      <c r="Z184" s="169" t="s">
        <v>1186</v>
      </c>
      <c r="AA184" s="170">
        <v>0.4</v>
      </c>
      <c r="AB184" s="171">
        <v>800</v>
      </c>
      <c r="AC184" s="173">
        <f>AA184*AB184</f>
        <v>320</v>
      </c>
    </row>
    <row r="185" spans="1:29" s="3" customFormat="1" ht="15" customHeight="1">
      <c r="A185" s="65" t="s">
        <v>267</v>
      </c>
      <c r="B185" s="85" t="s">
        <v>213</v>
      </c>
      <c r="C185" s="65" t="s">
        <v>214</v>
      </c>
      <c r="D185" s="86" t="s">
        <v>215</v>
      </c>
      <c r="E185" s="65" t="s">
        <v>720</v>
      </c>
      <c r="F185" s="65" t="s">
        <v>721</v>
      </c>
      <c r="G185" s="87" t="s">
        <v>34</v>
      </c>
      <c r="H185" s="53" t="s">
        <v>1187</v>
      </c>
      <c r="I185" s="53" t="e">
        <f>VLOOKUP(H185,合同高级查询数据!$A$2:$A$51,1,FALSE)</f>
        <v>#N/A</v>
      </c>
      <c r="J185" s="88" t="s">
        <v>36</v>
      </c>
      <c r="K185" s="87" t="s">
        <v>723</v>
      </c>
      <c r="L185" s="53" t="s">
        <v>1188</v>
      </c>
      <c r="M185" s="54" t="s">
        <v>725</v>
      </c>
      <c r="N185" s="139">
        <v>45047</v>
      </c>
      <c r="O185" s="87" t="s">
        <v>434</v>
      </c>
      <c r="P185" s="95">
        <v>6740</v>
      </c>
      <c r="Q185" s="95">
        <v>80</v>
      </c>
      <c r="R185" s="99">
        <f t="shared" si="8"/>
        <v>539200</v>
      </c>
      <c r="S185" s="153">
        <v>202306</v>
      </c>
      <c r="T185" s="97" t="s">
        <v>1189</v>
      </c>
      <c r="U185" s="97"/>
      <c r="V185" s="104">
        <v>61.612094878999997</v>
      </c>
      <c r="W185" s="106"/>
      <c r="X185" s="64"/>
      <c r="Y185" s="64"/>
      <c r="Z185" s="107" t="s">
        <v>1190</v>
      </c>
      <c r="AA185" s="108">
        <v>0.4</v>
      </c>
      <c r="AB185" s="108">
        <v>200</v>
      </c>
      <c r="AC185" s="108">
        <f>AB185*AA185</f>
        <v>80</v>
      </c>
    </row>
    <row r="186" spans="1:29" s="3" customFormat="1" ht="15" customHeight="1">
      <c r="A186" s="114" t="s">
        <v>267</v>
      </c>
      <c r="B186" s="115" t="s">
        <v>1122</v>
      </c>
      <c r="C186" s="115" t="s">
        <v>1123</v>
      </c>
      <c r="D186" s="115" t="s">
        <v>215</v>
      </c>
      <c r="E186" s="115" t="s">
        <v>1155</v>
      </c>
      <c r="F186" s="120" t="s">
        <v>1156</v>
      </c>
      <c r="G186" s="117" t="s">
        <v>34</v>
      </c>
      <c r="H186" s="115" t="s">
        <v>1191</v>
      </c>
      <c r="I186" s="53" t="e">
        <f>VLOOKUP(H186,合同高级查询数据!$A$2:$A$51,1,FALSE)</f>
        <v>#N/A</v>
      </c>
      <c r="J186" s="88" t="s">
        <v>36</v>
      </c>
      <c r="K186" s="124" t="s">
        <v>1192</v>
      </c>
      <c r="L186" s="124" t="s">
        <v>1192</v>
      </c>
      <c r="M186" s="135" t="s">
        <v>1193</v>
      </c>
      <c r="N186" s="94">
        <v>45054</v>
      </c>
      <c r="O186" s="136" t="s">
        <v>470</v>
      </c>
      <c r="P186" s="137">
        <v>6740</v>
      </c>
      <c r="Q186" s="149">
        <v>264.2</v>
      </c>
      <c r="R186" s="150">
        <f t="shared" si="8"/>
        <v>1780708</v>
      </c>
      <c r="S186" s="59">
        <v>202306</v>
      </c>
      <c r="T186" s="151" t="s">
        <v>1194</v>
      </c>
      <c r="U186" s="162"/>
      <c r="V186" s="104">
        <v>264.201263428</v>
      </c>
      <c r="W186" s="163"/>
      <c r="X186" s="64"/>
      <c r="Y186" s="64"/>
      <c r="Z186" s="169" t="s">
        <v>1195</v>
      </c>
      <c r="AA186" s="170">
        <v>0.4</v>
      </c>
      <c r="AB186" s="108">
        <v>400</v>
      </c>
      <c r="AC186" s="108">
        <f>AA186*AB186</f>
        <v>160</v>
      </c>
    </row>
    <row r="187" spans="1:29" s="3" customFormat="1" ht="15" customHeight="1">
      <c r="A187" s="65" t="s">
        <v>267</v>
      </c>
      <c r="B187" s="85" t="s">
        <v>213</v>
      </c>
      <c r="C187" s="86" t="s">
        <v>417</v>
      </c>
      <c r="D187" s="85" t="s">
        <v>418</v>
      </c>
      <c r="E187" s="65" t="s">
        <v>827</v>
      </c>
      <c r="F187" s="65" t="s">
        <v>828</v>
      </c>
      <c r="G187" s="65" t="s">
        <v>34</v>
      </c>
      <c r="H187" s="53" t="s">
        <v>1196</v>
      </c>
      <c r="I187" s="53" t="e">
        <f>VLOOKUP(H187,合同高级查询数据!$A$2:$A$51,1,FALSE)</f>
        <v>#N/A</v>
      </c>
      <c r="J187" s="88" t="s">
        <v>36</v>
      </c>
      <c r="K187" s="65" t="s">
        <v>830</v>
      </c>
      <c r="L187" s="53" t="s">
        <v>1197</v>
      </c>
      <c r="M187" s="65" t="s">
        <v>832</v>
      </c>
      <c r="N187" s="89">
        <v>45057</v>
      </c>
      <c r="O187" s="65" t="s">
        <v>434</v>
      </c>
      <c r="P187" s="90">
        <v>6740</v>
      </c>
      <c r="Q187" s="98">
        <v>87.47</v>
      </c>
      <c r="R187" s="58">
        <f t="shared" si="8"/>
        <v>589547.80000000005</v>
      </c>
      <c r="S187" s="59">
        <v>202306</v>
      </c>
      <c r="T187" s="97" t="s">
        <v>1198</v>
      </c>
      <c r="U187" s="97"/>
      <c r="V187" s="104">
        <v>87.466529846</v>
      </c>
      <c r="W187" s="103"/>
      <c r="X187" s="64"/>
      <c r="Y187" s="64"/>
      <c r="Z187" s="107" t="s">
        <v>1199</v>
      </c>
      <c r="AA187" s="108">
        <v>0.4</v>
      </c>
      <c r="AB187" s="108">
        <v>200</v>
      </c>
      <c r="AC187" s="108">
        <f>AA187*AB187</f>
        <v>80</v>
      </c>
    </row>
    <row r="188" spans="1:29" s="2" customFormat="1" ht="15" customHeight="1">
      <c r="A188" s="5" t="s">
        <v>28</v>
      </c>
      <c r="B188" s="6" t="s">
        <v>29</v>
      </c>
      <c r="C188" s="7" t="s">
        <v>30</v>
      </c>
      <c r="D188" s="7" t="s">
        <v>31</v>
      </c>
      <c r="E188" s="5" t="s">
        <v>328</v>
      </c>
      <c r="F188" s="5" t="s">
        <v>329</v>
      </c>
      <c r="G188" s="5" t="s">
        <v>34</v>
      </c>
      <c r="H188" s="11" t="s">
        <v>334</v>
      </c>
      <c r="I188" s="11" t="str">
        <f>VLOOKUP(H188,合同高级查询数据!$A$2:$A$51,1,FALSE)</f>
        <v>182315IDC00212</v>
      </c>
      <c r="J188" s="14" t="s">
        <v>36</v>
      </c>
      <c r="K188" s="11" t="s">
        <v>1200</v>
      </c>
      <c r="L188" s="11" t="s">
        <v>1200</v>
      </c>
      <c r="M188" s="5"/>
      <c r="N188" s="19">
        <v>45047</v>
      </c>
      <c r="O188" s="5"/>
      <c r="P188" s="20">
        <v>4800</v>
      </c>
      <c r="Q188" s="26">
        <v>197.745</v>
      </c>
      <c r="R188" s="27">
        <f t="shared" si="8"/>
        <v>949176</v>
      </c>
      <c r="S188" s="28">
        <v>202306</v>
      </c>
      <c r="T188" s="29" t="s">
        <v>1201</v>
      </c>
      <c r="U188" s="29"/>
      <c r="V188" s="101">
        <v>197.74417114299999</v>
      </c>
      <c r="W188" s="35"/>
      <c r="X188" s="36">
        <v>45047</v>
      </c>
      <c r="Y188" s="36">
        <v>45412</v>
      </c>
      <c r="Z188" s="42" t="s">
        <v>1202</v>
      </c>
      <c r="AA188" s="43">
        <v>0</v>
      </c>
      <c r="AB188" s="43"/>
      <c r="AC188" s="43">
        <v>0</v>
      </c>
    </row>
    <row r="189" spans="1:29" s="3" customFormat="1" ht="15" customHeight="1">
      <c r="A189" s="65" t="s">
        <v>28</v>
      </c>
      <c r="B189" s="85" t="s">
        <v>29</v>
      </c>
      <c r="C189" s="86" t="s">
        <v>30</v>
      </c>
      <c r="D189" s="86" t="s">
        <v>31</v>
      </c>
      <c r="E189" s="65" t="s">
        <v>328</v>
      </c>
      <c r="F189" s="65" t="s">
        <v>329</v>
      </c>
      <c r="G189" s="65" t="s">
        <v>34</v>
      </c>
      <c r="H189" s="53" t="s">
        <v>1203</v>
      </c>
      <c r="I189" s="53" t="e">
        <f>VLOOKUP(H189,合同高级查询数据!$A$2:$A$51,1,FALSE)</f>
        <v>#N/A</v>
      </c>
      <c r="J189" s="88" t="s">
        <v>36</v>
      </c>
      <c r="K189" s="65"/>
      <c r="L189" s="53" t="s">
        <v>1204</v>
      </c>
      <c r="M189" s="65"/>
      <c r="N189" s="89">
        <v>45078</v>
      </c>
      <c r="O189" s="65"/>
      <c r="P189" s="90">
        <v>5040</v>
      </c>
      <c r="Q189" s="98">
        <v>87.557000000000002</v>
      </c>
      <c r="R189" s="58">
        <f t="shared" si="8"/>
        <v>441287.28</v>
      </c>
      <c r="S189" s="59">
        <v>202306</v>
      </c>
      <c r="T189" s="97" t="s">
        <v>1205</v>
      </c>
      <c r="U189" s="97"/>
      <c r="V189" s="102">
        <v>87.556793213000006</v>
      </c>
      <c r="W189" s="103"/>
      <c r="X189" s="64"/>
      <c r="Y189" s="64"/>
      <c r="Z189" s="107" t="s">
        <v>1206</v>
      </c>
      <c r="AA189" s="108">
        <v>0</v>
      </c>
      <c r="AB189" s="108"/>
      <c r="AC189" s="108">
        <v>0</v>
      </c>
    </row>
    <row r="190" spans="1:29" s="3" customFormat="1" ht="15" customHeight="1">
      <c r="A190" s="65" t="s">
        <v>28</v>
      </c>
      <c r="B190" s="85" t="s">
        <v>29</v>
      </c>
      <c r="C190" s="86" t="s">
        <v>30</v>
      </c>
      <c r="D190" s="86" t="s">
        <v>31</v>
      </c>
      <c r="E190" s="65" t="s">
        <v>380</v>
      </c>
      <c r="F190" s="65" t="s">
        <v>381</v>
      </c>
      <c r="G190" s="65" t="s">
        <v>34</v>
      </c>
      <c r="H190" s="53" t="s">
        <v>1207</v>
      </c>
      <c r="I190" s="53" t="e">
        <f>VLOOKUP(H190,合同高级查询数据!$A$2:$A$51,1,FALSE)</f>
        <v>#N/A</v>
      </c>
      <c r="J190" s="88" t="s">
        <v>36</v>
      </c>
      <c r="K190" s="53" t="s">
        <v>1208</v>
      </c>
      <c r="L190" s="53" t="s">
        <v>1208</v>
      </c>
      <c r="M190" s="65"/>
      <c r="N190" s="89">
        <v>45047</v>
      </c>
      <c r="O190" s="65"/>
      <c r="P190" s="90">
        <v>5500</v>
      </c>
      <c r="Q190" s="98">
        <v>637.149</v>
      </c>
      <c r="R190" s="58">
        <f t="shared" si="8"/>
        <v>3504319.5</v>
      </c>
      <c r="S190" s="59">
        <v>202306</v>
      </c>
      <c r="T190" s="97" t="s">
        <v>1201</v>
      </c>
      <c r="U190" s="97"/>
      <c r="V190" s="102">
        <v>637.14825439499998</v>
      </c>
      <c r="W190" s="103"/>
      <c r="X190" s="64"/>
      <c r="Y190" s="64"/>
      <c r="Z190" s="107" t="s">
        <v>1209</v>
      </c>
      <c r="AA190" s="108">
        <v>0</v>
      </c>
      <c r="AB190" s="108"/>
      <c r="AC190" s="108">
        <v>0</v>
      </c>
    </row>
    <row r="191" spans="1:29" s="3" customFormat="1" ht="15" customHeight="1">
      <c r="A191" s="65" t="s">
        <v>28</v>
      </c>
      <c r="B191" s="85" t="s">
        <v>29</v>
      </c>
      <c r="C191" s="86" t="s">
        <v>30</v>
      </c>
      <c r="D191" s="86" t="s">
        <v>31</v>
      </c>
      <c r="E191" s="65" t="s">
        <v>1210</v>
      </c>
      <c r="F191" s="65" t="s">
        <v>1211</v>
      </c>
      <c r="G191" s="65" t="s">
        <v>34</v>
      </c>
      <c r="H191" s="53" t="s">
        <v>1212</v>
      </c>
      <c r="I191" s="53" t="e">
        <f>VLOOKUP(H191,合同高级查询数据!$A$2:$A$51,1,FALSE)</f>
        <v>#N/A</v>
      </c>
      <c r="J191" s="88" t="s">
        <v>36</v>
      </c>
      <c r="K191" s="53" t="s">
        <v>1213</v>
      </c>
      <c r="L191" s="53" t="s">
        <v>1213</v>
      </c>
      <c r="M191" s="65"/>
      <c r="N191" s="89">
        <v>45047</v>
      </c>
      <c r="O191" s="65"/>
      <c r="P191" s="90">
        <v>5200</v>
      </c>
      <c r="Q191" s="98">
        <v>347.47300000000001</v>
      </c>
      <c r="R191" s="58">
        <f t="shared" si="8"/>
        <v>1806859.6</v>
      </c>
      <c r="S191" s="59">
        <v>202306</v>
      </c>
      <c r="T191" s="97" t="s">
        <v>1201</v>
      </c>
      <c r="U191" s="97"/>
      <c r="V191" s="102">
        <v>347.47259521500001</v>
      </c>
      <c r="W191" s="103"/>
      <c r="X191" s="64"/>
      <c r="Y191" s="64"/>
      <c r="Z191" s="107" t="s">
        <v>1214</v>
      </c>
      <c r="AA191" s="108">
        <v>0</v>
      </c>
      <c r="AB191" s="108"/>
      <c r="AC191" s="108">
        <v>0</v>
      </c>
    </row>
    <row r="192" spans="1:29" s="2" customFormat="1" ht="15" customHeight="1">
      <c r="A192" s="5" t="s">
        <v>28</v>
      </c>
      <c r="B192" s="6" t="s">
        <v>29</v>
      </c>
      <c r="C192" s="7" t="s">
        <v>30</v>
      </c>
      <c r="D192" s="7" t="s">
        <v>31</v>
      </c>
      <c r="E192" s="5" t="s">
        <v>184</v>
      </c>
      <c r="F192" s="5" t="s">
        <v>185</v>
      </c>
      <c r="G192" s="5" t="s">
        <v>34</v>
      </c>
      <c r="H192" s="11" t="s">
        <v>1215</v>
      </c>
      <c r="I192" s="11" t="str">
        <f>VLOOKUP(H192,合同高级查询数据!$A$2:$A$51,1,FALSE)</f>
        <v>182315IDC00216</v>
      </c>
      <c r="J192" s="14" t="s">
        <v>36</v>
      </c>
      <c r="K192" s="11" t="s">
        <v>1216</v>
      </c>
      <c r="L192" s="11" t="s">
        <v>1216</v>
      </c>
      <c r="M192" s="5"/>
      <c r="N192" s="19">
        <v>45047</v>
      </c>
      <c r="O192" s="5"/>
      <c r="P192" s="20">
        <v>5200</v>
      </c>
      <c r="Q192" s="26">
        <v>128.172</v>
      </c>
      <c r="R192" s="27">
        <f t="shared" si="8"/>
        <v>666494.4</v>
      </c>
      <c r="S192" s="28">
        <v>202306</v>
      </c>
      <c r="T192" s="29" t="s">
        <v>1201</v>
      </c>
      <c r="U192" s="29"/>
      <c r="V192" s="101">
        <v>128.17127990700001</v>
      </c>
      <c r="W192" s="35"/>
      <c r="X192" s="36">
        <v>45047</v>
      </c>
      <c r="Y192" s="36">
        <v>45412</v>
      </c>
      <c r="Z192" s="42" t="s">
        <v>1217</v>
      </c>
      <c r="AA192" s="43">
        <v>0</v>
      </c>
      <c r="AB192" s="43"/>
      <c r="AC192" s="43">
        <v>0</v>
      </c>
    </row>
    <row r="193" spans="1:29" s="3" customFormat="1" ht="15" customHeight="1">
      <c r="A193" s="50" t="s">
        <v>267</v>
      </c>
      <c r="B193" s="85" t="s">
        <v>213</v>
      </c>
      <c r="C193" s="49" t="s">
        <v>860</v>
      </c>
      <c r="D193" s="86" t="s">
        <v>215</v>
      </c>
      <c r="E193" s="50" t="s">
        <v>1054</v>
      </c>
      <c r="F193" s="50" t="s">
        <v>1055</v>
      </c>
      <c r="G193" s="53" t="s">
        <v>34</v>
      </c>
      <c r="H193" s="53" t="s">
        <v>1218</v>
      </c>
      <c r="I193" s="53" t="e">
        <f>VLOOKUP(H193,合同高级查询数据!$A$2:$A$51,1,FALSE)</f>
        <v>#N/A</v>
      </c>
      <c r="J193" s="88" t="s">
        <v>36</v>
      </c>
      <c r="K193" s="50" t="s">
        <v>1219</v>
      </c>
      <c r="L193" s="50" t="s">
        <v>1219</v>
      </c>
      <c r="M193" s="54" t="s">
        <v>1220</v>
      </c>
      <c r="N193" s="55">
        <v>45085</v>
      </c>
      <c r="O193" s="55" t="s">
        <v>470</v>
      </c>
      <c r="P193" s="129">
        <v>6740</v>
      </c>
      <c r="Q193" s="142">
        <v>138.86000000000001</v>
      </c>
      <c r="R193" s="99">
        <f t="shared" si="8"/>
        <v>935916.4</v>
      </c>
      <c r="S193" s="59">
        <v>202306</v>
      </c>
      <c r="T193" s="143" t="s">
        <v>1221</v>
      </c>
      <c r="U193" s="143"/>
      <c r="V193" s="104">
        <v>138.86000000000001</v>
      </c>
      <c r="W193" s="155"/>
      <c r="X193" s="64"/>
      <c r="Y193" s="64"/>
      <c r="Z193" s="107" t="s">
        <v>1222</v>
      </c>
      <c r="AA193" s="108">
        <v>0.4</v>
      </c>
      <c r="AB193" s="108">
        <v>400</v>
      </c>
      <c r="AC193" s="108">
        <f>AA193*AB193</f>
        <v>160</v>
      </c>
    </row>
    <row r="194" spans="1:29" s="3" customFormat="1" ht="15" customHeight="1">
      <c r="A194" s="114" t="s">
        <v>267</v>
      </c>
      <c r="B194" s="115" t="s">
        <v>1122</v>
      </c>
      <c r="C194" s="115" t="s">
        <v>1123</v>
      </c>
      <c r="D194" s="115" t="s">
        <v>215</v>
      </c>
      <c r="E194" s="115" t="s">
        <v>1223</v>
      </c>
      <c r="F194" s="120" t="s">
        <v>1224</v>
      </c>
      <c r="G194" s="117" t="s">
        <v>34</v>
      </c>
      <c r="H194" s="115" t="s">
        <v>1225</v>
      </c>
      <c r="I194" s="53" t="e">
        <f>VLOOKUP(H194,合同高级查询数据!$A$2:$A$51,1,FALSE)</f>
        <v>#N/A</v>
      </c>
      <c r="J194" s="88" t="s">
        <v>36</v>
      </c>
      <c r="K194" s="120" t="s">
        <v>1224</v>
      </c>
      <c r="L194" s="120" t="s">
        <v>1224</v>
      </c>
      <c r="M194" s="135" t="s">
        <v>1226</v>
      </c>
      <c r="N194" s="94">
        <v>45078</v>
      </c>
      <c r="O194" s="136" t="s">
        <v>434</v>
      </c>
      <c r="P194" s="137">
        <v>6740</v>
      </c>
      <c r="Q194" s="149">
        <v>82.79</v>
      </c>
      <c r="R194" s="150">
        <f t="shared" si="8"/>
        <v>558004.6</v>
      </c>
      <c r="S194" s="59">
        <v>202306</v>
      </c>
      <c r="T194" s="151" t="s">
        <v>1227</v>
      </c>
      <c r="U194" s="183"/>
      <c r="V194" s="104">
        <v>82.79</v>
      </c>
      <c r="W194" s="187"/>
      <c r="X194" s="64"/>
      <c r="Y194" s="64"/>
      <c r="Z194" s="107" t="s">
        <v>1228</v>
      </c>
      <c r="AA194" s="108">
        <v>0.4</v>
      </c>
      <c r="AB194" s="108">
        <v>200</v>
      </c>
      <c r="AC194" s="108">
        <f>AA194*AB194</f>
        <v>80</v>
      </c>
    </row>
    <row r="195" spans="1:29" s="3" customFormat="1" ht="15" customHeight="1">
      <c r="A195" s="65" t="s">
        <v>267</v>
      </c>
      <c r="B195" s="85" t="s">
        <v>213</v>
      </c>
      <c r="C195" s="65" t="s">
        <v>214</v>
      </c>
      <c r="D195" s="86" t="s">
        <v>215</v>
      </c>
      <c r="E195" s="65" t="s">
        <v>1229</v>
      </c>
      <c r="F195" s="65" t="s">
        <v>1230</v>
      </c>
      <c r="G195" s="87" t="s">
        <v>34</v>
      </c>
      <c r="H195" s="53" t="s">
        <v>1231</v>
      </c>
      <c r="I195" s="53" t="e">
        <f>VLOOKUP(H195,合同高级查询数据!$A$2:$A$51,1,FALSE)</f>
        <v>#N/A</v>
      </c>
      <c r="J195" s="88" t="s">
        <v>36</v>
      </c>
      <c r="K195" s="53" t="s">
        <v>1232</v>
      </c>
      <c r="L195" s="53" t="s">
        <v>1232</v>
      </c>
      <c r="M195" s="54" t="s">
        <v>1233</v>
      </c>
      <c r="N195" s="139">
        <v>45078</v>
      </c>
      <c r="O195" s="87" t="s">
        <v>434</v>
      </c>
      <c r="P195" s="95">
        <v>6740</v>
      </c>
      <c r="Q195" s="95">
        <v>80</v>
      </c>
      <c r="R195" s="99">
        <f t="shared" si="8"/>
        <v>539200</v>
      </c>
      <c r="S195" s="153">
        <v>202306</v>
      </c>
      <c r="T195" s="183" t="s">
        <v>1234</v>
      </c>
      <c r="U195" s="183"/>
      <c r="V195" s="104">
        <v>76.013443672999998</v>
      </c>
      <c r="W195" s="187"/>
      <c r="X195" s="64"/>
      <c r="Y195" s="64"/>
      <c r="Z195" s="107" t="s">
        <v>1235</v>
      </c>
      <c r="AA195" s="108">
        <v>0.4</v>
      </c>
      <c r="AB195" s="108">
        <v>200</v>
      </c>
      <c r="AC195" s="108">
        <f>AB195*AA195</f>
        <v>80</v>
      </c>
    </row>
    <row r="196" spans="1:29" s="3" customFormat="1" ht="15" customHeight="1">
      <c r="A196" s="50" t="s">
        <v>267</v>
      </c>
      <c r="B196" s="85" t="s">
        <v>213</v>
      </c>
      <c r="C196" s="49" t="s">
        <v>860</v>
      </c>
      <c r="D196" s="86" t="s">
        <v>215</v>
      </c>
      <c r="E196" s="50" t="s">
        <v>1015</v>
      </c>
      <c r="F196" s="50" t="s">
        <v>1016</v>
      </c>
      <c r="G196" s="53" t="s">
        <v>34</v>
      </c>
      <c r="H196" s="53" t="s">
        <v>1236</v>
      </c>
      <c r="I196" s="53" t="e">
        <f>VLOOKUP(H196,合同高级查询数据!$A$2:$A$51,1,FALSE)</f>
        <v>#N/A</v>
      </c>
      <c r="J196" s="88" t="s">
        <v>36</v>
      </c>
      <c r="K196" s="52" t="s">
        <v>1237</v>
      </c>
      <c r="L196" s="52" t="s">
        <v>1237</v>
      </c>
      <c r="M196" s="54" t="s">
        <v>1238</v>
      </c>
      <c r="N196" s="55">
        <v>45085</v>
      </c>
      <c r="O196" s="55" t="s">
        <v>470</v>
      </c>
      <c r="P196" s="129">
        <v>6740</v>
      </c>
      <c r="Q196" s="142">
        <v>122.67</v>
      </c>
      <c r="R196" s="99">
        <f t="shared" si="8"/>
        <v>826795.8</v>
      </c>
      <c r="S196" s="59">
        <v>202306</v>
      </c>
      <c r="T196" s="143" t="s">
        <v>1239</v>
      </c>
      <c r="U196" s="143"/>
      <c r="V196" s="104">
        <v>104.99</v>
      </c>
      <c r="W196" s="155"/>
      <c r="X196" s="64"/>
      <c r="Y196" s="64"/>
      <c r="Z196" s="107" t="s">
        <v>1240</v>
      </c>
      <c r="AA196" s="108">
        <v>0.4</v>
      </c>
      <c r="AB196" s="108">
        <v>400</v>
      </c>
      <c r="AC196" s="108">
        <f>AA196*AB196</f>
        <v>160</v>
      </c>
    </row>
    <row r="197" spans="1:29" s="3" customFormat="1" ht="15" customHeight="1">
      <c r="A197" s="65" t="s">
        <v>267</v>
      </c>
      <c r="B197" s="85" t="s">
        <v>213</v>
      </c>
      <c r="C197" s="86" t="s">
        <v>417</v>
      </c>
      <c r="D197" s="85" t="s">
        <v>418</v>
      </c>
      <c r="E197" s="65" t="s">
        <v>797</v>
      </c>
      <c r="F197" s="65" t="s">
        <v>798</v>
      </c>
      <c r="G197" s="65" t="s">
        <v>34</v>
      </c>
      <c r="H197" s="53" t="s">
        <v>1241</v>
      </c>
      <c r="I197" s="53" t="e">
        <f>VLOOKUP(H197,合同高级查询数据!$A$2:$A$51,1,FALSE)</f>
        <v>#N/A</v>
      </c>
      <c r="J197" s="88" t="s">
        <v>36</v>
      </c>
      <c r="K197" s="65" t="s">
        <v>1242</v>
      </c>
      <c r="L197" s="53" t="s">
        <v>1242</v>
      </c>
      <c r="M197" s="65" t="s">
        <v>1243</v>
      </c>
      <c r="N197" s="89">
        <v>45088</v>
      </c>
      <c r="O197" s="65" t="s">
        <v>277</v>
      </c>
      <c r="P197" s="90">
        <v>6740</v>
      </c>
      <c r="Q197" s="98">
        <v>26.67</v>
      </c>
      <c r="R197" s="58">
        <f t="shared" si="8"/>
        <v>179755.8</v>
      </c>
      <c r="S197" s="59">
        <v>202306</v>
      </c>
      <c r="T197" s="97" t="s">
        <v>1244</v>
      </c>
      <c r="U197" s="97"/>
      <c r="V197" s="104">
        <v>24.352722168</v>
      </c>
      <c r="W197" s="103"/>
      <c r="X197" s="64"/>
      <c r="Y197" s="64"/>
      <c r="Z197" s="107" t="s">
        <v>1245</v>
      </c>
      <c r="AA197" s="108">
        <v>0.4</v>
      </c>
      <c r="AB197" s="108">
        <v>100</v>
      </c>
      <c r="AC197" s="108">
        <f>AA197*AB197</f>
        <v>40</v>
      </c>
    </row>
    <row r="198" spans="1:29" s="3" customFormat="1" ht="15" customHeight="1">
      <c r="A198" s="65" t="s">
        <v>212</v>
      </c>
      <c r="B198" s="85" t="s">
        <v>213</v>
      </c>
      <c r="C198" s="86" t="s">
        <v>417</v>
      </c>
      <c r="D198" s="85" t="s">
        <v>418</v>
      </c>
      <c r="E198" s="65" t="s">
        <v>681</v>
      </c>
      <c r="F198" s="65" t="s">
        <v>682</v>
      </c>
      <c r="G198" s="65" t="s">
        <v>34</v>
      </c>
      <c r="H198" s="53" t="s">
        <v>1246</v>
      </c>
      <c r="I198" s="53" t="e">
        <f>VLOOKUP(H198,合同高级查询数据!$A$2:$A$51,1,FALSE)</f>
        <v>#N/A</v>
      </c>
      <c r="J198" s="88" t="s">
        <v>36</v>
      </c>
      <c r="K198" s="65" t="s">
        <v>1247</v>
      </c>
      <c r="L198" s="65" t="s">
        <v>1247</v>
      </c>
      <c r="M198" s="65" t="s">
        <v>1248</v>
      </c>
      <c r="N198" s="139">
        <v>45078</v>
      </c>
      <c r="O198" s="65" t="s">
        <v>1249</v>
      </c>
      <c r="P198" s="90">
        <v>9000</v>
      </c>
      <c r="Q198" s="98"/>
      <c r="R198" s="58">
        <f t="shared" si="8"/>
        <v>0</v>
      </c>
      <c r="S198" s="59">
        <v>202306</v>
      </c>
      <c r="T198" s="97" t="s">
        <v>1250</v>
      </c>
      <c r="U198" s="97"/>
      <c r="V198" s="102">
        <v>0</v>
      </c>
      <c r="W198" s="103"/>
      <c r="X198" s="64"/>
      <c r="Y198" s="64"/>
      <c r="Z198" s="107" t="s">
        <v>1251</v>
      </c>
      <c r="AA198" s="108" t="s">
        <v>565</v>
      </c>
      <c r="AB198" s="108">
        <v>60</v>
      </c>
      <c r="AC198" s="108" t="s">
        <v>565</v>
      </c>
    </row>
    <row r="199" spans="1:29" s="3" customFormat="1" ht="15" customHeight="1">
      <c r="A199" s="65" t="s">
        <v>212</v>
      </c>
      <c r="B199" s="85" t="s">
        <v>213</v>
      </c>
      <c r="C199" s="86" t="s">
        <v>214</v>
      </c>
      <c r="D199" s="86" t="s">
        <v>215</v>
      </c>
      <c r="E199" s="65" t="s">
        <v>216</v>
      </c>
      <c r="F199" s="65" t="s">
        <v>217</v>
      </c>
      <c r="G199" s="87" t="s">
        <v>34</v>
      </c>
      <c r="H199" s="88" t="s">
        <v>280</v>
      </c>
      <c r="I199" s="53" t="e">
        <f>VLOOKUP(H199,合同高级查询数据!$A$2:$A$51,1,FALSE)</f>
        <v>#N/A</v>
      </c>
      <c r="J199" s="88" t="s">
        <v>1252</v>
      </c>
      <c r="K199" s="87" t="s">
        <v>281</v>
      </c>
      <c r="L199" s="53" t="s">
        <v>282</v>
      </c>
      <c r="M199" s="54" t="s">
        <v>283</v>
      </c>
      <c r="N199" s="55" t="s">
        <v>284</v>
      </c>
      <c r="O199" s="55" t="s">
        <v>285</v>
      </c>
      <c r="P199" s="95">
        <v>9000</v>
      </c>
      <c r="Q199" s="99">
        <f>5.9-5.8</f>
        <v>0.10000000000000053</v>
      </c>
      <c r="R199" s="99">
        <f t="shared" si="8"/>
        <v>900</v>
      </c>
      <c r="S199" s="59">
        <v>202305</v>
      </c>
      <c r="T199" s="100" t="s">
        <v>1253</v>
      </c>
      <c r="U199" s="105"/>
      <c r="V199" s="104">
        <v>5.7057890029999996</v>
      </c>
      <c r="W199" s="106">
        <v>5.9</v>
      </c>
      <c r="X199" s="64"/>
      <c r="Y199" s="64"/>
      <c r="Z199" s="107"/>
      <c r="AA199" s="108"/>
      <c r="AB199" s="108"/>
      <c r="AC199" s="108"/>
    </row>
    <row r="200" spans="1:29" s="3" customFormat="1" ht="15" customHeight="1">
      <c r="A200" s="65" t="s">
        <v>28</v>
      </c>
      <c r="B200" s="85" t="s">
        <v>29</v>
      </c>
      <c r="C200" s="86" t="s">
        <v>30</v>
      </c>
      <c r="D200" s="86" t="s">
        <v>31</v>
      </c>
      <c r="E200" s="65" t="s">
        <v>293</v>
      </c>
      <c r="F200" s="65" t="s">
        <v>294</v>
      </c>
      <c r="G200" s="65" t="s">
        <v>34</v>
      </c>
      <c r="H200" s="53" t="s">
        <v>295</v>
      </c>
      <c r="I200" s="53" t="e">
        <f>VLOOKUP(H200,合同高级查询数据!$A$2:$A$51,1,FALSE)</f>
        <v>#N/A</v>
      </c>
      <c r="J200" s="88" t="s">
        <v>36</v>
      </c>
      <c r="K200" s="65" t="s">
        <v>296</v>
      </c>
      <c r="L200" s="53" t="s">
        <v>297</v>
      </c>
      <c r="M200" s="65"/>
      <c r="N200" s="89">
        <v>43922</v>
      </c>
      <c r="O200" s="65"/>
      <c r="P200" s="90" t="s">
        <v>298</v>
      </c>
      <c r="Q200" s="98">
        <f>1360.55/1000</f>
        <v>1.3605499999999999</v>
      </c>
      <c r="R200" s="58">
        <f>ROUND(1*9300+(Q200-1)*10800,2)-0.01</f>
        <v>13193.93</v>
      </c>
      <c r="S200" s="59">
        <v>202305</v>
      </c>
      <c r="T200" s="97" t="s">
        <v>1254</v>
      </c>
      <c r="U200" s="97"/>
      <c r="V200" s="102"/>
      <c r="W200" s="103">
        <v>1.3605499999999999</v>
      </c>
      <c r="X200" s="64"/>
      <c r="Y200" s="64"/>
      <c r="Z200" s="107"/>
      <c r="AA200" s="108"/>
      <c r="AB200" s="108"/>
      <c r="AC200" s="108"/>
    </row>
    <row r="201" spans="1:29" s="3" customFormat="1" ht="15" customHeight="1">
      <c r="A201" s="65" t="s">
        <v>28</v>
      </c>
      <c r="B201" s="85" t="s">
        <v>29</v>
      </c>
      <c r="C201" s="86" t="s">
        <v>30</v>
      </c>
      <c r="D201" s="86" t="s">
        <v>31</v>
      </c>
      <c r="E201" s="65" t="s">
        <v>293</v>
      </c>
      <c r="F201" s="65" t="s">
        <v>294</v>
      </c>
      <c r="G201" s="65" t="s">
        <v>34</v>
      </c>
      <c r="H201" s="53" t="s">
        <v>295</v>
      </c>
      <c r="I201" s="53" t="e">
        <f>VLOOKUP(H201,合同高级查询数据!$A$2:$A$51,1,FALSE)</f>
        <v>#N/A</v>
      </c>
      <c r="J201" s="88" t="s">
        <v>36</v>
      </c>
      <c r="K201" s="65" t="s">
        <v>302</v>
      </c>
      <c r="L201" s="53" t="s">
        <v>303</v>
      </c>
      <c r="M201" s="65"/>
      <c r="N201" s="89">
        <v>43922</v>
      </c>
      <c r="O201" s="65"/>
      <c r="P201" s="90" t="s">
        <v>304</v>
      </c>
      <c r="Q201" s="98">
        <v>0.1</v>
      </c>
      <c r="R201" s="58">
        <f>ROUND(Q201*0.3,2)</f>
        <v>0.03</v>
      </c>
      <c r="S201" s="59">
        <v>202305</v>
      </c>
      <c r="T201" s="97" t="s">
        <v>1255</v>
      </c>
      <c r="U201" s="97"/>
      <c r="V201" s="102"/>
      <c r="W201" s="103">
        <v>0.1</v>
      </c>
      <c r="X201" s="64"/>
      <c r="Y201" s="64"/>
      <c r="Z201" s="107"/>
      <c r="AA201" s="108"/>
      <c r="AB201" s="108"/>
      <c r="AC201" s="108"/>
    </row>
    <row r="202" spans="1:29" s="2" customFormat="1" ht="15" customHeight="1">
      <c r="A202" s="5" t="s">
        <v>28</v>
      </c>
      <c r="B202" s="6" t="s">
        <v>29</v>
      </c>
      <c r="C202" s="7" t="s">
        <v>30</v>
      </c>
      <c r="D202" s="7" t="s">
        <v>31</v>
      </c>
      <c r="E202" s="5" t="s">
        <v>380</v>
      </c>
      <c r="F202" s="5" t="s">
        <v>381</v>
      </c>
      <c r="G202" s="5" t="s">
        <v>34</v>
      </c>
      <c r="H202" s="11" t="s">
        <v>387</v>
      </c>
      <c r="I202" s="11" t="e">
        <f>VLOOKUP(H202,合同高级查询数据!$A$2:$A$51,1,FALSE)</f>
        <v>#N/A</v>
      </c>
      <c r="J202" s="14" t="s">
        <v>36</v>
      </c>
      <c r="K202" s="5" t="s">
        <v>37</v>
      </c>
      <c r="L202" s="11" t="s">
        <v>388</v>
      </c>
      <c r="M202" s="5"/>
      <c r="N202" s="19">
        <v>43556</v>
      </c>
      <c r="O202" s="5"/>
      <c r="P202" s="20">
        <v>8400</v>
      </c>
      <c r="Q202" s="26">
        <f>1048.258338-1048.24</f>
        <v>1.8338000000085231E-2</v>
      </c>
      <c r="R202" s="27">
        <f t="shared" ref="R202:R216" si="10">ROUND(P202*Q202,2)</f>
        <v>154.04</v>
      </c>
      <c r="S202" s="28">
        <v>202305</v>
      </c>
      <c r="T202" s="29" t="s">
        <v>1256</v>
      </c>
      <c r="U202" s="29"/>
      <c r="V202" s="101">
        <v>1048.2391357419999</v>
      </c>
      <c r="W202" s="35">
        <v>1048.2583380000001</v>
      </c>
      <c r="X202" s="36">
        <v>44927</v>
      </c>
      <c r="Y202" s="36">
        <v>45291</v>
      </c>
      <c r="Z202" s="42"/>
      <c r="AA202" s="43"/>
      <c r="AB202" s="43"/>
      <c r="AC202" s="43"/>
    </row>
    <row r="203" spans="1:29" s="3" customFormat="1" ht="15" customHeight="1">
      <c r="A203" s="65" t="s">
        <v>260</v>
      </c>
      <c r="B203" s="85" t="s">
        <v>213</v>
      </c>
      <c r="C203" s="86" t="s">
        <v>417</v>
      </c>
      <c r="D203" s="85" t="s">
        <v>418</v>
      </c>
      <c r="E203" s="65" t="s">
        <v>514</v>
      </c>
      <c r="F203" s="65" t="s">
        <v>515</v>
      </c>
      <c r="G203" s="65" t="s">
        <v>34</v>
      </c>
      <c r="H203" s="53" t="s">
        <v>516</v>
      </c>
      <c r="I203" s="53" t="e">
        <f>VLOOKUP(H203,合同高级查询数据!$A$2:$A$51,1,FALSE)</f>
        <v>#N/A</v>
      </c>
      <c r="J203" s="88" t="s">
        <v>36</v>
      </c>
      <c r="K203" s="65" t="s">
        <v>517</v>
      </c>
      <c r="L203" s="53" t="s">
        <v>515</v>
      </c>
      <c r="M203" s="65"/>
      <c r="N203" s="89" t="s">
        <v>518</v>
      </c>
      <c r="O203" s="65" t="s">
        <v>519</v>
      </c>
      <c r="P203" s="90">
        <v>7750</v>
      </c>
      <c r="Q203" s="98">
        <f>111.9-111.1</f>
        <v>0.80000000000001137</v>
      </c>
      <c r="R203" s="58">
        <f t="shared" si="10"/>
        <v>6200</v>
      </c>
      <c r="S203" s="59">
        <v>202305</v>
      </c>
      <c r="T203" s="97" t="s">
        <v>1257</v>
      </c>
      <c r="U203" s="97"/>
      <c r="V203" s="104">
        <v>111.08155059800001</v>
      </c>
      <c r="W203" s="103">
        <v>112.6407</v>
      </c>
      <c r="X203" s="64"/>
      <c r="Y203" s="64"/>
      <c r="Z203" s="107"/>
      <c r="AA203" s="108"/>
      <c r="AB203" s="108"/>
      <c r="AC203" s="108"/>
    </row>
    <row r="204" spans="1:29" s="3" customFormat="1" ht="15" customHeight="1">
      <c r="A204" s="65" t="s">
        <v>260</v>
      </c>
      <c r="B204" s="85" t="s">
        <v>213</v>
      </c>
      <c r="C204" s="86" t="s">
        <v>417</v>
      </c>
      <c r="D204" s="85" t="s">
        <v>418</v>
      </c>
      <c r="E204" s="65" t="s">
        <v>514</v>
      </c>
      <c r="F204" s="65" t="s">
        <v>515</v>
      </c>
      <c r="G204" s="65" t="s">
        <v>34</v>
      </c>
      <c r="H204" s="53" t="s">
        <v>516</v>
      </c>
      <c r="I204" s="53" t="e">
        <f>VLOOKUP(H204,合同高级查询数据!$A$2:$A$51,1,FALSE)</f>
        <v>#N/A</v>
      </c>
      <c r="J204" s="88" t="s">
        <v>233</v>
      </c>
      <c r="K204" s="65" t="s">
        <v>528</v>
      </c>
      <c r="L204" s="53" t="s">
        <v>529</v>
      </c>
      <c r="M204" s="65"/>
      <c r="N204" s="89" t="s">
        <v>530</v>
      </c>
      <c r="O204" s="65" t="s">
        <v>531</v>
      </c>
      <c r="P204" s="90">
        <v>7750</v>
      </c>
      <c r="Q204" s="98">
        <f>97.5-96.5</f>
        <v>1</v>
      </c>
      <c r="R204" s="58">
        <f t="shared" si="10"/>
        <v>7750</v>
      </c>
      <c r="S204" s="59">
        <v>202305</v>
      </c>
      <c r="T204" s="97" t="s">
        <v>1258</v>
      </c>
      <c r="U204" s="97"/>
      <c r="V204" s="104">
        <v>96.502879558130999</v>
      </c>
      <c r="W204" s="103">
        <v>98.424000000000007</v>
      </c>
      <c r="X204" s="64"/>
      <c r="Y204" s="64"/>
      <c r="Z204" s="107"/>
      <c r="AA204" s="108"/>
      <c r="AB204" s="108"/>
      <c r="AC204" s="108"/>
    </row>
    <row r="205" spans="1:29" s="2" customFormat="1" ht="15" customHeight="1">
      <c r="A205" s="5" t="s">
        <v>267</v>
      </c>
      <c r="B205" s="6" t="s">
        <v>213</v>
      </c>
      <c r="C205" s="7" t="s">
        <v>214</v>
      </c>
      <c r="D205" s="6" t="s">
        <v>215</v>
      </c>
      <c r="E205" s="5" t="s">
        <v>764</v>
      </c>
      <c r="F205" s="5" t="s">
        <v>765</v>
      </c>
      <c r="G205" s="5" t="s">
        <v>34</v>
      </c>
      <c r="H205" s="11" t="s">
        <v>1259</v>
      </c>
      <c r="I205" s="11" t="e">
        <f>VLOOKUP(H205,合同高级查询数据!$A$2:$A$51,1,FALSE)</f>
        <v>#N/A</v>
      </c>
      <c r="J205" s="14" t="s">
        <v>36</v>
      </c>
      <c r="K205" s="5" t="s">
        <v>767</v>
      </c>
      <c r="L205" s="11" t="s">
        <v>765</v>
      </c>
      <c r="M205" s="5"/>
      <c r="N205" s="19" t="s">
        <v>768</v>
      </c>
      <c r="O205" s="5" t="s">
        <v>769</v>
      </c>
      <c r="P205" s="20">
        <v>6740</v>
      </c>
      <c r="Q205" s="26">
        <f>116.46-115.62</f>
        <v>0.8399999999999892</v>
      </c>
      <c r="R205" s="27">
        <f t="shared" si="10"/>
        <v>5661.6</v>
      </c>
      <c r="S205" s="28">
        <v>202305</v>
      </c>
      <c r="T205" s="29" t="s">
        <v>1260</v>
      </c>
      <c r="U205" s="29"/>
      <c r="V205" s="34">
        <v>115.615531921</v>
      </c>
      <c r="W205" s="35">
        <v>117.3</v>
      </c>
      <c r="X205" s="36">
        <v>44927</v>
      </c>
      <c r="Y205" s="36">
        <v>45077</v>
      </c>
      <c r="Z205" s="42"/>
      <c r="AA205" s="43"/>
      <c r="AB205" s="43"/>
      <c r="AC205" s="43"/>
    </row>
    <row r="206" spans="1:29" s="2" customFormat="1" ht="15" customHeight="1">
      <c r="A206" s="5" t="s">
        <v>267</v>
      </c>
      <c r="B206" s="6" t="s">
        <v>213</v>
      </c>
      <c r="C206" s="7" t="s">
        <v>214</v>
      </c>
      <c r="D206" s="6" t="s">
        <v>215</v>
      </c>
      <c r="E206" s="5" t="s">
        <v>764</v>
      </c>
      <c r="F206" s="5" t="s">
        <v>765</v>
      </c>
      <c r="G206" s="5" t="s">
        <v>34</v>
      </c>
      <c r="H206" s="11" t="s">
        <v>772</v>
      </c>
      <c r="I206" s="11" t="e">
        <f>VLOOKUP(H206,合同高级查询数据!$A$2:$A$51,1,FALSE)</f>
        <v>#N/A</v>
      </c>
      <c r="J206" s="14" t="s">
        <v>36</v>
      </c>
      <c r="K206" s="5" t="s">
        <v>767</v>
      </c>
      <c r="L206" s="11" t="s">
        <v>773</v>
      </c>
      <c r="M206" s="5" t="s">
        <v>774</v>
      </c>
      <c r="N206" s="19">
        <v>44835</v>
      </c>
      <c r="O206" s="5" t="s">
        <v>582</v>
      </c>
      <c r="P206" s="20">
        <v>6740</v>
      </c>
      <c r="Q206" s="26">
        <f>166.84-120.74</f>
        <v>46.100000000000009</v>
      </c>
      <c r="R206" s="27">
        <f t="shared" si="10"/>
        <v>310714</v>
      </c>
      <c r="S206" s="28">
        <v>202305</v>
      </c>
      <c r="T206" s="29" t="s">
        <v>1261</v>
      </c>
      <c r="U206" s="29"/>
      <c r="V206" s="34">
        <v>120.741</v>
      </c>
      <c r="W206" s="35">
        <v>166.84</v>
      </c>
      <c r="X206" s="36">
        <v>44927</v>
      </c>
      <c r="Y206" s="36">
        <v>45107</v>
      </c>
      <c r="Z206" s="42"/>
      <c r="AA206" s="43"/>
      <c r="AB206" s="43"/>
      <c r="AC206" s="43"/>
    </row>
    <row r="207" spans="1:29" s="2" customFormat="1" ht="15" customHeight="1">
      <c r="A207" s="5" t="s">
        <v>267</v>
      </c>
      <c r="B207" s="6" t="s">
        <v>213</v>
      </c>
      <c r="C207" s="7" t="s">
        <v>417</v>
      </c>
      <c r="D207" s="6" t="s">
        <v>418</v>
      </c>
      <c r="E207" s="5" t="s">
        <v>797</v>
      </c>
      <c r="F207" s="5" t="s">
        <v>798</v>
      </c>
      <c r="G207" s="5" t="s">
        <v>34</v>
      </c>
      <c r="H207" s="11" t="s">
        <v>799</v>
      </c>
      <c r="I207" s="11" t="e">
        <f>VLOOKUP(H207,合同高级查询数据!$A$2:$A$51,1,FALSE)</f>
        <v>#N/A</v>
      </c>
      <c r="J207" s="14" t="s">
        <v>36</v>
      </c>
      <c r="K207" s="5" t="s">
        <v>800</v>
      </c>
      <c r="L207" s="11" t="s">
        <v>801</v>
      </c>
      <c r="M207" s="5"/>
      <c r="N207" s="19" t="s">
        <v>802</v>
      </c>
      <c r="O207" s="5" t="s">
        <v>803</v>
      </c>
      <c r="P207" s="20">
        <v>6740</v>
      </c>
      <c r="Q207" s="26">
        <f>206.92-205.19</f>
        <v>1.7299999999999898</v>
      </c>
      <c r="R207" s="27">
        <f t="shared" si="10"/>
        <v>11660.2</v>
      </c>
      <c r="S207" s="28">
        <v>202305</v>
      </c>
      <c r="T207" s="29" t="s">
        <v>1262</v>
      </c>
      <c r="U207" s="29"/>
      <c r="V207" s="34">
        <v>205.190582275</v>
      </c>
      <c r="W207" s="35">
        <v>208.64</v>
      </c>
      <c r="X207" s="36">
        <v>44927</v>
      </c>
      <c r="Y207" s="36">
        <v>45107</v>
      </c>
      <c r="Z207" s="42"/>
      <c r="AA207" s="43"/>
      <c r="AB207" s="43"/>
      <c r="AC207" s="43"/>
    </row>
    <row r="208" spans="1:29" s="2" customFormat="1" ht="15" customHeight="1">
      <c r="A208" s="5" t="s">
        <v>267</v>
      </c>
      <c r="B208" s="6" t="s">
        <v>213</v>
      </c>
      <c r="C208" s="7" t="s">
        <v>417</v>
      </c>
      <c r="D208" s="6" t="s">
        <v>418</v>
      </c>
      <c r="E208" s="5" t="s">
        <v>815</v>
      </c>
      <c r="F208" s="5" t="s">
        <v>816</v>
      </c>
      <c r="G208" s="5" t="s">
        <v>34</v>
      </c>
      <c r="H208" s="11" t="s">
        <v>817</v>
      </c>
      <c r="I208" s="11" t="e">
        <f>VLOOKUP(H208,合同高级查询数据!$A$2:$A$51,1,FALSE)</f>
        <v>#N/A</v>
      </c>
      <c r="J208" s="14" t="s">
        <v>36</v>
      </c>
      <c r="K208" s="5" t="s">
        <v>816</v>
      </c>
      <c r="L208" s="11" t="s">
        <v>818</v>
      </c>
      <c r="M208" s="5"/>
      <c r="N208" s="19" t="s">
        <v>819</v>
      </c>
      <c r="O208" s="5" t="s">
        <v>820</v>
      </c>
      <c r="P208" s="20">
        <v>6740</v>
      </c>
      <c r="Q208" s="26">
        <f>125.6-121.11</f>
        <v>4.4899999999999949</v>
      </c>
      <c r="R208" s="27">
        <f t="shared" si="10"/>
        <v>30262.6</v>
      </c>
      <c r="S208" s="28">
        <v>202305</v>
      </c>
      <c r="T208" s="29" t="s">
        <v>1263</v>
      </c>
      <c r="U208" s="29"/>
      <c r="V208" s="34">
        <v>121.1118927</v>
      </c>
      <c r="W208" s="35">
        <v>130.08000000000001</v>
      </c>
      <c r="X208" s="36">
        <v>44927</v>
      </c>
      <c r="Y208" s="36">
        <v>45107</v>
      </c>
      <c r="Z208" s="42"/>
      <c r="AA208" s="43"/>
      <c r="AB208" s="43"/>
      <c r="AC208" s="43"/>
    </row>
    <row r="209" spans="1:29" s="2" customFormat="1" ht="15" customHeight="1">
      <c r="A209" s="5" t="s">
        <v>267</v>
      </c>
      <c r="B209" s="6" t="s">
        <v>213</v>
      </c>
      <c r="C209" s="7" t="s">
        <v>417</v>
      </c>
      <c r="D209" s="6" t="s">
        <v>418</v>
      </c>
      <c r="E209" s="5" t="s">
        <v>815</v>
      </c>
      <c r="F209" s="5" t="s">
        <v>816</v>
      </c>
      <c r="G209" s="5" t="s">
        <v>34</v>
      </c>
      <c r="H209" s="11" t="s">
        <v>817</v>
      </c>
      <c r="I209" s="11" t="e">
        <f>VLOOKUP(H209,合同高级查询数据!$A$2:$A$51,1,FALSE)</f>
        <v>#N/A</v>
      </c>
      <c r="J209" s="14" t="s">
        <v>36</v>
      </c>
      <c r="K209" s="5" t="s">
        <v>823</v>
      </c>
      <c r="L209" s="11" t="s">
        <v>824</v>
      </c>
      <c r="M209" s="5"/>
      <c r="N209" s="19">
        <v>44228</v>
      </c>
      <c r="O209" s="5" t="s">
        <v>434</v>
      </c>
      <c r="P209" s="20">
        <v>6740</v>
      </c>
      <c r="Q209" s="26">
        <f>83.89-81.62</f>
        <v>2.269999999999996</v>
      </c>
      <c r="R209" s="27">
        <f t="shared" si="10"/>
        <v>15299.8</v>
      </c>
      <c r="S209" s="28">
        <v>202305</v>
      </c>
      <c r="T209" s="29" t="s">
        <v>1264</v>
      </c>
      <c r="U209" s="29"/>
      <c r="V209" s="34">
        <v>81.623962402000004</v>
      </c>
      <c r="W209" s="35">
        <v>86.15</v>
      </c>
      <c r="X209" s="36">
        <v>44927</v>
      </c>
      <c r="Y209" s="36">
        <v>45107</v>
      </c>
      <c r="Z209" s="42"/>
      <c r="AA209" s="43"/>
      <c r="AB209" s="43"/>
      <c r="AC209" s="43"/>
    </row>
    <row r="210" spans="1:29" s="3" customFormat="1" ht="15" customHeight="1">
      <c r="A210" s="50" t="s">
        <v>212</v>
      </c>
      <c r="B210" s="85" t="s">
        <v>213</v>
      </c>
      <c r="C210" s="49" t="s">
        <v>860</v>
      </c>
      <c r="D210" s="86" t="s">
        <v>215</v>
      </c>
      <c r="E210" s="50" t="s">
        <v>972</v>
      </c>
      <c r="F210" s="50" t="s">
        <v>973</v>
      </c>
      <c r="G210" s="53" t="s">
        <v>34</v>
      </c>
      <c r="H210" s="53" t="s">
        <v>974</v>
      </c>
      <c r="I210" s="53" t="e">
        <f>VLOOKUP(H210,合同高级查询数据!$A$2:$A$51,1,FALSE)</f>
        <v>#N/A</v>
      </c>
      <c r="J210" s="53" t="s">
        <v>36</v>
      </c>
      <c r="K210" s="50" t="s">
        <v>973</v>
      </c>
      <c r="L210" s="52" t="s">
        <v>973</v>
      </c>
      <c r="M210" s="54" t="s">
        <v>975</v>
      </c>
      <c r="N210" s="55" t="s">
        <v>976</v>
      </c>
      <c r="O210" s="55" t="s">
        <v>977</v>
      </c>
      <c r="P210" s="129">
        <v>9000</v>
      </c>
      <c r="Q210" s="142">
        <f>74.2-72.78</f>
        <v>1.4200000000000017</v>
      </c>
      <c r="R210" s="99">
        <f t="shared" si="10"/>
        <v>12780</v>
      </c>
      <c r="S210" s="59">
        <v>202305</v>
      </c>
      <c r="T210" s="143" t="s">
        <v>1265</v>
      </c>
      <c r="U210" s="143"/>
      <c r="V210" s="104">
        <v>72.780517813000003</v>
      </c>
      <c r="W210" s="155">
        <v>74.2</v>
      </c>
      <c r="X210" s="64"/>
      <c r="Y210" s="64"/>
      <c r="Z210" s="107"/>
      <c r="AA210" s="108"/>
      <c r="AB210" s="108"/>
      <c r="AC210" s="108"/>
    </row>
    <row r="211" spans="1:29" s="2" customFormat="1" ht="15" customHeight="1">
      <c r="A211" s="9" t="s">
        <v>267</v>
      </c>
      <c r="B211" s="6" t="s">
        <v>213</v>
      </c>
      <c r="C211" s="8" t="s">
        <v>860</v>
      </c>
      <c r="D211" s="7" t="s">
        <v>215</v>
      </c>
      <c r="E211" s="9" t="s">
        <v>1015</v>
      </c>
      <c r="F211" s="9" t="s">
        <v>1016</v>
      </c>
      <c r="G211" s="11" t="s">
        <v>34</v>
      </c>
      <c r="H211" s="11" t="s">
        <v>1266</v>
      </c>
      <c r="I211" s="11" t="e">
        <f>VLOOKUP(H211,合同高级查询数据!$A$2:$A$51,1,FALSE)</f>
        <v>#N/A</v>
      </c>
      <c r="J211" s="11" t="s">
        <v>36</v>
      </c>
      <c r="K211" s="9" t="s">
        <v>1267</v>
      </c>
      <c r="L211" s="15" t="s">
        <v>1016</v>
      </c>
      <c r="M211" s="16" t="s">
        <v>1018</v>
      </c>
      <c r="N211" s="21" t="s">
        <v>1019</v>
      </c>
      <c r="O211" s="21" t="s">
        <v>1020</v>
      </c>
      <c r="P211" s="130">
        <v>6740</v>
      </c>
      <c r="Q211" s="23">
        <f>44.75-44.68</f>
        <v>7.0000000000000284E-2</v>
      </c>
      <c r="R211" s="140">
        <f t="shared" si="10"/>
        <v>471.8</v>
      </c>
      <c r="S211" s="28">
        <v>202305</v>
      </c>
      <c r="T211" s="144" t="s">
        <v>1268</v>
      </c>
      <c r="U211" s="144"/>
      <c r="V211" s="34">
        <v>44.676937103</v>
      </c>
      <c r="W211" s="188">
        <v>44.82</v>
      </c>
      <c r="X211" s="36">
        <v>44927</v>
      </c>
      <c r="Y211" s="36">
        <v>45107</v>
      </c>
      <c r="Z211" s="42"/>
      <c r="AA211" s="43"/>
      <c r="AB211" s="43"/>
      <c r="AC211" s="43"/>
    </row>
    <row r="212" spans="1:29" s="2" customFormat="1" ht="15" customHeight="1">
      <c r="A212" s="9" t="s">
        <v>267</v>
      </c>
      <c r="B212" s="6" t="s">
        <v>213</v>
      </c>
      <c r="C212" s="8" t="s">
        <v>860</v>
      </c>
      <c r="D212" s="7" t="s">
        <v>215</v>
      </c>
      <c r="E212" s="9" t="s">
        <v>1015</v>
      </c>
      <c r="F212" s="9" t="s">
        <v>1016</v>
      </c>
      <c r="G212" s="11" t="s">
        <v>34</v>
      </c>
      <c r="H212" s="11" t="s">
        <v>1266</v>
      </c>
      <c r="I212" s="11" t="e">
        <f>VLOOKUP(H212,合同高级查询数据!$A$2:$A$51,1,FALSE)</f>
        <v>#N/A</v>
      </c>
      <c r="J212" s="11" t="s">
        <v>36</v>
      </c>
      <c r="K212" s="9" t="s">
        <v>1267</v>
      </c>
      <c r="L212" s="15" t="s">
        <v>1023</v>
      </c>
      <c r="M212" s="16" t="s">
        <v>1024</v>
      </c>
      <c r="N212" s="21">
        <v>44868</v>
      </c>
      <c r="O212" s="21" t="s">
        <v>434</v>
      </c>
      <c r="P212" s="130">
        <v>6740</v>
      </c>
      <c r="Q212" s="23">
        <f>120.86-119.77</f>
        <v>1.0900000000000034</v>
      </c>
      <c r="R212" s="140">
        <f t="shared" si="10"/>
        <v>7346.6</v>
      </c>
      <c r="S212" s="28">
        <v>202305</v>
      </c>
      <c r="T212" s="144" t="s">
        <v>1269</v>
      </c>
      <c r="U212" s="144"/>
      <c r="V212" s="34">
        <v>119.765982686</v>
      </c>
      <c r="W212" s="156">
        <v>121.94</v>
      </c>
      <c r="X212" s="36">
        <v>44927</v>
      </c>
      <c r="Y212" s="36">
        <v>45107</v>
      </c>
      <c r="Z212" s="42"/>
      <c r="AA212" s="43"/>
      <c r="AB212" s="43"/>
      <c r="AC212" s="43"/>
    </row>
    <row r="213" spans="1:29" s="2" customFormat="1" ht="15" customHeight="1">
      <c r="A213" s="9" t="s">
        <v>267</v>
      </c>
      <c r="B213" s="6" t="s">
        <v>213</v>
      </c>
      <c r="C213" s="8" t="s">
        <v>860</v>
      </c>
      <c r="D213" s="7" t="s">
        <v>215</v>
      </c>
      <c r="E213" s="9" t="s">
        <v>1037</v>
      </c>
      <c r="F213" s="9" t="s">
        <v>1038</v>
      </c>
      <c r="G213" s="11" t="s">
        <v>34</v>
      </c>
      <c r="H213" s="11" t="s">
        <v>1039</v>
      </c>
      <c r="I213" s="11" t="e">
        <f>VLOOKUP(H213,合同高级查询数据!$A$2:$A$51,1,FALSE)</f>
        <v>#N/A</v>
      </c>
      <c r="J213" s="11" t="s">
        <v>36</v>
      </c>
      <c r="K213" s="9" t="s">
        <v>1044</v>
      </c>
      <c r="L213" s="15" t="s">
        <v>1044</v>
      </c>
      <c r="M213" s="16" t="s">
        <v>1045</v>
      </c>
      <c r="N213" s="21" t="s">
        <v>1046</v>
      </c>
      <c r="O213" s="21" t="s">
        <v>1047</v>
      </c>
      <c r="P213" s="130">
        <v>6740</v>
      </c>
      <c r="Q213" s="23">
        <f>33.19-32.92</f>
        <v>0.26999999999999602</v>
      </c>
      <c r="R213" s="140">
        <f t="shared" si="10"/>
        <v>1819.8</v>
      </c>
      <c r="S213" s="28">
        <v>202305</v>
      </c>
      <c r="T213" s="144" t="s">
        <v>1270</v>
      </c>
      <c r="U213" s="144"/>
      <c r="V213" s="34">
        <v>32.924152374000002</v>
      </c>
      <c r="W213" s="156">
        <v>33.450000000000003</v>
      </c>
      <c r="X213" s="36">
        <v>44927</v>
      </c>
      <c r="Y213" s="36">
        <v>45107</v>
      </c>
      <c r="Z213" s="42"/>
      <c r="AA213" s="43"/>
      <c r="AB213" s="43"/>
      <c r="AC213" s="43"/>
    </row>
    <row r="214" spans="1:29" s="2" customFormat="1" ht="15" customHeight="1">
      <c r="A214" s="9" t="s">
        <v>267</v>
      </c>
      <c r="B214" s="6" t="s">
        <v>213</v>
      </c>
      <c r="C214" s="8" t="s">
        <v>860</v>
      </c>
      <c r="D214" s="7" t="s">
        <v>215</v>
      </c>
      <c r="E214" s="9" t="s">
        <v>1090</v>
      </c>
      <c r="F214" s="9" t="s">
        <v>1091</v>
      </c>
      <c r="G214" s="11" t="s">
        <v>34</v>
      </c>
      <c r="H214" s="11" t="s">
        <v>1092</v>
      </c>
      <c r="I214" s="11" t="e">
        <f>VLOOKUP(H214,合同高级查询数据!$A$2:$A$51,1,FALSE)</f>
        <v>#N/A</v>
      </c>
      <c r="J214" s="11" t="s">
        <v>36</v>
      </c>
      <c r="K214" s="9" t="s">
        <v>1093</v>
      </c>
      <c r="L214" s="15" t="s">
        <v>1093</v>
      </c>
      <c r="M214" s="16" t="s">
        <v>1094</v>
      </c>
      <c r="N214" s="21" t="s">
        <v>1095</v>
      </c>
      <c r="O214" s="21" t="s">
        <v>1096</v>
      </c>
      <c r="P214" s="130">
        <v>6740</v>
      </c>
      <c r="Q214" s="23">
        <f>48.95-48.58</f>
        <v>0.37000000000000455</v>
      </c>
      <c r="R214" s="140">
        <f t="shared" si="10"/>
        <v>2493.8000000000002</v>
      </c>
      <c r="S214" s="28">
        <v>202305</v>
      </c>
      <c r="T214" s="144" t="s">
        <v>1271</v>
      </c>
      <c r="U214" s="144"/>
      <c r="V214" s="34">
        <v>48.581295013000002</v>
      </c>
      <c r="W214" s="156">
        <v>49.32</v>
      </c>
      <c r="X214" s="36">
        <v>44927</v>
      </c>
      <c r="Y214" s="36">
        <v>45107</v>
      </c>
      <c r="Z214" s="42"/>
      <c r="AA214" s="43"/>
      <c r="AB214" s="43"/>
      <c r="AC214" s="43"/>
    </row>
    <row r="215" spans="1:29" s="2" customFormat="1" ht="15" customHeight="1">
      <c r="A215" s="9" t="s">
        <v>267</v>
      </c>
      <c r="B215" s="6" t="s">
        <v>213</v>
      </c>
      <c r="C215" s="8" t="s">
        <v>860</v>
      </c>
      <c r="D215" s="7" t="s">
        <v>215</v>
      </c>
      <c r="E215" s="9" t="s">
        <v>1113</v>
      </c>
      <c r="F215" s="9" t="s">
        <v>1114</v>
      </c>
      <c r="G215" s="11" t="s">
        <v>34</v>
      </c>
      <c r="H215" s="11" t="s">
        <v>1272</v>
      </c>
      <c r="I215" s="11" t="e">
        <f>VLOOKUP(H215,合同高级查询数据!$A$2:$A$51,1,FALSE)</f>
        <v>#N/A</v>
      </c>
      <c r="J215" s="11" t="s">
        <v>36</v>
      </c>
      <c r="K215" s="9" t="s">
        <v>1116</v>
      </c>
      <c r="L215" s="15" t="s">
        <v>1114</v>
      </c>
      <c r="M215" s="16" t="s">
        <v>1117</v>
      </c>
      <c r="N215" s="21" t="s">
        <v>1273</v>
      </c>
      <c r="O215" s="21" t="s">
        <v>1274</v>
      </c>
      <c r="P215" s="130">
        <v>6740</v>
      </c>
      <c r="Q215" s="23">
        <f>152.4-149.76</f>
        <v>2.6400000000000148</v>
      </c>
      <c r="R215" s="140">
        <f t="shared" si="10"/>
        <v>17793.599999999999</v>
      </c>
      <c r="S215" s="28">
        <v>202305</v>
      </c>
      <c r="T215" s="144" t="s">
        <v>1275</v>
      </c>
      <c r="U215" s="144"/>
      <c r="V215" s="34">
        <v>149.76060485799999</v>
      </c>
      <c r="W215" s="156">
        <v>155.03</v>
      </c>
      <c r="X215" s="36">
        <v>44728</v>
      </c>
      <c r="Y215" s="36">
        <v>45092</v>
      </c>
      <c r="Z215" s="42"/>
      <c r="AA215" s="43"/>
      <c r="AB215" s="43"/>
      <c r="AC215" s="43"/>
    </row>
    <row r="216" spans="1:29" s="3" customFormat="1" ht="15" customHeight="1">
      <c r="A216" s="65" t="s">
        <v>212</v>
      </c>
      <c r="B216" s="85" t="s">
        <v>213</v>
      </c>
      <c r="C216" s="86" t="s">
        <v>214</v>
      </c>
      <c r="D216" s="86" t="s">
        <v>215</v>
      </c>
      <c r="E216" s="65" t="s">
        <v>216</v>
      </c>
      <c r="F216" s="65" t="s">
        <v>217</v>
      </c>
      <c r="G216" s="87" t="s">
        <v>34</v>
      </c>
      <c r="H216" s="88" t="s">
        <v>280</v>
      </c>
      <c r="I216" s="53" t="e">
        <f>VLOOKUP(H216,合同高级查询数据!$A$2:$A$51,1,FALSE)</f>
        <v>#N/A</v>
      </c>
      <c r="J216" s="88" t="s">
        <v>1252</v>
      </c>
      <c r="K216" s="87" t="s">
        <v>281</v>
      </c>
      <c r="L216" s="53" t="s">
        <v>282</v>
      </c>
      <c r="M216" s="54" t="s">
        <v>283</v>
      </c>
      <c r="N216" s="55" t="s">
        <v>284</v>
      </c>
      <c r="O216" s="55" t="s">
        <v>285</v>
      </c>
      <c r="P216" s="95">
        <v>9000</v>
      </c>
      <c r="Q216" s="99">
        <f>(1*19/30+10*0.3*2/30)-0.56</f>
        <v>0.27333333333333321</v>
      </c>
      <c r="R216" s="99">
        <f t="shared" si="10"/>
        <v>2460</v>
      </c>
      <c r="S216" s="59">
        <v>202304</v>
      </c>
      <c r="T216" s="100" t="s">
        <v>1276</v>
      </c>
      <c r="U216" s="105"/>
      <c r="V216" s="189">
        <v>0.12106155082</v>
      </c>
      <c r="W216" s="106"/>
      <c r="X216" s="64"/>
      <c r="Y216" s="64"/>
      <c r="Z216" s="107"/>
      <c r="AA216" s="108"/>
      <c r="AB216" s="108"/>
      <c r="AC216" s="108"/>
    </row>
    <row r="217" spans="1:29" s="2" customFormat="1" ht="15" customHeight="1">
      <c r="A217" s="7" t="s">
        <v>260</v>
      </c>
      <c r="B217" s="7" t="s">
        <v>1277</v>
      </c>
      <c r="C217" s="7" t="s">
        <v>1278</v>
      </c>
      <c r="D217" s="5" t="s">
        <v>1279</v>
      </c>
      <c r="E217" s="7" t="s">
        <v>1280</v>
      </c>
      <c r="F217" s="7" t="s">
        <v>1281</v>
      </c>
      <c r="G217" s="7" t="s">
        <v>34</v>
      </c>
      <c r="H217" s="11" t="s">
        <v>1282</v>
      </c>
      <c r="I217" s="11" t="str">
        <f>VLOOKUP(H217,合同高级查询数据!$A$2:$A$51,1,FALSE)</f>
        <v>182315IDC00267</v>
      </c>
      <c r="J217" s="12" t="s">
        <v>440</v>
      </c>
      <c r="K217" s="7" t="s">
        <v>1283</v>
      </c>
      <c r="L217" s="174" t="s">
        <v>1284</v>
      </c>
      <c r="M217" s="16" t="s">
        <v>1285</v>
      </c>
      <c r="N217" s="176" t="s">
        <v>1286</v>
      </c>
      <c r="O217" s="7" t="s">
        <v>956</v>
      </c>
      <c r="P217" s="27">
        <v>7083</v>
      </c>
      <c r="Q217" s="140">
        <v>0</v>
      </c>
      <c r="R217" s="27">
        <f t="shared" ref="R217:R221" si="11">ROUND(P217*Q217,2)</f>
        <v>0</v>
      </c>
      <c r="S217" s="28">
        <v>202306</v>
      </c>
      <c r="T217" s="184" t="s">
        <v>1287</v>
      </c>
      <c r="U217" s="190"/>
      <c r="V217" s="178">
        <v>0</v>
      </c>
      <c r="W217" s="191"/>
      <c r="X217" s="192">
        <v>44986</v>
      </c>
      <c r="Y217" s="192">
        <v>45351</v>
      </c>
      <c r="Z217" s="178">
        <v>0</v>
      </c>
      <c r="AA217" s="44">
        <v>0</v>
      </c>
      <c r="AB217" s="178">
        <v>0</v>
      </c>
      <c r="AC217" s="178">
        <f>AA217*AB217</f>
        <v>0</v>
      </c>
    </row>
    <row r="218" spans="1:29" s="2" customFormat="1" ht="15" customHeight="1">
      <c r="A218" s="7" t="s">
        <v>260</v>
      </c>
      <c r="B218" s="7" t="s">
        <v>1277</v>
      </c>
      <c r="C218" s="7" t="s">
        <v>1278</v>
      </c>
      <c r="D218" s="5" t="s">
        <v>1279</v>
      </c>
      <c r="E218" s="7" t="s">
        <v>1280</v>
      </c>
      <c r="F218" s="7" t="s">
        <v>1281</v>
      </c>
      <c r="G218" s="7" t="s">
        <v>34</v>
      </c>
      <c r="H218" s="11" t="s">
        <v>1282</v>
      </c>
      <c r="I218" s="11" t="str">
        <f>VLOOKUP(H218,合同高级查询数据!$A$2:$A$51,1,FALSE)</f>
        <v>182315IDC00267</v>
      </c>
      <c r="J218" s="12" t="s">
        <v>440</v>
      </c>
      <c r="K218" s="7" t="s">
        <v>1288</v>
      </c>
      <c r="L218" s="174" t="s">
        <v>1289</v>
      </c>
      <c r="M218" s="16" t="s">
        <v>1290</v>
      </c>
      <c r="N218" s="176" t="s">
        <v>1291</v>
      </c>
      <c r="O218" s="7" t="s">
        <v>956</v>
      </c>
      <c r="P218" s="27">
        <v>7083</v>
      </c>
      <c r="Q218" s="140">
        <v>0</v>
      </c>
      <c r="R218" s="27">
        <f t="shared" si="11"/>
        <v>0</v>
      </c>
      <c r="S218" s="28">
        <v>202306</v>
      </c>
      <c r="T218" s="184" t="s">
        <v>1292</v>
      </c>
      <c r="U218" s="193"/>
      <c r="V218" s="178">
        <v>0</v>
      </c>
      <c r="W218" s="191"/>
      <c r="X218" s="192">
        <v>44986</v>
      </c>
      <c r="Y218" s="192">
        <v>45351</v>
      </c>
      <c r="Z218" s="178">
        <v>0</v>
      </c>
      <c r="AA218" s="44">
        <v>0</v>
      </c>
      <c r="AB218" s="178">
        <v>0</v>
      </c>
      <c r="AC218" s="178">
        <f>AA218*AB218</f>
        <v>0</v>
      </c>
    </row>
    <row r="219" spans="1:29" s="2" customFormat="1" ht="15" customHeight="1">
      <c r="A219" s="7" t="s">
        <v>260</v>
      </c>
      <c r="B219" s="7" t="s">
        <v>1277</v>
      </c>
      <c r="C219" s="7" t="s">
        <v>1278</v>
      </c>
      <c r="D219" s="5" t="s">
        <v>1279</v>
      </c>
      <c r="E219" s="7" t="s">
        <v>1280</v>
      </c>
      <c r="F219" s="7" t="s">
        <v>1281</v>
      </c>
      <c r="G219" s="7" t="s">
        <v>34</v>
      </c>
      <c r="H219" s="11" t="s">
        <v>1282</v>
      </c>
      <c r="I219" s="11" t="str">
        <f>VLOOKUP(H219,合同高级查询数据!$A$2:$A$51,1,FALSE)</f>
        <v>182315IDC00267</v>
      </c>
      <c r="J219" s="12" t="s">
        <v>36</v>
      </c>
      <c r="K219" s="7" t="s">
        <v>1293</v>
      </c>
      <c r="L219" s="174" t="s">
        <v>1294</v>
      </c>
      <c r="M219" s="16" t="s">
        <v>1295</v>
      </c>
      <c r="N219" s="176" t="s">
        <v>1296</v>
      </c>
      <c r="O219" s="7" t="s">
        <v>1297</v>
      </c>
      <c r="P219" s="27">
        <v>7083</v>
      </c>
      <c r="Q219" s="140">
        <v>55.64</v>
      </c>
      <c r="R219" s="27">
        <f t="shared" si="11"/>
        <v>394098.12</v>
      </c>
      <c r="S219" s="28">
        <v>202306</v>
      </c>
      <c r="T219" s="184" t="s">
        <v>1298</v>
      </c>
      <c r="U219" s="37"/>
      <c r="V219" s="178">
        <v>55.643032073999997</v>
      </c>
      <c r="W219" s="35"/>
      <c r="X219" s="192">
        <v>44986</v>
      </c>
      <c r="Y219" s="192">
        <v>45351</v>
      </c>
      <c r="Z219" s="5" t="s">
        <v>1299</v>
      </c>
      <c r="AA219" s="45">
        <v>0.3</v>
      </c>
      <c r="AB219" s="34">
        <v>180</v>
      </c>
      <c r="AC219" s="178">
        <f>AA219*AB219</f>
        <v>54</v>
      </c>
    </row>
    <row r="220" spans="1:29" s="2" customFormat="1" ht="15" customHeight="1">
      <c r="A220" s="7" t="s">
        <v>260</v>
      </c>
      <c r="B220" s="7" t="s">
        <v>1277</v>
      </c>
      <c r="C220" s="7" t="s">
        <v>1278</v>
      </c>
      <c r="D220" s="5" t="s">
        <v>1279</v>
      </c>
      <c r="E220" s="7" t="s">
        <v>1280</v>
      </c>
      <c r="F220" s="7" t="s">
        <v>1281</v>
      </c>
      <c r="G220" s="7" t="s">
        <v>34</v>
      </c>
      <c r="H220" s="11" t="s">
        <v>1282</v>
      </c>
      <c r="I220" s="11" t="str">
        <f>VLOOKUP(H220,合同高级查询数据!$A$2:$A$51,1,FALSE)</f>
        <v>182315IDC00267</v>
      </c>
      <c r="J220" s="12" t="s">
        <v>36</v>
      </c>
      <c r="K220" s="7" t="s">
        <v>1300</v>
      </c>
      <c r="L220" s="174" t="s">
        <v>1301</v>
      </c>
      <c r="M220" s="16" t="s">
        <v>1302</v>
      </c>
      <c r="N220" s="21" t="s">
        <v>1303</v>
      </c>
      <c r="O220" s="7" t="s">
        <v>1304</v>
      </c>
      <c r="P220" s="27">
        <v>7333</v>
      </c>
      <c r="Q220" s="140">
        <v>87.42</v>
      </c>
      <c r="R220" s="27">
        <f t="shared" si="11"/>
        <v>641050.86</v>
      </c>
      <c r="S220" s="28">
        <v>202306</v>
      </c>
      <c r="T220" s="184" t="s">
        <v>1305</v>
      </c>
      <c r="U220" s="37"/>
      <c r="V220" s="178">
        <v>87.419097899999997</v>
      </c>
      <c r="W220" s="194"/>
      <c r="X220" s="192">
        <v>44986</v>
      </c>
      <c r="Y220" s="192">
        <v>45351</v>
      </c>
      <c r="Z220" s="5" t="s">
        <v>1306</v>
      </c>
      <c r="AA220" s="45">
        <v>0.3</v>
      </c>
      <c r="AB220" s="34">
        <v>280</v>
      </c>
      <c r="AC220" s="178">
        <f>AA220*AB220</f>
        <v>84</v>
      </c>
    </row>
    <row r="221" spans="1:29" s="2" customFormat="1" ht="15" customHeight="1">
      <c r="A221" s="7" t="s">
        <v>260</v>
      </c>
      <c r="B221" s="7" t="s">
        <v>1277</v>
      </c>
      <c r="C221" s="7" t="s">
        <v>1278</v>
      </c>
      <c r="D221" s="5" t="s">
        <v>1279</v>
      </c>
      <c r="E221" s="7" t="s">
        <v>1280</v>
      </c>
      <c r="F221" s="7" t="s">
        <v>1281</v>
      </c>
      <c r="G221" s="7" t="s">
        <v>34</v>
      </c>
      <c r="H221" s="11" t="s">
        <v>1282</v>
      </c>
      <c r="I221" s="11" t="str">
        <f>VLOOKUP(H221,合同高级查询数据!$A$2:$A$51,1,FALSE)</f>
        <v>182315IDC00267</v>
      </c>
      <c r="J221" s="12" t="s">
        <v>36</v>
      </c>
      <c r="K221" s="7" t="s">
        <v>1293</v>
      </c>
      <c r="L221" s="174" t="s">
        <v>1294</v>
      </c>
      <c r="M221" s="16" t="s">
        <v>1295</v>
      </c>
      <c r="N221" s="176" t="s">
        <v>1296</v>
      </c>
      <c r="O221" s="7" t="s">
        <v>1297</v>
      </c>
      <c r="P221" s="27">
        <v>7083</v>
      </c>
      <c r="Q221" s="140">
        <v>0.3</v>
      </c>
      <c r="R221" s="27">
        <f t="shared" si="11"/>
        <v>2124.9</v>
      </c>
      <c r="S221" s="28">
        <v>202305</v>
      </c>
      <c r="T221" s="184" t="s">
        <v>1307</v>
      </c>
      <c r="U221" s="37"/>
      <c r="V221" s="178"/>
      <c r="W221" s="194"/>
      <c r="X221" s="192"/>
      <c r="Y221" s="192"/>
      <c r="Z221" s="5"/>
      <c r="AA221" s="45"/>
      <c r="AB221" s="34"/>
      <c r="AC221" s="34"/>
    </row>
    <row r="222" spans="1:29" s="2" customFormat="1" ht="15" customHeight="1">
      <c r="A222" s="7" t="s">
        <v>260</v>
      </c>
      <c r="B222" s="7" t="s">
        <v>1277</v>
      </c>
      <c r="C222" s="7" t="s">
        <v>1308</v>
      </c>
      <c r="D222" s="5" t="s">
        <v>1279</v>
      </c>
      <c r="E222" s="7" t="s">
        <v>1309</v>
      </c>
      <c r="F222" s="7" t="s">
        <v>1310</v>
      </c>
      <c r="G222" s="7" t="s">
        <v>34</v>
      </c>
      <c r="H222" s="11" t="s">
        <v>1311</v>
      </c>
      <c r="I222" s="11" t="e">
        <f>VLOOKUP(H222,合同高级查询数据!$A$2:$A$51,1,FALSE)</f>
        <v>#N/A</v>
      </c>
      <c r="J222" s="12" t="s">
        <v>36</v>
      </c>
      <c r="K222" s="7" t="s">
        <v>1312</v>
      </c>
      <c r="L222" s="174" t="s">
        <v>1313</v>
      </c>
      <c r="M222" s="16" t="s">
        <v>1314</v>
      </c>
      <c r="N222" s="176" t="s">
        <v>1315</v>
      </c>
      <c r="O222" s="11" t="s">
        <v>1316</v>
      </c>
      <c r="P222" s="27">
        <v>9500</v>
      </c>
      <c r="Q222" s="140">
        <v>18.170000000000002</v>
      </c>
      <c r="R222" s="27">
        <f t="shared" ref="R222:R251" si="12">ROUND(P222*Q222,2)</f>
        <v>172615</v>
      </c>
      <c r="S222" s="28">
        <v>202306</v>
      </c>
      <c r="T222" s="184" t="s">
        <v>1317</v>
      </c>
      <c r="U222" s="37"/>
      <c r="V222" s="178">
        <v>18.173711280999999</v>
      </c>
      <c r="W222" s="35"/>
      <c r="X222" s="36">
        <v>44927</v>
      </c>
      <c r="Y222" s="36">
        <v>45291</v>
      </c>
      <c r="Z222" s="5" t="s">
        <v>1318</v>
      </c>
      <c r="AA222" s="45">
        <v>0.3</v>
      </c>
      <c r="AB222" s="34">
        <v>60</v>
      </c>
      <c r="AC222" s="178">
        <f t="shared" ref="AC222:AC243" si="13">AA222*AB222</f>
        <v>18</v>
      </c>
    </row>
    <row r="223" spans="1:29" s="2" customFormat="1" ht="15" customHeight="1">
      <c r="A223" s="7" t="s">
        <v>260</v>
      </c>
      <c r="B223" s="7" t="s">
        <v>1277</v>
      </c>
      <c r="C223" s="7" t="s">
        <v>1308</v>
      </c>
      <c r="D223" s="5" t="s">
        <v>1279</v>
      </c>
      <c r="E223" s="7" t="s">
        <v>1309</v>
      </c>
      <c r="F223" s="7" t="s">
        <v>1310</v>
      </c>
      <c r="G223" s="7" t="s">
        <v>34</v>
      </c>
      <c r="H223" s="11" t="s">
        <v>1311</v>
      </c>
      <c r="I223" s="11" t="e">
        <f>VLOOKUP(H223,合同高级查询数据!$A$2:$A$51,1,FALSE)</f>
        <v>#N/A</v>
      </c>
      <c r="J223" s="12" t="s">
        <v>36</v>
      </c>
      <c r="K223" s="7" t="s">
        <v>1319</v>
      </c>
      <c r="L223" s="174" t="s">
        <v>1320</v>
      </c>
      <c r="M223" s="16" t="s">
        <v>1321</v>
      </c>
      <c r="N223" s="176" t="s">
        <v>1322</v>
      </c>
      <c r="O223" s="12" t="s">
        <v>1323</v>
      </c>
      <c r="P223" s="27">
        <v>9500</v>
      </c>
      <c r="Q223" s="140">
        <v>0</v>
      </c>
      <c r="R223" s="27">
        <f t="shared" si="12"/>
        <v>0</v>
      </c>
      <c r="S223" s="28">
        <v>202306</v>
      </c>
      <c r="T223" s="184" t="s">
        <v>1324</v>
      </c>
      <c r="U223" s="37"/>
      <c r="V223" s="178">
        <v>0</v>
      </c>
      <c r="W223" s="35"/>
      <c r="X223" s="36">
        <v>44927</v>
      </c>
      <c r="Y223" s="36">
        <v>45291</v>
      </c>
      <c r="Z223" s="178">
        <v>0</v>
      </c>
      <c r="AA223" s="44">
        <v>0</v>
      </c>
      <c r="AB223" s="178">
        <v>0</v>
      </c>
      <c r="AC223" s="178">
        <f t="shared" si="13"/>
        <v>0</v>
      </c>
    </row>
    <row r="224" spans="1:29" s="2" customFormat="1" ht="15" customHeight="1">
      <c r="A224" s="7" t="s">
        <v>260</v>
      </c>
      <c r="B224" s="7" t="s">
        <v>1277</v>
      </c>
      <c r="C224" s="7" t="s">
        <v>1308</v>
      </c>
      <c r="D224" s="5" t="s">
        <v>1279</v>
      </c>
      <c r="E224" s="7" t="s">
        <v>1309</v>
      </c>
      <c r="F224" s="7" t="s">
        <v>1310</v>
      </c>
      <c r="G224" s="7" t="s">
        <v>34</v>
      </c>
      <c r="H224" s="11" t="s">
        <v>1311</v>
      </c>
      <c r="I224" s="11" t="e">
        <f>VLOOKUP(H224,合同高级查询数据!$A$2:$A$51,1,FALSE)</f>
        <v>#N/A</v>
      </c>
      <c r="J224" s="12" t="s">
        <v>36</v>
      </c>
      <c r="K224" s="7" t="s">
        <v>1325</v>
      </c>
      <c r="L224" s="174" t="s">
        <v>1326</v>
      </c>
      <c r="M224" s="16" t="s">
        <v>1327</v>
      </c>
      <c r="N224" s="176" t="s">
        <v>1328</v>
      </c>
      <c r="O224" s="127" t="s">
        <v>1329</v>
      </c>
      <c r="P224" s="27">
        <v>9500</v>
      </c>
      <c r="Q224" s="140">
        <v>0</v>
      </c>
      <c r="R224" s="27">
        <f t="shared" si="12"/>
        <v>0</v>
      </c>
      <c r="S224" s="28">
        <v>202306</v>
      </c>
      <c r="T224" s="184" t="s">
        <v>1330</v>
      </c>
      <c r="U224" s="37"/>
      <c r="V224" s="178">
        <v>0</v>
      </c>
      <c r="W224" s="35"/>
      <c r="X224" s="36">
        <v>44927</v>
      </c>
      <c r="Y224" s="36">
        <v>45291</v>
      </c>
      <c r="Z224" s="178">
        <v>0</v>
      </c>
      <c r="AA224" s="44">
        <v>0</v>
      </c>
      <c r="AB224" s="178">
        <v>0</v>
      </c>
      <c r="AC224" s="178">
        <f t="shared" si="13"/>
        <v>0</v>
      </c>
    </row>
    <row r="225" spans="1:29" s="2" customFormat="1" ht="15" customHeight="1">
      <c r="A225" s="7" t="s">
        <v>260</v>
      </c>
      <c r="B225" s="7" t="s">
        <v>1277</v>
      </c>
      <c r="C225" s="7" t="s">
        <v>1308</v>
      </c>
      <c r="D225" s="5" t="s">
        <v>1279</v>
      </c>
      <c r="E225" s="7" t="s">
        <v>1309</v>
      </c>
      <c r="F225" s="7" t="s">
        <v>1310</v>
      </c>
      <c r="G225" s="7" t="s">
        <v>34</v>
      </c>
      <c r="H225" s="11" t="s">
        <v>1311</v>
      </c>
      <c r="I225" s="11" t="e">
        <f>VLOOKUP(H225,合同高级查询数据!$A$2:$A$51,1,FALSE)</f>
        <v>#N/A</v>
      </c>
      <c r="J225" s="12" t="s">
        <v>36</v>
      </c>
      <c r="K225" s="7" t="s">
        <v>1331</v>
      </c>
      <c r="L225" s="174" t="s">
        <v>1332</v>
      </c>
      <c r="M225" s="16" t="s">
        <v>1333</v>
      </c>
      <c r="N225" s="176" t="s">
        <v>1334</v>
      </c>
      <c r="O225" s="11" t="s">
        <v>1335</v>
      </c>
      <c r="P225" s="27">
        <v>9500</v>
      </c>
      <c r="Q225" s="140">
        <v>0</v>
      </c>
      <c r="R225" s="27">
        <f t="shared" si="12"/>
        <v>0</v>
      </c>
      <c r="S225" s="28">
        <v>202306</v>
      </c>
      <c r="T225" s="184" t="s">
        <v>1336</v>
      </c>
      <c r="U225" s="37"/>
      <c r="V225" s="178">
        <v>0</v>
      </c>
      <c r="W225" s="35"/>
      <c r="X225" s="36">
        <v>44927</v>
      </c>
      <c r="Y225" s="36">
        <v>45291</v>
      </c>
      <c r="Z225" s="178">
        <v>0</v>
      </c>
      <c r="AA225" s="44">
        <v>0</v>
      </c>
      <c r="AB225" s="178">
        <v>0</v>
      </c>
      <c r="AC225" s="178">
        <f t="shared" si="13"/>
        <v>0</v>
      </c>
    </row>
    <row r="226" spans="1:29" s="2" customFormat="1" ht="15" customHeight="1">
      <c r="A226" s="7" t="s">
        <v>260</v>
      </c>
      <c r="B226" s="7" t="s">
        <v>1277</v>
      </c>
      <c r="C226" s="7" t="s">
        <v>1308</v>
      </c>
      <c r="D226" s="5" t="s">
        <v>1279</v>
      </c>
      <c r="E226" s="7" t="s">
        <v>1309</v>
      </c>
      <c r="F226" s="7" t="s">
        <v>1310</v>
      </c>
      <c r="G226" s="7" t="s">
        <v>34</v>
      </c>
      <c r="H226" s="11" t="s">
        <v>1311</v>
      </c>
      <c r="I226" s="11" t="e">
        <f>VLOOKUP(H226,合同高级查询数据!$A$2:$A$51,1,FALSE)</f>
        <v>#N/A</v>
      </c>
      <c r="J226" s="12" t="s">
        <v>440</v>
      </c>
      <c r="K226" s="7" t="s">
        <v>1337</v>
      </c>
      <c r="L226" s="174" t="s">
        <v>1338</v>
      </c>
      <c r="M226" s="16" t="s">
        <v>1339</v>
      </c>
      <c r="N226" s="176">
        <v>40349</v>
      </c>
      <c r="O226" s="11" t="s">
        <v>222</v>
      </c>
      <c r="P226" s="27">
        <v>9500</v>
      </c>
      <c r="Q226" s="140">
        <v>2.44</v>
      </c>
      <c r="R226" s="27">
        <f t="shared" si="12"/>
        <v>23180</v>
      </c>
      <c r="S226" s="28">
        <v>202306</v>
      </c>
      <c r="T226" s="184" t="s">
        <v>1340</v>
      </c>
      <c r="U226" s="37"/>
      <c r="V226" s="178">
        <v>2.4378777600000001</v>
      </c>
      <c r="W226" s="35"/>
      <c r="X226" s="36">
        <v>44927</v>
      </c>
      <c r="Y226" s="36">
        <v>45291</v>
      </c>
      <c r="Z226" s="5" t="s">
        <v>1341</v>
      </c>
      <c r="AA226" s="45">
        <v>0</v>
      </c>
      <c r="AB226" s="34">
        <v>20</v>
      </c>
      <c r="AC226" s="178">
        <f t="shared" si="13"/>
        <v>0</v>
      </c>
    </row>
    <row r="227" spans="1:29" s="2" customFormat="1" ht="15" customHeight="1">
      <c r="A227" s="7" t="s">
        <v>260</v>
      </c>
      <c r="B227" s="7" t="s">
        <v>1277</v>
      </c>
      <c r="C227" s="7" t="s">
        <v>1308</v>
      </c>
      <c r="D227" s="5" t="s">
        <v>1279</v>
      </c>
      <c r="E227" s="7" t="s">
        <v>1309</v>
      </c>
      <c r="F227" s="7" t="s">
        <v>1310</v>
      </c>
      <c r="G227" s="7" t="s">
        <v>34</v>
      </c>
      <c r="H227" s="11" t="s">
        <v>1311</v>
      </c>
      <c r="I227" s="11" t="e">
        <f>VLOOKUP(H227,合同高级查询数据!$A$2:$A$51,1,FALSE)</f>
        <v>#N/A</v>
      </c>
      <c r="J227" s="12" t="s">
        <v>440</v>
      </c>
      <c r="K227" s="7" t="s">
        <v>1342</v>
      </c>
      <c r="L227" s="174" t="s">
        <v>1343</v>
      </c>
      <c r="M227" s="16" t="s">
        <v>1344</v>
      </c>
      <c r="N227" s="176" t="s">
        <v>1345</v>
      </c>
      <c r="O227" s="11" t="s">
        <v>956</v>
      </c>
      <c r="P227" s="27">
        <v>9500</v>
      </c>
      <c r="Q227" s="140">
        <v>0</v>
      </c>
      <c r="R227" s="27">
        <f t="shared" si="12"/>
        <v>0</v>
      </c>
      <c r="S227" s="28">
        <v>202306</v>
      </c>
      <c r="T227" s="184" t="s">
        <v>1346</v>
      </c>
      <c r="U227" s="37"/>
      <c r="V227" s="178">
        <v>0</v>
      </c>
      <c r="W227" s="35"/>
      <c r="X227" s="36">
        <v>44927</v>
      </c>
      <c r="Y227" s="36">
        <v>45291</v>
      </c>
      <c r="Z227" s="178">
        <v>0</v>
      </c>
      <c r="AA227" s="44">
        <v>0</v>
      </c>
      <c r="AB227" s="178">
        <v>0</v>
      </c>
      <c r="AC227" s="178">
        <f t="shared" si="13"/>
        <v>0</v>
      </c>
    </row>
    <row r="228" spans="1:29" s="2" customFormat="1" ht="15" customHeight="1">
      <c r="A228" s="7" t="s">
        <v>260</v>
      </c>
      <c r="B228" s="7" t="s">
        <v>1277</v>
      </c>
      <c r="C228" s="7" t="s">
        <v>1308</v>
      </c>
      <c r="D228" s="5" t="s">
        <v>1279</v>
      </c>
      <c r="E228" s="7" t="s">
        <v>1309</v>
      </c>
      <c r="F228" s="7" t="s">
        <v>1310</v>
      </c>
      <c r="G228" s="7" t="s">
        <v>34</v>
      </c>
      <c r="H228" s="11" t="s">
        <v>1311</v>
      </c>
      <c r="I228" s="11" t="e">
        <f>VLOOKUP(H228,合同高级查询数据!$A$2:$A$51,1,FALSE)</f>
        <v>#N/A</v>
      </c>
      <c r="J228" s="12" t="s">
        <v>440</v>
      </c>
      <c r="K228" s="7" t="s">
        <v>1342</v>
      </c>
      <c r="L228" s="174" t="s">
        <v>1343</v>
      </c>
      <c r="M228" s="16" t="s">
        <v>1347</v>
      </c>
      <c r="N228" s="176" t="s">
        <v>1348</v>
      </c>
      <c r="O228" s="11" t="s">
        <v>956</v>
      </c>
      <c r="P228" s="27">
        <v>9500</v>
      </c>
      <c r="Q228" s="140">
        <v>0</v>
      </c>
      <c r="R228" s="27">
        <f t="shared" si="12"/>
        <v>0</v>
      </c>
      <c r="S228" s="28">
        <v>202306</v>
      </c>
      <c r="T228" s="184" t="s">
        <v>1349</v>
      </c>
      <c r="U228" s="37"/>
      <c r="V228" s="178">
        <v>0</v>
      </c>
      <c r="W228" s="35"/>
      <c r="X228" s="36">
        <v>44927</v>
      </c>
      <c r="Y228" s="36">
        <v>45291</v>
      </c>
      <c r="Z228" s="178">
        <v>0</v>
      </c>
      <c r="AA228" s="44">
        <v>0</v>
      </c>
      <c r="AB228" s="178">
        <v>0</v>
      </c>
      <c r="AC228" s="178">
        <f t="shared" si="13"/>
        <v>0</v>
      </c>
    </row>
    <row r="229" spans="1:29" s="2" customFormat="1" ht="15" customHeight="1">
      <c r="A229" s="7" t="s">
        <v>260</v>
      </c>
      <c r="B229" s="7" t="s">
        <v>1277</v>
      </c>
      <c r="C229" s="7" t="s">
        <v>1308</v>
      </c>
      <c r="D229" s="5" t="s">
        <v>1279</v>
      </c>
      <c r="E229" s="7" t="s">
        <v>1309</v>
      </c>
      <c r="F229" s="7" t="s">
        <v>1310</v>
      </c>
      <c r="G229" s="7" t="s">
        <v>34</v>
      </c>
      <c r="H229" s="11" t="s">
        <v>1311</v>
      </c>
      <c r="I229" s="11" t="e">
        <f>VLOOKUP(H229,合同高级查询数据!$A$2:$A$51,1,FALSE)</f>
        <v>#N/A</v>
      </c>
      <c r="J229" s="12" t="s">
        <v>36</v>
      </c>
      <c r="K229" s="7" t="s">
        <v>1350</v>
      </c>
      <c r="L229" s="174" t="s">
        <v>1350</v>
      </c>
      <c r="M229" s="177" t="s">
        <v>1351</v>
      </c>
      <c r="N229" s="176"/>
      <c r="O229" s="178">
        <v>0</v>
      </c>
      <c r="P229" s="27">
        <v>9500</v>
      </c>
      <c r="Q229" s="140">
        <v>0</v>
      </c>
      <c r="R229" s="27">
        <f t="shared" si="12"/>
        <v>0</v>
      </c>
      <c r="S229" s="28">
        <v>202306</v>
      </c>
      <c r="T229" s="184" t="s">
        <v>1352</v>
      </c>
      <c r="U229" s="37"/>
      <c r="V229" s="178">
        <v>0</v>
      </c>
      <c r="W229" s="35"/>
      <c r="X229" s="36">
        <v>44927</v>
      </c>
      <c r="Y229" s="36">
        <v>45291</v>
      </c>
      <c r="Z229" s="178">
        <v>0</v>
      </c>
      <c r="AA229" s="44">
        <v>0</v>
      </c>
      <c r="AB229" s="178">
        <v>0</v>
      </c>
      <c r="AC229" s="178">
        <f t="shared" si="13"/>
        <v>0</v>
      </c>
    </row>
    <row r="230" spans="1:29" s="2" customFormat="1" ht="15" customHeight="1">
      <c r="A230" s="7" t="s">
        <v>260</v>
      </c>
      <c r="B230" s="7" t="s">
        <v>1277</v>
      </c>
      <c r="C230" s="7" t="s">
        <v>1308</v>
      </c>
      <c r="D230" s="5" t="s">
        <v>1279</v>
      </c>
      <c r="E230" s="7" t="s">
        <v>1309</v>
      </c>
      <c r="F230" s="7" t="s">
        <v>1310</v>
      </c>
      <c r="G230" s="7" t="s">
        <v>34</v>
      </c>
      <c r="H230" s="11" t="s">
        <v>1311</v>
      </c>
      <c r="I230" s="11" t="e">
        <f>VLOOKUP(H230,合同高级查询数据!$A$2:$A$51,1,FALSE)</f>
        <v>#N/A</v>
      </c>
      <c r="J230" s="12" t="s">
        <v>36</v>
      </c>
      <c r="K230" s="7" t="s">
        <v>1353</v>
      </c>
      <c r="L230" s="174" t="s">
        <v>1353</v>
      </c>
      <c r="M230" s="16" t="s">
        <v>1354</v>
      </c>
      <c r="N230" s="176" t="s">
        <v>1355</v>
      </c>
      <c r="O230" s="11" t="s">
        <v>1356</v>
      </c>
      <c r="P230" s="27">
        <v>9500</v>
      </c>
      <c r="Q230" s="140">
        <v>12</v>
      </c>
      <c r="R230" s="27">
        <f t="shared" si="12"/>
        <v>114000</v>
      </c>
      <c r="S230" s="28">
        <v>202306</v>
      </c>
      <c r="T230" s="184" t="s">
        <v>1357</v>
      </c>
      <c r="U230" s="37"/>
      <c r="V230" s="178">
        <v>11.94660614</v>
      </c>
      <c r="W230" s="35"/>
      <c r="X230" s="36">
        <v>44927</v>
      </c>
      <c r="Y230" s="36">
        <v>45291</v>
      </c>
      <c r="Z230" s="5" t="s">
        <v>1358</v>
      </c>
      <c r="AA230" s="45">
        <v>0.3</v>
      </c>
      <c r="AB230" s="34">
        <v>40</v>
      </c>
      <c r="AC230" s="178">
        <f t="shared" si="13"/>
        <v>12</v>
      </c>
    </row>
    <row r="231" spans="1:29" s="2" customFormat="1" ht="15" customHeight="1">
      <c r="A231" s="7" t="s">
        <v>260</v>
      </c>
      <c r="B231" s="7" t="s">
        <v>1277</v>
      </c>
      <c r="C231" s="7" t="s">
        <v>1308</v>
      </c>
      <c r="D231" s="5" t="s">
        <v>1279</v>
      </c>
      <c r="E231" s="7" t="s">
        <v>1309</v>
      </c>
      <c r="F231" s="7" t="s">
        <v>1310</v>
      </c>
      <c r="G231" s="7" t="s">
        <v>34</v>
      </c>
      <c r="H231" s="11" t="s">
        <v>1311</v>
      </c>
      <c r="I231" s="11" t="e">
        <f>VLOOKUP(H231,合同高级查询数据!$A$2:$A$51,1,FALSE)</f>
        <v>#N/A</v>
      </c>
      <c r="J231" s="12" t="s">
        <v>1359</v>
      </c>
      <c r="K231" s="174"/>
      <c r="L231" s="174" t="s">
        <v>1360</v>
      </c>
      <c r="M231" s="16" t="s">
        <v>1361</v>
      </c>
      <c r="N231" s="179" t="s">
        <v>1362</v>
      </c>
      <c r="O231" s="12" t="s">
        <v>969</v>
      </c>
      <c r="P231" s="27">
        <v>9500</v>
      </c>
      <c r="Q231" s="140">
        <v>124.36</v>
      </c>
      <c r="R231" s="27">
        <f t="shared" si="12"/>
        <v>1181420</v>
      </c>
      <c r="S231" s="28">
        <v>202306</v>
      </c>
      <c r="T231" s="184" t="s">
        <v>1363</v>
      </c>
      <c r="U231" s="37"/>
      <c r="V231" s="178">
        <v>124.35998314699999</v>
      </c>
      <c r="W231" s="194"/>
      <c r="X231" s="36">
        <v>44927</v>
      </c>
      <c r="Y231" s="36">
        <v>45291</v>
      </c>
      <c r="Z231" s="5" t="s">
        <v>1364</v>
      </c>
      <c r="AA231" s="45">
        <v>0.3</v>
      </c>
      <c r="AB231" s="34">
        <v>200</v>
      </c>
      <c r="AC231" s="178">
        <f t="shared" si="13"/>
        <v>60</v>
      </c>
    </row>
    <row r="232" spans="1:29" s="3" customFormat="1" ht="15" customHeight="1">
      <c r="A232" s="86" t="s">
        <v>260</v>
      </c>
      <c r="B232" s="86" t="s">
        <v>1277</v>
      </c>
      <c r="C232" s="86" t="s">
        <v>1308</v>
      </c>
      <c r="D232" s="65" t="s">
        <v>1279</v>
      </c>
      <c r="E232" s="86" t="s">
        <v>1309</v>
      </c>
      <c r="F232" s="86" t="s">
        <v>1310</v>
      </c>
      <c r="G232" s="86" t="s">
        <v>34</v>
      </c>
      <c r="H232" s="53" t="s">
        <v>1365</v>
      </c>
      <c r="I232" s="53" t="e">
        <f>VLOOKUP(H232,合同高级查询数据!$A$2:$A$51,1,FALSE)</f>
        <v>#N/A</v>
      </c>
      <c r="J232" s="51" t="s">
        <v>75</v>
      </c>
      <c r="K232" s="86" t="s">
        <v>1366</v>
      </c>
      <c r="L232" s="175" t="s">
        <v>1366</v>
      </c>
      <c r="M232" s="54" t="s">
        <v>1361</v>
      </c>
      <c r="N232" s="180" t="s">
        <v>1367</v>
      </c>
      <c r="O232" s="181" t="s">
        <v>1368</v>
      </c>
      <c r="P232" s="58">
        <v>180000</v>
      </c>
      <c r="Q232" s="99">
        <v>5.7</v>
      </c>
      <c r="R232" s="58">
        <f t="shared" si="12"/>
        <v>1026000</v>
      </c>
      <c r="S232" s="59">
        <v>202306</v>
      </c>
      <c r="T232" s="185" t="s">
        <v>1369</v>
      </c>
      <c r="U232" s="195"/>
      <c r="V232" s="196">
        <v>5.6978187489999996</v>
      </c>
      <c r="W232" s="103"/>
      <c r="X232" s="64"/>
      <c r="Y232" s="64"/>
      <c r="Z232" s="65" t="s">
        <v>1370</v>
      </c>
      <c r="AA232" s="200">
        <v>0</v>
      </c>
      <c r="AB232" s="104">
        <v>40</v>
      </c>
      <c r="AC232" s="196">
        <f t="shared" si="13"/>
        <v>0</v>
      </c>
    </row>
    <row r="233" spans="1:29" s="2" customFormat="1" ht="15" customHeight="1">
      <c r="A233" s="7" t="s">
        <v>260</v>
      </c>
      <c r="B233" s="7" t="s">
        <v>1277</v>
      </c>
      <c r="C233" s="7" t="s">
        <v>1308</v>
      </c>
      <c r="D233" s="5" t="s">
        <v>1279</v>
      </c>
      <c r="E233" s="7" t="s">
        <v>1309</v>
      </c>
      <c r="F233" s="7" t="s">
        <v>1310</v>
      </c>
      <c r="G233" s="7" t="s">
        <v>34</v>
      </c>
      <c r="H233" s="11" t="s">
        <v>1371</v>
      </c>
      <c r="I233" s="11" t="str">
        <f>VLOOKUP(H233,合同高级查询数据!$A$2:$A$51,1,FALSE)</f>
        <v>182315IDC00179</v>
      </c>
      <c r="J233" s="12" t="s">
        <v>1359</v>
      </c>
      <c r="K233" s="7" t="s">
        <v>1372</v>
      </c>
      <c r="L233" s="174" t="s">
        <v>1372</v>
      </c>
      <c r="M233" s="16" t="s">
        <v>1361</v>
      </c>
      <c r="N233" s="176" t="s">
        <v>1373</v>
      </c>
      <c r="O233" s="127" t="s">
        <v>1374</v>
      </c>
      <c r="P233" s="27">
        <v>30000</v>
      </c>
      <c r="Q233" s="140">
        <v>63.33</v>
      </c>
      <c r="R233" s="27">
        <f t="shared" si="12"/>
        <v>1899900</v>
      </c>
      <c r="S233" s="28">
        <v>202306</v>
      </c>
      <c r="T233" s="184" t="s">
        <v>1375</v>
      </c>
      <c r="U233" s="37"/>
      <c r="V233" s="178">
        <v>63.332215308999999</v>
      </c>
      <c r="W233" s="191"/>
      <c r="X233" s="192">
        <v>44927</v>
      </c>
      <c r="Y233" s="192">
        <v>45291</v>
      </c>
      <c r="Z233" s="5" t="s">
        <v>1361</v>
      </c>
      <c r="AA233" s="45">
        <v>0.1</v>
      </c>
      <c r="AB233" s="34">
        <v>300</v>
      </c>
      <c r="AC233" s="178">
        <f t="shared" si="13"/>
        <v>30</v>
      </c>
    </row>
    <row r="234" spans="1:29" s="3" customFormat="1" ht="15" customHeight="1">
      <c r="A234" s="86" t="s">
        <v>260</v>
      </c>
      <c r="B234" s="86" t="s">
        <v>1277</v>
      </c>
      <c r="C234" s="86" t="s">
        <v>1376</v>
      </c>
      <c r="D234" s="65" t="s">
        <v>1279</v>
      </c>
      <c r="E234" s="86" t="s">
        <v>1377</v>
      </c>
      <c r="F234" s="86" t="s">
        <v>1378</v>
      </c>
      <c r="G234" s="86" t="s">
        <v>34</v>
      </c>
      <c r="H234" s="53" t="s">
        <v>1379</v>
      </c>
      <c r="I234" s="53" t="e">
        <f>VLOOKUP(H234,合同高级查询数据!$A$2:$A$51,1,FALSE)</f>
        <v>#N/A</v>
      </c>
      <c r="J234" s="51" t="s">
        <v>36</v>
      </c>
      <c r="K234" s="86" t="s">
        <v>1380</v>
      </c>
      <c r="L234" s="175" t="s">
        <v>1381</v>
      </c>
      <c r="M234" s="54" t="s">
        <v>1382</v>
      </c>
      <c r="N234" s="180" t="s">
        <v>1383</v>
      </c>
      <c r="O234" s="181" t="s">
        <v>1384</v>
      </c>
      <c r="P234" s="58">
        <v>9500</v>
      </c>
      <c r="Q234" s="99">
        <v>6.2</v>
      </c>
      <c r="R234" s="58">
        <f t="shared" si="12"/>
        <v>58900</v>
      </c>
      <c r="S234" s="59">
        <v>202306</v>
      </c>
      <c r="T234" s="186" t="s">
        <v>1385</v>
      </c>
      <c r="U234" s="195"/>
      <c r="V234" s="196">
        <v>6.1449623109999996</v>
      </c>
      <c r="W234" s="103"/>
      <c r="X234" s="89"/>
      <c r="Y234" s="89"/>
      <c r="Z234" s="65" t="s">
        <v>1386</v>
      </c>
      <c r="AA234" s="200">
        <v>0.3</v>
      </c>
      <c r="AB234" s="104">
        <v>20</v>
      </c>
      <c r="AC234" s="196">
        <f t="shared" si="13"/>
        <v>6</v>
      </c>
    </row>
    <row r="235" spans="1:29" s="3" customFormat="1" ht="15" customHeight="1">
      <c r="A235" s="86" t="s">
        <v>260</v>
      </c>
      <c r="B235" s="86" t="s">
        <v>1277</v>
      </c>
      <c r="C235" s="86" t="s">
        <v>1387</v>
      </c>
      <c r="D235" s="65" t="s">
        <v>1279</v>
      </c>
      <c r="E235" s="86" t="s">
        <v>1388</v>
      </c>
      <c r="F235" s="86" t="s">
        <v>1389</v>
      </c>
      <c r="G235" s="86" t="s">
        <v>34</v>
      </c>
      <c r="H235" s="53" t="s">
        <v>1390</v>
      </c>
      <c r="I235" s="53" t="e">
        <f>VLOOKUP(H235,合同高级查询数据!$A$2:$A$51,1,FALSE)</f>
        <v>#N/A</v>
      </c>
      <c r="J235" s="51" t="s">
        <v>36</v>
      </c>
      <c r="K235" s="86" t="s">
        <v>1391</v>
      </c>
      <c r="L235" s="175" t="s">
        <v>1392</v>
      </c>
      <c r="M235" s="182" t="s">
        <v>1393</v>
      </c>
      <c r="N235" s="180" t="s">
        <v>1394</v>
      </c>
      <c r="O235" s="86" t="s">
        <v>1395</v>
      </c>
      <c r="P235" s="58">
        <v>9500</v>
      </c>
      <c r="Q235" s="99">
        <v>0</v>
      </c>
      <c r="R235" s="58">
        <f t="shared" si="12"/>
        <v>0</v>
      </c>
      <c r="S235" s="59">
        <v>202306</v>
      </c>
      <c r="T235" s="185" t="s">
        <v>1396</v>
      </c>
      <c r="U235" s="195"/>
      <c r="V235" s="196">
        <v>0</v>
      </c>
      <c r="W235" s="197"/>
      <c r="X235" s="64"/>
      <c r="Y235" s="64"/>
      <c r="Z235" s="196">
        <v>0</v>
      </c>
      <c r="AA235" s="201">
        <v>0</v>
      </c>
      <c r="AB235" s="196">
        <v>0</v>
      </c>
      <c r="AC235" s="196">
        <f t="shared" si="13"/>
        <v>0</v>
      </c>
    </row>
    <row r="236" spans="1:29" s="3" customFormat="1" ht="15" customHeight="1">
      <c r="A236" s="86" t="s">
        <v>260</v>
      </c>
      <c r="B236" s="86" t="s">
        <v>1277</v>
      </c>
      <c r="C236" s="86" t="s">
        <v>1387</v>
      </c>
      <c r="D236" s="65" t="s">
        <v>1279</v>
      </c>
      <c r="E236" s="86" t="s">
        <v>1388</v>
      </c>
      <c r="F236" s="86" t="s">
        <v>1389</v>
      </c>
      <c r="G236" s="86" t="s">
        <v>34</v>
      </c>
      <c r="H236" s="53" t="s">
        <v>1390</v>
      </c>
      <c r="I236" s="53" t="e">
        <f>VLOOKUP(H236,合同高级查询数据!$A$2:$A$51,1,FALSE)</f>
        <v>#N/A</v>
      </c>
      <c r="J236" s="51" t="s">
        <v>36</v>
      </c>
      <c r="K236" s="86" t="s">
        <v>1397</v>
      </c>
      <c r="L236" s="175" t="s">
        <v>1398</v>
      </c>
      <c r="M236" s="54" t="s">
        <v>1399</v>
      </c>
      <c r="N236" s="180" t="s">
        <v>1400</v>
      </c>
      <c r="O236" s="86" t="s">
        <v>1401</v>
      </c>
      <c r="P236" s="58">
        <v>9500</v>
      </c>
      <c r="Q236" s="99">
        <v>60.2</v>
      </c>
      <c r="R236" s="58">
        <f t="shared" si="12"/>
        <v>571900</v>
      </c>
      <c r="S236" s="59">
        <v>202306</v>
      </c>
      <c r="T236" s="185" t="s">
        <v>1402</v>
      </c>
      <c r="U236" s="195"/>
      <c r="V236" s="196">
        <v>60.106033324999999</v>
      </c>
      <c r="W236" s="197"/>
      <c r="X236" s="64"/>
      <c r="Y236" s="64"/>
      <c r="Z236" s="65" t="s">
        <v>1403</v>
      </c>
      <c r="AA236" s="200">
        <v>0.3</v>
      </c>
      <c r="AB236" s="104">
        <v>200</v>
      </c>
      <c r="AC236" s="196">
        <f t="shared" si="13"/>
        <v>60</v>
      </c>
    </row>
    <row r="237" spans="1:29" s="3" customFormat="1" ht="15" customHeight="1">
      <c r="A237" s="86" t="s">
        <v>260</v>
      </c>
      <c r="B237" s="86" t="s">
        <v>1277</v>
      </c>
      <c r="C237" s="86" t="s">
        <v>1387</v>
      </c>
      <c r="D237" s="65" t="s">
        <v>1279</v>
      </c>
      <c r="E237" s="86" t="s">
        <v>1388</v>
      </c>
      <c r="F237" s="86" t="s">
        <v>1389</v>
      </c>
      <c r="G237" s="86" t="s">
        <v>34</v>
      </c>
      <c r="H237" s="53" t="s">
        <v>1390</v>
      </c>
      <c r="I237" s="53" t="e">
        <f>VLOOKUP(H237,合同高级查询数据!$A$2:$A$51,1,FALSE)</f>
        <v>#N/A</v>
      </c>
      <c r="J237" s="51" t="s">
        <v>36</v>
      </c>
      <c r="K237" s="86" t="s">
        <v>1404</v>
      </c>
      <c r="L237" s="175" t="s">
        <v>1405</v>
      </c>
      <c r="M237" s="54" t="s">
        <v>1399</v>
      </c>
      <c r="N237" s="180" t="s">
        <v>1406</v>
      </c>
      <c r="O237" s="86" t="s">
        <v>1407</v>
      </c>
      <c r="P237" s="58">
        <v>9500</v>
      </c>
      <c r="Q237" s="99">
        <v>60</v>
      </c>
      <c r="R237" s="58">
        <f t="shared" si="12"/>
        <v>570000</v>
      </c>
      <c r="S237" s="59">
        <v>202306</v>
      </c>
      <c r="T237" s="185" t="s">
        <v>1408</v>
      </c>
      <c r="U237" s="195"/>
      <c r="V237" s="196">
        <v>59.901859283</v>
      </c>
      <c r="W237" s="197"/>
      <c r="X237" s="64"/>
      <c r="Y237" s="64"/>
      <c r="Z237" s="65" t="s">
        <v>1409</v>
      </c>
      <c r="AA237" s="200">
        <v>0.3</v>
      </c>
      <c r="AB237" s="104">
        <v>200</v>
      </c>
      <c r="AC237" s="196">
        <f t="shared" si="13"/>
        <v>60</v>
      </c>
    </row>
    <row r="238" spans="1:29" s="3" customFormat="1" ht="15" customHeight="1">
      <c r="A238" s="86" t="s">
        <v>260</v>
      </c>
      <c r="B238" s="86" t="s">
        <v>1277</v>
      </c>
      <c r="C238" s="86" t="s">
        <v>1387</v>
      </c>
      <c r="D238" s="65" t="s">
        <v>1279</v>
      </c>
      <c r="E238" s="86" t="s">
        <v>1388</v>
      </c>
      <c r="F238" s="86" t="s">
        <v>1389</v>
      </c>
      <c r="G238" s="86" t="s">
        <v>34</v>
      </c>
      <c r="H238" s="53" t="s">
        <v>1390</v>
      </c>
      <c r="I238" s="53" t="e">
        <f>VLOOKUP(H238,合同高级查询数据!$A$2:$A$51,1,FALSE)</f>
        <v>#N/A</v>
      </c>
      <c r="J238" s="51" t="s">
        <v>36</v>
      </c>
      <c r="K238" s="86" t="s">
        <v>1410</v>
      </c>
      <c r="L238" s="175" t="s">
        <v>1411</v>
      </c>
      <c r="M238" s="182" t="s">
        <v>1393</v>
      </c>
      <c r="N238" s="180" t="s">
        <v>1412</v>
      </c>
      <c r="O238" s="86" t="s">
        <v>1413</v>
      </c>
      <c r="P238" s="58">
        <v>9500</v>
      </c>
      <c r="Q238" s="99">
        <v>62.6</v>
      </c>
      <c r="R238" s="58">
        <f t="shared" si="12"/>
        <v>594700</v>
      </c>
      <c r="S238" s="59">
        <v>202306</v>
      </c>
      <c r="T238" s="185" t="s">
        <v>1414</v>
      </c>
      <c r="U238" s="195"/>
      <c r="V238" s="196">
        <v>62.60414505</v>
      </c>
      <c r="W238" s="197"/>
      <c r="X238" s="64"/>
      <c r="Y238" s="64"/>
      <c r="Z238" s="196" t="s">
        <v>1415</v>
      </c>
      <c r="AA238" s="201">
        <v>0.3</v>
      </c>
      <c r="AB238" s="196">
        <v>200</v>
      </c>
      <c r="AC238" s="196">
        <f t="shared" si="13"/>
        <v>60</v>
      </c>
    </row>
    <row r="239" spans="1:29" s="3" customFormat="1" ht="15" customHeight="1">
      <c r="A239" s="86" t="s">
        <v>260</v>
      </c>
      <c r="B239" s="86" t="s">
        <v>1277</v>
      </c>
      <c r="C239" s="86" t="s">
        <v>1387</v>
      </c>
      <c r="D239" s="65" t="s">
        <v>1279</v>
      </c>
      <c r="E239" s="86" t="s">
        <v>1388</v>
      </c>
      <c r="F239" s="86" t="s">
        <v>1389</v>
      </c>
      <c r="G239" s="86" t="s">
        <v>34</v>
      </c>
      <c r="H239" s="53" t="s">
        <v>1390</v>
      </c>
      <c r="I239" s="53" t="e">
        <f>VLOOKUP(H239,合同高级查询数据!$A$2:$A$51,1,FALSE)</f>
        <v>#N/A</v>
      </c>
      <c r="J239" s="51" t="s">
        <v>36</v>
      </c>
      <c r="K239" s="86" t="s">
        <v>1416</v>
      </c>
      <c r="L239" s="175" t="s">
        <v>1416</v>
      </c>
      <c r="M239" s="182" t="s">
        <v>1417</v>
      </c>
      <c r="N239" s="180" t="s">
        <v>1418</v>
      </c>
      <c r="O239" s="86" t="s">
        <v>890</v>
      </c>
      <c r="P239" s="58">
        <v>9500</v>
      </c>
      <c r="Q239" s="99">
        <v>0</v>
      </c>
      <c r="R239" s="58">
        <f t="shared" si="12"/>
        <v>0</v>
      </c>
      <c r="S239" s="59">
        <v>202306</v>
      </c>
      <c r="T239" s="185" t="s">
        <v>1419</v>
      </c>
      <c r="U239" s="195"/>
      <c r="V239" s="196">
        <v>0</v>
      </c>
      <c r="W239" s="197"/>
      <c r="X239" s="64"/>
      <c r="Y239" s="64"/>
      <c r="Z239" s="196">
        <v>0</v>
      </c>
      <c r="AA239" s="201">
        <v>0</v>
      </c>
      <c r="AB239" s="196">
        <v>0</v>
      </c>
      <c r="AC239" s="196">
        <f t="shared" si="13"/>
        <v>0</v>
      </c>
    </row>
    <row r="240" spans="1:29" s="3" customFormat="1" ht="15" customHeight="1">
      <c r="A240" s="86" t="s">
        <v>260</v>
      </c>
      <c r="B240" s="86" t="s">
        <v>1277</v>
      </c>
      <c r="C240" s="86" t="s">
        <v>1387</v>
      </c>
      <c r="D240" s="65" t="s">
        <v>1279</v>
      </c>
      <c r="E240" s="86" t="s">
        <v>1388</v>
      </c>
      <c r="F240" s="86" t="s">
        <v>1389</v>
      </c>
      <c r="G240" s="86" t="s">
        <v>34</v>
      </c>
      <c r="H240" s="53" t="s">
        <v>1390</v>
      </c>
      <c r="I240" s="53" t="e">
        <f>VLOOKUP(H240,合同高级查询数据!$A$2:$A$51,1,FALSE)</f>
        <v>#N/A</v>
      </c>
      <c r="J240" s="51" t="s">
        <v>36</v>
      </c>
      <c r="K240" s="86" t="s">
        <v>1420</v>
      </c>
      <c r="L240" s="175" t="s">
        <v>1420</v>
      </c>
      <c r="M240" s="182" t="s">
        <v>1421</v>
      </c>
      <c r="N240" s="180" t="s">
        <v>1418</v>
      </c>
      <c r="O240" s="86" t="s">
        <v>1422</v>
      </c>
      <c r="P240" s="58">
        <v>9500</v>
      </c>
      <c r="Q240" s="99">
        <v>0</v>
      </c>
      <c r="R240" s="58">
        <f t="shared" si="12"/>
        <v>0</v>
      </c>
      <c r="S240" s="59">
        <v>202306</v>
      </c>
      <c r="T240" s="185" t="s">
        <v>1423</v>
      </c>
      <c r="U240" s="195"/>
      <c r="V240" s="196">
        <v>0</v>
      </c>
      <c r="W240" s="197"/>
      <c r="X240" s="64"/>
      <c r="Y240" s="64"/>
      <c r="Z240" s="196">
        <v>0</v>
      </c>
      <c r="AA240" s="201">
        <v>0</v>
      </c>
      <c r="AB240" s="196">
        <v>0</v>
      </c>
      <c r="AC240" s="196">
        <f t="shared" si="13"/>
        <v>0</v>
      </c>
    </row>
    <row r="241" spans="1:29" s="3" customFormat="1" ht="15" customHeight="1">
      <c r="A241" s="86" t="s">
        <v>260</v>
      </c>
      <c r="B241" s="86" t="s">
        <v>1277</v>
      </c>
      <c r="C241" s="86" t="s">
        <v>1387</v>
      </c>
      <c r="D241" s="65" t="s">
        <v>1279</v>
      </c>
      <c r="E241" s="86" t="s">
        <v>1388</v>
      </c>
      <c r="F241" s="86" t="s">
        <v>1389</v>
      </c>
      <c r="G241" s="86" t="s">
        <v>34</v>
      </c>
      <c r="H241" s="53" t="s">
        <v>1390</v>
      </c>
      <c r="I241" s="53" t="e">
        <f>VLOOKUP(H241,合同高级查询数据!$A$2:$A$51,1,FALSE)</f>
        <v>#N/A</v>
      </c>
      <c r="J241" s="51" t="s">
        <v>36</v>
      </c>
      <c r="K241" s="86" t="s">
        <v>1424</v>
      </c>
      <c r="L241" s="175" t="s">
        <v>1424</v>
      </c>
      <c r="M241" s="54" t="s">
        <v>1425</v>
      </c>
      <c r="N241" s="180">
        <v>43735</v>
      </c>
      <c r="O241" s="86" t="s">
        <v>470</v>
      </c>
      <c r="P241" s="58">
        <v>9500</v>
      </c>
      <c r="Q241" s="99">
        <v>122.8</v>
      </c>
      <c r="R241" s="58">
        <f t="shared" si="12"/>
        <v>1166600</v>
      </c>
      <c r="S241" s="59">
        <v>202306</v>
      </c>
      <c r="T241" s="185" t="s">
        <v>1426</v>
      </c>
      <c r="U241" s="195"/>
      <c r="V241" s="196">
        <v>122.70917511</v>
      </c>
      <c r="W241" s="197"/>
      <c r="X241" s="64"/>
      <c r="Y241" s="64"/>
      <c r="Z241" s="65" t="s">
        <v>1427</v>
      </c>
      <c r="AA241" s="200">
        <v>0.3</v>
      </c>
      <c r="AB241" s="104">
        <v>400</v>
      </c>
      <c r="AC241" s="196">
        <f t="shared" si="13"/>
        <v>120</v>
      </c>
    </row>
    <row r="242" spans="1:29" s="3" customFormat="1" ht="15" customHeight="1">
      <c r="A242" s="86" t="s">
        <v>260</v>
      </c>
      <c r="B242" s="86" t="s">
        <v>1277</v>
      </c>
      <c r="C242" s="86" t="s">
        <v>1387</v>
      </c>
      <c r="D242" s="65" t="s">
        <v>1279</v>
      </c>
      <c r="E242" s="86" t="s">
        <v>1388</v>
      </c>
      <c r="F242" s="86" t="s">
        <v>1389</v>
      </c>
      <c r="G242" s="86" t="s">
        <v>34</v>
      </c>
      <c r="H242" s="53" t="s">
        <v>1390</v>
      </c>
      <c r="I242" s="53" t="e">
        <f>VLOOKUP(H242,合同高级查询数据!$A$2:$A$51,1,FALSE)</f>
        <v>#N/A</v>
      </c>
      <c r="J242" s="51" t="s">
        <v>36</v>
      </c>
      <c r="K242" s="175" t="s">
        <v>1428</v>
      </c>
      <c r="L242" s="175" t="s">
        <v>1429</v>
      </c>
      <c r="M242" s="54" t="s">
        <v>1430</v>
      </c>
      <c r="N242" s="180" t="s">
        <v>1431</v>
      </c>
      <c r="O242" s="181" t="s">
        <v>1432</v>
      </c>
      <c r="P242" s="58">
        <v>9500</v>
      </c>
      <c r="Q242" s="99">
        <v>6.3</v>
      </c>
      <c r="R242" s="58">
        <f t="shared" si="12"/>
        <v>59850</v>
      </c>
      <c r="S242" s="59">
        <v>202306</v>
      </c>
      <c r="T242" s="186" t="s">
        <v>1433</v>
      </c>
      <c r="U242" s="195"/>
      <c r="V242" s="196">
        <v>6.2990779879999996</v>
      </c>
      <c r="W242" s="103"/>
      <c r="X242" s="198"/>
      <c r="Y242" s="64"/>
      <c r="Z242" s="65" t="s">
        <v>1434</v>
      </c>
      <c r="AA242" s="200">
        <v>0.3</v>
      </c>
      <c r="AB242" s="104">
        <v>20</v>
      </c>
      <c r="AC242" s="196">
        <f t="shared" si="13"/>
        <v>6</v>
      </c>
    </row>
    <row r="243" spans="1:29" s="3" customFormat="1" ht="15" customHeight="1">
      <c r="A243" s="86" t="s">
        <v>260</v>
      </c>
      <c r="B243" s="86" t="s">
        <v>1277</v>
      </c>
      <c r="C243" s="86" t="s">
        <v>1387</v>
      </c>
      <c r="D243" s="65" t="s">
        <v>1279</v>
      </c>
      <c r="E243" s="86" t="s">
        <v>1388</v>
      </c>
      <c r="F243" s="86" t="s">
        <v>1389</v>
      </c>
      <c r="G243" s="86" t="s">
        <v>34</v>
      </c>
      <c r="H243" s="53" t="s">
        <v>1435</v>
      </c>
      <c r="I243" s="53" t="e">
        <f>VLOOKUP(H243,合同高级查询数据!$A$2:$A$51,1,FALSE)</f>
        <v>#N/A</v>
      </c>
      <c r="J243" s="51" t="s">
        <v>36</v>
      </c>
      <c r="K243" s="175" t="s">
        <v>1428</v>
      </c>
      <c r="L243" s="175" t="s">
        <v>1436</v>
      </c>
      <c r="M243" s="54" t="s">
        <v>1437</v>
      </c>
      <c r="N243" s="180" t="s">
        <v>1438</v>
      </c>
      <c r="O243" s="181" t="s">
        <v>1439</v>
      </c>
      <c r="P243" s="58">
        <v>9500</v>
      </c>
      <c r="Q243" s="99">
        <v>0</v>
      </c>
      <c r="R243" s="58">
        <f t="shared" si="12"/>
        <v>0</v>
      </c>
      <c r="S243" s="59">
        <v>202306</v>
      </c>
      <c r="T243" s="186" t="s">
        <v>1440</v>
      </c>
      <c r="U243" s="195"/>
      <c r="V243" s="196"/>
      <c r="W243" s="103"/>
      <c r="X243" s="198"/>
      <c r="Y243" s="64"/>
      <c r="Z243" s="196">
        <v>0</v>
      </c>
      <c r="AA243" s="201">
        <v>0</v>
      </c>
      <c r="AB243" s="196">
        <v>0</v>
      </c>
      <c r="AC243" s="196">
        <f t="shared" si="13"/>
        <v>0</v>
      </c>
    </row>
    <row r="244" spans="1:29" s="3" customFormat="1" ht="15" customHeight="1">
      <c r="A244" s="86" t="s">
        <v>260</v>
      </c>
      <c r="B244" s="86" t="s">
        <v>1277</v>
      </c>
      <c r="C244" s="86" t="s">
        <v>1387</v>
      </c>
      <c r="D244" s="65" t="s">
        <v>1279</v>
      </c>
      <c r="E244" s="86" t="s">
        <v>1388</v>
      </c>
      <c r="F244" s="86" t="s">
        <v>1389</v>
      </c>
      <c r="G244" s="86" t="s">
        <v>34</v>
      </c>
      <c r="H244" s="53" t="s">
        <v>1435</v>
      </c>
      <c r="I244" s="53" t="e">
        <f>VLOOKUP(H244,合同高级查询数据!$A$2:$A$51,1,FALSE)</f>
        <v>#N/A</v>
      </c>
      <c r="J244" s="51" t="s">
        <v>1359</v>
      </c>
      <c r="K244" s="175" t="s">
        <v>1428</v>
      </c>
      <c r="L244" s="175" t="s">
        <v>1441</v>
      </c>
      <c r="M244" s="54" t="s">
        <v>1442</v>
      </c>
      <c r="N244" s="180" t="s">
        <v>1438</v>
      </c>
      <c r="O244" s="181" t="s">
        <v>1439</v>
      </c>
      <c r="P244" s="58">
        <v>9500</v>
      </c>
      <c r="Q244" s="99">
        <v>85.7</v>
      </c>
      <c r="R244" s="58">
        <f t="shared" si="12"/>
        <v>814150</v>
      </c>
      <c r="S244" s="59">
        <v>202306</v>
      </c>
      <c r="T244" s="186" t="s">
        <v>1443</v>
      </c>
      <c r="U244" s="195"/>
      <c r="V244" s="196">
        <v>85.614575095703003</v>
      </c>
      <c r="W244" s="103"/>
      <c r="X244" s="198"/>
      <c r="Y244" s="64"/>
      <c r="Z244" s="196" t="s">
        <v>1444</v>
      </c>
      <c r="AA244" s="201">
        <v>0.3</v>
      </c>
      <c r="AB244" s="196">
        <v>280</v>
      </c>
      <c r="AC244" s="196">
        <f t="shared" ref="AC244:AC264" si="14">AA244*AB244</f>
        <v>84</v>
      </c>
    </row>
    <row r="245" spans="1:29" s="3" customFormat="1" ht="15" customHeight="1">
      <c r="A245" s="86" t="s">
        <v>260</v>
      </c>
      <c r="B245" s="86" t="s">
        <v>1277</v>
      </c>
      <c r="C245" s="86" t="s">
        <v>1445</v>
      </c>
      <c r="D245" s="65" t="s">
        <v>1279</v>
      </c>
      <c r="E245" s="86" t="s">
        <v>1446</v>
      </c>
      <c r="F245" s="86" t="s">
        <v>1447</v>
      </c>
      <c r="G245" s="86" t="s">
        <v>34</v>
      </c>
      <c r="H245" s="53" t="s">
        <v>1448</v>
      </c>
      <c r="I245" s="53" t="e">
        <f>VLOOKUP(H245,合同高级查询数据!$A$2:$A$51,1,FALSE)</f>
        <v>#N/A</v>
      </c>
      <c r="J245" s="51" t="s">
        <v>36</v>
      </c>
      <c r="K245" s="86" t="s">
        <v>1449</v>
      </c>
      <c r="L245" s="86" t="s">
        <v>1449</v>
      </c>
      <c r="M245" s="182"/>
      <c r="N245" s="180" t="s">
        <v>1450</v>
      </c>
      <c r="O245" s="181" t="s">
        <v>1451</v>
      </c>
      <c r="P245" s="58">
        <v>9500</v>
      </c>
      <c r="Q245" s="99">
        <v>0</v>
      </c>
      <c r="R245" s="58">
        <f t="shared" si="12"/>
        <v>0</v>
      </c>
      <c r="S245" s="59">
        <v>202306</v>
      </c>
      <c r="T245" s="185" t="s">
        <v>1452</v>
      </c>
      <c r="U245" s="195"/>
      <c r="V245" s="196">
        <v>0</v>
      </c>
      <c r="W245" s="103"/>
      <c r="X245" s="199"/>
      <c r="Y245" s="199"/>
      <c r="Z245" s="196">
        <v>0</v>
      </c>
      <c r="AA245" s="201">
        <v>0</v>
      </c>
      <c r="AB245" s="196">
        <v>0</v>
      </c>
      <c r="AC245" s="196">
        <f t="shared" si="14"/>
        <v>0</v>
      </c>
    </row>
    <row r="246" spans="1:29" s="3" customFormat="1" ht="15" customHeight="1">
      <c r="A246" s="86" t="s">
        <v>260</v>
      </c>
      <c r="B246" s="86" t="s">
        <v>1277</v>
      </c>
      <c r="C246" s="86" t="s">
        <v>1445</v>
      </c>
      <c r="D246" s="65" t="s">
        <v>1279</v>
      </c>
      <c r="E246" s="86" t="s">
        <v>1446</v>
      </c>
      <c r="F246" s="86" t="s">
        <v>1447</v>
      </c>
      <c r="G246" s="86" t="s">
        <v>34</v>
      </c>
      <c r="H246" s="53" t="s">
        <v>1448</v>
      </c>
      <c r="I246" s="53" t="e">
        <f>VLOOKUP(H246,合同高级查询数据!$A$2:$A$51,1,FALSE)</f>
        <v>#N/A</v>
      </c>
      <c r="J246" s="51" t="s">
        <v>440</v>
      </c>
      <c r="K246" s="86" t="s">
        <v>1453</v>
      </c>
      <c r="L246" s="86" t="s">
        <v>1453</v>
      </c>
      <c r="M246" s="182" t="s">
        <v>1454</v>
      </c>
      <c r="N246" s="180" t="s">
        <v>1455</v>
      </c>
      <c r="O246" s="181" t="s">
        <v>542</v>
      </c>
      <c r="P246" s="58">
        <v>9500</v>
      </c>
      <c r="Q246" s="99">
        <v>1.6</v>
      </c>
      <c r="R246" s="58">
        <f t="shared" si="12"/>
        <v>15200</v>
      </c>
      <c r="S246" s="59">
        <v>202306</v>
      </c>
      <c r="T246" s="185" t="s">
        <v>1456</v>
      </c>
      <c r="U246" s="195"/>
      <c r="V246" s="196">
        <v>1.27</v>
      </c>
      <c r="W246" s="103"/>
      <c r="X246" s="199"/>
      <c r="Y246" s="199"/>
      <c r="Z246" s="65" t="s">
        <v>1457</v>
      </c>
      <c r="AA246" s="200">
        <v>0.3</v>
      </c>
      <c r="AB246" s="104">
        <v>10</v>
      </c>
      <c r="AC246" s="196">
        <f t="shared" si="14"/>
        <v>3</v>
      </c>
    </row>
    <row r="247" spans="1:29" s="3" customFormat="1" ht="15" customHeight="1">
      <c r="A247" s="86" t="s">
        <v>260</v>
      </c>
      <c r="B247" s="86" t="s">
        <v>1277</v>
      </c>
      <c r="C247" s="86" t="s">
        <v>1445</v>
      </c>
      <c r="D247" s="65" t="s">
        <v>1279</v>
      </c>
      <c r="E247" s="86" t="s">
        <v>1446</v>
      </c>
      <c r="F247" s="86" t="s">
        <v>1447</v>
      </c>
      <c r="G247" s="86" t="s">
        <v>34</v>
      </c>
      <c r="H247" s="53" t="s">
        <v>1448</v>
      </c>
      <c r="I247" s="53" t="e">
        <f>VLOOKUP(H247,合同高级查询数据!$A$2:$A$51,1,FALSE)</f>
        <v>#N/A</v>
      </c>
      <c r="J247" s="51" t="s">
        <v>36</v>
      </c>
      <c r="K247" s="86" t="s">
        <v>1445</v>
      </c>
      <c r="L247" s="175" t="s">
        <v>1458</v>
      </c>
      <c r="M247" s="54" t="s">
        <v>1459</v>
      </c>
      <c r="N247" s="55">
        <v>45017</v>
      </c>
      <c r="O247" s="181" t="s">
        <v>222</v>
      </c>
      <c r="P247" s="58">
        <v>9500</v>
      </c>
      <c r="Q247" s="99">
        <v>7.4</v>
      </c>
      <c r="R247" s="58">
        <f t="shared" si="12"/>
        <v>70300</v>
      </c>
      <c r="S247" s="59">
        <v>202306</v>
      </c>
      <c r="T247" s="185" t="s">
        <v>1460</v>
      </c>
      <c r="U247" s="195"/>
      <c r="V247" s="196">
        <v>7.3517737390000004</v>
      </c>
      <c r="W247" s="197"/>
      <c r="X247" s="199"/>
      <c r="Y247" s="199"/>
      <c r="Z247" s="65" t="s">
        <v>1461</v>
      </c>
      <c r="AA247" s="200">
        <v>0.3</v>
      </c>
      <c r="AB247" s="104">
        <v>20</v>
      </c>
      <c r="AC247" s="104">
        <f t="shared" si="14"/>
        <v>6</v>
      </c>
    </row>
    <row r="248" spans="1:29" s="3" customFormat="1" ht="15" customHeight="1">
      <c r="A248" s="86" t="s">
        <v>212</v>
      </c>
      <c r="B248" s="86" t="s">
        <v>1277</v>
      </c>
      <c r="C248" s="86" t="s">
        <v>1278</v>
      </c>
      <c r="D248" s="65" t="s">
        <v>1279</v>
      </c>
      <c r="E248" s="86" t="s">
        <v>1462</v>
      </c>
      <c r="F248" s="86" t="s">
        <v>1463</v>
      </c>
      <c r="G248" s="86" t="s">
        <v>34</v>
      </c>
      <c r="H248" s="53" t="s">
        <v>1464</v>
      </c>
      <c r="I248" s="53" t="e">
        <f>VLOOKUP(H248,合同高级查询数据!$A$2:$A$51,1,FALSE)</f>
        <v>#N/A</v>
      </c>
      <c r="J248" s="51" t="s">
        <v>36</v>
      </c>
      <c r="K248" s="86" t="s">
        <v>1288</v>
      </c>
      <c r="L248" s="175" t="s">
        <v>1465</v>
      </c>
      <c r="M248" s="182" t="s">
        <v>1466</v>
      </c>
      <c r="N248" s="55" t="s">
        <v>1467</v>
      </c>
      <c r="O248" s="55" t="s">
        <v>1468</v>
      </c>
      <c r="P248" s="58">
        <v>6666.67</v>
      </c>
      <c r="Q248" s="99">
        <v>28.9</v>
      </c>
      <c r="R248" s="58">
        <f t="shared" si="12"/>
        <v>192666.76</v>
      </c>
      <c r="S248" s="59">
        <v>202306</v>
      </c>
      <c r="T248" s="185" t="s">
        <v>1469</v>
      </c>
      <c r="U248" s="195"/>
      <c r="V248" s="196">
        <v>28.814923057000001</v>
      </c>
      <c r="W248" s="103"/>
      <c r="X248" s="64"/>
      <c r="Y248" s="64"/>
      <c r="Z248" s="65" t="s">
        <v>1470</v>
      </c>
      <c r="AA248" s="200">
        <v>0.3</v>
      </c>
      <c r="AB248" s="104">
        <v>80</v>
      </c>
      <c r="AC248" s="196">
        <f t="shared" si="14"/>
        <v>24</v>
      </c>
    </row>
    <row r="249" spans="1:29" s="2" customFormat="1" ht="15" customHeight="1">
      <c r="A249" s="7" t="s">
        <v>212</v>
      </c>
      <c r="B249" s="7" t="s">
        <v>1277</v>
      </c>
      <c r="C249" s="7" t="s">
        <v>1387</v>
      </c>
      <c r="D249" s="5" t="s">
        <v>1279</v>
      </c>
      <c r="E249" s="7" t="s">
        <v>1471</v>
      </c>
      <c r="F249" s="7" t="s">
        <v>1472</v>
      </c>
      <c r="G249" s="7" t="s">
        <v>34</v>
      </c>
      <c r="H249" s="11" t="s">
        <v>1473</v>
      </c>
      <c r="I249" s="11" t="e">
        <f>VLOOKUP(H249,合同高级查询数据!$A$2:$A$51,1,FALSE)</f>
        <v>#N/A</v>
      </c>
      <c r="J249" s="12" t="s">
        <v>36</v>
      </c>
      <c r="K249" s="7" t="s">
        <v>1428</v>
      </c>
      <c r="L249" s="174" t="s">
        <v>1472</v>
      </c>
      <c r="M249" s="177" t="s">
        <v>1474</v>
      </c>
      <c r="N249" s="21" t="s">
        <v>1475</v>
      </c>
      <c r="O249" s="21" t="s">
        <v>1476</v>
      </c>
      <c r="P249" s="27">
        <v>9000</v>
      </c>
      <c r="Q249" s="140">
        <v>3.8</v>
      </c>
      <c r="R249" s="27">
        <f t="shared" si="12"/>
        <v>34200</v>
      </c>
      <c r="S249" s="28">
        <v>202306</v>
      </c>
      <c r="T249" s="184" t="s">
        <v>1477</v>
      </c>
      <c r="U249" s="37"/>
      <c r="V249" s="178">
        <v>3.7562039610000002</v>
      </c>
      <c r="W249" s="35"/>
      <c r="X249" s="36">
        <v>43831</v>
      </c>
      <c r="Y249" s="36">
        <v>45291</v>
      </c>
      <c r="Z249" s="5" t="s">
        <v>1478</v>
      </c>
      <c r="AA249" s="45">
        <v>0.3</v>
      </c>
      <c r="AB249" s="34">
        <v>10</v>
      </c>
      <c r="AC249" s="178">
        <f t="shared" si="14"/>
        <v>3</v>
      </c>
    </row>
    <row r="250" spans="1:29" s="3" customFormat="1" ht="15" customHeight="1">
      <c r="A250" s="86" t="s">
        <v>212</v>
      </c>
      <c r="B250" s="86" t="s">
        <v>1277</v>
      </c>
      <c r="C250" s="86" t="s">
        <v>1387</v>
      </c>
      <c r="D250" s="65" t="s">
        <v>1279</v>
      </c>
      <c r="E250" s="86" t="s">
        <v>1471</v>
      </c>
      <c r="F250" s="86" t="s">
        <v>1472</v>
      </c>
      <c r="G250" s="86" t="s">
        <v>34</v>
      </c>
      <c r="H250" s="53" t="s">
        <v>1479</v>
      </c>
      <c r="I250" s="53" t="e">
        <f>VLOOKUP(H250,合同高级查询数据!$A$2:$A$51,1,FALSE)</f>
        <v>#N/A</v>
      </c>
      <c r="J250" s="51" t="s">
        <v>36</v>
      </c>
      <c r="K250" s="86" t="s">
        <v>1428</v>
      </c>
      <c r="L250" s="175" t="s">
        <v>1480</v>
      </c>
      <c r="M250" s="182" t="s">
        <v>1437</v>
      </c>
      <c r="N250" s="55" t="s">
        <v>1481</v>
      </c>
      <c r="O250" s="86" t="s">
        <v>1482</v>
      </c>
      <c r="P250" s="58">
        <v>9000</v>
      </c>
      <c r="Q250" s="99">
        <v>0</v>
      </c>
      <c r="R250" s="58">
        <f t="shared" si="12"/>
        <v>0</v>
      </c>
      <c r="S250" s="59">
        <v>202306</v>
      </c>
      <c r="T250" s="186" t="s">
        <v>1483</v>
      </c>
      <c r="U250" s="195"/>
      <c r="V250" s="196">
        <v>0</v>
      </c>
      <c r="W250" s="197"/>
      <c r="X250" s="64"/>
      <c r="Y250" s="64"/>
      <c r="Z250" s="196">
        <v>0</v>
      </c>
      <c r="AA250" s="201">
        <v>0</v>
      </c>
      <c r="AB250" s="196">
        <v>0</v>
      </c>
      <c r="AC250" s="196">
        <f t="shared" si="14"/>
        <v>0</v>
      </c>
    </row>
    <row r="251" spans="1:29" s="3" customFormat="1" ht="15" customHeight="1">
      <c r="A251" s="86" t="s">
        <v>212</v>
      </c>
      <c r="B251" s="86" t="s">
        <v>1277</v>
      </c>
      <c r="C251" s="86" t="s">
        <v>1387</v>
      </c>
      <c r="D251" s="65" t="s">
        <v>1279</v>
      </c>
      <c r="E251" s="86" t="s">
        <v>1471</v>
      </c>
      <c r="F251" s="86" t="s">
        <v>1472</v>
      </c>
      <c r="G251" s="86" t="s">
        <v>34</v>
      </c>
      <c r="H251" s="53" t="s">
        <v>1479</v>
      </c>
      <c r="I251" s="53" t="e">
        <f>VLOOKUP(H251,合同高级查询数据!$A$2:$A$51,1,FALSE)</f>
        <v>#N/A</v>
      </c>
      <c r="J251" s="51" t="s">
        <v>1359</v>
      </c>
      <c r="K251" s="86" t="s">
        <v>1428</v>
      </c>
      <c r="L251" s="175" t="s">
        <v>1484</v>
      </c>
      <c r="M251" s="182" t="s">
        <v>1442</v>
      </c>
      <c r="N251" s="55" t="s">
        <v>1481</v>
      </c>
      <c r="O251" s="86" t="s">
        <v>1482</v>
      </c>
      <c r="P251" s="58">
        <v>9000</v>
      </c>
      <c r="Q251" s="99">
        <v>54.8</v>
      </c>
      <c r="R251" s="58">
        <f t="shared" si="12"/>
        <v>493200</v>
      </c>
      <c r="S251" s="59">
        <v>202306</v>
      </c>
      <c r="T251" s="186" t="s">
        <v>1485</v>
      </c>
      <c r="U251" s="195"/>
      <c r="V251" s="196">
        <v>54.761634735999998</v>
      </c>
      <c r="W251" s="197"/>
      <c r="X251" s="64"/>
      <c r="Y251" s="64"/>
      <c r="Z251" s="196" t="s">
        <v>1486</v>
      </c>
      <c r="AA251" s="201">
        <v>0.3</v>
      </c>
      <c r="AB251" s="196">
        <v>180</v>
      </c>
      <c r="AC251" s="196">
        <f t="shared" si="14"/>
        <v>54</v>
      </c>
    </row>
    <row r="252" spans="1:29" s="3" customFormat="1" ht="15" customHeight="1">
      <c r="A252" s="86" t="s">
        <v>212</v>
      </c>
      <c r="B252" s="86" t="s">
        <v>1277</v>
      </c>
      <c r="C252" s="86" t="s">
        <v>1387</v>
      </c>
      <c r="D252" s="65" t="s">
        <v>1279</v>
      </c>
      <c r="E252" s="86" t="s">
        <v>1471</v>
      </c>
      <c r="F252" s="86" t="s">
        <v>1472</v>
      </c>
      <c r="G252" s="86" t="s">
        <v>34</v>
      </c>
      <c r="H252" s="53" t="s">
        <v>1487</v>
      </c>
      <c r="I252" s="53" t="e">
        <f>VLOOKUP(H252,合同高级查询数据!$A$2:$A$51,1,FALSE)</f>
        <v>#N/A</v>
      </c>
      <c r="J252" s="51" t="s">
        <v>75</v>
      </c>
      <c r="K252" s="86" t="s">
        <v>1428</v>
      </c>
      <c r="L252" s="175" t="s">
        <v>1488</v>
      </c>
      <c r="M252" s="182" t="s">
        <v>1442</v>
      </c>
      <c r="N252" s="55">
        <v>45080</v>
      </c>
      <c r="O252" s="86" t="s">
        <v>1489</v>
      </c>
      <c r="P252" s="58">
        <v>22900</v>
      </c>
      <c r="Q252" s="58">
        <v>1</v>
      </c>
      <c r="R252" s="58">
        <f>ROUND(P252*Q252*28/30,2)</f>
        <v>21373.33</v>
      </c>
      <c r="S252" s="59">
        <v>202306</v>
      </c>
      <c r="T252" s="185" t="s">
        <v>1490</v>
      </c>
      <c r="U252" s="195"/>
      <c r="V252" s="196">
        <v>0</v>
      </c>
      <c r="W252" s="197"/>
      <c r="X252" s="64"/>
      <c r="Y252" s="64"/>
      <c r="Z252" s="65" t="s">
        <v>1491</v>
      </c>
      <c r="AA252" s="200">
        <v>1</v>
      </c>
      <c r="AB252" s="104">
        <v>0.1</v>
      </c>
      <c r="AC252" s="104">
        <f t="shared" si="14"/>
        <v>0.1</v>
      </c>
    </row>
    <row r="253" spans="1:29" s="3" customFormat="1" ht="15" customHeight="1">
      <c r="A253" s="86" t="s">
        <v>212</v>
      </c>
      <c r="B253" s="86" t="s">
        <v>1277</v>
      </c>
      <c r="C253" s="86" t="s">
        <v>1445</v>
      </c>
      <c r="D253" s="65" t="s">
        <v>1279</v>
      </c>
      <c r="E253" s="86" t="s">
        <v>1492</v>
      </c>
      <c r="F253" s="86" t="s">
        <v>1493</v>
      </c>
      <c r="G253" s="86" t="s">
        <v>34</v>
      </c>
      <c r="H253" s="53" t="s">
        <v>1494</v>
      </c>
      <c r="I253" s="53" t="e">
        <f>VLOOKUP(H253,合同高级查询数据!$A$2:$A$51,1,FALSE)</f>
        <v>#N/A</v>
      </c>
      <c r="J253" s="51" t="s">
        <v>36</v>
      </c>
      <c r="K253" s="175" t="s">
        <v>1445</v>
      </c>
      <c r="L253" s="175" t="s">
        <v>1495</v>
      </c>
      <c r="M253" s="54" t="s">
        <v>1496</v>
      </c>
      <c r="N253" s="55" t="s">
        <v>1497</v>
      </c>
      <c r="O253" s="55" t="s">
        <v>1498</v>
      </c>
      <c r="P253" s="58">
        <v>7916.67</v>
      </c>
      <c r="Q253" s="99">
        <v>0</v>
      </c>
      <c r="R253" s="58">
        <f t="shared" ref="R253:R271" si="15">ROUND(P253*Q253,2)</f>
        <v>0</v>
      </c>
      <c r="S253" s="59">
        <v>202306</v>
      </c>
      <c r="T253" s="185" t="s">
        <v>1499</v>
      </c>
      <c r="U253" s="195"/>
      <c r="V253" s="196">
        <v>0</v>
      </c>
      <c r="W253" s="103"/>
      <c r="X253" s="64"/>
      <c r="Y253" s="64"/>
      <c r="Z253" s="196">
        <v>0</v>
      </c>
      <c r="AA253" s="201">
        <v>0</v>
      </c>
      <c r="AB253" s="196">
        <v>0</v>
      </c>
      <c r="AC253" s="196">
        <f t="shared" si="14"/>
        <v>0</v>
      </c>
    </row>
    <row r="254" spans="1:29" s="3" customFormat="1" ht="15" customHeight="1">
      <c r="A254" s="86" t="s">
        <v>212</v>
      </c>
      <c r="B254" s="86" t="s">
        <v>1277</v>
      </c>
      <c r="C254" s="86" t="s">
        <v>1445</v>
      </c>
      <c r="D254" s="65" t="s">
        <v>1279</v>
      </c>
      <c r="E254" s="86" t="s">
        <v>1492</v>
      </c>
      <c r="F254" s="86" t="s">
        <v>1493</v>
      </c>
      <c r="G254" s="86" t="s">
        <v>34</v>
      </c>
      <c r="H254" s="53" t="s">
        <v>1494</v>
      </c>
      <c r="I254" s="53" t="e">
        <f>VLOOKUP(H254,合同高级查询数据!$A$2:$A$51,1,FALSE)</f>
        <v>#N/A</v>
      </c>
      <c r="J254" s="51" t="s">
        <v>36</v>
      </c>
      <c r="K254" s="175" t="s">
        <v>1500</v>
      </c>
      <c r="L254" s="175" t="s">
        <v>1501</v>
      </c>
      <c r="M254" s="54" t="s">
        <v>1496</v>
      </c>
      <c r="N254" s="55" t="s">
        <v>1502</v>
      </c>
      <c r="O254" s="55" t="s">
        <v>1503</v>
      </c>
      <c r="P254" s="58">
        <v>7916.67</v>
      </c>
      <c r="Q254" s="99">
        <v>13.2</v>
      </c>
      <c r="R254" s="58">
        <f t="shared" si="15"/>
        <v>104500.04</v>
      </c>
      <c r="S254" s="59">
        <v>202306</v>
      </c>
      <c r="T254" s="185" t="s">
        <v>1504</v>
      </c>
      <c r="U254" s="195"/>
      <c r="V254" s="196">
        <v>13.198620777</v>
      </c>
      <c r="W254" s="103"/>
      <c r="X254" s="64"/>
      <c r="Y254" s="64"/>
      <c r="Z254" s="65" t="s">
        <v>1505</v>
      </c>
      <c r="AA254" s="200">
        <v>0.3</v>
      </c>
      <c r="AB254" s="104">
        <v>40</v>
      </c>
      <c r="AC254" s="196">
        <f t="shared" si="14"/>
        <v>12</v>
      </c>
    </row>
    <row r="255" spans="1:29" s="3" customFormat="1" ht="15" customHeight="1">
      <c r="A255" s="86" t="s">
        <v>212</v>
      </c>
      <c r="B255" s="86" t="s">
        <v>1277</v>
      </c>
      <c r="C255" s="86" t="s">
        <v>1445</v>
      </c>
      <c r="D255" s="65" t="s">
        <v>1279</v>
      </c>
      <c r="E255" s="86" t="s">
        <v>1492</v>
      </c>
      <c r="F255" s="86" t="s">
        <v>1493</v>
      </c>
      <c r="G255" s="86" t="s">
        <v>34</v>
      </c>
      <c r="H255" s="53" t="s">
        <v>1494</v>
      </c>
      <c r="I255" s="53" t="e">
        <f>VLOOKUP(H255,合同高级查询数据!$A$2:$A$51,1,FALSE)</f>
        <v>#N/A</v>
      </c>
      <c r="J255" s="51" t="s">
        <v>440</v>
      </c>
      <c r="K255" s="86" t="s">
        <v>1506</v>
      </c>
      <c r="L255" s="175" t="s">
        <v>1507</v>
      </c>
      <c r="M255" s="182" t="s">
        <v>1508</v>
      </c>
      <c r="N255" s="55">
        <v>42576</v>
      </c>
      <c r="O255" s="55" t="s">
        <v>542</v>
      </c>
      <c r="P255" s="58">
        <v>7916.67</v>
      </c>
      <c r="Q255" s="99">
        <v>1.8</v>
      </c>
      <c r="R255" s="58">
        <f t="shared" si="15"/>
        <v>14250.01</v>
      </c>
      <c r="S255" s="59">
        <v>202306</v>
      </c>
      <c r="T255" s="185" t="s">
        <v>1509</v>
      </c>
      <c r="U255" s="195"/>
      <c r="V255" s="196">
        <v>0.82</v>
      </c>
      <c r="W255" s="103"/>
      <c r="X255" s="64"/>
      <c r="Y255" s="64"/>
      <c r="Z255" s="65" t="s">
        <v>1510</v>
      </c>
      <c r="AA255" s="200">
        <v>0.3</v>
      </c>
      <c r="AB255" s="104">
        <v>10</v>
      </c>
      <c r="AC255" s="196">
        <f t="shared" si="14"/>
        <v>3</v>
      </c>
    </row>
    <row r="256" spans="1:29" s="2" customFormat="1" ht="15" customHeight="1">
      <c r="A256" s="7" t="s">
        <v>212</v>
      </c>
      <c r="B256" s="7" t="s">
        <v>1277</v>
      </c>
      <c r="C256" s="7" t="s">
        <v>1308</v>
      </c>
      <c r="D256" s="5" t="s">
        <v>1279</v>
      </c>
      <c r="E256" s="7" t="s">
        <v>1511</v>
      </c>
      <c r="F256" s="7" t="s">
        <v>1512</v>
      </c>
      <c r="G256" s="7" t="s">
        <v>34</v>
      </c>
      <c r="H256" s="11" t="s">
        <v>1513</v>
      </c>
      <c r="I256" s="11" t="e">
        <f>VLOOKUP(H256,合同高级查询数据!$A$2:$A$51,1,FALSE)</f>
        <v>#N/A</v>
      </c>
      <c r="J256" s="12" t="s">
        <v>75</v>
      </c>
      <c r="K256" s="7" t="s">
        <v>1514</v>
      </c>
      <c r="L256" s="174" t="s">
        <v>1515</v>
      </c>
      <c r="M256" s="16" t="s">
        <v>1361</v>
      </c>
      <c r="N256" s="21"/>
      <c r="O256" s="21" t="s">
        <v>222</v>
      </c>
      <c r="P256" s="27">
        <v>175000</v>
      </c>
      <c r="Q256" s="140">
        <v>2</v>
      </c>
      <c r="R256" s="27">
        <f t="shared" si="15"/>
        <v>350000</v>
      </c>
      <c r="S256" s="28">
        <v>202306</v>
      </c>
      <c r="T256" s="184" t="s">
        <v>1516</v>
      </c>
      <c r="U256" s="37"/>
      <c r="V256" s="178">
        <v>0.68477906399999999</v>
      </c>
      <c r="W256" s="35"/>
      <c r="X256" s="36">
        <v>44440</v>
      </c>
      <c r="Y256" s="36">
        <v>45169</v>
      </c>
      <c r="Z256" s="5" t="s">
        <v>1517</v>
      </c>
      <c r="AA256" s="45">
        <v>0.1</v>
      </c>
      <c r="AB256" s="34">
        <v>20</v>
      </c>
      <c r="AC256" s="178">
        <f t="shared" si="14"/>
        <v>2</v>
      </c>
    </row>
    <row r="257" spans="1:29" s="2" customFormat="1" ht="15" customHeight="1">
      <c r="A257" s="7" t="s">
        <v>212</v>
      </c>
      <c r="B257" s="7" t="s">
        <v>1277</v>
      </c>
      <c r="C257" s="7" t="s">
        <v>1308</v>
      </c>
      <c r="D257" s="5" t="s">
        <v>1279</v>
      </c>
      <c r="E257" s="7" t="s">
        <v>1511</v>
      </c>
      <c r="F257" s="7" t="s">
        <v>1512</v>
      </c>
      <c r="G257" s="7" t="s">
        <v>34</v>
      </c>
      <c r="H257" s="11" t="s">
        <v>1518</v>
      </c>
      <c r="I257" s="11" t="e">
        <f>VLOOKUP(H257,合同高级查询数据!$A$2:$A$51,1,FALSE)</f>
        <v>#N/A</v>
      </c>
      <c r="J257" s="12" t="s">
        <v>440</v>
      </c>
      <c r="K257" s="7" t="s">
        <v>1519</v>
      </c>
      <c r="L257" s="174" t="s">
        <v>1520</v>
      </c>
      <c r="M257" s="16" t="s">
        <v>1521</v>
      </c>
      <c r="N257" s="21">
        <v>42468</v>
      </c>
      <c r="O257" s="21" t="s">
        <v>542</v>
      </c>
      <c r="P257" s="27">
        <v>10000</v>
      </c>
      <c r="Q257" s="140">
        <v>1.4</v>
      </c>
      <c r="R257" s="27">
        <f t="shared" si="15"/>
        <v>14000</v>
      </c>
      <c r="S257" s="28">
        <v>202306</v>
      </c>
      <c r="T257" s="184" t="s">
        <v>1522</v>
      </c>
      <c r="U257" s="37"/>
      <c r="V257" s="178">
        <v>0.91</v>
      </c>
      <c r="W257" s="35"/>
      <c r="X257" s="36">
        <v>44256</v>
      </c>
      <c r="Y257" s="36">
        <v>45350</v>
      </c>
      <c r="Z257" s="5" t="s">
        <v>1523</v>
      </c>
      <c r="AA257" s="45">
        <v>0.3</v>
      </c>
      <c r="AB257" s="34">
        <v>10</v>
      </c>
      <c r="AC257" s="178">
        <f t="shared" si="14"/>
        <v>3</v>
      </c>
    </row>
    <row r="258" spans="1:29" s="2" customFormat="1" ht="15" customHeight="1">
      <c r="A258" s="7" t="s">
        <v>212</v>
      </c>
      <c r="B258" s="7" t="s">
        <v>1277</v>
      </c>
      <c r="C258" s="7" t="s">
        <v>1308</v>
      </c>
      <c r="D258" s="5" t="s">
        <v>1279</v>
      </c>
      <c r="E258" s="7" t="s">
        <v>1511</v>
      </c>
      <c r="F258" s="7" t="s">
        <v>1524</v>
      </c>
      <c r="G258" s="7" t="s">
        <v>34</v>
      </c>
      <c r="H258" s="11" t="s">
        <v>1518</v>
      </c>
      <c r="I258" s="11" t="e">
        <f>VLOOKUP(H258,合同高级查询数据!$A$2:$A$51,1,FALSE)</f>
        <v>#N/A</v>
      </c>
      <c r="J258" s="12" t="s">
        <v>36</v>
      </c>
      <c r="K258" s="7" t="s">
        <v>1525</v>
      </c>
      <c r="L258" s="174" t="s">
        <v>1526</v>
      </c>
      <c r="M258" s="16" t="s">
        <v>1521</v>
      </c>
      <c r="N258" s="21" t="s">
        <v>1527</v>
      </c>
      <c r="O258" s="21" t="s">
        <v>1528</v>
      </c>
      <c r="P258" s="27">
        <v>10000</v>
      </c>
      <c r="Q258" s="140">
        <f>25.6</f>
        <v>25.6</v>
      </c>
      <c r="R258" s="27">
        <f t="shared" si="15"/>
        <v>256000</v>
      </c>
      <c r="S258" s="28">
        <v>202306</v>
      </c>
      <c r="T258" s="184" t="s">
        <v>1529</v>
      </c>
      <c r="U258" s="37"/>
      <c r="V258" s="178">
        <v>25.550541801000001</v>
      </c>
      <c r="W258" s="35"/>
      <c r="X258" s="36">
        <v>44256</v>
      </c>
      <c r="Y258" s="36">
        <v>45350</v>
      </c>
      <c r="Z258" s="5" t="s">
        <v>1530</v>
      </c>
      <c r="AA258" s="45">
        <v>0.3</v>
      </c>
      <c r="AB258" s="34">
        <v>80</v>
      </c>
      <c r="AC258" s="178">
        <f t="shared" si="14"/>
        <v>24</v>
      </c>
    </row>
    <row r="259" spans="1:29" s="3" customFormat="1" ht="15" customHeight="1">
      <c r="A259" s="86" t="s">
        <v>212</v>
      </c>
      <c r="B259" s="86" t="s">
        <v>1277</v>
      </c>
      <c r="C259" s="86" t="s">
        <v>1308</v>
      </c>
      <c r="D259" s="65" t="s">
        <v>1279</v>
      </c>
      <c r="E259" s="86" t="s">
        <v>1511</v>
      </c>
      <c r="F259" s="86" t="s">
        <v>1524</v>
      </c>
      <c r="G259" s="86" t="s">
        <v>34</v>
      </c>
      <c r="H259" s="53" t="s">
        <v>1531</v>
      </c>
      <c r="I259" s="53" t="e">
        <f>VLOOKUP(H259,合同高级查询数据!$A$2:$A$51,1,FALSE)</f>
        <v>#N/A</v>
      </c>
      <c r="J259" s="51" t="s">
        <v>1359</v>
      </c>
      <c r="K259" s="86" t="s">
        <v>1532</v>
      </c>
      <c r="L259" s="175" t="s">
        <v>1533</v>
      </c>
      <c r="M259" s="54" t="s">
        <v>1534</v>
      </c>
      <c r="N259" s="55"/>
      <c r="O259" s="196">
        <v>0</v>
      </c>
      <c r="P259" s="58">
        <v>24000</v>
      </c>
      <c r="Q259" s="99">
        <v>0</v>
      </c>
      <c r="R259" s="58">
        <f t="shared" si="15"/>
        <v>0</v>
      </c>
      <c r="S259" s="59">
        <v>202306</v>
      </c>
      <c r="T259" s="185" t="s">
        <v>1535</v>
      </c>
      <c r="U259" s="195"/>
      <c r="V259" s="196">
        <v>0</v>
      </c>
      <c r="W259" s="103"/>
      <c r="X259" s="64"/>
      <c r="Y259" s="55"/>
      <c r="Z259" s="196">
        <v>0</v>
      </c>
      <c r="AA259" s="201">
        <v>0</v>
      </c>
      <c r="AB259" s="196">
        <v>0</v>
      </c>
      <c r="AC259" s="196">
        <f t="shared" si="14"/>
        <v>0</v>
      </c>
    </row>
    <row r="260" spans="1:29" s="3" customFormat="1" ht="15" customHeight="1">
      <c r="A260" s="86" t="s">
        <v>212</v>
      </c>
      <c r="B260" s="86" t="s">
        <v>1277</v>
      </c>
      <c r="C260" s="86" t="s">
        <v>1308</v>
      </c>
      <c r="D260" s="65" t="s">
        <v>1279</v>
      </c>
      <c r="E260" s="86" t="s">
        <v>1511</v>
      </c>
      <c r="F260" s="86" t="s">
        <v>1524</v>
      </c>
      <c r="G260" s="86" t="s">
        <v>34</v>
      </c>
      <c r="H260" s="53" t="s">
        <v>1531</v>
      </c>
      <c r="I260" s="53" t="e">
        <f>VLOOKUP(H260,合同高级查询数据!$A$2:$A$51,1,FALSE)</f>
        <v>#N/A</v>
      </c>
      <c r="J260" s="51" t="s">
        <v>1359</v>
      </c>
      <c r="K260" s="86" t="s">
        <v>1536</v>
      </c>
      <c r="L260" s="175" t="s">
        <v>1537</v>
      </c>
      <c r="M260" s="54" t="s">
        <v>1361</v>
      </c>
      <c r="N260" s="55"/>
      <c r="O260" s="87" t="s">
        <v>1538</v>
      </c>
      <c r="P260" s="58">
        <v>24000</v>
      </c>
      <c r="Q260" s="99">
        <v>25.1</v>
      </c>
      <c r="R260" s="58">
        <f t="shared" si="15"/>
        <v>602400</v>
      </c>
      <c r="S260" s="59">
        <v>202306</v>
      </c>
      <c r="T260" s="185" t="s">
        <v>1539</v>
      </c>
      <c r="U260" s="195"/>
      <c r="V260" s="196">
        <v>25.018501551</v>
      </c>
      <c r="W260" s="103"/>
      <c r="X260" s="64"/>
      <c r="Y260" s="55"/>
      <c r="Z260" s="65" t="s">
        <v>1540</v>
      </c>
      <c r="AA260" s="200">
        <v>0.1</v>
      </c>
      <c r="AB260" s="104">
        <v>180</v>
      </c>
      <c r="AC260" s="196">
        <f t="shared" si="14"/>
        <v>18</v>
      </c>
    </row>
    <row r="261" spans="1:29" s="2" customFormat="1" ht="15" customHeight="1">
      <c r="A261" s="5" t="s">
        <v>212</v>
      </c>
      <c r="B261" s="5" t="s">
        <v>1277</v>
      </c>
      <c r="C261" s="7" t="s">
        <v>1308</v>
      </c>
      <c r="D261" s="5" t="s">
        <v>1279</v>
      </c>
      <c r="E261" s="5" t="s">
        <v>1511</v>
      </c>
      <c r="F261" s="5" t="s">
        <v>1524</v>
      </c>
      <c r="G261" s="7" t="s">
        <v>34</v>
      </c>
      <c r="H261" s="11" t="s">
        <v>1518</v>
      </c>
      <c r="I261" s="11" t="e">
        <f>VLOOKUP(H261,合同高级查询数据!$A$2:$A$51,1,FALSE)</f>
        <v>#N/A</v>
      </c>
      <c r="J261" s="12" t="s">
        <v>1359</v>
      </c>
      <c r="K261" s="5"/>
      <c r="L261" s="5" t="s">
        <v>1541</v>
      </c>
      <c r="M261" s="16" t="s">
        <v>1542</v>
      </c>
      <c r="N261" s="36">
        <v>44508</v>
      </c>
      <c r="O261" s="5" t="s">
        <v>277</v>
      </c>
      <c r="P261" s="26">
        <v>10000</v>
      </c>
      <c r="Q261" s="140">
        <v>45.6</v>
      </c>
      <c r="R261" s="27">
        <f t="shared" si="15"/>
        <v>456000</v>
      </c>
      <c r="S261" s="28">
        <v>202306</v>
      </c>
      <c r="T261" s="184" t="s">
        <v>1543</v>
      </c>
      <c r="U261" s="37"/>
      <c r="V261" s="178">
        <v>45.528980306000001</v>
      </c>
      <c r="W261" s="194"/>
      <c r="X261" s="36">
        <v>44256</v>
      </c>
      <c r="Y261" s="36">
        <v>45350</v>
      </c>
      <c r="Z261" s="5" t="s">
        <v>1544</v>
      </c>
      <c r="AA261" s="45">
        <v>0.3</v>
      </c>
      <c r="AB261" s="34">
        <v>100</v>
      </c>
      <c r="AC261" s="178">
        <f t="shared" si="14"/>
        <v>30</v>
      </c>
    </row>
    <row r="262" spans="1:29" s="2" customFormat="1" ht="15" customHeight="1">
      <c r="A262" s="5" t="s">
        <v>212</v>
      </c>
      <c r="B262" s="5" t="s">
        <v>1277</v>
      </c>
      <c r="C262" s="7" t="s">
        <v>1308</v>
      </c>
      <c r="D262" s="5" t="s">
        <v>1279</v>
      </c>
      <c r="E262" s="5" t="s">
        <v>1511</v>
      </c>
      <c r="F262" s="5" t="s">
        <v>1524</v>
      </c>
      <c r="G262" s="5" t="s">
        <v>34</v>
      </c>
      <c r="H262" s="5" t="s">
        <v>1545</v>
      </c>
      <c r="I262" s="11" t="e">
        <f>VLOOKUP(H262,合同高级查询数据!$A$2:$A$51,1,FALSE)</f>
        <v>#N/A</v>
      </c>
      <c r="J262" s="12" t="s">
        <v>36</v>
      </c>
      <c r="K262" s="5" t="s">
        <v>1546</v>
      </c>
      <c r="L262" s="5" t="s">
        <v>1547</v>
      </c>
      <c r="M262" s="5" t="s">
        <v>1548</v>
      </c>
      <c r="N262" s="36" t="s">
        <v>1549</v>
      </c>
      <c r="O262" s="5" t="s">
        <v>1550</v>
      </c>
      <c r="P262" s="26">
        <v>10000</v>
      </c>
      <c r="Q262" s="140">
        <v>0</v>
      </c>
      <c r="R262" s="27">
        <f t="shared" si="15"/>
        <v>0</v>
      </c>
      <c r="S262" s="28">
        <v>202306</v>
      </c>
      <c r="T262" s="184" t="s">
        <v>1551</v>
      </c>
      <c r="U262" s="37"/>
      <c r="V262" s="178">
        <v>0</v>
      </c>
      <c r="W262" s="194"/>
      <c r="X262" s="36">
        <v>44743</v>
      </c>
      <c r="Y262" s="36">
        <v>45107</v>
      </c>
      <c r="Z262" s="178">
        <v>0</v>
      </c>
      <c r="AA262" s="44">
        <v>0</v>
      </c>
      <c r="AB262" s="178">
        <v>0</v>
      </c>
      <c r="AC262" s="178">
        <f t="shared" si="14"/>
        <v>0</v>
      </c>
    </row>
    <row r="263" spans="1:29" s="2" customFormat="1" ht="15" customHeight="1">
      <c r="A263" s="5" t="s">
        <v>212</v>
      </c>
      <c r="B263" s="5" t="s">
        <v>1277</v>
      </c>
      <c r="C263" s="7" t="s">
        <v>1308</v>
      </c>
      <c r="D263" s="5" t="s">
        <v>1279</v>
      </c>
      <c r="E263" s="5" t="s">
        <v>1511</v>
      </c>
      <c r="F263" s="5" t="s">
        <v>1524</v>
      </c>
      <c r="G263" s="5" t="s">
        <v>34</v>
      </c>
      <c r="H263" s="5" t="s">
        <v>1545</v>
      </c>
      <c r="I263" s="11" t="e">
        <f>VLOOKUP(H263,合同高级查询数据!$A$2:$A$51,1,FALSE)</f>
        <v>#N/A</v>
      </c>
      <c r="J263" s="12" t="s">
        <v>36</v>
      </c>
      <c r="K263" s="5" t="s">
        <v>1552</v>
      </c>
      <c r="L263" s="5" t="s">
        <v>1553</v>
      </c>
      <c r="M263" s="5" t="s">
        <v>1554</v>
      </c>
      <c r="N263" s="36" t="s">
        <v>1555</v>
      </c>
      <c r="O263" s="5" t="s">
        <v>969</v>
      </c>
      <c r="P263" s="26">
        <v>10000</v>
      </c>
      <c r="Q263" s="140">
        <v>66.2</v>
      </c>
      <c r="R263" s="27">
        <f t="shared" si="15"/>
        <v>662000</v>
      </c>
      <c r="S263" s="28">
        <v>202306</v>
      </c>
      <c r="T263" s="184" t="s">
        <v>1556</v>
      </c>
      <c r="U263" s="37"/>
      <c r="V263" s="178">
        <v>66.202554473000006</v>
      </c>
      <c r="W263" s="194"/>
      <c r="X263" s="36">
        <v>44743</v>
      </c>
      <c r="Y263" s="36">
        <v>45107</v>
      </c>
      <c r="Z263" s="5" t="s">
        <v>1557</v>
      </c>
      <c r="AA263" s="45">
        <v>0.3</v>
      </c>
      <c r="AB263" s="34">
        <v>200</v>
      </c>
      <c r="AC263" s="178">
        <f t="shared" si="14"/>
        <v>60</v>
      </c>
    </row>
    <row r="264" spans="1:29" s="3" customFormat="1" ht="15" customHeight="1">
      <c r="A264" s="65" t="s">
        <v>212</v>
      </c>
      <c r="B264" s="65" t="s">
        <v>1277</v>
      </c>
      <c r="C264" s="86" t="s">
        <v>1308</v>
      </c>
      <c r="D264" s="65" t="s">
        <v>1279</v>
      </c>
      <c r="E264" s="65" t="s">
        <v>1511</v>
      </c>
      <c r="F264" s="65" t="s">
        <v>1524</v>
      </c>
      <c r="G264" s="65" t="s">
        <v>34</v>
      </c>
      <c r="H264" s="65" t="s">
        <v>1558</v>
      </c>
      <c r="I264" s="53" t="e">
        <f>VLOOKUP(H264,合同高级查询数据!$A$2:$A$51,1,FALSE)</f>
        <v>#N/A</v>
      </c>
      <c r="J264" s="51" t="s">
        <v>36</v>
      </c>
      <c r="K264" s="65" t="s">
        <v>1546</v>
      </c>
      <c r="L264" s="65" t="s">
        <v>1559</v>
      </c>
      <c r="M264" s="65" t="s">
        <v>1560</v>
      </c>
      <c r="N264" s="64">
        <v>44986</v>
      </c>
      <c r="O264" s="65" t="s">
        <v>434</v>
      </c>
      <c r="P264" s="98">
        <v>10000</v>
      </c>
      <c r="Q264" s="99">
        <v>61.74</v>
      </c>
      <c r="R264" s="58">
        <f t="shared" si="15"/>
        <v>617400</v>
      </c>
      <c r="S264" s="59">
        <v>202306</v>
      </c>
      <c r="T264" s="185" t="s">
        <v>1561</v>
      </c>
      <c r="U264" s="195"/>
      <c r="V264" s="196">
        <v>61.744930953999997</v>
      </c>
      <c r="W264" s="197"/>
      <c r="X264" s="64"/>
      <c r="Y264" s="64"/>
      <c r="Z264" s="65" t="s">
        <v>1562</v>
      </c>
      <c r="AA264" s="200">
        <v>0.3</v>
      </c>
      <c r="AB264" s="104">
        <v>200</v>
      </c>
      <c r="AC264" s="104">
        <f t="shared" si="14"/>
        <v>60</v>
      </c>
    </row>
    <row r="265" spans="1:29" s="2" customFormat="1" ht="15" customHeight="1">
      <c r="A265" s="5" t="s">
        <v>212</v>
      </c>
      <c r="B265" s="5" t="s">
        <v>1277</v>
      </c>
      <c r="C265" s="7" t="s">
        <v>1308</v>
      </c>
      <c r="D265" s="5" t="s">
        <v>1279</v>
      </c>
      <c r="E265" s="5" t="s">
        <v>1511</v>
      </c>
      <c r="F265" s="5" t="s">
        <v>1524</v>
      </c>
      <c r="G265" s="7" t="s">
        <v>34</v>
      </c>
      <c r="H265" s="11" t="s">
        <v>1518</v>
      </c>
      <c r="I265" s="11" t="e">
        <f>VLOOKUP(H265,合同高级查询数据!$A$2:$A$51,1,FALSE)</f>
        <v>#N/A</v>
      </c>
      <c r="J265" s="12" t="s">
        <v>1359</v>
      </c>
      <c r="K265" s="5"/>
      <c r="L265" s="5" t="s">
        <v>1541</v>
      </c>
      <c r="M265" s="16" t="s">
        <v>1542</v>
      </c>
      <c r="N265" s="36">
        <v>44508</v>
      </c>
      <c r="O265" s="5" t="s">
        <v>277</v>
      </c>
      <c r="P265" s="26">
        <v>10000</v>
      </c>
      <c r="Q265" s="140">
        <v>0.45</v>
      </c>
      <c r="R265" s="27">
        <f t="shared" si="15"/>
        <v>4500</v>
      </c>
      <c r="S265" s="28">
        <v>202305</v>
      </c>
      <c r="T265" s="184" t="s">
        <v>1563</v>
      </c>
      <c r="U265" s="37"/>
      <c r="V265" s="178"/>
      <c r="W265" s="194"/>
      <c r="X265" s="36"/>
      <c r="Y265" s="36"/>
      <c r="Z265" s="5"/>
      <c r="AA265" s="45"/>
      <c r="AB265" s="34"/>
      <c r="AC265" s="178"/>
    </row>
    <row r="266" spans="1:29" s="2" customFormat="1" ht="15" customHeight="1">
      <c r="A266" s="7" t="s">
        <v>212</v>
      </c>
      <c r="B266" s="7" t="s">
        <v>1277</v>
      </c>
      <c r="C266" s="7" t="s">
        <v>1376</v>
      </c>
      <c r="D266" s="5" t="s">
        <v>1279</v>
      </c>
      <c r="E266" s="7" t="s">
        <v>1564</v>
      </c>
      <c r="F266" s="7" t="s">
        <v>1565</v>
      </c>
      <c r="G266" s="7" t="s">
        <v>34</v>
      </c>
      <c r="H266" s="11" t="s">
        <v>1566</v>
      </c>
      <c r="I266" s="11" t="e">
        <f>VLOOKUP(H266,合同高级查询数据!$A$2:$A$51,1,FALSE)</f>
        <v>#N/A</v>
      </c>
      <c r="J266" s="12" t="s">
        <v>36</v>
      </c>
      <c r="K266" s="7" t="s">
        <v>1567</v>
      </c>
      <c r="L266" s="174" t="s">
        <v>1568</v>
      </c>
      <c r="M266" s="177" t="s">
        <v>1569</v>
      </c>
      <c r="N266" s="36">
        <v>44105</v>
      </c>
      <c r="O266" s="7" t="s">
        <v>222</v>
      </c>
      <c r="P266" s="27">
        <v>9000</v>
      </c>
      <c r="Q266" s="140">
        <v>7.2</v>
      </c>
      <c r="R266" s="27">
        <f t="shared" si="15"/>
        <v>64800</v>
      </c>
      <c r="S266" s="28">
        <v>202306</v>
      </c>
      <c r="T266" s="184" t="s">
        <v>1460</v>
      </c>
      <c r="U266" s="37"/>
      <c r="V266" s="178">
        <v>7.1093958940000004</v>
      </c>
      <c r="W266" s="191"/>
      <c r="X266" s="36">
        <v>44835</v>
      </c>
      <c r="Y266" s="21">
        <v>45199</v>
      </c>
      <c r="Z266" s="5" t="s">
        <v>1570</v>
      </c>
      <c r="AA266" s="45">
        <v>0.3</v>
      </c>
      <c r="AB266" s="34">
        <v>20</v>
      </c>
      <c r="AC266" s="178">
        <f t="shared" ref="AC266:AC271" si="16">AA266*AB266</f>
        <v>6</v>
      </c>
    </row>
    <row r="267" spans="1:29" s="2" customFormat="1" ht="15" customHeight="1">
      <c r="A267" s="7" t="s">
        <v>212</v>
      </c>
      <c r="B267" s="7" t="s">
        <v>1277</v>
      </c>
      <c r="C267" s="5" t="s">
        <v>1387</v>
      </c>
      <c r="D267" s="5" t="s">
        <v>1279</v>
      </c>
      <c r="E267" s="7" t="s">
        <v>1571</v>
      </c>
      <c r="F267" s="7" t="s">
        <v>1572</v>
      </c>
      <c r="G267" s="7" t="s">
        <v>34</v>
      </c>
      <c r="H267" s="11" t="s">
        <v>1573</v>
      </c>
      <c r="I267" s="11" t="e">
        <f>VLOOKUP(H267,合同高级查询数据!$A$2:$A$51,1,FALSE)</f>
        <v>#N/A</v>
      </c>
      <c r="J267" s="12" t="s">
        <v>36</v>
      </c>
      <c r="K267" s="7" t="s">
        <v>1574</v>
      </c>
      <c r="L267" s="174" t="s">
        <v>1575</v>
      </c>
      <c r="M267" s="16" t="s">
        <v>1576</v>
      </c>
      <c r="N267" s="36" t="s">
        <v>1577</v>
      </c>
      <c r="O267" s="7" t="s">
        <v>1498</v>
      </c>
      <c r="P267" s="27">
        <v>7500</v>
      </c>
      <c r="Q267" s="140">
        <v>0</v>
      </c>
      <c r="R267" s="27">
        <f t="shared" si="15"/>
        <v>0</v>
      </c>
      <c r="S267" s="28">
        <v>202306</v>
      </c>
      <c r="T267" s="184" t="s">
        <v>1578</v>
      </c>
      <c r="U267" s="37"/>
      <c r="V267" s="178">
        <v>0</v>
      </c>
      <c r="W267" s="35"/>
      <c r="X267" s="36">
        <v>43831</v>
      </c>
      <c r="Y267" s="36">
        <v>44439</v>
      </c>
      <c r="Z267" s="178">
        <v>0</v>
      </c>
      <c r="AA267" s="44">
        <v>0</v>
      </c>
      <c r="AB267" s="178">
        <v>0</v>
      </c>
      <c r="AC267" s="178">
        <f t="shared" si="16"/>
        <v>0</v>
      </c>
    </row>
    <row r="268" spans="1:29" s="2" customFormat="1" ht="15" customHeight="1">
      <c r="A268" s="7" t="s">
        <v>212</v>
      </c>
      <c r="B268" s="7" t="s">
        <v>1277</v>
      </c>
      <c r="C268" s="7" t="s">
        <v>1278</v>
      </c>
      <c r="D268" s="5" t="s">
        <v>1279</v>
      </c>
      <c r="E268" s="7" t="s">
        <v>1579</v>
      </c>
      <c r="F268" s="7" t="s">
        <v>1580</v>
      </c>
      <c r="G268" s="7" t="s">
        <v>34</v>
      </c>
      <c r="H268" s="11" t="s">
        <v>1581</v>
      </c>
      <c r="I268" s="11" t="str">
        <f>VLOOKUP(H268,合同高级查询数据!$A$2:$A$51,1,FALSE)</f>
        <v>182315IDC00242</v>
      </c>
      <c r="J268" s="12" t="s">
        <v>36</v>
      </c>
      <c r="K268" s="7" t="s">
        <v>1300</v>
      </c>
      <c r="L268" s="174" t="s">
        <v>1582</v>
      </c>
      <c r="M268" s="177" t="s">
        <v>1302</v>
      </c>
      <c r="N268" s="36">
        <v>44810</v>
      </c>
      <c r="O268" s="5" t="s">
        <v>250</v>
      </c>
      <c r="P268" s="27">
        <v>7083</v>
      </c>
      <c r="Q268" s="140">
        <v>54</v>
      </c>
      <c r="R268" s="27">
        <f t="shared" si="15"/>
        <v>382482</v>
      </c>
      <c r="S268" s="28">
        <v>202306</v>
      </c>
      <c r="T268" s="184" t="s">
        <v>1583</v>
      </c>
      <c r="U268" s="37"/>
      <c r="V268" s="178">
        <v>53.357172622</v>
      </c>
      <c r="W268" s="194"/>
      <c r="X268" s="192">
        <v>44805</v>
      </c>
      <c r="Y268" s="192">
        <v>45169</v>
      </c>
      <c r="Z268" s="5" t="s">
        <v>1584</v>
      </c>
      <c r="AA268" s="45">
        <v>0.3</v>
      </c>
      <c r="AB268" s="34">
        <v>180</v>
      </c>
      <c r="AC268" s="178">
        <f t="shared" si="16"/>
        <v>54</v>
      </c>
    </row>
    <row r="269" spans="1:29" s="2" customFormat="1" ht="15" customHeight="1">
      <c r="A269" s="7" t="s">
        <v>267</v>
      </c>
      <c r="B269" s="7" t="s">
        <v>1277</v>
      </c>
      <c r="C269" s="7" t="s">
        <v>1308</v>
      </c>
      <c r="D269" s="5" t="s">
        <v>1279</v>
      </c>
      <c r="E269" s="7" t="s">
        <v>1585</v>
      </c>
      <c r="F269" s="7" t="s">
        <v>1586</v>
      </c>
      <c r="G269" s="7" t="s">
        <v>34</v>
      </c>
      <c r="H269" s="11" t="s">
        <v>1587</v>
      </c>
      <c r="I269" s="11" t="str">
        <f>VLOOKUP(H269,合同高级查询数据!$A$2:$A$51,1,FALSE)</f>
        <v>182315IDC00203</v>
      </c>
      <c r="J269" s="12" t="s">
        <v>36</v>
      </c>
      <c r="K269" s="7" t="s">
        <v>1519</v>
      </c>
      <c r="L269" s="174" t="s">
        <v>1588</v>
      </c>
      <c r="M269" s="177" t="s">
        <v>1589</v>
      </c>
      <c r="N269" s="36" t="s">
        <v>1590</v>
      </c>
      <c r="O269" s="5" t="s">
        <v>1591</v>
      </c>
      <c r="P269" s="27">
        <v>11000</v>
      </c>
      <c r="Q269" s="140">
        <v>8.17</v>
      </c>
      <c r="R269" s="27">
        <f t="shared" si="15"/>
        <v>89870</v>
      </c>
      <c r="S269" s="28">
        <v>202306</v>
      </c>
      <c r="T269" s="184" t="s">
        <v>1592</v>
      </c>
      <c r="U269" s="37"/>
      <c r="V269" s="178">
        <v>8.1741207310000004</v>
      </c>
      <c r="W269" s="35"/>
      <c r="X269" s="192">
        <v>44927</v>
      </c>
      <c r="Y269" s="192">
        <v>45107</v>
      </c>
      <c r="Z269" s="213" t="s">
        <v>1593</v>
      </c>
      <c r="AA269" s="45">
        <v>0.4</v>
      </c>
      <c r="AB269" s="34">
        <v>20</v>
      </c>
      <c r="AC269" s="178">
        <f t="shared" si="16"/>
        <v>8</v>
      </c>
    </row>
    <row r="270" spans="1:29" s="2" customFormat="1" ht="15" customHeight="1">
      <c r="A270" s="7" t="s">
        <v>267</v>
      </c>
      <c r="B270" s="7" t="s">
        <v>1277</v>
      </c>
      <c r="C270" s="7" t="s">
        <v>1308</v>
      </c>
      <c r="D270" s="5" t="s">
        <v>1279</v>
      </c>
      <c r="E270" s="7" t="s">
        <v>1585</v>
      </c>
      <c r="F270" s="7" t="s">
        <v>1594</v>
      </c>
      <c r="G270" s="7" t="s">
        <v>34</v>
      </c>
      <c r="H270" s="11" t="s">
        <v>1587</v>
      </c>
      <c r="I270" s="11" t="str">
        <f>VLOOKUP(H270,合同高级查询数据!$A$2:$A$51,1,FALSE)</f>
        <v>182315IDC00203</v>
      </c>
      <c r="J270" s="12" t="s">
        <v>440</v>
      </c>
      <c r="K270" s="7" t="s">
        <v>1519</v>
      </c>
      <c r="L270" s="174" t="s">
        <v>1594</v>
      </c>
      <c r="M270" s="177" t="s">
        <v>1595</v>
      </c>
      <c r="N270" s="206" t="s">
        <v>1596</v>
      </c>
      <c r="O270" s="5" t="s">
        <v>1597</v>
      </c>
      <c r="P270" s="27">
        <v>11000</v>
      </c>
      <c r="Q270" s="140">
        <v>3.83</v>
      </c>
      <c r="R270" s="27">
        <f t="shared" si="15"/>
        <v>42130</v>
      </c>
      <c r="S270" s="28">
        <v>202306</v>
      </c>
      <c r="T270" s="184" t="s">
        <v>1598</v>
      </c>
      <c r="U270" s="37"/>
      <c r="V270" s="178">
        <v>1.231176448</v>
      </c>
      <c r="W270" s="35"/>
      <c r="X270" s="192">
        <v>44927</v>
      </c>
      <c r="Y270" s="192">
        <v>45107</v>
      </c>
      <c r="Z270" s="213" t="s">
        <v>1599</v>
      </c>
      <c r="AA270" s="45">
        <v>0.4</v>
      </c>
      <c r="AB270" s="34">
        <v>10</v>
      </c>
      <c r="AC270" s="178">
        <f t="shared" si="16"/>
        <v>4</v>
      </c>
    </row>
    <row r="271" spans="1:29" s="2" customFormat="1" ht="15" customHeight="1">
      <c r="A271" s="7" t="s">
        <v>267</v>
      </c>
      <c r="B271" s="7" t="s">
        <v>1277</v>
      </c>
      <c r="C271" s="7" t="s">
        <v>1308</v>
      </c>
      <c r="D271" s="5" t="s">
        <v>1279</v>
      </c>
      <c r="E271" s="7" t="s">
        <v>1585</v>
      </c>
      <c r="F271" s="7" t="s">
        <v>1586</v>
      </c>
      <c r="G271" s="7" t="s">
        <v>34</v>
      </c>
      <c r="H271" s="11" t="s">
        <v>1600</v>
      </c>
      <c r="I271" s="11" t="e">
        <f>VLOOKUP(H271,合同高级查询数据!$A$2:$A$51,1,FALSE)</f>
        <v>#N/A</v>
      </c>
      <c r="J271" s="12" t="s">
        <v>1359</v>
      </c>
      <c r="K271" s="7" t="s">
        <v>1601</v>
      </c>
      <c r="L271" s="174" t="s">
        <v>1602</v>
      </c>
      <c r="M271" s="177" t="s">
        <v>1603</v>
      </c>
      <c r="N271" s="36" t="s">
        <v>1604</v>
      </c>
      <c r="O271" s="5" t="s">
        <v>477</v>
      </c>
      <c r="P271" s="27">
        <v>20000</v>
      </c>
      <c r="Q271" s="140">
        <v>0</v>
      </c>
      <c r="R271" s="27">
        <f t="shared" si="15"/>
        <v>0</v>
      </c>
      <c r="S271" s="28">
        <v>202306</v>
      </c>
      <c r="T271" s="184" t="s">
        <v>1605</v>
      </c>
      <c r="U271" s="37"/>
      <c r="V271" s="178">
        <v>0</v>
      </c>
      <c r="W271" s="35"/>
      <c r="X271" s="36">
        <v>43190</v>
      </c>
      <c r="Y271" s="21">
        <v>45382</v>
      </c>
      <c r="Z271" s="5" t="s">
        <v>1606</v>
      </c>
      <c r="AA271" s="45">
        <v>0</v>
      </c>
      <c r="AB271" s="34">
        <v>400</v>
      </c>
      <c r="AC271" s="178">
        <f t="shared" si="16"/>
        <v>0</v>
      </c>
    </row>
    <row r="272" spans="1:29" s="2" customFormat="1" ht="15" customHeight="1">
      <c r="A272" s="7" t="s">
        <v>267</v>
      </c>
      <c r="B272" s="7" t="s">
        <v>1277</v>
      </c>
      <c r="C272" s="7" t="s">
        <v>1308</v>
      </c>
      <c r="D272" s="5" t="s">
        <v>1279</v>
      </c>
      <c r="E272" s="7" t="s">
        <v>1585</v>
      </c>
      <c r="F272" s="7" t="s">
        <v>1586</v>
      </c>
      <c r="G272" s="7" t="s">
        <v>34</v>
      </c>
      <c r="H272" s="11" t="s">
        <v>1600</v>
      </c>
      <c r="I272" s="11" t="e">
        <f>VLOOKUP(H272,合同高级查询数据!$A$2:$A$51,1,FALSE)</f>
        <v>#N/A</v>
      </c>
      <c r="J272" s="12" t="s">
        <v>1359</v>
      </c>
      <c r="K272" s="7" t="s">
        <v>1519</v>
      </c>
      <c r="L272" s="174" t="s">
        <v>1586</v>
      </c>
      <c r="M272" s="16" t="s">
        <v>1607</v>
      </c>
      <c r="N272" s="36">
        <v>42248</v>
      </c>
      <c r="O272" s="5" t="s">
        <v>735</v>
      </c>
      <c r="P272" s="27">
        <v>20000</v>
      </c>
      <c r="Q272" s="140">
        <v>94</v>
      </c>
      <c r="R272" s="27">
        <f>ROUND(P272*(Q272-4),2)</f>
        <v>1800000</v>
      </c>
      <c r="S272" s="28">
        <v>202306</v>
      </c>
      <c r="T272" s="184" t="s">
        <v>1608</v>
      </c>
      <c r="U272" s="37"/>
      <c r="V272" s="178">
        <v>93.840779767000001</v>
      </c>
      <c r="W272" s="35"/>
      <c r="X272" s="36">
        <v>43190</v>
      </c>
      <c r="Y272" s="21">
        <v>45382</v>
      </c>
      <c r="Z272" s="5" t="s">
        <v>1607</v>
      </c>
      <c r="AA272" s="45" t="s">
        <v>1609</v>
      </c>
      <c r="AB272" s="34">
        <v>220</v>
      </c>
      <c r="AC272" s="34">
        <v>80</v>
      </c>
    </row>
    <row r="273" spans="1:29" s="2" customFormat="1" ht="15" customHeight="1">
      <c r="A273" s="7" t="s">
        <v>267</v>
      </c>
      <c r="B273" s="7" t="s">
        <v>1277</v>
      </c>
      <c r="C273" s="7" t="s">
        <v>1308</v>
      </c>
      <c r="D273" s="5" t="s">
        <v>1279</v>
      </c>
      <c r="E273" s="7" t="s">
        <v>1585</v>
      </c>
      <c r="F273" s="7" t="s">
        <v>1586</v>
      </c>
      <c r="G273" s="7" t="s">
        <v>34</v>
      </c>
      <c r="H273" s="11" t="s">
        <v>1587</v>
      </c>
      <c r="I273" s="11" t="str">
        <f>VLOOKUP(H273,合同高级查询数据!$A$2:$A$51,1,FALSE)</f>
        <v>182315IDC00203</v>
      </c>
      <c r="J273" s="12" t="s">
        <v>75</v>
      </c>
      <c r="K273" s="7" t="s">
        <v>1610</v>
      </c>
      <c r="L273" s="174" t="s">
        <v>1611</v>
      </c>
      <c r="M273" s="177" t="s">
        <v>1361</v>
      </c>
      <c r="N273" s="36" t="s">
        <v>1612</v>
      </c>
      <c r="O273" s="5" t="s">
        <v>1613</v>
      </c>
      <c r="P273" s="27">
        <v>150000</v>
      </c>
      <c r="Q273" s="140">
        <v>4</v>
      </c>
      <c r="R273" s="27">
        <f t="shared" ref="R273:R275" si="17">ROUND(P273*Q273,2)</f>
        <v>600000</v>
      </c>
      <c r="S273" s="28">
        <v>202306</v>
      </c>
      <c r="T273" s="184" t="s">
        <v>1614</v>
      </c>
      <c r="U273" s="37"/>
      <c r="V273" s="178">
        <v>3.7350634569999999</v>
      </c>
      <c r="W273" s="35"/>
      <c r="X273" s="192">
        <v>44927</v>
      </c>
      <c r="Y273" s="192">
        <v>45107</v>
      </c>
      <c r="Z273" s="5" t="s">
        <v>1615</v>
      </c>
      <c r="AA273" s="45">
        <v>0.2</v>
      </c>
      <c r="AB273" s="34">
        <v>20</v>
      </c>
      <c r="AC273" s="34">
        <f>AA273*AB273</f>
        <v>4</v>
      </c>
    </row>
    <row r="274" spans="1:29" s="2" customFormat="1" ht="15" customHeight="1">
      <c r="A274" s="7" t="s">
        <v>267</v>
      </c>
      <c r="B274" s="7" t="s">
        <v>1277</v>
      </c>
      <c r="C274" s="7" t="s">
        <v>1308</v>
      </c>
      <c r="D274" s="5" t="s">
        <v>1279</v>
      </c>
      <c r="E274" s="7" t="s">
        <v>1585</v>
      </c>
      <c r="F274" s="7" t="s">
        <v>1586</v>
      </c>
      <c r="G274" s="12" t="s">
        <v>34</v>
      </c>
      <c r="H274" s="11" t="s">
        <v>1587</v>
      </c>
      <c r="I274" s="11" t="str">
        <f>VLOOKUP(H274,合同高级查询数据!$A$2:$A$51,1,FALSE)</f>
        <v>182315IDC00203</v>
      </c>
      <c r="J274" s="12" t="s">
        <v>1359</v>
      </c>
      <c r="K274" s="5" t="s">
        <v>1519</v>
      </c>
      <c r="L274" s="174" t="s">
        <v>1616</v>
      </c>
      <c r="M274" s="177" t="s">
        <v>1603</v>
      </c>
      <c r="N274" s="36">
        <v>44959</v>
      </c>
      <c r="O274" s="5" t="s">
        <v>277</v>
      </c>
      <c r="P274" s="27">
        <v>11000</v>
      </c>
      <c r="Q274" s="140">
        <v>48.65</v>
      </c>
      <c r="R274" s="27">
        <f t="shared" si="17"/>
        <v>535150</v>
      </c>
      <c r="S274" s="28">
        <v>202306</v>
      </c>
      <c r="T274" s="184" t="s">
        <v>1617</v>
      </c>
      <c r="U274" s="37"/>
      <c r="V274" s="178">
        <v>48.652752427000003</v>
      </c>
      <c r="W274" s="194"/>
      <c r="X274" s="192">
        <v>44927</v>
      </c>
      <c r="Y274" s="192">
        <v>45107</v>
      </c>
      <c r="Z274" s="5" t="s">
        <v>1618</v>
      </c>
      <c r="AA274" s="45">
        <v>0.4</v>
      </c>
      <c r="AB274" s="34">
        <v>100</v>
      </c>
      <c r="AC274" s="34">
        <f>AA274*AB274</f>
        <v>40</v>
      </c>
    </row>
    <row r="275" spans="1:29" s="2" customFormat="1" ht="15" customHeight="1">
      <c r="A275" s="7" t="s">
        <v>267</v>
      </c>
      <c r="B275" s="7" t="s">
        <v>1277</v>
      </c>
      <c r="C275" s="7" t="s">
        <v>1308</v>
      </c>
      <c r="D275" s="5" t="s">
        <v>1279</v>
      </c>
      <c r="E275" s="7" t="s">
        <v>1585</v>
      </c>
      <c r="F275" s="7" t="s">
        <v>1586</v>
      </c>
      <c r="G275" s="12" t="s">
        <v>34</v>
      </c>
      <c r="H275" s="11" t="s">
        <v>1587</v>
      </c>
      <c r="I275" s="11" t="str">
        <f>VLOOKUP(H275,合同高级查询数据!$A$2:$A$51,1,FALSE)</f>
        <v>182315IDC00203</v>
      </c>
      <c r="J275" s="12" t="s">
        <v>1359</v>
      </c>
      <c r="K275" s="5" t="s">
        <v>1519</v>
      </c>
      <c r="L275" s="174" t="s">
        <v>1616</v>
      </c>
      <c r="M275" s="177" t="s">
        <v>1603</v>
      </c>
      <c r="N275" s="36">
        <v>44959</v>
      </c>
      <c r="O275" s="5" t="s">
        <v>277</v>
      </c>
      <c r="P275" s="27">
        <v>11000</v>
      </c>
      <c r="Q275" s="140">
        <v>0.63</v>
      </c>
      <c r="R275" s="27">
        <f t="shared" si="17"/>
        <v>6930</v>
      </c>
      <c r="S275" s="28">
        <v>202305</v>
      </c>
      <c r="T275" s="184" t="s">
        <v>1619</v>
      </c>
      <c r="U275" s="37"/>
      <c r="V275" s="178"/>
      <c r="W275" s="194"/>
      <c r="X275" s="36"/>
      <c r="Y275" s="36"/>
      <c r="Z275" s="5"/>
      <c r="AA275" s="45"/>
      <c r="AB275" s="34"/>
      <c r="AC275" s="34"/>
    </row>
    <row r="276" spans="1:29" s="2" customFormat="1" ht="15" customHeight="1">
      <c r="A276" s="7" t="s">
        <v>267</v>
      </c>
      <c r="B276" s="7" t="s">
        <v>1277</v>
      </c>
      <c r="C276" s="7" t="s">
        <v>1278</v>
      </c>
      <c r="D276" s="5" t="s">
        <v>1279</v>
      </c>
      <c r="E276" s="7" t="s">
        <v>1620</v>
      </c>
      <c r="F276" s="7" t="s">
        <v>1621</v>
      </c>
      <c r="G276" s="7" t="s">
        <v>34</v>
      </c>
      <c r="H276" s="11" t="s">
        <v>1622</v>
      </c>
      <c r="I276" s="11" t="e">
        <f>VLOOKUP(H276,合同高级查询数据!$A$2:$A$51,1,FALSE)</f>
        <v>#N/A</v>
      </c>
      <c r="J276" s="12" t="s">
        <v>36</v>
      </c>
      <c r="K276" s="7" t="s">
        <v>1623</v>
      </c>
      <c r="L276" s="174" t="s">
        <v>1624</v>
      </c>
      <c r="M276" s="16" t="s">
        <v>1625</v>
      </c>
      <c r="N276" s="21" t="s">
        <v>1626</v>
      </c>
      <c r="O276" s="207" t="s">
        <v>1627</v>
      </c>
      <c r="P276" s="27">
        <v>6740</v>
      </c>
      <c r="Q276" s="140">
        <v>210.77</v>
      </c>
      <c r="R276" s="27">
        <f t="shared" ref="R276:R339" si="18">ROUND(P276*Q276,2)</f>
        <v>1420589.8</v>
      </c>
      <c r="S276" s="28">
        <v>202306</v>
      </c>
      <c r="T276" s="184" t="s">
        <v>1628</v>
      </c>
      <c r="U276" s="37"/>
      <c r="V276" s="178">
        <v>210.768966675</v>
      </c>
      <c r="W276" s="35"/>
      <c r="X276" s="36">
        <v>44927</v>
      </c>
      <c r="Y276" s="36">
        <v>45107</v>
      </c>
      <c r="Z276" s="5" t="s">
        <v>1629</v>
      </c>
      <c r="AA276" s="45">
        <v>0.4</v>
      </c>
      <c r="AB276" s="34">
        <v>480</v>
      </c>
      <c r="AC276" s="178">
        <f>AA276*AB276</f>
        <v>192</v>
      </c>
    </row>
    <row r="277" spans="1:29" s="2" customFormat="1" ht="15" customHeight="1">
      <c r="A277" s="7" t="s">
        <v>267</v>
      </c>
      <c r="B277" s="7" t="s">
        <v>1277</v>
      </c>
      <c r="C277" s="7" t="s">
        <v>1278</v>
      </c>
      <c r="D277" s="5" t="s">
        <v>1279</v>
      </c>
      <c r="E277" s="7" t="s">
        <v>1620</v>
      </c>
      <c r="F277" s="7" t="s">
        <v>1621</v>
      </c>
      <c r="G277" s="7" t="s">
        <v>34</v>
      </c>
      <c r="H277" s="11" t="s">
        <v>1622</v>
      </c>
      <c r="I277" s="11" t="e">
        <f>VLOOKUP(H277,合同高级查询数据!$A$2:$A$51,1,FALSE)</f>
        <v>#N/A</v>
      </c>
      <c r="J277" s="12" t="s">
        <v>36</v>
      </c>
      <c r="K277" s="7" t="s">
        <v>1630</v>
      </c>
      <c r="L277" s="174" t="s">
        <v>1631</v>
      </c>
      <c r="M277" s="16" t="s">
        <v>1625</v>
      </c>
      <c r="N277" s="21" t="s">
        <v>1632</v>
      </c>
      <c r="O277" s="207" t="s">
        <v>1633</v>
      </c>
      <c r="P277" s="27">
        <v>6740</v>
      </c>
      <c r="Q277" s="140">
        <v>0</v>
      </c>
      <c r="R277" s="27">
        <f t="shared" si="18"/>
        <v>0</v>
      </c>
      <c r="S277" s="28">
        <v>202306</v>
      </c>
      <c r="T277" s="184" t="s">
        <v>1634</v>
      </c>
      <c r="U277" s="37"/>
      <c r="V277" s="178">
        <v>0</v>
      </c>
      <c r="W277" s="35"/>
      <c r="X277" s="36">
        <v>44927</v>
      </c>
      <c r="Y277" s="36">
        <v>45107</v>
      </c>
      <c r="Z277" s="178">
        <v>0</v>
      </c>
      <c r="AA277" s="44">
        <v>0</v>
      </c>
      <c r="AB277" s="178">
        <v>0</v>
      </c>
      <c r="AC277" s="178">
        <f>AA277*AB277</f>
        <v>0</v>
      </c>
    </row>
    <row r="278" spans="1:29" s="2" customFormat="1" ht="15" customHeight="1">
      <c r="A278" s="7" t="s">
        <v>267</v>
      </c>
      <c r="B278" s="7" t="s">
        <v>1277</v>
      </c>
      <c r="C278" s="7" t="s">
        <v>1278</v>
      </c>
      <c r="D278" s="5" t="s">
        <v>1279</v>
      </c>
      <c r="E278" s="7" t="s">
        <v>1620</v>
      </c>
      <c r="F278" s="7" t="s">
        <v>1621</v>
      </c>
      <c r="G278" s="7" t="s">
        <v>34</v>
      </c>
      <c r="H278" s="11" t="s">
        <v>1622</v>
      </c>
      <c r="I278" s="11" t="e">
        <f>VLOOKUP(H278,合同高级查询数据!$A$2:$A$51,1,FALSE)</f>
        <v>#N/A</v>
      </c>
      <c r="J278" s="12" t="s">
        <v>36</v>
      </c>
      <c r="K278" s="7" t="s">
        <v>1635</v>
      </c>
      <c r="L278" s="174" t="s">
        <v>1636</v>
      </c>
      <c r="M278" s="16" t="s">
        <v>1637</v>
      </c>
      <c r="N278" s="21" t="s">
        <v>1638</v>
      </c>
      <c r="O278" s="207" t="s">
        <v>1639</v>
      </c>
      <c r="P278" s="27">
        <v>6740</v>
      </c>
      <c r="Q278" s="140">
        <v>16.8</v>
      </c>
      <c r="R278" s="27">
        <f t="shared" si="18"/>
        <v>113232</v>
      </c>
      <c r="S278" s="28">
        <v>202306</v>
      </c>
      <c r="T278" s="184" t="s">
        <v>1640</v>
      </c>
      <c r="U278" s="37"/>
      <c r="V278" s="178">
        <v>16.800331115999999</v>
      </c>
      <c r="W278" s="35"/>
      <c r="X278" s="36">
        <v>44927</v>
      </c>
      <c r="Y278" s="36">
        <v>45107</v>
      </c>
      <c r="Z278" s="213" t="s">
        <v>1641</v>
      </c>
      <c r="AA278" s="45">
        <v>0.4</v>
      </c>
      <c r="AB278" s="34">
        <v>40</v>
      </c>
      <c r="AC278" s="178">
        <f>AA278*AB278</f>
        <v>16</v>
      </c>
    </row>
    <row r="279" spans="1:29" s="2" customFormat="1" ht="15" customHeight="1">
      <c r="A279" s="7" t="s">
        <v>267</v>
      </c>
      <c r="B279" s="7" t="s">
        <v>1277</v>
      </c>
      <c r="C279" s="7" t="s">
        <v>1278</v>
      </c>
      <c r="D279" s="5" t="s">
        <v>1279</v>
      </c>
      <c r="E279" s="7" t="s">
        <v>1620</v>
      </c>
      <c r="F279" s="7" t="s">
        <v>1642</v>
      </c>
      <c r="G279" s="7" t="s">
        <v>34</v>
      </c>
      <c r="H279" s="11" t="s">
        <v>1622</v>
      </c>
      <c r="I279" s="11" t="e">
        <f>VLOOKUP(H279,合同高级查询数据!$A$2:$A$51,1,FALSE)</f>
        <v>#N/A</v>
      </c>
      <c r="J279" s="12" t="s">
        <v>36</v>
      </c>
      <c r="K279" s="7" t="s">
        <v>1293</v>
      </c>
      <c r="L279" s="174" t="s">
        <v>1642</v>
      </c>
      <c r="M279" s="16" t="s">
        <v>1643</v>
      </c>
      <c r="N279" s="176" t="s">
        <v>1644</v>
      </c>
      <c r="O279" s="7" t="s">
        <v>1645</v>
      </c>
      <c r="P279" s="27">
        <v>6740</v>
      </c>
      <c r="Q279" s="140">
        <v>0</v>
      </c>
      <c r="R279" s="27">
        <f t="shared" si="18"/>
        <v>0</v>
      </c>
      <c r="S279" s="28">
        <v>202306</v>
      </c>
      <c r="T279" s="184" t="s">
        <v>1646</v>
      </c>
      <c r="U279" s="37"/>
      <c r="V279" s="178">
        <v>0</v>
      </c>
      <c r="W279" s="35"/>
      <c r="X279" s="36">
        <v>44927</v>
      </c>
      <c r="Y279" s="36">
        <v>45107</v>
      </c>
      <c r="Z279" s="178">
        <v>0</v>
      </c>
      <c r="AA279" s="44">
        <v>0</v>
      </c>
      <c r="AB279" s="178">
        <v>0</v>
      </c>
      <c r="AC279" s="178">
        <f>AA279*AB279</f>
        <v>0</v>
      </c>
    </row>
    <row r="280" spans="1:29" s="2" customFormat="1" ht="15" customHeight="1">
      <c r="A280" s="7" t="s">
        <v>267</v>
      </c>
      <c r="B280" s="7" t="s">
        <v>1277</v>
      </c>
      <c r="C280" s="7" t="s">
        <v>1278</v>
      </c>
      <c r="D280" s="5" t="s">
        <v>1279</v>
      </c>
      <c r="E280" s="7" t="s">
        <v>1620</v>
      </c>
      <c r="F280" s="7" t="s">
        <v>1621</v>
      </c>
      <c r="G280" s="7" t="s">
        <v>34</v>
      </c>
      <c r="H280" s="11" t="s">
        <v>1622</v>
      </c>
      <c r="I280" s="11" t="e">
        <f>VLOOKUP(H280,合同高级查询数据!$A$2:$A$51,1,FALSE)</f>
        <v>#N/A</v>
      </c>
      <c r="J280" s="12" t="s">
        <v>36</v>
      </c>
      <c r="K280" s="7" t="s">
        <v>1300</v>
      </c>
      <c r="L280" s="174" t="s">
        <v>1647</v>
      </c>
      <c r="M280" s="16" t="s">
        <v>1302</v>
      </c>
      <c r="N280" s="176" t="s">
        <v>1303</v>
      </c>
      <c r="O280" s="7" t="s">
        <v>1648</v>
      </c>
      <c r="P280" s="27">
        <v>6740</v>
      </c>
      <c r="Q280" s="140">
        <v>120.34</v>
      </c>
      <c r="R280" s="27">
        <f t="shared" si="18"/>
        <v>811091.6</v>
      </c>
      <c r="S280" s="28">
        <v>202306</v>
      </c>
      <c r="T280" s="184" t="s">
        <v>1649</v>
      </c>
      <c r="U280" s="37"/>
      <c r="V280" s="178">
        <v>120.342681885</v>
      </c>
      <c r="W280" s="194"/>
      <c r="X280" s="36">
        <v>44927</v>
      </c>
      <c r="Y280" s="36">
        <v>45107</v>
      </c>
      <c r="Z280" s="5" t="s">
        <v>1650</v>
      </c>
      <c r="AA280" s="45">
        <v>0.4</v>
      </c>
      <c r="AB280" s="34">
        <v>260</v>
      </c>
      <c r="AC280" s="178">
        <f>AA280*AB280</f>
        <v>104</v>
      </c>
    </row>
    <row r="281" spans="1:29" s="2" customFormat="1" ht="15" customHeight="1">
      <c r="A281" s="7" t="s">
        <v>267</v>
      </c>
      <c r="B281" s="7" t="s">
        <v>1277</v>
      </c>
      <c r="C281" s="7" t="s">
        <v>1278</v>
      </c>
      <c r="D281" s="5" t="s">
        <v>1279</v>
      </c>
      <c r="E281" s="7" t="s">
        <v>1620</v>
      </c>
      <c r="F281" s="7" t="s">
        <v>1621</v>
      </c>
      <c r="G281" s="7" t="s">
        <v>34</v>
      </c>
      <c r="H281" s="11" t="s">
        <v>1622</v>
      </c>
      <c r="I281" s="11" t="e">
        <f>VLOOKUP(H281,合同高级查询数据!$A$2:$A$51,1,FALSE)</f>
        <v>#N/A</v>
      </c>
      <c r="J281" s="12" t="s">
        <v>36</v>
      </c>
      <c r="K281" s="7" t="s">
        <v>1623</v>
      </c>
      <c r="L281" s="174" t="s">
        <v>1624</v>
      </c>
      <c r="M281" s="16" t="s">
        <v>1625</v>
      </c>
      <c r="N281" s="21" t="s">
        <v>1626</v>
      </c>
      <c r="O281" s="207" t="s">
        <v>1627</v>
      </c>
      <c r="P281" s="27">
        <v>6740</v>
      </c>
      <c r="Q281" s="140">
        <v>1.86</v>
      </c>
      <c r="R281" s="27">
        <f t="shared" si="18"/>
        <v>12536.4</v>
      </c>
      <c r="S281" s="28">
        <v>202305</v>
      </c>
      <c r="T281" s="184" t="s">
        <v>1651</v>
      </c>
      <c r="U281" s="37"/>
      <c r="V281" s="178"/>
      <c r="W281" s="35"/>
      <c r="X281" s="36"/>
      <c r="Y281" s="36"/>
      <c r="Z281" s="5"/>
      <c r="AA281" s="45"/>
      <c r="AB281" s="34"/>
      <c r="AC281" s="178"/>
    </row>
    <row r="282" spans="1:29" s="2" customFormat="1" ht="15" customHeight="1">
      <c r="A282" s="7" t="s">
        <v>267</v>
      </c>
      <c r="B282" s="7" t="s">
        <v>1277</v>
      </c>
      <c r="C282" s="7" t="s">
        <v>1445</v>
      </c>
      <c r="D282" s="5" t="s">
        <v>1279</v>
      </c>
      <c r="E282" s="7" t="s">
        <v>1652</v>
      </c>
      <c r="F282" s="7" t="s">
        <v>1653</v>
      </c>
      <c r="G282" s="7" t="s">
        <v>34</v>
      </c>
      <c r="H282" s="11" t="s">
        <v>1654</v>
      </c>
      <c r="I282" s="11" t="e">
        <f>VLOOKUP(H282,合同高级查询数据!$A$2:$A$51,1,FALSE)</f>
        <v>#N/A</v>
      </c>
      <c r="J282" s="12" t="s">
        <v>36</v>
      </c>
      <c r="K282" s="7" t="s">
        <v>1655</v>
      </c>
      <c r="L282" s="174" t="s">
        <v>1656</v>
      </c>
      <c r="M282" s="16" t="s">
        <v>1657</v>
      </c>
      <c r="N282" s="21" t="s">
        <v>1658</v>
      </c>
      <c r="O282" s="207" t="s">
        <v>1659</v>
      </c>
      <c r="P282" s="27">
        <v>6740</v>
      </c>
      <c r="Q282" s="140">
        <v>70.62</v>
      </c>
      <c r="R282" s="27">
        <f t="shared" si="18"/>
        <v>475978.8</v>
      </c>
      <c r="S282" s="28">
        <v>202306</v>
      </c>
      <c r="T282" s="184" t="s">
        <v>1660</v>
      </c>
      <c r="U282" s="37"/>
      <c r="V282" s="178">
        <v>70.624366760000001</v>
      </c>
      <c r="W282" s="35"/>
      <c r="X282" s="36">
        <v>44927</v>
      </c>
      <c r="Y282" s="36">
        <v>45107</v>
      </c>
      <c r="Z282" s="5" t="s">
        <v>1661</v>
      </c>
      <c r="AA282" s="45">
        <v>0.4</v>
      </c>
      <c r="AB282" s="178">
        <v>160</v>
      </c>
      <c r="AC282" s="178">
        <f t="shared" ref="AC282:AC291" si="19">AA282*AB282</f>
        <v>64</v>
      </c>
    </row>
    <row r="283" spans="1:29" s="2" customFormat="1" ht="15" customHeight="1">
      <c r="A283" s="7" t="s">
        <v>267</v>
      </c>
      <c r="B283" s="7" t="s">
        <v>1277</v>
      </c>
      <c r="C283" s="7" t="s">
        <v>1445</v>
      </c>
      <c r="D283" s="5" t="s">
        <v>1279</v>
      </c>
      <c r="E283" s="7" t="s">
        <v>1652</v>
      </c>
      <c r="F283" s="7" t="s">
        <v>1653</v>
      </c>
      <c r="G283" s="7" t="s">
        <v>34</v>
      </c>
      <c r="H283" s="11" t="s">
        <v>1654</v>
      </c>
      <c r="I283" s="11" t="e">
        <f>VLOOKUP(H283,合同高级查询数据!$A$2:$A$51,1,FALSE)</f>
        <v>#N/A</v>
      </c>
      <c r="J283" s="12" t="s">
        <v>36</v>
      </c>
      <c r="K283" s="7" t="s">
        <v>1445</v>
      </c>
      <c r="L283" s="174" t="s">
        <v>1662</v>
      </c>
      <c r="M283" s="16" t="s">
        <v>1663</v>
      </c>
      <c r="N283" s="21">
        <v>44927</v>
      </c>
      <c r="O283" s="207" t="s">
        <v>1664</v>
      </c>
      <c r="P283" s="27">
        <v>6740</v>
      </c>
      <c r="Q283" s="140">
        <v>67.3</v>
      </c>
      <c r="R283" s="27">
        <f t="shared" si="18"/>
        <v>453602</v>
      </c>
      <c r="S283" s="28">
        <v>202306</v>
      </c>
      <c r="T283" s="184"/>
      <c r="U283" s="37"/>
      <c r="V283" s="178">
        <v>67.297271729000002</v>
      </c>
      <c r="W283" s="35"/>
      <c r="X283" s="36">
        <v>44927</v>
      </c>
      <c r="Y283" s="36">
        <v>45107</v>
      </c>
      <c r="Z283" s="5" t="s">
        <v>1663</v>
      </c>
      <c r="AA283" s="45">
        <v>0.4</v>
      </c>
      <c r="AB283" s="34">
        <v>160</v>
      </c>
      <c r="AC283" s="178">
        <f t="shared" si="19"/>
        <v>64</v>
      </c>
    </row>
    <row r="284" spans="1:29" s="2" customFormat="1" ht="15" customHeight="1">
      <c r="A284" s="202" t="s">
        <v>267</v>
      </c>
      <c r="B284" s="202" t="s">
        <v>1277</v>
      </c>
      <c r="C284" s="202" t="s">
        <v>1445</v>
      </c>
      <c r="D284" s="5" t="s">
        <v>1279</v>
      </c>
      <c r="E284" s="202" t="s">
        <v>1652</v>
      </c>
      <c r="F284" s="202" t="s">
        <v>1653</v>
      </c>
      <c r="G284" s="202" t="s">
        <v>34</v>
      </c>
      <c r="H284" s="11" t="s">
        <v>1654</v>
      </c>
      <c r="I284" s="11" t="e">
        <f>VLOOKUP(H284,合同高级查询数据!$A$2:$A$51,1,FALSE)</f>
        <v>#N/A</v>
      </c>
      <c r="J284" s="12" t="s">
        <v>36</v>
      </c>
      <c r="K284" s="202" t="s">
        <v>1445</v>
      </c>
      <c r="L284" s="204" t="s">
        <v>1665</v>
      </c>
      <c r="M284" s="16" t="s">
        <v>1657</v>
      </c>
      <c r="N284" s="21" t="s">
        <v>1666</v>
      </c>
      <c r="O284" s="178" t="s">
        <v>1667</v>
      </c>
      <c r="P284" s="27">
        <v>6740</v>
      </c>
      <c r="Q284" s="140">
        <v>70.959999999999994</v>
      </c>
      <c r="R284" s="27">
        <f t="shared" si="18"/>
        <v>478270.4</v>
      </c>
      <c r="S284" s="28">
        <v>202306</v>
      </c>
      <c r="T284" s="184" t="s">
        <v>1668</v>
      </c>
      <c r="U284" s="37"/>
      <c r="V284" s="178">
        <v>70.964950561999999</v>
      </c>
      <c r="W284" s="35"/>
      <c r="X284" s="36">
        <v>44927</v>
      </c>
      <c r="Y284" s="36">
        <v>45107</v>
      </c>
      <c r="Z284" s="178" t="s">
        <v>1669</v>
      </c>
      <c r="AA284" s="45">
        <v>0.4</v>
      </c>
      <c r="AB284" s="178">
        <v>160</v>
      </c>
      <c r="AC284" s="178">
        <f t="shared" si="19"/>
        <v>64</v>
      </c>
    </row>
    <row r="285" spans="1:29" s="2" customFormat="1" ht="15" customHeight="1">
      <c r="A285" s="202" t="s">
        <v>267</v>
      </c>
      <c r="B285" s="202" t="s">
        <v>1277</v>
      </c>
      <c r="C285" s="202" t="s">
        <v>1445</v>
      </c>
      <c r="D285" s="5" t="s">
        <v>1279</v>
      </c>
      <c r="E285" s="202" t="s">
        <v>1652</v>
      </c>
      <c r="F285" s="202" t="s">
        <v>1653</v>
      </c>
      <c r="G285" s="202" t="s">
        <v>34</v>
      </c>
      <c r="H285" s="11" t="s">
        <v>1654</v>
      </c>
      <c r="I285" s="11" t="e">
        <f>VLOOKUP(H285,合同高级查询数据!$A$2:$A$51,1,FALSE)</f>
        <v>#N/A</v>
      </c>
      <c r="J285" s="12" t="s">
        <v>440</v>
      </c>
      <c r="K285" s="202" t="s">
        <v>1445</v>
      </c>
      <c r="L285" s="204" t="s">
        <v>1670</v>
      </c>
      <c r="M285" s="16" t="s">
        <v>1671</v>
      </c>
      <c r="N285" s="21">
        <v>44044</v>
      </c>
      <c r="O285" s="207" t="s">
        <v>222</v>
      </c>
      <c r="P285" s="27">
        <v>6740</v>
      </c>
      <c r="Q285" s="140">
        <v>0.7</v>
      </c>
      <c r="R285" s="27">
        <f t="shared" si="18"/>
        <v>4718</v>
      </c>
      <c r="S285" s="28">
        <v>202306</v>
      </c>
      <c r="T285" s="184" t="s">
        <v>1672</v>
      </c>
      <c r="U285" s="37"/>
      <c r="V285" s="178">
        <v>0.7</v>
      </c>
      <c r="W285" s="35"/>
      <c r="X285" s="36">
        <v>44927</v>
      </c>
      <c r="Y285" s="36">
        <v>45107</v>
      </c>
      <c r="Z285" s="5" t="s">
        <v>1671</v>
      </c>
      <c r="AA285" s="45">
        <v>0.4</v>
      </c>
      <c r="AB285" s="34">
        <v>20</v>
      </c>
      <c r="AC285" s="34">
        <f t="shared" si="19"/>
        <v>8</v>
      </c>
    </row>
    <row r="286" spans="1:29" s="2" customFormat="1" ht="15" customHeight="1">
      <c r="A286" s="7" t="s">
        <v>267</v>
      </c>
      <c r="B286" s="7" t="s">
        <v>1277</v>
      </c>
      <c r="C286" s="7" t="s">
        <v>1387</v>
      </c>
      <c r="D286" s="5" t="s">
        <v>1279</v>
      </c>
      <c r="E286" s="7" t="s">
        <v>1673</v>
      </c>
      <c r="F286" s="7" t="s">
        <v>1674</v>
      </c>
      <c r="G286" s="7" t="s">
        <v>34</v>
      </c>
      <c r="H286" s="11" t="s">
        <v>1675</v>
      </c>
      <c r="I286" s="11" t="e">
        <f>VLOOKUP(H286,合同高级查询数据!$A$2:$A$51,1,FALSE)</f>
        <v>#N/A</v>
      </c>
      <c r="J286" s="12" t="s">
        <v>36</v>
      </c>
      <c r="K286" s="7" t="s">
        <v>1676</v>
      </c>
      <c r="L286" s="174" t="s">
        <v>1677</v>
      </c>
      <c r="M286" s="16" t="s">
        <v>1678</v>
      </c>
      <c r="N286" s="21" t="s">
        <v>1679</v>
      </c>
      <c r="O286" s="207" t="s">
        <v>1680</v>
      </c>
      <c r="P286" s="27">
        <v>6740</v>
      </c>
      <c r="Q286" s="140">
        <v>60.01</v>
      </c>
      <c r="R286" s="27">
        <f t="shared" si="18"/>
        <v>404467.4</v>
      </c>
      <c r="S286" s="28">
        <v>202306</v>
      </c>
      <c r="T286" s="184" t="s">
        <v>1681</v>
      </c>
      <c r="U286" s="37"/>
      <c r="V286" s="178">
        <v>60.006057738999999</v>
      </c>
      <c r="W286" s="35"/>
      <c r="X286" s="36">
        <v>44927</v>
      </c>
      <c r="Y286" s="192">
        <v>45107</v>
      </c>
      <c r="Z286" s="5" t="s">
        <v>1682</v>
      </c>
      <c r="AA286" s="45">
        <v>0.4</v>
      </c>
      <c r="AB286" s="34">
        <v>140</v>
      </c>
      <c r="AC286" s="178">
        <f t="shared" si="19"/>
        <v>56</v>
      </c>
    </row>
    <row r="287" spans="1:29" s="2" customFormat="1" ht="15" customHeight="1">
      <c r="A287" s="7" t="s">
        <v>267</v>
      </c>
      <c r="B287" s="7" t="s">
        <v>1277</v>
      </c>
      <c r="C287" s="7" t="s">
        <v>1387</v>
      </c>
      <c r="D287" s="5" t="s">
        <v>1279</v>
      </c>
      <c r="E287" s="7" t="s">
        <v>1673</v>
      </c>
      <c r="F287" s="7" t="s">
        <v>1674</v>
      </c>
      <c r="G287" s="7" t="s">
        <v>34</v>
      </c>
      <c r="H287" s="11" t="s">
        <v>1675</v>
      </c>
      <c r="I287" s="11" t="e">
        <f>VLOOKUP(H287,合同高级查询数据!$A$2:$A$51,1,FALSE)</f>
        <v>#N/A</v>
      </c>
      <c r="J287" s="12" t="s">
        <v>36</v>
      </c>
      <c r="K287" s="7" t="s">
        <v>1428</v>
      </c>
      <c r="L287" s="174" t="s">
        <v>1683</v>
      </c>
      <c r="M287" s="16" t="s">
        <v>1678</v>
      </c>
      <c r="N287" s="21">
        <v>44805</v>
      </c>
      <c r="O287" s="207" t="s">
        <v>237</v>
      </c>
      <c r="P287" s="27">
        <v>6740</v>
      </c>
      <c r="Q287" s="140">
        <v>104.1</v>
      </c>
      <c r="R287" s="27">
        <f t="shared" si="18"/>
        <v>701634</v>
      </c>
      <c r="S287" s="28">
        <v>202306</v>
      </c>
      <c r="T287" s="184" t="s">
        <v>1684</v>
      </c>
      <c r="U287" s="37"/>
      <c r="V287" s="178">
        <v>104.102783203</v>
      </c>
      <c r="W287" s="35"/>
      <c r="X287" s="36">
        <v>44927</v>
      </c>
      <c r="Y287" s="192">
        <v>45107</v>
      </c>
      <c r="Z287" s="5" t="s">
        <v>1685</v>
      </c>
      <c r="AA287" s="45">
        <v>0.4</v>
      </c>
      <c r="AB287" s="34">
        <v>240</v>
      </c>
      <c r="AC287" s="178">
        <f t="shared" si="19"/>
        <v>96</v>
      </c>
    </row>
    <row r="288" spans="1:29" s="2" customFormat="1" ht="15" customHeight="1">
      <c r="A288" s="7" t="s">
        <v>267</v>
      </c>
      <c r="B288" s="7" t="s">
        <v>1277</v>
      </c>
      <c r="C288" s="7" t="s">
        <v>1387</v>
      </c>
      <c r="D288" s="5" t="s">
        <v>1279</v>
      </c>
      <c r="E288" s="7" t="s">
        <v>1673</v>
      </c>
      <c r="F288" s="7" t="s">
        <v>1674</v>
      </c>
      <c r="G288" s="7" t="s">
        <v>34</v>
      </c>
      <c r="H288" s="11" t="s">
        <v>1675</v>
      </c>
      <c r="I288" s="11" t="e">
        <f>VLOOKUP(H288,合同高级查询数据!$A$2:$A$51,1,FALSE)</f>
        <v>#N/A</v>
      </c>
      <c r="J288" s="12" t="s">
        <v>36</v>
      </c>
      <c r="K288" s="7" t="s">
        <v>1428</v>
      </c>
      <c r="L288" s="174" t="s">
        <v>1686</v>
      </c>
      <c r="M288" s="16" t="s">
        <v>1687</v>
      </c>
      <c r="N288" s="21">
        <v>44805</v>
      </c>
      <c r="O288" s="207" t="s">
        <v>434</v>
      </c>
      <c r="P288" s="27">
        <v>6740</v>
      </c>
      <c r="Q288" s="140">
        <v>88.63</v>
      </c>
      <c r="R288" s="27">
        <f t="shared" si="18"/>
        <v>597366.19999999995</v>
      </c>
      <c r="S288" s="28">
        <v>202306</v>
      </c>
      <c r="T288" s="184" t="s">
        <v>1688</v>
      </c>
      <c r="U288" s="37"/>
      <c r="V288" s="178">
        <v>88.633789062999995</v>
      </c>
      <c r="W288" s="35"/>
      <c r="X288" s="36">
        <v>44927</v>
      </c>
      <c r="Y288" s="192">
        <v>45107</v>
      </c>
      <c r="Z288" s="5" t="s">
        <v>1689</v>
      </c>
      <c r="AA288" s="45">
        <v>0.4</v>
      </c>
      <c r="AB288" s="34">
        <v>200</v>
      </c>
      <c r="AC288" s="178">
        <f t="shared" si="19"/>
        <v>80</v>
      </c>
    </row>
    <row r="289" spans="1:29" s="2" customFormat="1" ht="15" customHeight="1">
      <c r="A289" s="7" t="s">
        <v>267</v>
      </c>
      <c r="B289" s="7" t="s">
        <v>1277</v>
      </c>
      <c r="C289" s="7" t="s">
        <v>1387</v>
      </c>
      <c r="D289" s="5" t="s">
        <v>1279</v>
      </c>
      <c r="E289" s="7" t="s">
        <v>1673</v>
      </c>
      <c r="F289" s="7" t="s">
        <v>1674</v>
      </c>
      <c r="G289" s="7" t="s">
        <v>34</v>
      </c>
      <c r="H289" s="11" t="s">
        <v>1675</v>
      </c>
      <c r="I289" s="11" t="e">
        <f>VLOOKUP(H289,合同高级查询数据!$A$2:$A$51,1,FALSE)</f>
        <v>#N/A</v>
      </c>
      <c r="J289" s="12" t="s">
        <v>36</v>
      </c>
      <c r="K289" s="7" t="s">
        <v>1428</v>
      </c>
      <c r="L289" s="174" t="s">
        <v>1690</v>
      </c>
      <c r="M289" s="16" t="s">
        <v>1691</v>
      </c>
      <c r="N289" s="21" t="s">
        <v>1692</v>
      </c>
      <c r="O289" s="7" t="s">
        <v>1432</v>
      </c>
      <c r="P289" s="27">
        <v>6740</v>
      </c>
      <c r="Q289" s="140">
        <v>8</v>
      </c>
      <c r="R289" s="27">
        <f t="shared" si="18"/>
        <v>53920</v>
      </c>
      <c r="S289" s="28">
        <v>202306</v>
      </c>
      <c r="T289" s="184" t="s">
        <v>1693</v>
      </c>
      <c r="U289" s="37"/>
      <c r="V289" s="178">
        <v>7.4585657120000004</v>
      </c>
      <c r="W289" s="194"/>
      <c r="X289" s="36">
        <v>44927</v>
      </c>
      <c r="Y289" s="192">
        <v>45107</v>
      </c>
      <c r="Z289" s="5" t="s">
        <v>1694</v>
      </c>
      <c r="AA289" s="45">
        <v>0.4</v>
      </c>
      <c r="AB289" s="34">
        <v>20</v>
      </c>
      <c r="AC289" s="178">
        <f t="shared" si="19"/>
        <v>8</v>
      </c>
    </row>
    <row r="290" spans="1:29" s="3" customFormat="1" ht="15" customHeight="1">
      <c r="A290" s="86" t="s">
        <v>267</v>
      </c>
      <c r="B290" s="86" t="s">
        <v>1277</v>
      </c>
      <c r="C290" s="86" t="s">
        <v>1387</v>
      </c>
      <c r="D290" s="65" t="s">
        <v>1279</v>
      </c>
      <c r="E290" s="86" t="s">
        <v>1673</v>
      </c>
      <c r="F290" s="86" t="s">
        <v>1674</v>
      </c>
      <c r="G290" s="86" t="s">
        <v>34</v>
      </c>
      <c r="H290" s="53" t="s">
        <v>1695</v>
      </c>
      <c r="I290" s="53" t="e">
        <f>VLOOKUP(H290,合同高级查询数据!$A$2:$A$51,1,FALSE)</f>
        <v>#N/A</v>
      </c>
      <c r="J290" s="51" t="s">
        <v>36</v>
      </c>
      <c r="K290" s="86" t="s">
        <v>1428</v>
      </c>
      <c r="L290" s="175" t="s">
        <v>1696</v>
      </c>
      <c r="M290" s="54" t="s">
        <v>1437</v>
      </c>
      <c r="N290" s="55" t="s">
        <v>1697</v>
      </c>
      <c r="O290" s="86" t="s">
        <v>1698</v>
      </c>
      <c r="P290" s="58">
        <v>6740</v>
      </c>
      <c r="Q290" s="99">
        <v>0</v>
      </c>
      <c r="R290" s="58">
        <f t="shared" si="18"/>
        <v>0</v>
      </c>
      <c r="S290" s="59">
        <v>202306</v>
      </c>
      <c r="T290" s="186" t="s">
        <v>1699</v>
      </c>
      <c r="U290" s="195"/>
      <c r="V290" s="196">
        <v>0</v>
      </c>
      <c r="W290" s="197"/>
      <c r="X290" s="64"/>
      <c r="Y290" s="64"/>
      <c r="Z290" s="196">
        <v>0</v>
      </c>
      <c r="AA290" s="201">
        <v>0</v>
      </c>
      <c r="AB290" s="196">
        <v>0</v>
      </c>
      <c r="AC290" s="196">
        <f t="shared" si="19"/>
        <v>0</v>
      </c>
    </row>
    <row r="291" spans="1:29" s="3" customFormat="1" ht="15" customHeight="1">
      <c r="A291" s="86" t="s">
        <v>267</v>
      </c>
      <c r="B291" s="86" t="s">
        <v>1277</v>
      </c>
      <c r="C291" s="86" t="s">
        <v>1387</v>
      </c>
      <c r="D291" s="65" t="s">
        <v>1279</v>
      </c>
      <c r="E291" s="86" t="s">
        <v>1673</v>
      </c>
      <c r="F291" s="86" t="s">
        <v>1674</v>
      </c>
      <c r="G291" s="86" t="s">
        <v>34</v>
      </c>
      <c r="H291" s="53" t="s">
        <v>1695</v>
      </c>
      <c r="I291" s="53" t="e">
        <f>VLOOKUP(H291,合同高级查询数据!$A$2:$A$51,1,FALSE)</f>
        <v>#N/A</v>
      </c>
      <c r="J291" s="51" t="s">
        <v>1359</v>
      </c>
      <c r="K291" s="86" t="s">
        <v>1428</v>
      </c>
      <c r="L291" s="175" t="s">
        <v>1700</v>
      </c>
      <c r="M291" s="54" t="s">
        <v>1442</v>
      </c>
      <c r="N291" s="55" t="s">
        <v>1697</v>
      </c>
      <c r="O291" s="86" t="s">
        <v>1698</v>
      </c>
      <c r="P291" s="58">
        <v>6740</v>
      </c>
      <c r="Q291" s="99">
        <v>82.42</v>
      </c>
      <c r="R291" s="58">
        <f t="shared" si="18"/>
        <v>555510.80000000005</v>
      </c>
      <c r="S291" s="59">
        <v>202306</v>
      </c>
      <c r="T291" s="186" t="s">
        <v>1701</v>
      </c>
      <c r="U291" s="195"/>
      <c r="V291" s="196">
        <v>82.423242121003994</v>
      </c>
      <c r="W291" s="197"/>
      <c r="X291" s="64"/>
      <c r="Y291" s="64"/>
      <c r="Z291" s="214" t="s">
        <v>1702</v>
      </c>
      <c r="AA291" s="201">
        <v>0.4</v>
      </c>
      <c r="AB291" s="196">
        <v>200</v>
      </c>
      <c r="AC291" s="196">
        <f t="shared" si="19"/>
        <v>80</v>
      </c>
    </row>
    <row r="292" spans="1:29" s="2" customFormat="1" ht="15" customHeight="1">
      <c r="A292" s="7" t="s">
        <v>267</v>
      </c>
      <c r="B292" s="7" t="s">
        <v>1277</v>
      </c>
      <c r="C292" s="7" t="s">
        <v>1387</v>
      </c>
      <c r="D292" s="5" t="s">
        <v>1279</v>
      </c>
      <c r="E292" s="7" t="s">
        <v>1673</v>
      </c>
      <c r="F292" s="7" t="s">
        <v>1674</v>
      </c>
      <c r="G292" s="7" t="s">
        <v>34</v>
      </c>
      <c r="H292" s="11" t="s">
        <v>1675</v>
      </c>
      <c r="I292" s="11" t="e">
        <f>VLOOKUP(H292,合同高级查询数据!$A$2:$A$51,1,FALSE)</f>
        <v>#N/A</v>
      </c>
      <c r="J292" s="12" t="s">
        <v>36</v>
      </c>
      <c r="K292" s="7" t="s">
        <v>1676</v>
      </c>
      <c r="L292" s="174" t="s">
        <v>1677</v>
      </c>
      <c r="M292" s="16" t="s">
        <v>1678</v>
      </c>
      <c r="N292" s="21" t="s">
        <v>1679</v>
      </c>
      <c r="O292" s="207" t="s">
        <v>1680</v>
      </c>
      <c r="P292" s="27">
        <v>6740</v>
      </c>
      <c r="Q292" s="140">
        <v>0.31</v>
      </c>
      <c r="R292" s="27">
        <f t="shared" si="18"/>
        <v>2089.4</v>
      </c>
      <c r="S292" s="28">
        <v>202305</v>
      </c>
      <c r="T292" s="184" t="s">
        <v>1703</v>
      </c>
      <c r="U292" s="37"/>
      <c r="V292" s="178"/>
      <c r="W292" s="35"/>
      <c r="X292" s="36"/>
      <c r="Y292" s="192"/>
      <c r="Z292" s="5"/>
      <c r="AA292" s="45"/>
      <c r="AB292" s="34"/>
      <c r="AC292" s="178"/>
    </row>
    <row r="293" spans="1:29" s="2" customFormat="1" ht="15" customHeight="1">
      <c r="A293" s="7" t="s">
        <v>267</v>
      </c>
      <c r="B293" s="7" t="s">
        <v>1277</v>
      </c>
      <c r="C293" s="7" t="s">
        <v>1387</v>
      </c>
      <c r="D293" s="5" t="s">
        <v>1279</v>
      </c>
      <c r="E293" s="7" t="s">
        <v>1673</v>
      </c>
      <c r="F293" s="7" t="s">
        <v>1674</v>
      </c>
      <c r="G293" s="7" t="s">
        <v>34</v>
      </c>
      <c r="H293" s="11" t="s">
        <v>1675</v>
      </c>
      <c r="I293" s="11" t="e">
        <f>VLOOKUP(H293,合同高级查询数据!$A$2:$A$51,1,FALSE)</f>
        <v>#N/A</v>
      </c>
      <c r="J293" s="12" t="s">
        <v>36</v>
      </c>
      <c r="K293" s="7" t="s">
        <v>1428</v>
      </c>
      <c r="L293" s="174" t="s">
        <v>1683</v>
      </c>
      <c r="M293" s="16" t="s">
        <v>1678</v>
      </c>
      <c r="N293" s="21">
        <v>44805</v>
      </c>
      <c r="O293" s="207" t="s">
        <v>237</v>
      </c>
      <c r="P293" s="27">
        <v>6740</v>
      </c>
      <c r="Q293" s="140">
        <v>0.38</v>
      </c>
      <c r="R293" s="27">
        <f t="shared" si="18"/>
        <v>2561.1999999999998</v>
      </c>
      <c r="S293" s="28">
        <v>202305</v>
      </c>
      <c r="T293" s="184" t="s">
        <v>1704</v>
      </c>
      <c r="U293" s="37"/>
      <c r="V293" s="178"/>
      <c r="W293" s="35"/>
      <c r="X293" s="36"/>
      <c r="Y293" s="192"/>
      <c r="Z293" s="5"/>
      <c r="AA293" s="45"/>
      <c r="AB293" s="34"/>
      <c r="AC293" s="178"/>
    </row>
    <row r="294" spans="1:29" s="2" customFormat="1" ht="15" customHeight="1">
      <c r="A294" s="7" t="s">
        <v>267</v>
      </c>
      <c r="B294" s="7" t="s">
        <v>1277</v>
      </c>
      <c r="C294" s="7" t="s">
        <v>1376</v>
      </c>
      <c r="D294" s="5" t="s">
        <v>1279</v>
      </c>
      <c r="E294" s="7" t="s">
        <v>1705</v>
      </c>
      <c r="F294" s="7" t="s">
        <v>1706</v>
      </c>
      <c r="G294" s="7" t="s">
        <v>34</v>
      </c>
      <c r="H294" s="11" t="s">
        <v>1707</v>
      </c>
      <c r="I294" s="11" t="e">
        <f>VLOOKUP(H294,合同高级查询数据!$A$2:$A$51,1,FALSE)</f>
        <v>#N/A</v>
      </c>
      <c r="J294" s="12" t="s">
        <v>36</v>
      </c>
      <c r="K294" s="7" t="s">
        <v>1567</v>
      </c>
      <c r="L294" s="174" t="s">
        <v>1706</v>
      </c>
      <c r="M294" s="16" t="s">
        <v>1708</v>
      </c>
      <c r="N294" s="36" t="s">
        <v>1709</v>
      </c>
      <c r="O294" s="5" t="s">
        <v>1710</v>
      </c>
      <c r="P294" s="27">
        <v>6740</v>
      </c>
      <c r="Q294" s="140">
        <v>44.79</v>
      </c>
      <c r="R294" s="27">
        <f t="shared" si="18"/>
        <v>301884.59999999998</v>
      </c>
      <c r="S294" s="28">
        <v>202306</v>
      </c>
      <c r="T294" s="184" t="s">
        <v>1711</v>
      </c>
      <c r="U294" s="37"/>
      <c r="V294" s="178">
        <v>44.791225433000001</v>
      </c>
      <c r="W294" s="35"/>
      <c r="X294" s="36">
        <v>44927</v>
      </c>
      <c r="Y294" s="36">
        <v>45107</v>
      </c>
      <c r="Z294" s="213" t="s">
        <v>1712</v>
      </c>
      <c r="AA294" s="45">
        <v>0.4</v>
      </c>
      <c r="AB294" s="34">
        <v>100</v>
      </c>
      <c r="AC294" s="178">
        <f>AA294*AB294</f>
        <v>40</v>
      </c>
    </row>
    <row r="295" spans="1:29" s="2" customFormat="1" ht="15" customHeight="1">
      <c r="A295" s="7" t="s">
        <v>267</v>
      </c>
      <c r="B295" s="7" t="s">
        <v>1277</v>
      </c>
      <c r="C295" s="7" t="s">
        <v>1376</v>
      </c>
      <c r="D295" s="5" t="s">
        <v>1279</v>
      </c>
      <c r="E295" s="7" t="s">
        <v>1705</v>
      </c>
      <c r="F295" s="7" t="s">
        <v>1706</v>
      </c>
      <c r="G295" s="7" t="s">
        <v>34</v>
      </c>
      <c r="H295" s="11" t="s">
        <v>1707</v>
      </c>
      <c r="I295" s="11" t="e">
        <f>VLOOKUP(H295,合同高级查询数据!$A$2:$A$51,1,FALSE)</f>
        <v>#N/A</v>
      </c>
      <c r="J295" s="12" t="s">
        <v>36</v>
      </c>
      <c r="K295" s="7" t="s">
        <v>1567</v>
      </c>
      <c r="L295" s="174" t="s">
        <v>1706</v>
      </c>
      <c r="M295" s="16" t="s">
        <v>1708</v>
      </c>
      <c r="N295" s="36" t="s">
        <v>1709</v>
      </c>
      <c r="O295" s="5" t="s">
        <v>1710</v>
      </c>
      <c r="P295" s="27">
        <v>6740</v>
      </c>
      <c r="Q295" s="140">
        <v>0.37</v>
      </c>
      <c r="R295" s="27">
        <f t="shared" si="18"/>
        <v>2493.8000000000002</v>
      </c>
      <c r="S295" s="28">
        <v>202305</v>
      </c>
      <c r="T295" s="184" t="s">
        <v>1713</v>
      </c>
      <c r="U295" s="37"/>
      <c r="V295" s="178"/>
      <c r="W295" s="35"/>
      <c r="X295" s="36"/>
      <c r="Y295" s="36"/>
      <c r="Z295" s="213"/>
      <c r="AA295" s="45"/>
      <c r="AB295" s="34"/>
      <c r="AC295" s="178"/>
    </row>
    <row r="296" spans="1:29" s="2" customFormat="1" ht="15" customHeight="1">
      <c r="A296" s="7" t="s">
        <v>267</v>
      </c>
      <c r="B296" s="7" t="s">
        <v>1277</v>
      </c>
      <c r="C296" s="7" t="s">
        <v>1308</v>
      </c>
      <c r="D296" s="5" t="s">
        <v>1279</v>
      </c>
      <c r="E296" s="7" t="s">
        <v>1714</v>
      </c>
      <c r="F296" s="7" t="s">
        <v>1715</v>
      </c>
      <c r="G296" s="7" t="s">
        <v>34</v>
      </c>
      <c r="H296" s="11" t="s">
        <v>1716</v>
      </c>
      <c r="I296" s="11" t="e">
        <f>VLOOKUP(H296,合同高级查询数据!$A$2:$A$51,1,FALSE)</f>
        <v>#N/A</v>
      </c>
      <c r="J296" s="12" t="s">
        <v>36</v>
      </c>
      <c r="K296" s="7" t="s">
        <v>1717</v>
      </c>
      <c r="L296" s="174" t="s">
        <v>1718</v>
      </c>
      <c r="M296" s="16" t="s">
        <v>1719</v>
      </c>
      <c r="N296" s="208" t="s">
        <v>1720</v>
      </c>
      <c r="O296" s="208" t="s">
        <v>1721</v>
      </c>
      <c r="P296" s="27">
        <v>10000</v>
      </c>
      <c r="Q296" s="140">
        <v>33.25</v>
      </c>
      <c r="R296" s="27">
        <f t="shared" si="18"/>
        <v>332500</v>
      </c>
      <c r="S296" s="28">
        <v>202306</v>
      </c>
      <c r="T296" s="184" t="s">
        <v>1722</v>
      </c>
      <c r="U296" s="37"/>
      <c r="V296" s="178">
        <v>33.248180388999998</v>
      </c>
      <c r="W296" s="35"/>
      <c r="X296" s="36">
        <v>44927</v>
      </c>
      <c r="Y296" s="36">
        <v>45107</v>
      </c>
      <c r="Z296" s="213" t="s">
        <v>1723</v>
      </c>
      <c r="AA296" s="45">
        <v>0.4</v>
      </c>
      <c r="AB296" s="34">
        <v>80</v>
      </c>
      <c r="AC296" s="178">
        <f t="shared" ref="AC296:AC307" si="20">AA296*AB296</f>
        <v>32</v>
      </c>
    </row>
    <row r="297" spans="1:29" s="2" customFormat="1" ht="15" customHeight="1">
      <c r="A297" s="7" t="s">
        <v>267</v>
      </c>
      <c r="B297" s="7" t="s">
        <v>1277</v>
      </c>
      <c r="C297" s="7" t="s">
        <v>1308</v>
      </c>
      <c r="D297" s="5" t="s">
        <v>1279</v>
      </c>
      <c r="E297" s="7" t="s">
        <v>1724</v>
      </c>
      <c r="F297" s="7" t="s">
        <v>1725</v>
      </c>
      <c r="G297" s="7" t="s">
        <v>34</v>
      </c>
      <c r="H297" s="11" t="s">
        <v>1726</v>
      </c>
      <c r="I297" s="11" t="e">
        <f>VLOOKUP(H297,合同高级查询数据!$A$2:$A$51,1,FALSE)</f>
        <v>#N/A</v>
      </c>
      <c r="J297" s="12" t="s">
        <v>36</v>
      </c>
      <c r="K297" s="7" t="s">
        <v>1727</v>
      </c>
      <c r="L297" s="174" t="s">
        <v>1725</v>
      </c>
      <c r="M297" s="16" t="s">
        <v>1728</v>
      </c>
      <c r="N297" s="36" t="s">
        <v>1729</v>
      </c>
      <c r="O297" s="5" t="s">
        <v>1730</v>
      </c>
      <c r="P297" s="27">
        <v>11000</v>
      </c>
      <c r="Q297" s="140">
        <v>0</v>
      </c>
      <c r="R297" s="27">
        <f t="shared" si="18"/>
        <v>0</v>
      </c>
      <c r="S297" s="28">
        <v>202306</v>
      </c>
      <c r="T297" s="184" t="s">
        <v>1731</v>
      </c>
      <c r="U297" s="37"/>
      <c r="V297" s="178">
        <v>0</v>
      </c>
      <c r="W297" s="35"/>
      <c r="X297" s="36">
        <v>44197</v>
      </c>
      <c r="Y297" s="36">
        <v>44926</v>
      </c>
      <c r="Z297" s="178">
        <v>0</v>
      </c>
      <c r="AA297" s="44">
        <v>0</v>
      </c>
      <c r="AB297" s="178">
        <v>0</v>
      </c>
      <c r="AC297" s="178">
        <f t="shared" si="20"/>
        <v>0</v>
      </c>
    </row>
    <row r="298" spans="1:29" s="2" customFormat="1" ht="15" customHeight="1">
      <c r="A298" s="5" t="s">
        <v>28</v>
      </c>
      <c r="B298" s="5" t="s">
        <v>1732</v>
      </c>
      <c r="C298" s="5" t="s">
        <v>1308</v>
      </c>
      <c r="D298" s="5" t="s">
        <v>1279</v>
      </c>
      <c r="E298" s="7" t="s">
        <v>1733</v>
      </c>
      <c r="F298" s="7" t="s">
        <v>1734</v>
      </c>
      <c r="G298" s="7" t="s">
        <v>34</v>
      </c>
      <c r="H298" s="11" t="s">
        <v>1735</v>
      </c>
      <c r="I298" s="11" t="e">
        <f>VLOOKUP(H298,合同高级查询数据!$A$2:$A$51,1,FALSE)</f>
        <v>#N/A</v>
      </c>
      <c r="J298" s="7" t="s">
        <v>75</v>
      </c>
      <c r="K298" s="5" t="s">
        <v>1736</v>
      </c>
      <c r="L298" s="5" t="s">
        <v>1737</v>
      </c>
      <c r="M298" s="177"/>
      <c r="N298" s="36">
        <v>44827</v>
      </c>
      <c r="O298" s="5" t="s">
        <v>434</v>
      </c>
      <c r="P298" s="26">
        <v>50000</v>
      </c>
      <c r="Q298" s="140">
        <v>0</v>
      </c>
      <c r="R298" s="27">
        <f t="shared" si="18"/>
        <v>0</v>
      </c>
      <c r="S298" s="28">
        <v>202306</v>
      </c>
      <c r="T298" s="184" t="s">
        <v>1738</v>
      </c>
      <c r="U298" s="184"/>
      <c r="V298" s="178">
        <v>0</v>
      </c>
      <c r="W298" s="188"/>
      <c r="X298" s="36">
        <v>44562</v>
      </c>
      <c r="Y298" s="36">
        <v>45291</v>
      </c>
      <c r="Z298" s="178">
        <v>0</v>
      </c>
      <c r="AA298" s="44">
        <v>0</v>
      </c>
      <c r="AB298" s="178">
        <v>0</v>
      </c>
      <c r="AC298" s="178">
        <f t="shared" si="20"/>
        <v>0</v>
      </c>
    </row>
    <row r="299" spans="1:29" s="3" customFormat="1" ht="15" customHeight="1">
      <c r="A299" s="65" t="s">
        <v>871</v>
      </c>
      <c r="B299" s="65" t="s">
        <v>1277</v>
      </c>
      <c r="C299" s="65" t="s">
        <v>1387</v>
      </c>
      <c r="D299" s="65" t="s">
        <v>71</v>
      </c>
      <c r="E299" s="65" t="s">
        <v>1739</v>
      </c>
      <c r="F299" s="65" t="s">
        <v>1740</v>
      </c>
      <c r="G299" s="65" t="s">
        <v>34</v>
      </c>
      <c r="H299" s="65" t="s">
        <v>1741</v>
      </c>
      <c r="I299" s="53" t="e">
        <f>VLOOKUP(H299,合同高级查询数据!$A$2:$A$51,1,FALSE)</f>
        <v>#N/A</v>
      </c>
      <c r="J299" s="65" t="s">
        <v>36</v>
      </c>
      <c r="K299" s="205" t="s">
        <v>1428</v>
      </c>
      <c r="L299" s="205" t="s">
        <v>1742</v>
      </c>
      <c r="M299" s="65" t="s">
        <v>1743</v>
      </c>
      <c r="N299" s="64" t="s">
        <v>1744</v>
      </c>
      <c r="O299" s="65" t="s">
        <v>1745</v>
      </c>
      <c r="P299" s="90">
        <v>7084</v>
      </c>
      <c r="Q299" s="99">
        <v>0</v>
      </c>
      <c r="R299" s="90">
        <f t="shared" si="18"/>
        <v>0</v>
      </c>
      <c r="S299" s="59">
        <v>202306</v>
      </c>
      <c r="T299" s="210" t="s">
        <v>1746</v>
      </c>
      <c r="U299" s="210"/>
      <c r="V299" s="196">
        <v>0</v>
      </c>
      <c r="W299" s="103"/>
      <c r="X299" s="64"/>
      <c r="Y299" s="64"/>
      <c r="Z299" s="196">
        <v>0</v>
      </c>
      <c r="AA299" s="200">
        <v>0</v>
      </c>
      <c r="AB299" s="104">
        <v>0</v>
      </c>
      <c r="AC299" s="196">
        <f t="shared" si="20"/>
        <v>0</v>
      </c>
    </row>
    <row r="300" spans="1:29" s="2" customFormat="1" ht="15" customHeight="1">
      <c r="A300" s="7" t="s">
        <v>871</v>
      </c>
      <c r="B300" s="7" t="s">
        <v>1732</v>
      </c>
      <c r="C300" s="7" t="s">
        <v>1747</v>
      </c>
      <c r="D300" s="5" t="s">
        <v>1748</v>
      </c>
      <c r="E300" s="7" t="s">
        <v>1749</v>
      </c>
      <c r="F300" s="7" t="s">
        <v>1750</v>
      </c>
      <c r="G300" s="7" t="s">
        <v>34</v>
      </c>
      <c r="H300" s="11" t="s">
        <v>1751</v>
      </c>
      <c r="I300" s="11" t="e">
        <f>VLOOKUP(H300,合同高级查询数据!$A$2:$A$51,1,FALSE)</f>
        <v>#N/A</v>
      </c>
      <c r="J300" s="12" t="s">
        <v>36</v>
      </c>
      <c r="K300" s="7" t="s">
        <v>1752</v>
      </c>
      <c r="L300" s="174" t="s">
        <v>1753</v>
      </c>
      <c r="M300" s="16" t="s">
        <v>1754</v>
      </c>
      <c r="N300" s="36" t="s">
        <v>1755</v>
      </c>
      <c r="O300" s="208" t="s">
        <v>1756</v>
      </c>
      <c r="P300" s="27">
        <v>4500</v>
      </c>
      <c r="Q300" s="140">
        <v>0</v>
      </c>
      <c r="R300" s="27">
        <f t="shared" si="18"/>
        <v>0</v>
      </c>
      <c r="S300" s="28">
        <v>202306</v>
      </c>
      <c r="T300" s="184" t="s">
        <v>1757</v>
      </c>
      <c r="U300" s="37"/>
      <c r="V300" s="178">
        <v>0</v>
      </c>
      <c r="W300" s="35"/>
      <c r="X300" s="36">
        <v>44652</v>
      </c>
      <c r="Y300" s="36">
        <v>45016</v>
      </c>
      <c r="Z300" s="178">
        <v>0</v>
      </c>
      <c r="AA300" s="44">
        <v>0</v>
      </c>
      <c r="AB300" s="178">
        <v>0</v>
      </c>
      <c r="AC300" s="178">
        <f t="shared" si="20"/>
        <v>0</v>
      </c>
    </row>
    <row r="301" spans="1:29" s="2" customFormat="1" ht="15" customHeight="1">
      <c r="A301" s="7" t="s">
        <v>878</v>
      </c>
      <c r="B301" s="7" t="s">
        <v>1732</v>
      </c>
      <c r="C301" s="7" t="s">
        <v>1758</v>
      </c>
      <c r="D301" s="5" t="s">
        <v>31</v>
      </c>
      <c r="E301" s="7" t="s">
        <v>1759</v>
      </c>
      <c r="F301" s="7" t="s">
        <v>1760</v>
      </c>
      <c r="G301" s="7" t="s">
        <v>34</v>
      </c>
      <c r="H301" s="11" t="s">
        <v>1761</v>
      </c>
      <c r="I301" s="11" t="e">
        <f>VLOOKUP(H301,合同高级查询数据!$A$2:$A$51,1,FALSE)</f>
        <v>#N/A</v>
      </c>
      <c r="J301" s="12" t="s">
        <v>36</v>
      </c>
      <c r="K301" s="7" t="s">
        <v>1762</v>
      </c>
      <c r="L301" s="174" t="s">
        <v>1763</v>
      </c>
      <c r="M301" s="16" t="s">
        <v>1764</v>
      </c>
      <c r="N301" s="176" t="s">
        <v>1765</v>
      </c>
      <c r="O301" s="179" t="s">
        <v>1766</v>
      </c>
      <c r="P301" s="27">
        <v>4000</v>
      </c>
      <c r="Q301" s="140">
        <v>0</v>
      </c>
      <c r="R301" s="27">
        <f t="shared" si="18"/>
        <v>0</v>
      </c>
      <c r="S301" s="28">
        <v>202306</v>
      </c>
      <c r="T301" s="184" t="s">
        <v>1767</v>
      </c>
      <c r="U301" s="37"/>
      <c r="V301" s="178">
        <v>0</v>
      </c>
      <c r="W301" s="35"/>
      <c r="X301" s="36">
        <v>44013</v>
      </c>
      <c r="Y301" s="36">
        <v>44255</v>
      </c>
      <c r="Z301" s="178">
        <v>0</v>
      </c>
      <c r="AA301" s="44">
        <v>0</v>
      </c>
      <c r="AB301" s="178">
        <v>0</v>
      </c>
      <c r="AC301" s="178">
        <f t="shared" si="20"/>
        <v>0</v>
      </c>
    </row>
    <row r="302" spans="1:29" s="2" customFormat="1" ht="15" customHeight="1">
      <c r="A302" s="7" t="s">
        <v>878</v>
      </c>
      <c r="B302" s="7" t="s">
        <v>1732</v>
      </c>
      <c r="C302" s="7" t="s">
        <v>1758</v>
      </c>
      <c r="D302" s="5" t="s">
        <v>31</v>
      </c>
      <c r="E302" s="7" t="s">
        <v>1768</v>
      </c>
      <c r="F302" s="7" t="s">
        <v>1769</v>
      </c>
      <c r="G302" s="7" t="s">
        <v>34</v>
      </c>
      <c r="H302" s="11" t="s">
        <v>1770</v>
      </c>
      <c r="I302" s="11" t="e">
        <f>VLOOKUP(H302,合同高级查询数据!$A$2:$A$51,1,FALSE)</f>
        <v>#N/A</v>
      </c>
      <c r="J302" s="12" t="s">
        <v>36</v>
      </c>
      <c r="K302" s="7" t="s">
        <v>1762</v>
      </c>
      <c r="L302" s="174" t="s">
        <v>1763</v>
      </c>
      <c r="M302" s="16" t="s">
        <v>1764</v>
      </c>
      <c r="N302" s="176" t="s">
        <v>1771</v>
      </c>
      <c r="O302" s="179" t="s">
        <v>1766</v>
      </c>
      <c r="P302" s="27">
        <v>4300</v>
      </c>
      <c r="Q302" s="140">
        <v>0</v>
      </c>
      <c r="R302" s="27">
        <f t="shared" si="18"/>
        <v>0</v>
      </c>
      <c r="S302" s="28">
        <v>202306</v>
      </c>
      <c r="T302" s="184" t="s">
        <v>1772</v>
      </c>
      <c r="U302" s="37"/>
      <c r="V302" s="178">
        <v>0</v>
      </c>
      <c r="W302" s="194"/>
      <c r="X302" s="36">
        <v>44256</v>
      </c>
      <c r="Y302" s="36">
        <v>44620</v>
      </c>
      <c r="Z302" s="178">
        <v>0</v>
      </c>
      <c r="AA302" s="44">
        <v>0</v>
      </c>
      <c r="AB302" s="178">
        <v>0</v>
      </c>
      <c r="AC302" s="178">
        <f t="shared" si="20"/>
        <v>0</v>
      </c>
    </row>
    <row r="303" spans="1:29" s="2" customFormat="1" ht="15" customHeight="1">
      <c r="A303" s="7" t="s">
        <v>859</v>
      </c>
      <c r="B303" s="7" t="s">
        <v>1732</v>
      </c>
      <c r="C303" s="7" t="s">
        <v>214</v>
      </c>
      <c r="D303" s="5" t="s">
        <v>31</v>
      </c>
      <c r="E303" s="7" t="s">
        <v>1773</v>
      </c>
      <c r="F303" s="7" t="s">
        <v>1774</v>
      </c>
      <c r="G303" s="7" t="s">
        <v>34</v>
      </c>
      <c r="H303" s="11" t="s">
        <v>1775</v>
      </c>
      <c r="I303" s="11" t="e">
        <f>VLOOKUP(H303,合同高级查询数据!$A$2:$A$51,1,FALSE)</f>
        <v>#N/A</v>
      </c>
      <c r="J303" s="12" t="s">
        <v>36</v>
      </c>
      <c r="K303" s="7" t="s">
        <v>780</v>
      </c>
      <c r="L303" s="174" t="s">
        <v>1776</v>
      </c>
      <c r="M303" s="16" t="s">
        <v>1777</v>
      </c>
      <c r="N303" s="208" t="s">
        <v>1778</v>
      </c>
      <c r="O303" s="208" t="s">
        <v>1779</v>
      </c>
      <c r="P303" s="27">
        <v>6666.67</v>
      </c>
      <c r="Q303" s="140">
        <v>0</v>
      </c>
      <c r="R303" s="27">
        <f t="shared" si="18"/>
        <v>0</v>
      </c>
      <c r="S303" s="28">
        <v>202306</v>
      </c>
      <c r="T303" s="184" t="s">
        <v>1780</v>
      </c>
      <c r="U303" s="37"/>
      <c r="V303" s="178">
        <v>0</v>
      </c>
      <c r="W303" s="35"/>
      <c r="X303" s="208">
        <v>44682</v>
      </c>
      <c r="Y303" s="208">
        <v>45046</v>
      </c>
      <c r="Z303" s="178">
        <v>0</v>
      </c>
      <c r="AA303" s="44">
        <v>0</v>
      </c>
      <c r="AB303" s="178">
        <v>0</v>
      </c>
      <c r="AC303" s="178">
        <f t="shared" si="20"/>
        <v>0</v>
      </c>
    </row>
    <row r="304" spans="1:29" s="2" customFormat="1" ht="15" customHeight="1">
      <c r="A304" s="7" t="s">
        <v>878</v>
      </c>
      <c r="B304" s="5" t="s">
        <v>1732</v>
      </c>
      <c r="C304" s="5" t="s">
        <v>1308</v>
      </c>
      <c r="D304" s="5" t="s">
        <v>31</v>
      </c>
      <c r="E304" s="7" t="s">
        <v>1781</v>
      </c>
      <c r="F304" s="7" t="s">
        <v>1782</v>
      </c>
      <c r="G304" s="7" t="s">
        <v>34</v>
      </c>
      <c r="H304" s="11" t="s">
        <v>1783</v>
      </c>
      <c r="I304" s="11" t="e">
        <f>VLOOKUP(H304,合同高级查询数据!$A$2:$A$51,1,FALSE)</f>
        <v>#N/A</v>
      </c>
      <c r="J304" s="12" t="s">
        <v>36</v>
      </c>
      <c r="K304" s="7" t="s">
        <v>1784</v>
      </c>
      <c r="L304" s="174" t="s">
        <v>1785</v>
      </c>
      <c r="M304" s="16" t="s">
        <v>1786</v>
      </c>
      <c r="N304" s="36" t="s">
        <v>1787</v>
      </c>
      <c r="O304" s="5" t="s">
        <v>1788</v>
      </c>
      <c r="P304" s="27">
        <v>5200</v>
      </c>
      <c r="Q304" s="140">
        <v>0</v>
      </c>
      <c r="R304" s="27">
        <f t="shared" si="18"/>
        <v>0</v>
      </c>
      <c r="S304" s="28">
        <v>202306</v>
      </c>
      <c r="T304" s="184" t="s">
        <v>1789</v>
      </c>
      <c r="U304" s="184"/>
      <c r="V304" s="178">
        <v>0</v>
      </c>
      <c r="W304" s="35"/>
      <c r="X304" s="36">
        <v>44593</v>
      </c>
      <c r="Y304" s="36">
        <v>44620</v>
      </c>
      <c r="Z304" s="178">
        <v>0</v>
      </c>
      <c r="AA304" s="44">
        <v>0</v>
      </c>
      <c r="AB304" s="178">
        <v>0</v>
      </c>
      <c r="AC304" s="178">
        <f t="shared" si="20"/>
        <v>0</v>
      </c>
    </row>
    <row r="305" spans="1:29" s="3" customFormat="1" ht="15" customHeight="1">
      <c r="A305" s="86" t="s">
        <v>871</v>
      </c>
      <c r="B305" s="65" t="s">
        <v>1732</v>
      </c>
      <c r="C305" s="65" t="s">
        <v>1790</v>
      </c>
      <c r="D305" s="65" t="s">
        <v>1791</v>
      </c>
      <c r="E305" s="65" t="s">
        <v>1792</v>
      </c>
      <c r="F305" s="65" t="s">
        <v>1793</v>
      </c>
      <c r="G305" s="86" t="s">
        <v>34</v>
      </c>
      <c r="H305" s="65" t="s">
        <v>1794</v>
      </c>
      <c r="I305" s="53" t="e">
        <f>VLOOKUP(H305,合同高级查询数据!$A$2:$A$51,1,FALSE)</f>
        <v>#N/A</v>
      </c>
      <c r="J305" s="51" t="s">
        <v>36</v>
      </c>
      <c r="K305" s="65" t="s">
        <v>1795</v>
      </c>
      <c r="L305" s="65" t="s">
        <v>1796</v>
      </c>
      <c r="M305" s="65" t="s">
        <v>1797</v>
      </c>
      <c r="N305" s="64">
        <v>43831</v>
      </c>
      <c r="O305" s="65" t="s">
        <v>1798</v>
      </c>
      <c r="P305" s="98">
        <v>5416.67</v>
      </c>
      <c r="Q305" s="99">
        <v>17.7</v>
      </c>
      <c r="R305" s="58">
        <f t="shared" si="18"/>
        <v>95875.06</v>
      </c>
      <c r="S305" s="59">
        <v>202306</v>
      </c>
      <c r="T305" s="185" t="s">
        <v>1799</v>
      </c>
      <c r="U305" s="185"/>
      <c r="V305" s="196">
        <v>17.625577926999998</v>
      </c>
      <c r="W305" s="103"/>
      <c r="X305" s="64"/>
      <c r="Y305" s="64"/>
      <c r="Z305" s="65" t="s">
        <v>1800</v>
      </c>
      <c r="AA305" s="200">
        <v>0.3</v>
      </c>
      <c r="AB305" s="104">
        <v>40</v>
      </c>
      <c r="AC305" s="196">
        <f t="shared" si="20"/>
        <v>12</v>
      </c>
    </row>
    <row r="306" spans="1:29" s="2" customFormat="1" ht="15" customHeight="1">
      <c r="A306" s="7" t="s">
        <v>871</v>
      </c>
      <c r="B306" s="5" t="s">
        <v>1732</v>
      </c>
      <c r="C306" s="5" t="s">
        <v>1801</v>
      </c>
      <c r="D306" s="5" t="s">
        <v>1791</v>
      </c>
      <c r="E306" s="5" t="s">
        <v>1792</v>
      </c>
      <c r="F306" s="5" t="s">
        <v>1793</v>
      </c>
      <c r="G306" s="7" t="s">
        <v>34</v>
      </c>
      <c r="H306" s="5" t="s">
        <v>1802</v>
      </c>
      <c r="I306" s="11" t="e">
        <f>VLOOKUP(H306,合同高级查询数据!$A$2:$A$51,1,FALSE)</f>
        <v>#N/A</v>
      </c>
      <c r="J306" s="12" t="s">
        <v>36</v>
      </c>
      <c r="K306" s="5" t="s">
        <v>1803</v>
      </c>
      <c r="L306" s="5" t="s">
        <v>1804</v>
      </c>
      <c r="M306" s="5" t="s">
        <v>1805</v>
      </c>
      <c r="N306" s="36" t="s">
        <v>1806</v>
      </c>
      <c r="O306" s="5" t="s">
        <v>1807</v>
      </c>
      <c r="P306" s="27">
        <v>5000</v>
      </c>
      <c r="Q306" s="140">
        <v>37.6</v>
      </c>
      <c r="R306" s="27">
        <f t="shared" si="18"/>
        <v>188000</v>
      </c>
      <c r="S306" s="28">
        <v>202306</v>
      </c>
      <c r="T306" s="184" t="s">
        <v>1808</v>
      </c>
      <c r="U306" s="184"/>
      <c r="V306" s="178">
        <v>36.911624908</v>
      </c>
      <c r="W306" s="35">
        <v>38.26</v>
      </c>
      <c r="X306" s="36">
        <v>44835</v>
      </c>
      <c r="Y306" s="21">
        <v>45199</v>
      </c>
      <c r="Z306" s="5" t="s">
        <v>1809</v>
      </c>
      <c r="AA306" s="45">
        <v>0.3</v>
      </c>
      <c r="AB306" s="34">
        <v>120</v>
      </c>
      <c r="AC306" s="178">
        <f t="shared" si="20"/>
        <v>36</v>
      </c>
    </row>
    <row r="307" spans="1:29" s="3" customFormat="1" ht="15" customHeight="1">
      <c r="A307" s="86" t="s">
        <v>871</v>
      </c>
      <c r="B307" s="65" t="s">
        <v>1732</v>
      </c>
      <c r="C307" s="65" t="s">
        <v>417</v>
      </c>
      <c r="D307" s="65" t="s">
        <v>1748</v>
      </c>
      <c r="E307" s="65" t="s">
        <v>1792</v>
      </c>
      <c r="F307" s="65" t="s">
        <v>1793</v>
      </c>
      <c r="G307" s="86" t="s">
        <v>34</v>
      </c>
      <c r="H307" s="65" t="s">
        <v>1810</v>
      </c>
      <c r="I307" s="53" t="e">
        <f>VLOOKUP(H307,合同高级查询数据!$A$2:$A$51,1,FALSE)</f>
        <v>#N/A</v>
      </c>
      <c r="J307" s="51" t="s">
        <v>36</v>
      </c>
      <c r="K307" s="65" t="s">
        <v>1811</v>
      </c>
      <c r="L307" s="65" t="s">
        <v>1812</v>
      </c>
      <c r="M307" s="65" t="s">
        <v>1813</v>
      </c>
      <c r="N307" s="64" t="s">
        <v>1814</v>
      </c>
      <c r="O307" s="65" t="s">
        <v>1815</v>
      </c>
      <c r="P307" s="98">
        <v>5000</v>
      </c>
      <c r="Q307" s="99">
        <v>60</v>
      </c>
      <c r="R307" s="58">
        <f t="shared" si="18"/>
        <v>300000</v>
      </c>
      <c r="S307" s="59">
        <v>202306</v>
      </c>
      <c r="T307" s="185" t="s">
        <v>1816</v>
      </c>
      <c r="U307" s="185"/>
      <c r="V307" s="196">
        <v>58.663665770999998</v>
      </c>
      <c r="W307" s="103"/>
      <c r="X307" s="211"/>
      <c r="Y307" s="211"/>
      <c r="Z307" s="65" t="s">
        <v>1817</v>
      </c>
      <c r="AA307" s="200">
        <v>0.3</v>
      </c>
      <c r="AB307" s="104">
        <v>200</v>
      </c>
      <c r="AC307" s="196">
        <f t="shared" si="20"/>
        <v>60</v>
      </c>
    </row>
    <row r="308" spans="1:29" s="3" customFormat="1" ht="15" customHeight="1">
      <c r="A308" s="86" t="s">
        <v>871</v>
      </c>
      <c r="B308" s="65" t="s">
        <v>1732</v>
      </c>
      <c r="C308" s="65" t="s">
        <v>1790</v>
      </c>
      <c r="D308" s="65" t="s">
        <v>1791</v>
      </c>
      <c r="E308" s="65" t="s">
        <v>1792</v>
      </c>
      <c r="F308" s="65" t="s">
        <v>1793</v>
      </c>
      <c r="G308" s="86" t="s">
        <v>34</v>
      </c>
      <c r="H308" s="65" t="s">
        <v>1794</v>
      </c>
      <c r="I308" s="53" t="e">
        <f>VLOOKUP(H308,合同高级查询数据!$A$2:$A$51,1,FALSE)</f>
        <v>#N/A</v>
      </c>
      <c r="J308" s="51" t="s">
        <v>36</v>
      </c>
      <c r="K308" s="65" t="s">
        <v>1795</v>
      </c>
      <c r="L308" s="65" t="s">
        <v>1796</v>
      </c>
      <c r="M308" s="65" t="s">
        <v>1797</v>
      </c>
      <c r="N308" s="64">
        <v>43831</v>
      </c>
      <c r="O308" s="65" t="s">
        <v>1798</v>
      </c>
      <c r="P308" s="98">
        <v>5416.67</v>
      </c>
      <c r="Q308" s="98">
        <v>0.1</v>
      </c>
      <c r="R308" s="58">
        <f t="shared" si="18"/>
        <v>541.66999999999996</v>
      </c>
      <c r="S308" s="59">
        <v>202305</v>
      </c>
      <c r="T308" s="185" t="s">
        <v>1818</v>
      </c>
      <c r="U308" s="185"/>
      <c r="V308" s="65"/>
      <c r="W308" s="212"/>
      <c r="X308" s="211"/>
      <c r="Y308" s="211"/>
      <c r="Z308" s="65"/>
      <c r="AA308" s="200"/>
      <c r="AB308" s="104"/>
      <c r="AC308" s="104"/>
    </row>
    <row r="309" spans="1:29" s="2" customFormat="1" ht="15" customHeight="1">
      <c r="A309" s="7" t="s">
        <v>878</v>
      </c>
      <c r="B309" s="7" t="s">
        <v>1732</v>
      </c>
      <c r="C309" s="7" t="s">
        <v>1308</v>
      </c>
      <c r="D309" s="5" t="s">
        <v>31</v>
      </c>
      <c r="E309" s="7" t="s">
        <v>1819</v>
      </c>
      <c r="F309" s="7" t="s">
        <v>1820</v>
      </c>
      <c r="G309" s="7" t="s">
        <v>34</v>
      </c>
      <c r="H309" s="11" t="s">
        <v>1821</v>
      </c>
      <c r="I309" s="11" t="e">
        <f>VLOOKUP(H309,合同高级查询数据!$A$2:$A$51,1,FALSE)</f>
        <v>#N/A</v>
      </c>
      <c r="J309" s="12" t="s">
        <v>36</v>
      </c>
      <c r="K309" s="7" t="s">
        <v>1519</v>
      </c>
      <c r="L309" s="174" t="s">
        <v>1822</v>
      </c>
      <c r="M309" s="16" t="s">
        <v>1823</v>
      </c>
      <c r="N309" s="208" t="s">
        <v>1824</v>
      </c>
      <c r="O309" s="208" t="s">
        <v>1825</v>
      </c>
      <c r="P309" s="27">
        <v>5000</v>
      </c>
      <c r="Q309" s="140">
        <v>0</v>
      </c>
      <c r="R309" s="27">
        <f t="shared" si="18"/>
        <v>0</v>
      </c>
      <c r="S309" s="28">
        <v>202306</v>
      </c>
      <c r="T309" s="184" t="s">
        <v>1826</v>
      </c>
      <c r="U309" s="37"/>
      <c r="V309" s="178">
        <v>0</v>
      </c>
      <c r="W309" s="35"/>
      <c r="X309" s="36">
        <v>44378</v>
      </c>
      <c r="Y309" s="36">
        <v>44742</v>
      </c>
      <c r="Z309" s="178">
        <v>0</v>
      </c>
      <c r="AA309" s="44">
        <v>0</v>
      </c>
      <c r="AB309" s="178">
        <v>0</v>
      </c>
      <c r="AC309" s="178">
        <f>AA309*AB309</f>
        <v>0</v>
      </c>
    </row>
    <row r="310" spans="1:29" s="2" customFormat="1" ht="15" customHeight="1">
      <c r="A310" s="7" t="s">
        <v>878</v>
      </c>
      <c r="B310" s="7" t="s">
        <v>1732</v>
      </c>
      <c r="C310" s="7" t="s">
        <v>1308</v>
      </c>
      <c r="D310" s="5" t="s">
        <v>31</v>
      </c>
      <c r="E310" s="7" t="s">
        <v>1819</v>
      </c>
      <c r="F310" s="7" t="s">
        <v>1820</v>
      </c>
      <c r="G310" s="7" t="s">
        <v>34</v>
      </c>
      <c r="H310" s="11" t="s">
        <v>1827</v>
      </c>
      <c r="I310" s="11" t="e">
        <f>VLOOKUP(H310,合同高级查询数据!$A$2:$A$51,1,FALSE)</f>
        <v>#N/A</v>
      </c>
      <c r="J310" s="12" t="s">
        <v>36</v>
      </c>
      <c r="K310" s="7" t="s">
        <v>1784</v>
      </c>
      <c r="L310" s="174" t="s">
        <v>1828</v>
      </c>
      <c r="M310" s="16" t="s">
        <v>1829</v>
      </c>
      <c r="N310" s="208" t="s">
        <v>1830</v>
      </c>
      <c r="O310" s="208" t="s">
        <v>1831</v>
      </c>
      <c r="P310" s="27">
        <v>5000</v>
      </c>
      <c r="Q310" s="140">
        <v>0</v>
      </c>
      <c r="R310" s="27">
        <f t="shared" si="18"/>
        <v>0</v>
      </c>
      <c r="S310" s="28">
        <v>202306</v>
      </c>
      <c r="T310" s="184" t="s">
        <v>1832</v>
      </c>
      <c r="U310" s="37"/>
      <c r="V310" s="178">
        <v>0</v>
      </c>
      <c r="W310" s="194"/>
      <c r="X310" s="36">
        <v>44866</v>
      </c>
      <c r="Y310" s="21">
        <v>45230</v>
      </c>
      <c r="Z310" s="178">
        <v>0</v>
      </c>
      <c r="AA310" s="44">
        <v>0</v>
      </c>
      <c r="AB310" s="178">
        <v>0</v>
      </c>
      <c r="AC310" s="178">
        <f>AA310*AB310</f>
        <v>0</v>
      </c>
    </row>
    <row r="311" spans="1:29" s="2" customFormat="1" ht="15" customHeight="1">
      <c r="A311" s="7" t="s">
        <v>878</v>
      </c>
      <c r="B311" s="7" t="s">
        <v>1732</v>
      </c>
      <c r="C311" s="7" t="s">
        <v>1308</v>
      </c>
      <c r="D311" s="5" t="s">
        <v>31</v>
      </c>
      <c r="E311" s="7" t="s">
        <v>1819</v>
      </c>
      <c r="F311" s="7" t="s">
        <v>1820</v>
      </c>
      <c r="G311" s="7" t="s">
        <v>34</v>
      </c>
      <c r="H311" s="11" t="s">
        <v>1833</v>
      </c>
      <c r="I311" s="11" t="e">
        <f>VLOOKUP(H311,合同高级查询数据!$A$2:$A$51,1,FALSE)</f>
        <v>#N/A</v>
      </c>
      <c r="J311" s="12" t="s">
        <v>36</v>
      </c>
      <c r="K311" s="7" t="s">
        <v>1519</v>
      </c>
      <c r="L311" s="174" t="s">
        <v>1834</v>
      </c>
      <c r="M311" s="16" t="s">
        <v>1835</v>
      </c>
      <c r="N311" s="208">
        <v>44986</v>
      </c>
      <c r="O311" s="208" t="s">
        <v>1664</v>
      </c>
      <c r="P311" s="27">
        <v>4900</v>
      </c>
      <c r="Q311" s="140">
        <v>69.8</v>
      </c>
      <c r="R311" s="27">
        <f t="shared" si="18"/>
        <v>342020</v>
      </c>
      <c r="S311" s="28">
        <v>202306</v>
      </c>
      <c r="T311" s="184" t="s">
        <v>1836</v>
      </c>
      <c r="U311" s="37"/>
      <c r="V311" s="178">
        <v>69.761734008999994</v>
      </c>
      <c r="W311" s="194"/>
      <c r="X311" s="36">
        <v>44986</v>
      </c>
      <c r="Y311" s="21">
        <v>45351</v>
      </c>
      <c r="Z311" s="178" t="s">
        <v>1837</v>
      </c>
      <c r="AA311" s="44">
        <v>0.4</v>
      </c>
      <c r="AB311" s="178">
        <v>160</v>
      </c>
      <c r="AC311" s="178">
        <f>AA311*AB311</f>
        <v>64</v>
      </c>
    </row>
    <row r="312" spans="1:29" s="2" customFormat="1" ht="15" customHeight="1">
      <c r="A312" s="203" t="s">
        <v>859</v>
      </c>
      <c r="B312" s="5" t="s">
        <v>1732</v>
      </c>
      <c r="C312" s="5" t="s">
        <v>1838</v>
      </c>
      <c r="D312" s="5" t="s">
        <v>1748</v>
      </c>
      <c r="E312" s="7" t="s">
        <v>1839</v>
      </c>
      <c r="F312" s="7" t="s">
        <v>1840</v>
      </c>
      <c r="G312" s="7" t="s">
        <v>34</v>
      </c>
      <c r="H312" s="11" t="s">
        <v>1841</v>
      </c>
      <c r="I312" s="11" t="e">
        <f>VLOOKUP(H312,合同高级查询数据!$A$2:$A$51,1,FALSE)</f>
        <v>#N/A</v>
      </c>
      <c r="J312" s="12" t="s">
        <v>36</v>
      </c>
      <c r="K312" s="7" t="s">
        <v>1842</v>
      </c>
      <c r="L312" s="174" t="s">
        <v>1843</v>
      </c>
      <c r="M312" s="16" t="s">
        <v>1844</v>
      </c>
      <c r="N312" s="36" t="s">
        <v>1845</v>
      </c>
      <c r="O312" s="5" t="s">
        <v>1846</v>
      </c>
      <c r="P312" s="27">
        <v>6250</v>
      </c>
      <c r="Q312" s="140">
        <v>66</v>
      </c>
      <c r="R312" s="27">
        <f t="shared" si="18"/>
        <v>412500</v>
      </c>
      <c r="S312" s="28">
        <v>202306</v>
      </c>
      <c r="T312" s="184" t="s">
        <v>1847</v>
      </c>
      <c r="U312" s="184"/>
      <c r="V312" s="178">
        <v>65.305633545000006</v>
      </c>
      <c r="W312" s="194"/>
      <c r="X312" s="36">
        <v>44958</v>
      </c>
      <c r="Y312" s="36">
        <v>45322</v>
      </c>
      <c r="Z312" s="5" t="s">
        <v>1848</v>
      </c>
      <c r="AA312" s="45">
        <v>0.3</v>
      </c>
      <c r="AB312" s="34">
        <v>220</v>
      </c>
      <c r="AC312" s="178">
        <f>AA312*AB312</f>
        <v>66</v>
      </c>
    </row>
    <row r="313" spans="1:29" s="2" customFormat="1" ht="15" customHeight="1">
      <c r="A313" s="203" t="s">
        <v>859</v>
      </c>
      <c r="B313" s="5" t="s">
        <v>1732</v>
      </c>
      <c r="C313" s="5" t="s">
        <v>1838</v>
      </c>
      <c r="D313" s="5" t="s">
        <v>1748</v>
      </c>
      <c r="E313" s="7" t="s">
        <v>1839</v>
      </c>
      <c r="F313" s="7" t="s">
        <v>1840</v>
      </c>
      <c r="G313" s="7" t="s">
        <v>34</v>
      </c>
      <c r="H313" s="11" t="s">
        <v>1841</v>
      </c>
      <c r="I313" s="11" t="e">
        <f>VLOOKUP(H313,合同高级查询数据!$A$2:$A$51,1,FALSE)</f>
        <v>#N/A</v>
      </c>
      <c r="J313" s="12" t="s">
        <v>36</v>
      </c>
      <c r="K313" s="7" t="s">
        <v>1842</v>
      </c>
      <c r="L313" s="174" t="s">
        <v>1849</v>
      </c>
      <c r="M313" s="16" t="s">
        <v>1844</v>
      </c>
      <c r="N313" s="36" t="s">
        <v>1850</v>
      </c>
      <c r="O313" s="5" t="s">
        <v>1851</v>
      </c>
      <c r="P313" s="27">
        <v>6250</v>
      </c>
      <c r="Q313" s="140">
        <v>66</v>
      </c>
      <c r="R313" s="27">
        <f t="shared" si="18"/>
        <v>412500</v>
      </c>
      <c r="S313" s="28">
        <v>202306</v>
      </c>
      <c r="T313" s="184" t="s">
        <v>1852</v>
      </c>
      <c r="U313" s="184"/>
      <c r="V313" s="178">
        <v>64.965370178000001</v>
      </c>
      <c r="W313" s="35"/>
      <c r="X313" s="36">
        <v>44958</v>
      </c>
      <c r="Y313" s="36">
        <v>45322</v>
      </c>
      <c r="Z313" s="178" t="s">
        <v>1853</v>
      </c>
      <c r="AA313" s="45">
        <v>0.3</v>
      </c>
      <c r="AB313" s="34">
        <v>220</v>
      </c>
      <c r="AC313" s="178">
        <f>AA313*AB313</f>
        <v>66</v>
      </c>
    </row>
    <row r="314" spans="1:29" s="2" customFormat="1" ht="15" customHeight="1">
      <c r="A314" s="7" t="s">
        <v>871</v>
      </c>
      <c r="B314" s="5" t="s">
        <v>1732</v>
      </c>
      <c r="C314" s="5" t="s">
        <v>417</v>
      </c>
      <c r="D314" s="5" t="s">
        <v>1748</v>
      </c>
      <c r="E314" s="7" t="s">
        <v>1839</v>
      </c>
      <c r="F314" s="7" t="s">
        <v>1840</v>
      </c>
      <c r="G314" s="7" t="s">
        <v>34</v>
      </c>
      <c r="H314" s="11" t="s">
        <v>1854</v>
      </c>
      <c r="I314" s="11" t="e">
        <f>VLOOKUP(H314,合同高级查询数据!$A$2:$A$51,1,FALSE)</f>
        <v>#N/A</v>
      </c>
      <c r="J314" s="12" t="s">
        <v>36</v>
      </c>
      <c r="K314" s="7" t="s">
        <v>839</v>
      </c>
      <c r="L314" s="174" t="s">
        <v>1855</v>
      </c>
      <c r="M314" s="16" t="s">
        <v>1856</v>
      </c>
      <c r="N314" s="209" t="s">
        <v>1857</v>
      </c>
      <c r="O314" s="5" t="s">
        <v>1858</v>
      </c>
      <c r="P314" s="27">
        <v>5500</v>
      </c>
      <c r="Q314" s="140">
        <v>0</v>
      </c>
      <c r="R314" s="27">
        <f t="shared" si="18"/>
        <v>0</v>
      </c>
      <c r="S314" s="28">
        <v>202306</v>
      </c>
      <c r="T314" s="184" t="s">
        <v>1859</v>
      </c>
      <c r="U314" s="184"/>
      <c r="V314" s="178">
        <v>0</v>
      </c>
      <c r="W314" s="35"/>
      <c r="X314" s="36">
        <v>44652</v>
      </c>
      <c r="Y314" s="36">
        <v>45016</v>
      </c>
      <c r="Z314" s="178">
        <v>0</v>
      </c>
      <c r="AA314" s="44">
        <v>0</v>
      </c>
      <c r="AB314" s="178">
        <v>0</v>
      </c>
      <c r="AC314" s="178">
        <f t="shared" ref="AC314:AC377" si="21">AA314*AB314</f>
        <v>0</v>
      </c>
    </row>
    <row r="315" spans="1:29" s="2" customFormat="1" ht="15" customHeight="1">
      <c r="A315" s="7" t="s">
        <v>871</v>
      </c>
      <c r="B315" s="5" t="s">
        <v>1732</v>
      </c>
      <c r="C315" s="5" t="s">
        <v>417</v>
      </c>
      <c r="D315" s="5" t="s">
        <v>1748</v>
      </c>
      <c r="E315" s="7" t="s">
        <v>1839</v>
      </c>
      <c r="F315" s="7" t="s">
        <v>1840</v>
      </c>
      <c r="G315" s="7" t="s">
        <v>34</v>
      </c>
      <c r="H315" s="11" t="s">
        <v>1854</v>
      </c>
      <c r="I315" s="11" t="e">
        <f>VLOOKUP(H315,合同高级查询数据!$A$2:$A$51,1,FALSE)</f>
        <v>#N/A</v>
      </c>
      <c r="J315" s="12" t="s">
        <v>36</v>
      </c>
      <c r="K315" s="7" t="s">
        <v>839</v>
      </c>
      <c r="L315" s="174" t="s">
        <v>1860</v>
      </c>
      <c r="M315" s="16" t="s">
        <v>1856</v>
      </c>
      <c r="N315" s="209" t="s">
        <v>1861</v>
      </c>
      <c r="O315" s="5" t="s">
        <v>1329</v>
      </c>
      <c r="P315" s="27">
        <v>5500</v>
      </c>
      <c r="Q315" s="140">
        <v>0</v>
      </c>
      <c r="R315" s="27">
        <f t="shared" si="18"/>
        <v>0</v>
      </c>
      <c r="S315" s="28">
        <v>202306</v>
      </c>
      <c r="T315" s="184" t="s">
        <v>1862</v>
      </c>
      <c r="U315" s="184"/>
      <c r="V315" s="178">
        <v>0</v>
      </c>
      <c r="W315" s="35"/>
      <c r="X315" s="36">
        <v>44652</v>
      </c>
      <c r="Y315" s="36">
        <v>45016</v>
      </c>
      <c r="Z315" s="178">
        <v>0</v>
      </c>
      <c r="AA315" s="44">
        <v>0</v>
      </c>
      <c r="AB315" s="178">
        <v>0</v>
      </c>
      <c r="AC315" s="178">
        <f t="shared" si="21"/>
        <v>0</v>
      </c>
    </row>
    <row r="316" spans="1:29" s="2" customFormat="1" ht="15" customHeight="1">
      <c r="A316" s="7" t="s">
        <v>871</v>
      </c>
      <c r="B316" s="5" t="s">
        <v>1732</v>
      </c>
      <c r="C316" s="5" t="s">
        <v>417</v>
      </c>
      <c r="D316" s="5" t="s">
        <v>1748</v>
      </c>
      <c r="E316" s="7" t="s">
        <v>1839</v>
      </c>
      <c r="F316" s="7" t="s">
        <v>1840</v>
      </c>
      <c r="G316" s="7" t="s">
        <v>34</v>
      </c>
      <c r="H316" s="11" t="s">
        <v>1863</v>
      </c>
      <c r="I316" s="11" t="e">
        <f>VLOOKUP(H316,合同高级查询数据!$A$2:$A$51,1,FALSE)</f>
        <v>#N/A</v>
      </c>
      <c r="J316" s="12" t="s">
        <v>36</v>
      </c>
      <c r="K316" s="7" t="s">
        <v>1864</v>
      </c>
      <c r="L316" s="174" t="s">
        <v>1865</v>
      </c>
      <c r="M316" s="16" t="s">
        <v>1866</v>
      </c>
      <c r="N316" s="209" t="s">
        <v>1867</v>
      </c>
      <c r="O316" s="5" t="s">
        <v>1329</v>
      </c>
      <c r="P316" s="27">
        <v>5000</v>
      </c>
      <c r="Q316" s="140">
        <v>0</v>
      </c>
      <c r="R316" s="27">
        <f t="shared" si="18"/>
        <v>0</v>
      </c>
      <c r="S316" s="28">
        <v>202306</v>
      </c>
      <c r="T316" s="184" t="s">
        <v>1868</v>
      </c>
      <c r="U316" s="184"/>
      <c r="V316" s="178">
        <v>0</v>
      </c>
      <c r="W316" s="35"/>
      <c r="X316" s="36">
        <v>44866</v>
      </c>
      <c r="Y316" s="36">
        <v>45230</v>
      </c>
      <c r="Z316" s="178">
        <v>0</v>
      </c>
      <c r="AA316" s="44">
        <v>0</v>
      </c>
      <c r="AB316" s="178">
        <v>0</v>
      </c>
      <c r="AC316" s="178">
        <f t="shared" si="21"/>
        <v>0</v>
      </c>
    </row>
    <row r="317" spans="1:29" s="2" customFormat="1" ht="15" customHeight="1">
      <c r="A317" s="7" t="s">
        <v>871</v>
      </c>
      <c r="B317" s="5" t="s">
        <v>1732</v>
      </c>
      <c r="C317" s="5" t="s">
        <v>417</v>
      </c>
      <c r="D317" s="5" t="s">
        <v>1748</v>
      </c>
      <c r="E317" s="7" t="s">
        <v>1839</v>
      </c>
      <c r="F317" s="7" t="s">
        <v>1840</v>
      </c>
      <c r="G317" s="7" t="s">
        <v>34</v>
      </c>
      <c r="H317" s="11" t="s">
        <v>1863</v>
      </c>
      <c r="I317" s="11" t="e">
        <f>VLOOKUP(H317,合同高级查询数据!$A$2:$A$51,1,FALSE)</f>
        <v>#N/A</v>
      </c>
      <c r="J317" s="12" t="s">
        <v>36</v>
      </c>
      <c r="K317" s="7" t="s">
        <v>1864</v>
      </c>
      <c r="L317" s="174" t="s">
        <v>1869</v>
      </c>
      <c r="M317" s="16" t="s">
        <v>1866</v>
      </c>
      <c r="N317" s="209" t="s">
        <v>1870</v>
      </c>
      <c r="O317" s="5" t="s">
        <v>1871</v>
      </c>
      <c r="P317" s="27">
        <v>5000</v>
      </c>
      <c r="Q317" s="140">
        <v>182.3</v>
      </c>
      <c r="R317" s="27">
        <f t="shared" si="18"/>
        <v>911500</v>
      </c>
      <c r="S317" s="28">
        <v>202306</v>
      </c>
      <c r="T317" s="184" t="s">
        <v>1872</v>
      </c>
      <c r="U317" s="184"/>
      <c r="V317" s="178">
        <v>182.21952819800001</v>
      </c>
      <c r="W317" s="35"/>
      <c r="X317" s="36">
        <v>44866</v>
      </c>
      <c r="Y317" s="36">
        <v>45230</v>
      </c>
      <c r="Z317" s="5" t="s">
        <v>1873</v>
      </c>
      <c r="AA317" s="45">
        <v>0.4</v>
      </c>
      <c r="AB317" s="34">
        <v>400</v>
      </c>
      <c r="AC317" s="178">
        <f t="shared" si="21"/>
        <v>160</v>
      </c>
    </row>
    <row r="318" spans="1:29" s="2" customFormat="1" ht="15" customHeight="1">
      <c r="A318" s="7" t="s">
        <v>871</v>
      </c>
      <c r="B318" s="5" t="s">
        <v>1732</v>
      </c>
      <c r="C318" s="5" t="s">
        <v>1278</v>
      </c>
      <c r="D318" s="5" t="s">
        <v>1791</v>
      </c>
      <c r="E318" s="7" t="s">
        <v>1874</v>
      </c>
      <c r="F318" s="7" t="s">
        <v>1875</v>
      </c>
      <c r="G318" s="7" t="s">
        <v>34</v>
      </c>
      <c r="H318" s="11" t="s">
        <v>1876</v>
      </c>
      <c r="I318" s="11" t="e">
        <f>VLOOKUP(H318,合同高级查询数据!$A$2:$A$51,1,FALSE)</f>
        <v>#N/A</v>
      </c>
      <c r="J318" s="12" t="s">
        <v>36</v>
      </c>
      <c r="K318" s="7" t="s">
        <v>1293</v>
      </c>
      <c r="L318" s="174" t="s">
        <v>1877</v>
      </c>
      <c r="M318" s="16" t="s">
        <v>1878</v>
      </c>
      <c r="N318" s="36" t="s">
        <v>1879</v>
      </c>
      <c r="O318" s="5" t="s">
        <v>1880</v>
      </c>
      <c r="P318" s="27">
        <v>5667</v>
      </c>
      <c r="Q318" s="140">
        <v>0</v>
      </c>
      <c r="R318" s="27">
        <f t="shared" si="18"/>
        <v>0</v>
      </c>
      <c r="S318" s="28">
        <v>202306</v>
      </c>
      <c r="T318" s="184" t="s">
        <v>1881</v>
      </c>
      <c r="U318" s="184"/>
      <c r="V318" s="178">
        <v>0</v>
      </c>
      <c r="W318" s="35"/>
      <c r="X318" s="36">
        <v>44378</v>
      </c>
      <c r="Y318" s="36">
        <v>44742</v>
      </c>
      <c r="Z318" s="178">
        <v>0</v>
      </c>
      <c r="AA318" s="44">
        <v>0</v>
      </c>
      <c r="AB318" s="178">
        <v>0</v>
      </c>
      <c r="AC318" s="178">
        <f t="shared" si="21"/>
        <v>0</v>
      </c>
    </row>
    <row r="319" spans="1:29" s="2" customFormat="1" ht="15" customHeight="1">
      <c r="A319" s="7" t="s">
        <v>871</v>
      </c>
      <c r="B319" s="5" t="s">
        <v>1732</v>
      </c>
      <c r="C319" s="5" t="s">
        <v>1882</v>
      </c>
      <c r="D319" s="5" t="s">
        <v>1748</v>
      </c>
      <c r="E319" s="7" t="s">
        <v>1874</v>
      </c>
      <c r="F319" s="7" t="s">
        <v>1875</v>
      </c>
      <c r="G319" s="7" t="s">
        <v>34</v>
      </c>
      <c r="H319" s="11" t="s">
        <v>1883</v>
      </c>
      <c r="I319" s="11" t="e">
        <f>VLOOKUP(H319,合同高级查询数据!$A$2:$A$51,1,FALSE)</f>
        <v>#N/A</v>
      </c>
      <c r="J319" s="12" t="s">
        <v>36</v>
      </c>
      <c r="K319" s="7" t="s">
        <v>1884</v>
      </c>
      <c r="L319" s="174" t="s">
        <v>1885</v>
      </c>
      <c r="M319" s="16" t="s">
        <v>1886</v>
      </c>
      <c r="N319" s="36" t="s">
        <v>1887</v>
      </c>
      <c r="O319" s="5" t="s">
        <v>1329</v>
      </c>
      <c r="P319" s="27">
        <v>5833</v>
      </c>
      <c r="Q319" s="140">
        <v>0</v>
      </c>
      <c r="R319" s="27">
        <f t="shared" si="18"/>
        <v>0</v>
      </c>
      <c r="S319" s="28">
        <v>202306</v>
      </c>
      <c r="T319" s="184" t="s">
        <v>1888</v>
      </c>
      <c r="U319" s="184"/>
      <c r="V319" s="178">
        <v>0</v>
      </c>
      <c r="W319" s="35"/>
      <c r="X319" s="36">
        <v>44228</v>
      </c>
      <c r="Y319" s="36">
        <v>44592</v>
      </c>
      <c r="Z319" s="178">
        <v>0</v>
      </c>
      <c r="AA319" s="44">
        <v>0</v>
      </c>
      <c r="AB319" s="178">
        <v>0</v>
      </c>
      <c r="AC319" s="178">
        <f t="shared" si="21"/>
        <v>0</v>
      </c>
    </row>
    <row r="320" spans="1:29" s="2" customFormat="1" ht="15" customHeight="1">
      <c r="A320" s="7" t="s">
        <v>871</v>
      </c>
      <c r="B320" s="5" t="s">
        <v>1732</v>
      </c>
      <c r="C320" s="5" t="s">
        <v>1278</v>
      </c>
      <c r="D320" s="5" t="s">
        <v>1791</v>
      </c>
      <c r="E320" s="7" t="s">
        <v>1889</v>
      </c>
      <c r="F320" s="7" t="s">
        <v>1890</v>
      </c>
      <c r="G320" s="7" t="s">
        <v>34</v>
      </c>
      <c r="H320" s="11" t="s">
        <v>1891</v>
      </c>
      <c r="I320" s="11" t="e">
        <f>VLOOKUP(H320,合同高级查询数据!$A$2:$A$51,1,FALSE)</f>
        <v>#N/A</v>
      </c>
      <c r="J320" s="12" t="s">
        <v>36</v>
      </c>
      <c r="K320" s="7" t="s">
        <v>1892</v>
      </c>
      <c r="L320" s="174" t="s">
        <v>1893</v>
      </c>
      <c r="M320" s="16" t="s">
        <v>1894</v>
      </c>
      <c r="N320" s="36" t="s">
        <v>1895</v>
      </c>
      <c r="O320" s="5" t="s">
        <v>1896</v>
      </c>
      <c r="P320" s="26">
        <v>5666.67</v>
      </c>
      <c r="Q320" s="140">
        <v>0</v>
      </c>
      <c r="R320" s="27">
        <f t="shared" si="18"/>
        <v>0</v>
      </c>
      <c r="S320" s="28">
        <v>202306</v>
      </c>
      <c r="T320" s="184" t="s">
        <v>1897</v>
      </c>
      <c r="U320" s="184"/>
      <c r="V320" s="178">
        <v>0</v>
      </c>
      <c r="W320" s="35"/>
      <c r="X320" s="36">
        <v>44470</v>
      </c>
      <c r="Y320" s="36">
        <v>44834</v>
      </c>
      <c r="Z320" s="178">
        <v>0</v>
      </c>
      <c r="AA320" s="44">
        <v>0</v>
      </c>
      <c r="AB320" s="178">
        <v>0</v>
      </c>
      <c r="AC320" s="178">
        <f t="shared" si="21"/>
        <v>0</v>
      </c>
    </row>
    <row r="321" spans="1:29" s="2" customFormat="1" ht="15" customHeight="1">
      <c r="A321" s="7" t="s">
        <v>871</v>
      </c>
      <c r="B321" s="5" t="s">
        <v>1732</v>
      </c>
      <c r="C321" s="5" t="s">
        <v>1278</v>
      </c>
      <c r="D321" s="5" t="s">
        <v>1791</v>
      </c>
      <c r="E321" s="7" t="s">
        <v>1889</v>
      </c>
      <c r="F321" s="7" t="s">
        <v>1890</v>
      </c>
      <c r="G321" s="7" t="s">
        <v>34</v>
      </c>
      <c r="H321" s="11" t="s">
        <v>1891</v>
      </c>
      <c r="I321" s="11" t="e">
        <f>VLOOKUP(H321,合同高级查询数据!$A$2:$A$51,1,FALSE)</f>
        <v>#N/A</v>
      </c>
      <c r="J321" s="12" t="s">
        <v>36</v>
      </c>
      <c r="K321" s="7" t="s">
        <v>1300</v>
      </c>
      <c r="L321" s="174" t="s">
        <v>1898</v>
      </c>
      <c r="M321" s="16" t="s">
        <v>1899</v>
      </c>
      <c r="N321" s="36" t="s">
        <v>1900</v>
      </c>
      <c r="O321" s="5" t="s">
        <v>1329</v>
      </c>
      <c r="P321" s="26">
        <v>5666.67</v>
      </c>
      <c r="Q321" s="140">
        <v>0</v>
      </c>
      <c r="R321" s="27">
        <f t="shared" si="18"/>
        <v>0</v>
      </c>
      <c r="S321" s="28">
        <v>202306</v>
      </c>
      <c r="T321" s="184" t="s">
        <v>1901</v>
      </c>
      <c r="U321" s="184"/>
      <c r="V321" s="178">
        <v>0</v>
      </c>
      <c r="W321" s="35"/>
      <c r="X321" s="36">
        <v>44470</v>
      </c>
      <c r="Y321" s="36">
        <v>44834</v>
      </c>
      <c r="Z321" s="178">
        <v>0</v>
      </c>
      <c r="AA321" s="44">
        <v>0</v>
      </c>
      <c r="AB321" s="178">
        <v>0</v>
      </c>
      <c r="AC321" s="178">
        <f t="shared" si="21"/>
        <v>0</v>
      </c>
    </row>
    <row r="322" spans="1:29" s="3" customFormat="1" ht="15" customHeight="1">
      <c r="A322" s="215" t="s">
        <v>859</v>
      </c>
      <c r="B322" s="65" t="s">
        <v>1732</v>
      </c>
      <c r="C322" s="65" t="s">
        <v>1902</v>
      </c>
      <c r="D322" s="65" t="s">
        <v>1791</v>
      </c>
      <c r="E322" s="86" t="s">
        <v>1889</v>
      </c>
      <c r="F322" s="86" t="s">
        <v>1890</v>
      </c>
      <c r="G322" s="86" t="s">
        <v>34</v>
      </c>
      <c r="H322" s="53" t="s">
        <v>1903</v>
      </c>
      <c r="I322" s="53" t="e">
        <f>VLOOKUP(H322,合同高级查询数据!$A$2:$A$51,1,FALSE)</f>
        <v>#N/A</v>
      </c>
      <c r="J322" s="51" t="s">
        <v>36</v>
      </c>
      <c r="K322" s="86" t="s">
        <v>1904</v>
      </c>
      <c r="L322" s="175" t="s">
        <v>1905</v>
      </c>
      <c r="M322" s="54" t="s">
        <v>1906</v>
      </c>
      <c r="N322" s="64" t="s">
        <v>1907</v>
      </c>
      <c r="O322" s="65" t="s">
        <v>1908</v>
      </c>
      <c r="P322" s="98">
        <v>6000</v>
      </c>
      <c r="Q322" s="99">
        <v>120.6</v>
      </c>
      <c r="R322" s="58">
        <f t="shared" si="18"/>
        <v>723600</v>
      </c>
      <c r="S322" s="59">
        <v>202306</v>
      </c>
      <c r="T322" s="185" t="s">
        <v>1909</v>
      </c>
      <c r="U322" s="185"/>
      <c r="V322" s="196">
        <v>120.58197784399999</v>
      </c>
      <c r="W322" s="103"/>
      <c r="X322" s="64"/>
      <c r="Y322" s="64"/>
      <c r="Z322" s="65" t="s">
        <v>1910</v>
      </c>
      <c r="AA322" s="200">
        <v>0.4</v>
      </c>
      <c r="AB322" s="104">
        <v>300</v>
      </c>
      <c r="AC322" s="196">
        <f t="shared" si="21"/>
        <v>120</v>
      </c>
    </row>
    <row r="323" spans="1:29" s="3" customFormat="1" ht="15" customHeight="1">
      <c r="A323" s="215" t="s">
        <v>859</v>
      </c>
      <c r="B323" s="65" t="s">
        <v>1732</v>
      </c>
      <c r="C323" s="65" t="s">
        <v>1902</v>
      </c>
      <c r="D323" s="65" t="s">
        <v>1791</v>
      </c>
      <c r="E323" s="86" t="s">
        <v>1889</v>
      </c>
      <c r="F323" s="86" t="s">
        <v>1890</v>
      </c>
      <c r="G323" s="86" t="s">
        <v>34</v>
      </c>
      <c r="H323" s="53" t="s">
        <v>1903</v>
      </c>
      <c r="I323" s="53" t="e">
        <f>VLOOKUP(H323,合同高级查询数据!$A$2:$A$51,1,FALSE)</f>
        <v>#N/A</v>
      </c>
      <c r="J323" s="51" t="s">
        <v>36</v>
      </c>
      <c r="K323" s="86" t="s">
        <v>1904</v>
      </c>
      <c r="L323" s="175" t="s">
        <v>1911</v>
      </c>
      <c r="M323" s="54" t="s">
        <v>1906</v>
      </c>
      <c r="N323" s="64" t="s">
        <v>1912</v>
      </c>
      <c r="O323" s="65" t="s">
        <v>969</v>
      </c>
      <c r="P323" s="98">
        <v>6000</v>
      </c>
      <c r="Q323" s="99">
        <v>80</v>
      </c>
      <c r="R323" s="58">
        <f t="shared" si="18"/>
        <v>480000</v>
      </c>
      <c r="S323" s="59">
        <v>202306</v>
      </c>
      <c r="T323" s="185" t="s">
        <v>1913</v>
      </c>
      <c r="U323" s="185"/>
      <c r="V323" s="196">
        <v>79.077262877999999</v>
      </c>
      <c r="W323" s="212"/>
      <c r="X323" s="64"/>
      <c r="Y323" s="64"/>
      <c r="Z323" s="65" t="s">
        <v>1914</v>
      </c>
      <c r="AA323" s="200">
        <v>0.4</v>
      </c>
      <c r="AB323" s="104">
        <v>200</v>
      </c>
      <c r="AC323" s="196">
        <f t="shared" si="21"/>
        <v>80</v>
      </c>
    </row>
    <row r="324" spans="1:29" s="3" customFormat="1" ht="15" customHeight="1">
      <c r="A324" s="215" t="s">
        <v>859</v>
      </c>
      <c r="B324" s="65" t="s">
        <v>1732</v>
      </c>
      <c r="C324" s="65" t="s">
        <v>1278</v>
      </c>
      <c r="D324" s="65" t="s">
        <v>1791</v>
      </c>
      <c r="E324" s="86" t="s">
        <v>1889</v>
      </c>
      <c r="F324" s="86" t="s">
        <v>1890</v>
      </c>
      <c r="G324" s="86" t="s">
        <v>34</v>
      </c>
      <c r="H324" s="53" t="s">
        <v>1915</v>
      </c>
      <c r="I324" s="53" t="e">
        <f>VLOOKUP(H324,合同高级查询数据!$A$2:$A$51,1,FALSE)</f>
        <v>#N/A</v>
      </c>
      <c r="J324" s="51" t="s">
        <v>36</v>
      </c>
      <c r="K324" s="86" t="s">
        <v>1892</v>
      </c>
      <c r="L324" s="175" t="s">
        <v>1916</v>
      </c>
      <c r="M324" s="54" t="s">
        <v>1917</v>
      </c>
      <c r="N324" s="64" t="s">
        <v>1912</v>
      </c>
      <c r="O324" s="104" t="s">
        <v>1918</v>
      </c>
      <c r="P324" s="98">
        <v>5833.33</v>
      </c>
      <c r="Q324" s="99">
        <v>124.1</v>
      </c>
      <c r="R324" s="58">
        <f t="shared" si="18"/>
        <v>723916.25</v>
      </c>
      <c r="S324" s="59">
        <v>202306</v>
      </c>
      <c r="T324" s="185" t="s">
        <v>1919</v>
      </c>
      <c r="U324" s="185"/>
      <c r="V324" s="196">
        <v>124.018615723</v>
      </c>
      <c r="W324" s="212"/>
      <c r="X324" s="64"/>
      <c r="Y324" s="64"/>
      <c r="Z324" s="65" t="s">
        <v>1920</v>
      </c>
      <c r="AA324" s="200">
        <v>0.3</v>
      </c>
      <c r="AB324" s="104">
        <v>400</v>
      </c>
      <c r="AC324" s="196">
        <f t="shared" si="21"/>
        <v>120</v>
      </c>
    </row>
    <row r="325" spans="1:29" s="2" customFormat="1" ht="15" customHeight="1">
      <c r="A325" s="7" t="s">
        <v>871</v>
      </c>
      <c r="B325" s="5" t="s">
        <v>1732</v>
      </c>
      <c r="C325" s="5" t="s">
        <v>1278</v>
      </c>
      <c r="D325" s="5" t="s">
        <v>1791</v>
      </c>
      <c r="E325" s="7" t="s">
        <v>1889</v>
      </c>
      <c r="F325" s="7" t="s">
        <v>1890</v>
      </c>
      <c r="G325" s="7" t="s">
        <v>34</v>
      </c>
      <c r="H325" s="11" t="s">
        <v>1921</v>
      </c>
      <c r="I325" s="11" t="str">
        <f>VLOOKUP(H325,合同高级查询数据!$A$2:$A$51,1,FALSE)</f>
        <v>182315IDC00193</v>
      </c>
      <c r="J325" s="12" t="s">
        <v>36</v>
      </c>
      <c r="K325" s="7" t="s">
        <v>1288</v>
      </c>
      <c r="L325" s="174" t="s">
        <v>1922</v>
      </c>
      <c r="M325" s="16" t="s">
        <v>1923</v>
      </c>
      <c r="N325" s="209">
        <v>44593</v>
      </c>
      <c r="O325" s="34" t="s">
        <v>1924</v>
      </c>
      <c r="P325" s="26">
        <v>4600</v>
      </c>
      <c r="Q325" s="140">
        <v>157.80000000000001</v>
      </c>
      <c r="R325" s="27">
        <f t="shared" si="18"/>
        <v>725880</v>
      </c>
      <c r="S325" s="28">
        <v>202306</v>
      </c>
      <c r="T325" s="184" t="s">
        <v>1925</v>
      </c>
      <c r="U325" s="184"/>
      <c r="V325" s="178">
        <v>157.712600708</v>
      </c>
      <c r="W325" s="188"/>
      <c r="X325" s="192">
        <v>44958</v>
      </c>
      <c r="Y325" s="192">
        <v>45322</v>
      </c>
      <c r="Z325" s="5" t="s">
        <v>1926</v>
      </c>
      <c r="AA325" s="45">
        <v>0.3</v>
      </c>
      <c r="AB325" s="34">
        <v>440</v>
      </c>
      <c r="AC325" s="178">
        <f t="shared" si="21"/>
        <v>132</v>
      </c>
    </row>
    <row r="326" spans="1:29" s="3" customFormat="1" ht="15" customHeight="1">
      <c r="A326" s="86" t="s">
        <v>871</v>
      </c>
      <c r="B326" s="65" t="s">
        <v>1732</v>
      </c>
      <c r="C326" s="65" t="s">
        <v>1902</v>
      </c>
      <c r="D326" s="65" t="s">
        <v>1791</v>
      </c>
      <c r="E326" s="86" t="s">
        <v>1889</v>
      </c>
      <c r="F326" s="86" t="s">
        <v>1890</v>
      </c>
      <c r="G326" s="86" t="s">
        <v>34</v>
      </c>
      <c r="H326" s="53" t="s">
        <v>1927</v>
      </c>
      <c r="I326" s="53" t="e">
        <f>VLOOKUP(H326,合同高级查询数据!$A$2:$A$51,1,FALSE)</f>
        <v>#N/A</v>
      </c>
      <c r="J326" s="51" t="s">
        <v>36</v>
      </c>
      <c r="K326" s="86" t="s">
        <v>1904</v>
      </c>
      <c r="L326" s="175" t="s">
        <v>1928</v>
      </c>
      <c r="M326" s="54" t="s">
        <v>1929</v>
      </c>
      <c r="N326" s="198" t="s">
        <v>1930</v>
      </c>
      <c r="O326" s="104" t="s">
        <v>1931</v>
      </c>
      <c r="P326" s="98">
        <v>5000</v>
      </c>
      <c r="Q326" s="99">
        <v>90</v>
      </c>
      <c r="R326" s="58">
        <f t="shared" si="18"/>
        <v>450000</v>
      </c>
      <c r="S326" s="59">
        <v>202306</v>
      </c>
      <c r="T326" s="185" t="s">
        <v>1932</v>
      </c>
      <c r="U326" s="185"/>
      <c r="V326" s="196">
        <v>89.636688231999997</v>
      </c>
      <c r="W326" s="212"/>
      <c r="X326" s="64"/>
      <c r="Y326" s="64"/>
      <c r="Z326" s="65" t="s">
        <v>1933</v>
      </c>
      <c r="AA326" s="200">
        <v>0.3</v>
      </c>
      <c r="AB326" s="104">
        <v>300</v>
      </c>
      <c r="AC326" s="196">
        <f t="shared" si="21"/>
        <v>90</v>
      </c>
    </row>
    <row r="327" spans="1:29" s="3" customFormat="1" ht="15" customHeight="1">
      <c r="A327" s="86" t="s">
        <v>871</v>
      </c>
      <c r="B327" s="65" t="s">
        <v>1732</v>
      </c>
      <c r="C327" s="65" t="s">
        <v>1278</v>
      </c>
      <c r="D327" s="65" t="s">
        <v>1791</v>
      </c>
      <c r="E327" s="86" t="s">
        <v>1889</v>
      </c>
      <c r="F327" s="86" t="s">
        <v>1890</v>
      </c>
      <c r="G327" s="86" t="s">
        <v>34</v>
      </c>
      <c r="H327" s="53" t="s">
        <v>1934</v>
      </c>
      <c r="I327" s="53" t="e">
        <f>VLOOKUP(H327,合同高级查询数据!$A$2:$A$51,1,FALSE)</f>
        <v>#N/A</v>
      </c>
      <c r="J327" s="51" t="s">
        <v>36</v>
      </c>
      <c r="K327" s="86" t="s">
        <v>1288</v>
      </c>
      <c r="L327" s="175" t="s">
        <v>1935</v>
      </c>
      <c r="M327" s="54" t="s">
        <v>1923</v>
      </c>
      <c r="N327" s="198">
        <v>44775</v>
      </c>
      <c r="O327" s="104" t="s">
        <v>434</v>
      </c>
      <c r="P327" s="98">
        <v>4600</v>
      </c>
      <c r="Q327" s="99">
        <v>72.900000000000006</v>
      </c>
      <c r="R327" s="58">
        <f t="shared" si="18"/>
        <v>335340</v>
      </c>
      <c r="S327" s="59">
        <v>202306</v>
      </c>
      <c r="T327" s="185" t="s">
        <v>1936</v>
      </c>
      <c r="U327" s="185"/>
      <c r="V327" s="196">
        <v>72.870094299000002</v>
      </c>
      <c r="W327" s="212"/>
      <c r="X327" s="64"/>
      <c r="Y327" s="64"/>
      <c r="Z327" s="65" t="s">
        <v>1937</v>
      </c>
      <c r="AA327" s="200">
        <v>0.3</v>
      </c>
      <c r="AB327" s="104">
        <v>200</v>
      </c>
      <c r="AC327" s="196">
        <f t="shared" si="21"/>
        <v>60</v>
      </c>
    </row>
    <row r="328" spans="1:29" s="3" customFormat="1" ht="15" customHeight="1">
      <c r="A328" s="86" t="s">
        <v>878</v>
      </c>
      <c r="B328" s="65" t="s">
        <v>1732</v>
      </c>
      <c r="C328" s="65" t="s">
        <v>1445</v>
      </c>
      <c r="D328" s="65" t="s">
        <v>1791</v>
      </c>
      <c r="E328" s="86" t="s">
        <v>1889</v>
      </c>
      <c r="F328" s="86" t="s">
        <v>1890</v>
      </c>
      <c r="G328" s="86" t="s">
        <v>34</v>
      </c>
      <c r="H328" s="53" t="s">
        <v>1938</v>
      </c>
      <c r="I328" s="53" t="e">
        <f>VLOOKUP(H328,合同高级查询数据!$A$2:$A$51,1,FALSE)</f>
        <v>#N/A</v>
      </c>
      <c r="J328" s="51" t="s">
        <v>36</v>
      </c>
      <c r="K328" s="86" t="s">
        <v>1445</v>
      </c>
      <c r="L328" s="175" t="s">
        <v>1939</v>
      </c>
      <c r="M328" s="54" t="s">
        <v>1940</v>
      </c>
      <c r="N328" s="198">
        <v>44987</v>
      </c>
      <c r="O328" s="104" t="s">
        <v>1941</v>
      </c>
      <c r="P328" s="98">
        <v>2800</v>
      </c>
      <c r="Q328" s="99">
        <v>0</v>
      </c>
      <c r="R328" s="58">
        <f t="shared" si="18"/>
        <v>0</v>
      </c>
      <c r="S328" s="59">
        <v>202306</v>
      </c>
      <c r="T328" s="185" t="s">
        <v>1942</v>
      </c>
      <c r="U328" s="185"/>
      <c r="V328" s="196">
        <v>0</v>
      </c>
      <c r="W328" s="212"/>
      <c r="X328" s="64"/>
      <c r="Y328" s="64"/>
      <c r="Z328" s="196" t="s">
        <v>1943</v>
      </c>
      <c r="AA328" s="201">
        <v>1</v>
      </c>
      <c r="AB328" s="196">
        <v>80</v>
      </c>
      <c r="AC328" s="196">
        <f t="shared" si="21"/>
        <v>80</v>
      </c>
    </row>
    <row r="329" spans="1:29" s="2" customFormat="1" ht="15" customHeight="1">
      <c r="A329" s="7" t="s">
        <v>878</v>
      </c>
      <c r="B329" s="7" t="s">
        <v>1732</v>
      </c>
      <c r="C329" s="7" t="s">
        <v>1308</v>
      </c>
      <c r="D329" s="5" t="s">
        <v>31</v>
      </c>
      <c r="E329" s="7" t="s">
        <v>1944</v>
      </c>
      <c r="F329" s="7" t="s">
        <v>1945</v>
      </c>
      <c r="G329" s="7" t="s">
        <v>34</v>
      </c>
      <c r="H329" s="11" t="s">
        <v>1946</v>
      </c>
      <c r="I329" s="11" t="e">
        <f>VLOOKUP(H329,合同高级查询数据!$A$2:$A$51,1,FALSE)</f>
        <v>#N/A</v>
      </c>
      <c r="J329" s="12" t="s">
        <v>36</v>
      </c>
      <c r="K329" s="7" t="s">
        <v>1717</v>
      </c>
      <c r="L329" s="174" t="s">
        <v>1947</v>
      </c>
      <c r="M329" s="16" t="s">
        <v>1948</v>
      </c>
      <c r="N329" s="208" t="s">
        <v>1949</v>
      </c>
      <c r="O329" s="208" t="s">
        <v>1950</v>
      </c>
      <c r="P329" s="27">
        <v>5000</v>
      </c>
      <c r="Q329" s="140">
        <v>96.4</v>
      </c>
      <c r="R329" s="27">
        <f t="shared" si="18"/>
        <v>482000</v>
      </c>
      <c r="S329" s="28">
        <v>202306</v>
      </c>
      <c r="T329" s="184" t="s">
        <v>1951</v>
      </c>
      <c r="U329" s="37"/>
      <c r="V329" s="178">
        <v>96.376907349000007</v>
      </c>
      <c r="W329" s="35"/>
      <c r="X329" s="36">
        <v>44835</v>
      </c>
      <c r="Y329" s="21">
        <v>45199</v>
      </c>
      <c r="Z329" s="213" t="s">
        <v>1952</v>
      </c>
      <c r="AA329" s="45">
        <v>0.4</v>
      </c>
      <c r="AB329" s="34">
        <v>220</v>
      </c>
      <c r="AC329" s="178">
        <f t="shared" si="21"/>
        <v>88</v>
      </c>
    </row>
    <row r="330" spans="1:29" s="3" customFormat="1" ht="15" customHeight="1">
      <c r="A330" s="86" t="s">
        <v>871</v>
      </c>
      <c r="B330" s="86" t="s">
        <v>1732</v>
      </c>
      <c r="C330" s="86" t="s">
        <v>214</v>
      </c>
      <c r="D330" s="65" t="s">
        <v>31</v>
      </c>
      <c r="E330" s="86" t="s">
        <v>1944</v>
      </c>
      <c r="F330" s="86" t="s">
        <v>1945</v>
      </c>
      <c r="G330" s="86" t="s">
        <v>34</v>
      </c>
      <c r="H330" s="53" t="s">
        <v>1953</v>
      </c>
      <c r="I330" s="53" t="e">
        <f>VLOOKUP(H330,合同高级查询数据!$A$2:$A$51,1,FALSE)</f>
        <v>#N/A</v>
      </c>
      <c r="J330" s="51" t="s">
        <v>36</v>
      </c>
      <c r="K330" s="86" t="s">
        <v>746</v>
      </c>
      <c r="L330" s="65" t="s">
        <v>1954</v>
      </c>
      <c r="M330" s="54" t="s">
        <v>1955</v>
      </c>
      <c r="N330" s="211" t="s">
        <v>1956</v>
      </c>
      <c r="O330" s="211" t="s">
        <v>1957</v>
      </c>
      <c r="P330" s="58">
        <v>5400</v>
      </c>
      <c r="Q330" s="99">
        <v>30</v>
      </c>
      <c r="R330" s="58">
        <f t="shared" si="18"/>
        <v>162000</v>
      </c>
      <c r="S330" s="59">
        <v>202306</v>
      </c>
      <c r="T330" s="185" t="s">
        <v>1958</v>
      </c>
      <c r="U330" s="195"/>
      <c r="V330" s="196">
        <v>29.545684814000001</v>
      </c>
      <c r="W330" s="103"/>
      <c r="X330" s="64"/>
      <c r="Y330" s="64"/>
      <c r="Z330" s="65" t="s">
        <v>1959</v>
      </c>
      <c r="AA330" s="200">
        <v>0.3</v>
      </c>
      <c r="AB330" s="104">
        <v>100</v>
      </c>
      <c r="AC330" s="196">
        <f t="shared" si="21"/>
        <v>30</v>
      </c>
    </row>
    <row r="331" spans="1:29" s="2" customFormat="1" ht="15" customHeight="1">
      <c r="A331" s="7" t="s">
        <v>859</v>
      </c>
      <c r="B331" s="7" t="s">
        <v>1732</v>
      </c>
      <c r="C331" s="7" t="s">
        <v>1376</v>
      </c>
      <c r="D331" s="5" t="s">
        <v>1791</v>
      </c>
      <c r="E331" s="7" t="s">
        <v>1944</v>
      </c>
      <c r="F331" s="7" t="s">
        <v>1945</v>
      </c>
      <c r="G331" s="7" t="s">
        <v>34</v>
      </c>
      <c r="H331" s="11" t="s">
        <v>1960</v>
      </c>
      <c r="I331" s="11" t="e">
        <f>VLOOKUP(H331,合同高级查询数据!$A$2:$A$51,1,FALSE)</f>
        <v>#N/A</v>
      </c>
      <c r="J331" s="12" t="s">
        <v>36</v>
      </c>
      <c r="K331" s="7" t="s">
        <v>1567</v>
      </c>
      <c r="L331" s="7" t="s">
        <v>1961</v>
      </c>
      <c r="M331" s="16" t="s">
        <v>1962</v>
      </c>
      <c r="N331" s="208" t="s">
        <v>1963</v>
      </c>
      <c r="O331" s="208" t="s">
        <v>1964</v>
      </c>
      <c r="P331" s="27">
        <v>16667</v>
      </c>
      <c r="Q331" s="140">
        <v>52</v>
      </c>
      <c r="R331" s="27">
        <f t="shared" si="18"/>
        <v>866684</v>
      </c>
      <c r="S331" s="28">
        <v>202306</v>
      </c>
      <c r="T331" s="184" t="s">
        <v>1965</v>
      </c>
      <c r="U331" s="37"/>
      <c r="V331" s="178">
        <v>43.049171448000003</v>
      </c>
      <c r="W331" s="35"/>
      <c r="X331" s="36">
        <v>44835</v>
      </c>
      <c r="Y331" s="21">
        <v>45199</v>
      </c>
      <c r="Z331" s="5" t="s">
        <v>1966</v>
      </c>
      <c r="AA331" s="45">
        <v>0.2</v>
      </c>
      <c r="AB331" s="34">
        <v>260</v>
      </c>
      <c r="AC331" s="178">
        <f t="shared" si="21"/>
        <v>52</v>
      </c>
    </row>
    <row r="332" spans="1:29" s="2" customFormat="1" ht="15" customHeight="1">
      <c r="A332" s="7" t="s">
        <v>859</v>
      </c>
      <c r="B332" s="7" t="s">
        <v>1732</v>
      </c>
      <c r="C332" s="7" t="s">
        <v>1376</v>
      </c>
      <c r="D332" s="5" t="s">
        <v>1791</v>
      </c>
      <c r="E332" s="7" t="s">
        <v>1944</v>
      </c>
      <c r="F332" s="7" t="s">
        <v>1945</v>
      </c>
      <c r="G332" s="7" t="s">
        <v>34</v>
      </c>
      <c r="H332" s="11" t="s">
        <v>1960</v>
      </c>
      <c r="I332" s="11" t="e">
        <f>VLOOKUP(H332,合同高级查询数据!$A$2:$A$51,1,FALSE)</f>
        <v>#N/A</v>
      </c>
      <c r="J332" s="12" t="s">
        <v>36</v>
      </c>
      <c r="K332" s="7" t="s">
        <v>1567</v>
      </c>
      <c r="L332" s="7" t="s">
        <v>1967</v>
      </c>
      <c r="M332" s="16" t="s">
        <v>1968</v>
      </c>
      <c r="N332" s="208" t="s">
        <v>1969</v>
      </c>
      <c r="O332" s="208" t="s">
        <v>1964</v>
      </c>
      <c r="P332" s="27">
        <v>16667</v>
      </c>
      <c r="Q332" s="140">
        <v>52</v>
      </c>
      <c r="R332" s="27">
        <f t="shared" si="18"/>
        <v>866684</v>
      </c>
      <c r="S332" s="28">
        <v>202306</v>
      </c>
      <c r="T332" s="184" t="s">
        <v>1970</v>
      </c>
      <c r="U332" s="37"/>
      <c r="V332" s="178">
        <v>43.572212219000001</v>
      </c>
      <c r="W332" s="35"/>
      <c r="X332" s="36">
        <v>44835</v>
      </c>
      <c r="Y332" s="21">
        <v>45199</v>
      </c>
      <c r="Z332" s="5" t="s">
        <v>1971</v>
      </c>
      <c r="AA332" s="45">
        <v>0.2</v>
      </c>
      <c r="AB332" s="34">
        <v>260</v>
      </c>
      <c r="AC332" s="178">
        <f t="shared" si="21"/>
        <v>52</v>
      </c>
    </row>
    <row r="333" spans="1:29" s="3" customFormat="1" ht="15" customHeight="1">
      <c r="A333" s="86" t="s">
        <v>859</v>
      </c>
      <c r="B333" s="86" t="s">
        <v>1732</v>
      </c>
      <c r="C333" s="86" t="s">
        <v>1972</v>
      </c>
      <c r="D333" s="65" t="s">
        <v>31</v>
      </c>
      <c r="E333" s="86" t="s">
        <v>1944</v>
      </c>
      <c r="F333" s="86" t="s">
        <v>1945</v>
      </c>
      <c r="G333" s="86" t="s">
        <v>34</v>
      </c>
      <c r="H333" s="53" t="s">
        <v>1973</v>
      </c>
      <c r="I333" s="53" t="e">
        <f>VLOOKUP(H333,合同高级查询数据!$A$2:$A$51,1,FALSE)</f>
        <v>#N/A</v>
      </c>
      <c r="J333" s="51" t="s">
        <v>36</v>
      </c>
      <c r="K333" s="175" t="s">
        <v>1974</v>
      </c>
      <c r="L333" s="175" t="s">
        <v>1975</v>
      </c>
      <c r="M333" s="54" t="s">
        <v>1976</v>
      </c>
      <c r="N333" s="64" t="s">
        <v>1977</v>
      </c>
      <c r="O333" s="218" t="s">
        <v>1807</v>
      </c>
      <c r="P333" s="58">
        <v>5000</v>
      </c>
      <c r="Q333" s="99">
        <v>39.299999999999997</v>
      </c>
      <c r="R333" s="58">
        <f t="shared" si="18"/>
        <v>196500</v>
      </c>
      <c r="S333" s="59">
        <v>202306</v>
      </c>
      <c r="T333" s="185" t="s">
        <v>1978</v>
      </c>
      <c r="U333" s="185"/>
      <c r="V333" s="196">
        <v>39.299137115000001</v>
      </c>
      <c r="W333" s="103"/>
      <c r="X333" s="211"/>
      <c r="Y333" s="211"/>
      <c r="Z333" s="65" t="s">
        <v>1979</v>
      </c>
      <c r="AA333" s="200">
        <v>0.3</v>
      </c>
      <c r="AB333" s="104">
        <v>120</v>
      </c>
      <c r="AC333" s="196">
        <f t="shared" si="21"/>
        <v>36</v>
      </c>
    </row>
    <row r="334" spans="1:29" s="2" customFormat="1" ht="15" customHeight="1">
      <c r="A334" s="203" t="s">
        <v>859</v>
      </c>
      <c r="B334" s="5" t="s">
        <v>1732</v>
      </c>
      <c r="C334" s="5" t="s">
        <v>1747</v>
      </c>
      <c r="D334" s="5" t="s">
        <v>1748</v>
      </c>
      <c r="E334" s="7" t="s">
        <v>1944</v>
      </c>
      <c r="F334" s="7" t="s">
        <v>1945</v>
      </c>
      <c r="G334" s="7" t="s">
        <v>34</v>
      </c>
      <c r="H334" s="11" t="s">
        <v>1980</v>
      </c>
      <c r="I334" s="11" t="e">
        <f>VLOOKUP(H334,合同高级查询数据!$A$2:$A$51,1,FALSE)</f>
        <v>#N/A</v>
      </c>
      <c r="J334" s="12" t="s">
        <v>36</v>
      </c>
      <c r="K334" s="7" t="s">
        <v>1981</v>
      </c>
      <c r="L334" s="174" t="s">
        <v>1982</v>
      </c>
      <c r="M334" s="16" t="s">
        <v>1983</v>
      </c>
      <c r="N334" s="36" t="s">
        <v>1984</v>
      </c>
      <c r="O334" s="5" t="s">
        <v>1880</v>
      </c>
      <c r="P334" s="27">
        <v>5416.67</v>
      </c>
      <c r="Q334" s="140">
        <v>0</v>
      </c>
      <c r="R334" s="27">
        <f t="shared" si="18"/>
        <v>0</v>
      </c>
      <c r="S334" s="28">
        <v>202306</v>
      </c>
      <c r="T334" s="184" t="s">
        <v>1985</v>
      </c>
      <c r="U334" s="184"/>
      <c r="V334" s="178">
        <v>0</v>
      </c>
      <c r="W334" s="35"/>
      <c r="X334" s="36">
        <v>44652</v>
      </c>
      <c r="Y334" s="36">
        <v>44681</v>
      </c>
      <c r="Z334" s="178">
        <v>0</v>
      </c>
      <c r="AA334" s="44">
        <v>0</v>
      </c>
      <c r="AB334" s="178">
        <v>0</v>
      </c>
      <c r="AC334" s="178">
        <f t="shared" si="21"/>
        <v>0</v>
      </c>
    </row>
    <row r="335" spans="1:29" s="2" customFormat="1" ht="15" customHeight="1">
      <c r="A335" s="203" t="s">
        <v>859</v>
      </c>
      <c r="B335" s="216" t="s">
        <v>1732</v>
      </c>
      <c r="C335" s="5" t="s">
        <v>1376</v>
      </c>
      <c r="D335" s="5" t="s">
        <v>1791</v>
      </c>
      <c r="E335" s="7" t="s">
        <v>1944</v>
      </c>
      <c r="F335" s="7" t="s">
        <v>1945</v>
      </c>
      <c r="G335" s="7" t="s">
        <v>34</v>
      </c>
      <c r="H335" s="11" t="s">
        <v>1986</v>
      </c>
      <c r="I335" s="11" t="e">
        <f>VLOOKUP(H335,合同高级查询数据!$A$2:$A$51,1,FALSE)</f>
        <v>#N/A</v>
      </c>
      <c r="J335" s="12" t="s">
        <v>36</v>
      </c>
      <c r="K335" s="7" t="s">
        <v>1567</v>
      </c>
      <c r="L335" s="174" t="s">
        <v>1987</v>
      </c>
      <c r="M335" s="16" t="s">
        <v>1988</v>
      </c>
      <c r="N335" s="36" t="s">
        <v>1989</v>
      </c>
      <c r="O335" s="5" t="s">
        <v>1990</v>
      </c>
      <c r="P335" s="27">
        <v>7000</v>
      </c>
      <c r="Q335" s="140">
        <v>0</v>
      </c>
      <c r="R335" s="27">
        <f t="shared" si="18"/>
        <v>0</v>
      </c>
      <c r="S335" s="28">
        <v>202306</v>
      </c>
      <c r="T335" s="184" t="s">
        <v>1991</v>
      </c>
      <c r="U335" s="184"/>
      <c r="V335" s="178">
        <v>0</v>
      </c>
      <c r="W335" s="35"/>
      <c r="X335" s="36">
        <v>44470</v>
      </c>
      <c r="Y335" s="36">
        <v>44834</v>
      </c>
      <c r="Z335" s="178">
        <v>0</v>
      </c>
      <c r="AA335" s="44">
        <v>0</v>
      </c>
      <c r="AB335" s="178">
        <v>0</v>
      </c>
      <c r="AC335" s="178">
        <f t="shared" si="21"/>
        <v>0</v>
      </c>
    </row>
    <row r="336" spans="1:29" s="2" customFormat="1" ht="15" customHeight="1">
      <c r="A336" s="203" t="s">
        <v>859</v>
      </c>
      <c r="B336" s="216" t="s">
        <v>1732</v>
      </c>
      <c r="C336" s="5" t="s">
        <v>860</v>
      </c>
      <c r="D336" s="5" t="s">
        <v>31</v>
      </c>
      <c r="E336" s="7" t="s">
        <v>1944</v>
      </c>
      <c r="F336" s="7" t="s">
        <v>1945</v>
      </c>
      <c r="G336" s="7" t="s">
        <v>34</v>
      </c>
      <c r="H336" s="11" t="s">
        <v>1992</v>
      </c>
      <c r="I336" s="11" t="e">
        <f>VLOOKUP(H336,合同高级查询数据!$A$2:$A$51,1,FALSE)</f>
        <v>#N/A</v>
      </c>
      <c r="J336" s="12" t="s">
        <v>36</v>
      </c>
      <c r="K336" s="7" t="s">
        <v>1085</v>
      </c>
      <c r="L336" s="174" t="s">
        <v>1993</v>
      </c>
      <c r="M336" s="16" t="s">
        <v>1994</v>
      </c>
      <c r="N336" s="36" t="s">
        <v>1995</v>
      </c>
      <c r="O336" s="5" t="s">
        <v>1329</v>
      </c>
      <c r="P336" s="27">
        <v>5000</v>
      </c>
      <c r="Q336" s="140">
        <v>0</v>
      </c>
      <c r="R336" s="27">
        <f t="shared" si="18"/>
        <v>0</v>
      </c>
      <c r="S336" s="28">
        <v>202306</v>
      </c>
      <c r="T336" s="184" t="s">
        <v>1996</v>
      </c>
      <c r="U336" s="184"/>
      <c r="V336" s="178">
        <v>0</v>
      </c>
      <c r="W336" s="35"/>
      <c r="X336" s="36">
        <v>44835</v>
      </c>
      <c r="Y336" s="21">
        <v>45199</v>
      </c>
      <c r="Z336" s="178">
        <v>0</v>
      </c>
      <c r="AA336" s="45">
        <v>0</v>
      </c>
      <c r="AB336" s="34">
        <v>0</v>
      </c>
      <c r="AC336" s="178">
        <f t="shared" si="21"/>
        <v>0</v>
      </c>
    </row>
    <row r="337" spans="1:29" s="2" customFormat="1" ht="15" customHeight="1">
      <c r="A337" s="203" t="s">
        <v>871</v>
      </c>
      <c r="B337" s="216" t="s">
        <v>1732</v>
      </c>
      <c r="C337" s="5" t="s">
        <v>1123</v>
      </c>
      <c r="D337" s="5" t="s">
        <v>31</v>
      </c>
      <c r="E337" s="7" t="s">
        <v>1944</v>
      </c>
      <c r="F337" s="7" t="s">
        <v>1945</v>
      </c>
      <c r="G337" s="7" t="s">
        <v>34</v>
      </c>
      <c r="H337" s="11" t="s">
        <v>1997</v>
      </c>
      <c r="I337" s="11" t="e">
        <f>VLOOKUP(H337,合同高级查询数据!$A$2:$A$51,1,FALSE)</f>
        <v>#N/A</v>
      </c>
      <c r="J337" s="12" t="s">
        <v>36</v>
      </c>
      <c r="K337" s="7" t="s">
        <v>1998</v>
      </c>
      <c r="L337" s="174" t="s">
        <v>1999</v>
      </c>
      <c r="M337" s="16" t="s">
        <v>2000</v>
      </c>
      <c r="N337" s="36" t="s">
        <v>2001</v>
      </c>
      <c r="O337" s="5" t="s">
        <v>2002</v>
      </c>
      <c r="P337" s="27">
        <v>6250</v>
      </c>
      <c r="Q337" s="140">
        <v>44.4</v>
      </c>
      <c r="R337" s="27">
        <f t="shared" si="18"/>
        <v>277500</v>
      </c>
      <c r="S337" s="28">
        <v>202306</v>
      </c>
      <c r="T337" s="184" t="s">
        <v>2003</v>
      </c>
      <c r="U337" s="184"/>
      <c r="V337" s="178">
        <v>44.34016037</v>
      </c>
      <c r="W337" s="35"/>
      <c r="X337" s="36">
        <v>44896</v>
      </c>
      <c r="Y337" s="36">
        <v>45260</v>
      </c>
      <c r="Z337" s="5" t="s">
        <v>2004</v>
      </c>
      <c r="AA337" s="45">
        <v>0.3</v>
      </c>
      <c r="AB337" s="34">
        <v>140</v>
      </c>
      <c r="AC337" s="178">
        <f t="shared" si="21"/>
        <v>42</v>
      </c>
    </row>
    <row r="338" spans="1:29" s="2" customFormat="1" ht="15" customHeight="1">
      <c r="A338" s="7" t="s">
        <v>859</v>
      </c>
      <c r="B338" s="5" t="s">
        <v>1732</v>
      </c>
      <c r="C338" s="5" t="s">
        <v>1838</v>
      </c>
      <c r="D338" s="5" t="s">
        <v>1748</v>
      </c>
      <c r="E338" s="7" t="s">
        <v>1944</v>
      </c>
      <c r="F338" s="7" t="s">
        <v>1945</v>
      </c>
      <c r="G338" s="7" t="s">
        <v>34</v>
      </c>
      <c r="H338" s="12" t="s">
        <v>2005</v>
      </c>
      <c r="I338" s="11" t="e">
        <f>VLOOKUP(H338,合同高级查询数据!$A$2:$A$51,1,FALSE)</f>
        <v>#N/A</v>
      </c>
      <c r="J338" s="12" t="s">
        <v>36</v>
      </c>
      <c r="K338" s="5" t="s">
        <v>2006</v>
      </c>
      <c r="L338" s="5" t="s">
        <v>2007</v>
      </c>
      <c r="M338" s="5" t="s">
        <v>2008</v>
      </c>
      <c r="N338" s="36" t="s">
        <v>2009</v>
      </c>
      <c r="O338" s="5" t="s">
        <v>1329</v>
      </c>
      <c r="P338" s="26">
        <v>7917</v>
      </c>
      <c r="Q338" s="140">
        <v>0</v>
      </c>
      <c r="R338" s="27">
        <f t="shared" si="18"/>
        <v>0</v>
      </c>
      <c r="S338" s="28">
        <v>202306</v>
      </c>
      <c r="T338" s="184" t="s">
        <v>2010</v>
      </c>
      <c r="U338" s="184"/>
      <c r="V338" s="178">
        <v>0</v>
      </c>
      <c r="W338" s="188"/>
      <c r="X338" s="36">
        <v>44593</v>
      </c>
      <c r="Y338" s="36">
        <v>44957</v>
      </c>
      <c r="Z338" s="178">
        <v>0</v>
      </c>
      <c r="AA338" s="44">
        <v>0</v>
      </c>
      <c r="AB338" s="178">
        <v>0</v>
      </c>
      <c r="AC338" s="178">
        <f t="shared" si="21"/>
        <v>0</v>
      </c>
    </row>
    <row r="339" spans="1:29" s="3" customFormat="1" ht="15" customHeight="1">
      <c r="A339" s="86" t="s">
        <v>859</v>
      </c>
      <c r="B339" s="65" t="s">
        <v>1732</v>
      </c>
      <c r="C339" s="65" t="s">
        <v>214</v>
      </c>
      <c r="D339" s="65" t="s">
        <v>31</v>
      </c>
      <c r="E339" s="86" t="s">
        <v>1944</v>
      </c>
      <c r="F339" s="86" t="s">
        <v>1945</v>
      </c>
      <c r="G339" s="86" t="s">
        <v>34</v>
      </c>
      <c r="H339" s="51" t="s">
        <v>2011</v>
      </c>
      <c r="I339" s="53" t="e">
        <f>VLOOKUP(H339,合同高级查询数据!$A$2:$A$51,1,FALSE)</f>
        <v>#N/A</v>
      </c>
      <c r="J339" s="51" t="s">
        <v>36</v>
      </c>
      <c r="K339" s="65" t="s">
        <v>2012</v>
      </c>
      <c r="L339" s="65" t="s">
        <v>2013</v>
      </c>
      <c r="M339" s="65" t="s">
        <v>2014</v>
      </c>
      <c r="N339" s="64">
        <v>44805</v>
      </c>
      <c r="O339" s="65" t="s">
        <v>277</v>
      </c>
      <c r="P339" s="98">
        <v>4850</v>
      </c>
      <c r="Q339" s="99">
        <v>29.2</v>
      </c>
      <c r="R339" s="58">
        <f t="shared" si="18"/>
        <v>141620</v>
      </c>
      <c r="S339" s="59">
        <v>202306</v>
      </c>
      <c r="T339" s="185" t="s">
        <v>2015</v>
      </c>
      <c r="U339" s="185"/>
      <c r="V339" s="196">
        <v>29.145414352</v>
      </c>
      <c r="W339" s="212"/>
      <c r="X339" s="64"/>
      <c r="Y339" s="64"/>
      <c r="Z339" s="65" t="s">
        <v>2016</v>
      </c>
      <c r="AA339" s="200">
        <v>0.3</v>
      </c>
      <c r="AB339" s="104">
        <v>100</v>
      </c>
      <c r="AC339" s="196">
        <f t="shared" si="21"/>
        <v>30</v>
      </c>
    </row>
    <row r="340" spans="1:29" s="2" customFormat="1" ht="15" customHeight="1">
      <c r="A340" s="7" t="s">
        <v>859</v>
      </c>
      <c r="B340" s="5" t="s">
        <v>1732</v>
      </c>
      <c r="C340" s="5" t="s">
        <v>2017</v>
      </c>
      <c r="D340" s="5" t="s">
        <v>1791</v>
      </c>
      <c r="E340" s="7" t="s">
        <v>1944</v>
      </c>
      <c r="F340" s="7" t="s">
        <v>1945</v>
      </c>
      <c r="G340" s="7" t="s">
        <v>34</v>
      </c>
      <c r="H340" s="12" t="s">
        <v>2018</v>
      </c>
      <c r="I340" s="11" t="e">
        <f>VLOOKUP(H340,合同高级查询数据!$A$2:$A$51,1,FALSE)</f>
        <v>#N/A</v>
      </c>
      <c r="J340" s="12" t="s">
        <v>36</v>
      </c>
      <c r="K340" s="5" t="s">
        <v>2019</v>
      </c>
      <c r="L340" s="5" t="s">
        <v>2020</v>
      </c>
      <c r="M340" s="5" t="s">
        <v>2021</v>
      </c>
      <c r="N340" s="36" t="s">
        <v>2022</v>
      </c>
      <c r="O340" s="34" t="s">
        <v>1329</v>
      </c>
      <c r="P340" s="26">
        <v>6833.33</v>
      </c>
      <c r="Q340" s="140">
        <v>60.8</v>
      </c>
      <c r="R340" s="27">
        <f t="shared" ref="R340:R403" si="22">ROUND(P340*Q340,2)</f>
        <v>415466.46</v>
      </c>
      <c r="S340" s="28">
        <v>202306</v>
      </c>
      <c r="T340" s="184" t="s">
        <v>2023</v>
      </c>
      <c r="U340" s="184"/>
      <c r="V340" s="178">
        <v>60.800983428999999</v>
      </c>
      <c r="W340" s="188"/>
      <c r="X340" s="36">
        <v>44866</v>
      </c>
      <c r="Y340" s="36">
        <v>45230</v>
      </c>
      <c r="Z340" s="5" t="s">
        <v>2024</v>
      </c>
      <c r="AA340" s="45">
        <v>0.3</v>
      </c>
      <c r="AB340" s="34">
        <v>200</v>
      </c>
      <c r="AC340" s="178">
        <f t="shared" si="21"/>
        <v>60</v>
      </c>
    </row>
    <row r="341" spans="1:29" s="2" customFormat="1" ht="15" customHeight="1">
      <c r="A341" s="203" t="s">
        <v>859</v>
      </c>
      <c r="B341" s="7" t="s">
        <v>1732</v>
      </c>
      <c r="C341" s="7" t="s">
        <v>1308</v>
      </c>
      <c r="D341" s="5" t="s">
        <v>31</v>
      </c>
      <c r="E341" s="5" t="s">
        <v>2025</v>
      </c>
      <c r="F341" s="5" t="s">
        <v>2026</v>
      </c>
      <c r="G341" s="7" t="s">
        <v>34</v>
      </c>
      <c r="H341" s="5" t="s">
        <v>2027</v>
      </c>
      <c r="I341" s="11" t="e">
        <f>VLOOKUP(H341,合同高级查询数据!$A$2:$A$51,1,FALSE)</f>
        <v>#N/A</v>
      </c>
      <c r="J341" s="12" t="s">
        <v>36</v>
      </c>
      <c r="K341" s="5" t="s">
        <v>1784</v>
      </c>
      <c r="L341" s="5" t="s">
        <v>2028</v>
      </c>
      <c r="M341" s="5" t="s">
        <v>2029</v>
      </c>
      <c r="N341" s="36" t="s">
        <v>2030</v>
      </c>
      <c r="O341" s="5" t="s">
        <v>2031</v>
      </c>
      <c r="P341" s="26">
        <v>11250</v>
      </c>
      <c r="Q341" s="140">
        <v>0</v>
      </c>
      <c r="R341" s="27">
        <f t="shared" si="22"/>
        <v>0</v>
      </c>
      <c r="S341" s="28">
        <v>202306</v>
      </c>
      <c r="T341" s="184" t="s">
        <v>2032</v>
      </c>
      <c r="U341" s="37"/>
      <c r="V341" s="178">
        <v>0</v>
      </c>
      <c r="W341" s="35"/>
      <c r="X341" s="36">
        <v>44197</v>
      </c>
      <c r="Y341" s="36">
        <v>44561</v>
      </c>
      <c r="Z341" s="178">
        <v>0</v>
      </c>
      <c r="AA341" s="44">
        <v>0</v>
      </c>
      <c r="AB341" s="178">
        <v>0</v>
      </c>
      <c r="AC341" s="178">
        <f t="shared" si="21"/>
        <v>0</v>
      </c>
    </row>
    <row r="342" spans="1:29" s="2" customFormat="1" ht="15" customHeight="1">
      <c r="A342" s="203" t="s">
        <v>859</v>
      </c>
      <c r="B342" s="216" t="s">
        <v>1732</v>
      </c>
      <c r="C342" s="5" t="s">
        <v>1308</v>
      </c>
      <c r="D342" s="5" t="s">
        <v>31</v>
      </c>
      <c r="E342" s="5" t="s">
        <v>2025</v>
      </c>
      <c r="F342" s="5" t="s">
        <v>2026</v>
      </c>
      <c r="G342" s="7" t="s">
        <v>34</v>
      </c>
      <c r="H342" s="11" t="s">
        <v>2027</v>
      </c>
      <c r="I342" s="11" t="e">
        <f>VLOOKUP(H342,合同高级查询数据!$A$2:$A$51,1,FALSE)</f>
        <v>#N/A</v>
      </c>
      <c r="J342" s="12" t="s">
        <v>36</v>
      </c>
      <c r="K342" s="7" t="s">
        <v>1784</v>
      </c>
      <c r="L342" s="174" t="s">
        <v>2033</v>
      </c>
      <c r="M342" s="16" t="s">
        <v>2034</v>
      </c>
      <c r="N342" s="36" t="s">
        <v>2035</v>
      </c>
      <c r="O342" s="5" t="s">
        <v>2036</v>
      </c>
      <c r="P342" s="27">
        <v>11250</v>
      </c>
      <c r="Q342" s="140">
        <v>0</v>
      </c>
      <c r="R342" s="27">
        <f t="shared" si="22"/>
        <v>0</v>
      </c>
      <c r="S342" s="28">
        <v>202306</v>
      </c>
      <c r="T342" s="184" t="s">
        <v>2037</v>
      </c>
      <c r="U342" s="184"/>
      <c r="V342" s="178">
        <v>0</v>
      </c>
      <c r="W342" s="35"/>
      <c r="X342" s="36">
        <v>44197</v>
      </c>
      <c r="Y342" s="36">
        <v>44561</v>
      </c>
      <c r="Z342" s="178">
        <v>0</v>
      </c>
      <c r="AA342" s="44">
        <v>0</v>
      </c>
      <c r="AB342" s="178">
        <v>0</v>
      </c>
      <c r="AC342" s="178">
        <f t="shared" si="21"/>
        <v>0</v>
      </c>
    </row>
    <row r="343" spans="1:29" s="2" customFormat="1" ht="15" customHeight="1">
      <c r="A343" s="7" t="s">
        <v>871</v>
      </c>
      <c r="B343" s="7" t="s">
        <v>1732</v>
      </c>
      <c r="C343" s="7" t="s">
        <v>1308</v>
      </c>
      <c r="D343" s="5" t="s">
        <v>31</v>
      </c>
      <c r="E343" s="5" t="s">
        <v>2025</v>
      </c>
      <c r="F343" s="5" t="s">
        <v>2026</v>
      </c>
      <c r="G343" s="7" t="s">
        <v>34</v>
      </c>
      <c r="H343" s="5" t="s">
        <v>2038</v>
      </c>
      <c r="I343" s="11" t="e">
        <f>VLOOKUP(H343,合同高级查询数据!$A$2:$A$51,1,FALSE)</f>
        <v>#N/A</v>
      </c>
      <c r="J343" s="12" t="s">
        <v>36</v>
      </c>
      <c r="K343" s="5" t="s">
        <v>1342</v>
      </c>
      <c r="L343" s="5" t="s">
        <v>2039</v>
      </c>
      <c r="M343" s="5" t="s">
        <v>2040</v>
      </c>
      <c r="N343" s="36" t="s">
        <v>2041</v>
      </c>
      <c r="O343" s="5" t="s">
        <v>1779</v>
      </c>
      <c r="P343" s="26">
        <v>10000</v>
      </c>
      <c r="Q343" s="140">
        <v>0</v>
      </c>
      <c r="R343" s="27">
        <f t="shared" si="22"/>
        <v>0</v>
      </c>
      <c r="S343" s="28">
        <v>202306</v>
      </c>
      <c r="T343" s="184" t="s">
        <v>2042</v>
      </c>
      <c r="U343" s="37"/>
      <c r="V343" s="178">
        <v>0</v>
      </c>
      <c r="W343" s="35"/>
      <c r="X343" s="36">
        <v>44197</v>
      </c>
      <c r="Y343" s="36">
        <v>44255</v>
      </c>
      <c r="Z343" s="178">
        <v>0</v>
      </c>
      <c r="AA343" s="44">
        <v>0</v>
      </c>
      <c r="AB343" s="178">
        <v>0</v>
      </c>
      <c r="AC343" s="178">
        <f t="shared" si="21"/>
        <v>0</v>
      </c>
    </row>
    <row r="344" spans="1:29" s="2" customFormat="1" ht="15" customHeight="1">
      <c r="A344" s="7" t="s">
        <v>871</v>
      </c>
      <c r="B344" s="7" t="s">
        <v>1732</v>
      </c>
      <c r="C344" s="7" t="s">
        <v>1308</v>
      </c>
      <c r="D344" s="5" t="s">
        <v>31</v>
      </c>
      <c r="E344" s="5" t="s">
        <v>2025</v>
      </c>
      <c r="F344" s="5" t="s">
        <v>2026</v>
      </c>
      <c r="G344" s="7" t="s">
        <v>34</v>
      </c>
      <c r="H344" s="5" t="s">
        <v>2038</v>
      </c>
      <c r="I344" s="11" t="e">
        <f>VLOOKUP(H344,合同高级查询数据!$A$2:$A$51,1,FALSE)</f>
        <v>#N/A</v>
      </c>
      <c r="J344" s="12" t="s">
        <v>36</v>
      </c>
      <c r="K344" s="5" t="s">
        <v>2043</v>
      </c>
      <c r="L344" s="5" t="s">
        <v>2044</v>
      </c>
      <c r="M344" s="5" t="s">
        <v>2045</v>
      </c>
      <c r="N344" s="36" t="s">
        <v>2046</v>
      </c>
      <c r="O344" s="5" t="s">
        <v>1329</v>
      </c>
      <c r="P344" s="26">
        <v>9583.33</v>
      </c>
      <c r="Q344" s="140">
        <v>0</v>
      </c>
      <c r="R344" s="27">
        <f t="shared" si="22"/>
        <v>0</v>
      </c>
      <c r="S344" s="28">
        <v>202306</v>
      </c>
      <c r="T344" s="184" t="s">
        <v>2047</v>
      </c>
      <c r="U344" s="37"/>
      <c r="V344" s="178">
        <v>0</v>
      </c>
      <c r="W344" s="35"/>
      <c r="X344" s="36">
        <v>44197</v>
      </c>
      <c r="Y344" s="36">
        <v>44255</v>
      </c>
      <c r="Z344" s="178">
        <v>0</v>
      </c>
      <c r="AA344" s="44">
        <v>0</v>
      </c>
      <c r="AB344" s="178">
        <v>0</v>
      </c>
      <c r="AC344" s="178">
        <f t="shared" si="21"/>
        <v>0</v>
      </c>
    </row>
    <row r="345" spans="1:29" s="2" customFormat="1" ht="15" customHeight="1">
      <c r="A345" s="7" t="s">
        <v>878</v>
      </c>
      <c r="B345" s="7" t="s">
        <v>1732</v>
      </c>
      <c r="C345" s="7" t="s">
        <v>1308</v>
      </c>
      <c r="D345" s="5" t="s">
        <v>31</v>
      </c>
      <c r="E345" s="5" t="s">
        <v>2025</v>
      </c>
      <c r="F345" s="5" t="s">
        <v>2026</v>
      </c>
      <c r="G345" s="7" t="s">
        <v>34</v>
      </c>
      <c r="H345" s="5" t="s">
        <v>2048</v>
      </c>
      <c r="I345" s="11" t="e">
        <f>VLOOKUP(H345,合同高级查询数据!$A$2:$A$51,1,FALSE)</f>
        <v>#N/A</v>
      </c>
      <c r="J345" s="12" t="s">
        <v>36</v>
      </c>
      <c r="K345" s="5" t="s">
        <v>1717</v>
      </c>
      <c r="L345" s="5" t="s">
        <v>2049</v>
      </c>
      <c r="M345" s="5" t="s">
        <v>2050</v>
      </c>
      <c r="N345" s="36">
        <v>43831</v>
      </c>
      <c r="O345" s="5" t="s">
        <v>434</v>
      </c>
      <c r="P345" s="26">
        <v>5000</v>
      </c>
      <c r="Q345" s="140">
        <v>91.8</v>
      </c>
      <c r="R345" s="27">
        <f t="shared" si="22"/>
        <v>459000</v>
      </c>
      <c r="S345" s="28">
        <v>202306</v>
      </c>
      <c r="T345" s="184" t="s">
        <v>2051</v>
      </c>
      <c r="U345" s="37"/>
      <c r="V345" s="178">
        <v>91.738777161000002</v>
      </c>
      <c r="W345" s="35"/>
      <c r="X345" s="36">
        <v>44927</v>
      </c>
      <c r="Y345" s="36">
        <v>45291</v>
      </c>
      <c r="Z345" s="213" t="s">
        <v>2052</v>
      </c>
      <c r="AA345" s="45">
        <v>0.4</v>
      </c>
      <c r="AB345" s="34">
        <v>200</v>
      </c>
      <c r="AC345" s="178">
        <f t="shared" si="21"/>
        <v>80</v>
      </c>
    </row>
    <row r="346" spans="1:29" s="2" customFormat="1" ht="15" customHeight="1">
      <c r="A346" s="7" t="s">
        <v>878</v>
      </c>
      <c r="B346" s="5" t="s">
        <v>1732</v>
      </c>
      <c r="C346" s="7" t="s">
        <v>1308</v>
      </c>
      <c r="D346" s="5" t="s">
        <v>31</v>
      </c>
      <c r="E346" s="5" t="s">
        <v>2053</v>
      </c>
      <c r="F346" s="5" t="s">
        <v>2054</v>
      </c>
      <c r="G346" s="7" t="s">
        <v>34</v>
      </c>
      <c r="H346" s="5" t="s">
        <v>2055</v>
      </c>
      <c r="I346" s="11" t="e">
        <f>VLOOKUP(H346,合同高级查询数据!$A$2:$A$51,1,FALSE)</f>
        <v>#N/A</v>
      </c>
      <c r="J346" s="12" t="s">
        <v>36</v>
      </c>
      <c r="K346" s="5" t="s">
        <v>1546</v>
      </c>
      <c r="L346" s="5" t="s">
        <v>2056</v>
      </c>
      <c r="M346" s="5" t="s">
        <v>2057</v>
      </c>
      <c r="N346" s="36" t="s">
        <v>2058</v>
      </c>
      <c r="O346" s="5" t="s">
        <v>2059</v>
      </c>
      <c r="P346" s="26">
        <v>3500</v>
      </c>
      <c r="Q346" s="140">
        <v>0</v>
      </c>
      <c r="R346" s="27">
        <f t="shared" si="22"/>
        <v>0</v>
      </c>
      <c r="S346" s="28">
        <v>202306</v>
      </c>
      <c r="T346" s="184" t="s">
        <v>2060</v>
      </c>
      <c r="U346" s="184"/>
      <c r="V346" s="178">
        <v>0</v>
      </c>
      <c r="W346" s="35"/>
      <c r="X346" s="36">
        <v>44105</v>
      </c>
      <c r="Y346" s="36">
        <v>44469</v>
      </c>
      <c r="Z346" s="178">
        <v>0</v>
      </c>
      <c r="AA346" s="44">
        <v>0</v>
      </c>
      <c r="AB346" s="178">
        <v>0</v>
      </c>
      <c r="AC346" s="178">
        <f t="shared" si="21"/>
        <v>0</v>
      </c>
    </row>
    <row r="347" spans="1:29" s="2" customFormat="1" ht="15" customHeight="1">
      <c r="A347" s="7" t="s">
        <v>878</v>
      </c>
      <c r="B347" s="5" t="s">
        <v>1732</v>
      </c>
      <c r="C347" s="5" t="s">
        <v>1758</v>
      </c>
      <c r="D347" s="5" t="s">
        <v>31</v>
      </c>
      <c r="E347" s="5" t="s">
        <v>2053</v>
      </c>
      <c r="F347" s="5" t="s">
        <v>2054</v>
      </c>
      <c r="G347" s="7" t="s">
        <v>34</v>
      </c>
      <c r="H347" s="11" t="s">
        <v>2061</v>
      </c>
      <c r="I347" s="11" t="e">
        <f>VLOOKUP(H347,合同高级查询数据!$A$2:$A$51,1,FALSE)</f>
        <v>#N/A</v>
      </c>
      <c r="J347" s="12" t="s">
        <v>36</v>
      </c>
      <c r="K347" s="7" t="s">
        <v>2062</v>
      </c>
      <c r="L347" s="174" t="s">
        <v>2063</v>
      </c>
      <c r="M347" s="174" t="s">
        <v>2064</v>
      </c>
      <c r="N347" s="36" t="s">
        <v>2065</v>
      </c>
      <c r="O347" s="219" t="s">
        <v>1880</v>
      </c>
      <c r="P347" s="27">
        <v>4300</v>
      </c>
      <c r="Q347" s="140">
        <v>0</v>
      </c>
      <c r="R347" s="27">
        <f t="shared" si="22"/>
        <v>0</v>
      </c>
      <c r="S347" s="28">
        <v>202306</v>
      </c>
      <c r="T347" s="184" t="s">
        <v>2066</v>
      </c>
      <c r="U347" s="184"/>
      <c r="V347" s="178">
        <v>0</v>
      </c>
      <c r="W347" s="35"/>
      <c r="X347" s="36">
        <v>44228</v>
      </c>
      <c r="Y347" s="36">
        <v>44592</v>
      </c>
      <c r="Z347" s="178">
        <v>0</v>
      </c>
      <c r="AA347" s="44">
        <v>0</v>
      </c>
      <c r="AB347" s="178">
        <v>0</v>
      </c>
      <c r="AC347" s="178">
        <f t="shared" si="21"/>
        <v>0</v>
      </c>
    </row>
    <row r="348" spans="1:29" s="2" customFormat="1" ht="15" customHeight="1">
      <c r="A348" s="203" t="s">
        <v>859</v>
      </c>
      <c r="B348" s="7" t="s">
        <v>1732</v>
      </c>
      <c r="C348" s="7" t="s">
        <v>1308</v>
      </c>
      <c r="D348" s="5" t="s">
        <v>31</v>
      </c>
      <c r="E348" s="5" t="s">
        <v>2053</v>
      </c>
      <c r="F348" s="5" t="s">
        <v>2054</v>
      </c>
      <c r="G348" s="6" t="s">
        <v>34</v>
      </c>
      <c r="H348" s="5" t="s">
        <v>2067</v>
      </c>
      <c r="I348" s="11" t="e">
        <f>VLOOKUP(H348,合同高级查询数据!$A$2:$A$51,1,FALSE)</f>
        <v>#N/A</v>
      </c>
      <c r="J348" s="12" t="s">
        <v>36</v>
      </c>
      <c r="K348" s="6" t="s">
        <v>1342</v>
      </c>
      <c r="L348" s="217" t="s">
        <v>2068</v>
      </c>
      <c r="M348" s="16" t="s">
        <v>2069</v>
      </c>
      <c r="N348" s="220" t="s">
        <v>2070</v>
      </c>
      <c r="O348" s="121" t="s">
        <v>1880</v>
      </c>
      <c r="P348" s="27">
        <v>11250</v>
      </c>
      <c r="Q348" s="140">
        <v>0</v>
      </c>
      <c r="R348" s="27">
        <f t="shared" si="22"/>
        <v>0</v>
      </c>
      <c r="S348" s="28">
        <v>202306</v>
      </c>
      <c r="T348" s="221" t="s">
        <v>2071</v>
      </c>
      <c r="U348" s="221"/>
      <c r="V348" s="178">
        <v>0</v>
      </c>
      <c r="W348" s="35"/>
      <c r="X348" s="36">
        <v>44256</v>
      </c>
      <c r="Y348" s="36">
        <v>44469</v>
      </c>
      <c r="Z348" s="178">
        <v>0</v>
      </c>
      <c r="AA348" s="44">
        <v>0</v>
      </c>
      <c r="AB348" s="178">
        <v>0</v>
      </c>
      <c r="AC348" s="178">
        <f t="shared" si="21"/>
        <v>0</v>
      </c>
    </row>
    <row r="349" spans="1:29" s="2" customFormat="1" ht="15" customHeight="1">
      <c r="A349" s="7" t="s">
        <v>871</v>
      </c>
      <c r="B349" s="7" t="s">
        <v>1732</v>
      </c>
      <c r="C349" s="121" t="s">
        <v>1902</v>
      </c>
      <c r="D349" s="5" t="s">
        <v>1791</v>
      </c>
      <c r="E349" s="5" t="s">
        <v>2053</v>
      </c>
      <c r="F349" s="5" t="s">
        <v>2054</v>
      </c>
      <c r="G349" s="6" t="s">
        <v>34</v>
      </c>
      <c r="H349" s="11" t="s">
        <v>2072</v>
      </c>
      <c r="I349" s="11" t="e">
        <f>VLOOKUP(H349,合同高级查询数据!$A$2:$A$51,1,FALSE)</f>
        <v>#N/A</v>
      </c>
      <c r="J349" s="12" t="s">
        <v>36</v>
      </c>
      <c r="K349" s="6" t="s">
        <v>2073</v>
      </c>
      <c r="L349" s="217" t="s">
        <v>2074</v>
      </c>
      <c r="M349" s="16" t="s">
        <v>2075</v>
      </c>
      <c r="N349" s="220" t="s">
        <v>2076</v>
      </c>
      <c r="O349" s="121" t="s">
        <v>1329</v>
      </c>
      <c r="P349" s="27">
        <v>7500</v>
      </c>
      <c r="Q349" s="140">
        <v>0</v>
      </c>
      <c r="R349" s="27">
        <f t="shared" si="22"/>
        <v>0</v>
      </c>
      <c r="S349" s="28">
        <v>202306</v>
      </c>
      <c r="T349" s="221" t="s">
        <v>2077</v>
      </c>
      <c r="U349" s="221"/>
      <c r="V349" s="178">
        <v>0</v>
      </c>
      <c r="W349" s="35"/>
      <c r="X349" s="220">
        <v>44440</v>
      </c>
      <c r="Y349" s="220">
        <v>44804</v>
      </c>
      <c r="Z349" s="178">
        <v>0</v>
      </c>
      <c r="AA349" s="44">
        <v>0</v>
      </c>
      <c r="AB349" s="178">
        <v>0</v>
      </c>
      <c r="AC349" s="178">
        <f t="shared" si="21"/>
        <v>0</v>
      </c>
    </row>
    <row r="350" spans="1:29" s="2" customFormat="1" ht="15" customHeight="1">
      <c r="A350" s="7" t="s">
        <v>871</v>
      </c>
      <c r="B350" s="7" t="s">
        <v>1732</v>
      </c>
      <c r="C350" s="7" t="s">
        <v>1308</v>
      </c>
      <c r="D350" s="5" t="s">
        <v>31</v>
      </c>
      <c r="E350" s="5" t="s">
        <v>2053</v>
      </c>
      <c r="F350" s="5" t="s">
        <v>2054</v>
      </c>
      <c r="G350" s="7" t="s">
        <v>34</v>
      </c>
      <c r="H350" s="5" t="s">
        <v>2078</v>
      </c>
      <c r="I350" s="11" t="e">
        <f>VLOOKUP(H350,合同高级查询数据!$A$2:$A$51,1,FALSE)</f>
        <v>#N/A</v>
      </c>
      <c r="J350" s="12" t="s">
        <v>36</v>
      </c>
      <c r="K350" s="5" t="s">
        <v>2043</v>
      </c>
      <c r="L350" s="5" t="s">
        <v>2044</v>
      </c>
      <c r="M350" s="5" t="s">
        <v>2045</v>
      </c>
      <c r="N350" s="36" t="s">
        <v>2079</v>
      </c>
      <c r="O350" s="5" t="s">
        <v>1329</v>
      </c>
      <c r="P350" s="26">
        <v>9583</v>
      </c>
      <c r="Q350" s="140">
        <v>0</v>
      </c>
      <c r="R350" s="27">
        <f t="shared" si="22"/>
        <v>0</v>
      </c>
      <c r="S350" s="28">
        <v>202306</v>
      </c>
      <c r="T350" s="221" t="s">
        <v>2080</v>
      </c>
      <c r="U350" s="221"/>
      <c r="V350" s="178">
        <v>0</v>
      </c>
      <c r="W350" s="35"/>
      <c r="X350" s="36">
        <v>44593</v>
      </c>
      <c r="Y350" s="36">
        <v>44957</v>
      </c>
      <c r="Z350" s="178">
        <v>0</v>
      </c>
      <c r="AA350" s="44">
        <v>0</v>
      </c>
      <c r="AB350" s="178">
        <v>0</v>
      </c>
      <c r="AC350" s="178">
        <f t="shared" si="21"/>
        <v>0</v>
      </c>
    </row>
    <row r="351" spans="1:29" s="2" customFormat="1" ht="15" customHeight="1">
      <c r="A351" s="7" t="s">
        <v>871</v>
      </c>
      <c r="B351" s="7" t="s">
        <v>1732</v>
      </c>
      <c r="C351" s="7" t="s">
        <v>1308</v>
      </c>
      <c r="D351" s="5" t="s">
        <v>31</v>
      </c>
      <c r="E351" s="5" t="s">
        <v>2053</v>
      </c>
      <c r="F351" s="5" t="s">
        <v>2054</v>
      </c>
      <c r="G351" s="6" t="s">
        <v>34</v>
      </c>
      <c r="H351" s="5" t="s">
        <v>2081</v>
      </c>
      <c r="I351" s="11" t="e">
        <f>VLOOKUP(H351,合同高级查询数据!$A$2:$A$51,1,FALSE)</f>
        <v>#N/A</v>
      </c>
      <c r="J351" s="12" t="s">
        <v>36</v>
      </c>
      <c r="K351" s="5" t="s">
        <v>2082</v>
      </c>
      <c r="L351" s="5" t="s">
        <v>2083</v>
      </c>
      <c r="M351" s="177" t="s">
        <v>2084</v>
      </c>
      <c r="N351" s="36" t="s">
        <v>2085</v>
      </c>
      <c r="O351" s="21" t="s">
        <v>2086</v>
      </c>
      <c r="P351" s="26">
        <v>9583</v>
      </c>
      <c r="Q351" s="140">
        <v>0</v>
      </c>
      <c r="R351" s="27">
        <f t="shared" si="22"/>
        <v>0</v>
      </c>
      <c r="S351" s="28">
        <v>202306</v>
      </c>
      <c r="T351" s="221" t="s">
        <v>2087</v>
      </c>
      <c r="U351" s="221"/>
      <c r="V351" s="178">
        <v>0</v>
      </c>
      <c r="W351" s="222"/>
      <c r="X351" s="36">
        <v>44621</v>
      </c>
      <c r="Y351" s="36">
        <v>44985</v>
      </c>
      <c r="Z351" s="178">
        <v>0</v>
      </c>
      <c r="AA351" s="44">
        <v>0</v>
      </c>
      <c r="AB351" s="178">
        <v>0</v>
      </c>
      <c r="AC351" s="178">
        <f t="shared" si="21"/>
        <v>0</v>
      </c>
    </row>
    <row r="352" spans="1:29" s="2" customFormat="1" ht="15" customHeight="1">
      <c r="A352" s="203" t="s">
        <v>859</v>
      </c>
      <c r="B352" s="5" t="s">
        <v>1732</v>
      </c>
      <c r="C352" s="5" t="s">
        <v>1308</v>
      </c>
      <c r="D352" s="5" t="s">
        <v>31</v>
      </c>
      <c r="E352" s="7" t="s">
        <v>2053</v>
      </c>
      <c r="F352" s="7" t="s">
        <v>2054</v>
      </c>
      <c r="G352" s="7" t="s">
        <v>34</v>
      </c>
      <c r="H352" s="11" t="s">
        <v>2088</v>
      </c>
      <c r="I352" s="11" t="e">
        <f>VLOOKUP(H352,合同高级查询数据!$A$2:$A$51,1,FALSE)</f>
        <v>#N/A</v>
      </c>
      <c r="J352" s="12" t="s">
        <v>36</v>
      </c>
      <c r="K352" s="7" t="s">
        <v>1552</v>
      </c>
      <c r="L352" s="174" t="s">
        <v>2089</v>
      </c>
      <c r="M352" s="16" t="s">
        <v>2090</v>
      </c>
      <c r="N352" s="36" t="s">
        <v>2091</v>
      </c>
      <c r="O352" s="5" t="s">
        <v>1329</v>
      </c>
      <c r="P352" s="27">
        <v>10417</v>
      </c>
      <c r="Q352" s="140">
        <v>0</v>
      </c>
      <c r="R352" s="27">
        <f t="shared" si="22"/>
        <v>0</v>
      </c>
      <c r="S352" s="28">
        <v>202306</v>
      </c>
      <c r="T352" s="184" t="s">
        <v>2092</v>
      </c>
      <c r="U352" s="184"/>
      <c r="V352" s="178">
        <v>0</v>
      </c>
      <c r="W352" s="35"/>
      <c r="X352" s="36">
        <v>44501</v>
      </c>
      <c r="Y352" s="36">
        <v>44957</v>
      </c>
      <c r="Z352" s="178">
        <v>0</v>
      </c>
      <c r="AA352" s="44">
        <v>0</v>
      </c>
      <c r="AB352" s="178">
        <v>0</v>
      </c>
      <c r="AC352" s="178">
        <f t="shared" si="21"/>
        <v>0</v>
      </c>
    </row>
    <row r="353" spans="1:29" s="2" customFormat="1" ht="15" customHeight="1">
      <c r="A353" s="203" t="s">
        <v>859</v>
      </c>
      <c r="B353" s="5" t="s">
        <v>1732</v>
      </c>
      <c r="C353" s="5" t="s">
        <v>1972</v>
      </c>
      <c r="D353" s="5" t="s">
        <v>31</v>
      </c>
      <c r="E353" s="7" t="s">
        <v>2053</v>
      </c>
      <c r="F353" s="7" t="s">
        <v>2054</v>
      </c>
      <c r="G353" s="7" t="s">
        <v>34</v>
      </c>
      <c r="H353" s="11" t="s">
        <v>2093</v>
      </c>
      <c r="I353" s="11" t="e">
        <f>VLOOKUP(H353,合同高级查询数据!$A$2:$A$51,1,FALSE)</f>
        <v>#N/A</v>
      </c>
      <c r="J353" s="12" t="s">
        <v>36</v>
      </c>
      <c r="K353" s="7" t="s">
        <v>2094</v>
      </c>
      <c r="L353" s="174" t="s">
        <v>2095</v>
      </c>
      <c r="M353" s="16" t="s">
        <v>2096</v>
      </c>
      <c r="N353" s="36" t="s">
        <v>2097</v>
      </c>
      <c r="O353" s="5" t="s">
        <v>1880</v>
      </c>
      <c r="P353" s="27">
        <v>6333</v>
      </c>
      <c r="Q353" s="140">
        <v>0</v>
      </c>
      <c r="R353" s="27">
        <f t="shared" si="22"/>
        <v>0</v>
      </c>
      <c r="S353" s="28">
        <v>202306</v>
      </c>
      <c r="T353" s="184" t="s">
        <v>2098</v>
      </c>
      <c r="U353" s="184"/>
      <c r="V353" s="178">
        <v>0</v>
      </c>
      <c r="W353" s="35"/>
      <c r="X353" s="36">
        <v>44835</v>
      </c>
      <c r="Y353" s="36">
        <v>44957</v>
      </c>
      <c r="Z353" s="178">
        <v>0</v>
      </c>
      <c r="AA353" s="44">
        <v>0</v>
      </c>
      <c r="AB353" s="178">
        <v>0</v>
      </c>
      <c r="AC353" s="178">
        <f t="shared" si="21"/>
        <v>0</v>
      </c>
    </row>
    <row r="354" spans="1:29" s="2" customFormat="1" ht="15" customHeight="1">
      <c r="A354" s="203" t="s">
        <v>859</v>
      </c>
      <c r="B354" s="5" t="s">
        <v>1732</v>
      </c>
      <c r="C354" s="5" t="s">
        <v>860</v>
      </c>
      <c r="D354" s="5" t="s">
        <v>31</v>
      </c>
      <c r="E354" s="7" t="s">
        <v>2053</v>
      </c>
      <c r="F354" s="7" t="s">
        <v>2054</v>
      </c>
      <c r="G354" s="7" t="s">
        <v>34</v>
      </c>
      <c r="H354" s="11" t="s">
        <v>2099</v>
      </c>
      <c r="I354" s="11" t="e">
        <f>VLOOKUP(H354,合同高级查询数据!$A$2:$A$51,1,FALSE)</f>
        <v>#N/A</v>
      </c>
      <c r="J354" s="12" t="s">
        <v>36</v>
      </c>
      <c r="K354" s="7" t="s">
        <v>2100</v>
      </c>
      <c r="L354" s="174" t="s">
        <v>2101</v>
      </c>
      <c r="M354" s="16" t="s">
        <v>2102</v>
      </c>
      <c r="N354" s="36" t="s">
        <v>2097</v>
      </c>
      <c r="O354" s="5" t="s">
        <v>1329</v>
      </c>
      <c r="P354" s="27">
        <v>6333</v>
      </c>
      <c r="Q354" s="140">
        <v>0</v>
      </c>
      <c r="R354" s="27">
        <f t="shared" si="22"/>
        <v>0</v>
      </c>
      <c r="S354" s="28">
        <v>202306</v>
      </c>
      <c r="T354" s="184" t="s">
        <v>2103</v>
      </c>
      <c r="U354" s="184"/>
      <c r="V354" s="178">
        <v>0</v>
      </c>
      <c r="W354" s="35"/>
      <c r="X354" s="36">
        <v>44835</v>
      </c>
      <c r="Y354" s="36">
        <v>44957</v>
      </c>
      <c r="Z354" s="178">
        <v>0</v>
      </c>
      <c r="AA354" s="44">
        <v>0</v>
      </c>
      <c r="AB354" s="178">
        <v>0</v>
      </c>
      <c r="AC354" s="178">
        <f t="shared" si="21"/>
        <v>0</v>
      </c>
    </row>
    <row r="355" spans="1:29" s="2" customFormat="1" ht="15" customHeight="1">
      <c r="A355" s="7" t="s">
        <v>871</v>
      </c>
      <c r="B355" s="5" t="s">
        <v>1732</v>
      </c>
      <c r="C355" s="5" t="s">
        <v>1902</v>
      </c>
      <c r="D355" s="5" t="s">
        <v>1791</v>
      </c>
      <c r="E355" s="7" t="s">
        <v>2053</v>
      </c>
      <c r="F355" s="7" t="s">
        <v>2054</v>
      </c>
      <c r="G355" s="7" t="s">
        <v>34</v>
      </c>
      <c r="H355" s="11" t="s">
        <v>2104</v>
      </c>
      <c r="I355" s="11" t="e">
        <f>VLOOKUP(H355,合同高级查询数据!$A$2:$A$51,1,FALSE)</f>
        <v>#N/A</v>
      </c>
      <c r="J355" s="12" t="s">
        <v>36</v>
      </c>
      <c r="K355" s="7" t="s">
        <v>2105</v>
      </c>
      <c r="L355" s="174" t="s">
        <v>2106</v>
      </c>
      <c r="M355" s="16" t="s">
        <v>2107</v>
      </c>
      <c r="N355" s="36" t="s">
        <v>2108</v>
      </c>
      <c r="O355" s="5" t="s">
        <v>1880</v>
      </c>
      <c r="P355" s="27">
        <v>7083</v>
      </c>
      <c r="Q355" s="140">
        <v>0</v>
      </c>
      <c r="R355" s="27">
        <f t="shared" si="22"/>
        <v>0</v>
      </c>
      <c r="S355" s="28">
        <v>202306</v>
      </c>
      <c r="T355" s="184" t="s">
        <v>2109</v>
      </c>
      <c r="U355" s="184"/>
      <c r="V355" s="178">
        <v>0</v>
      </c>
      <c r="W355" s="35"/>
      <c r="X355" s="36">
        <v>44470</v>
      </c>
      <c r="Y355" s="36">
        <v>44834</v>
      </c>
      <c r="Z355" s="178">
        <v>0</v>
      </c>
      <c r="AA355" s="44">
        <v>0</v>
      </c>
      <c r="AB355" s="178">
        <v>0</v>
      </c>
      <c r="AC355" s="178">
        <f t="shared" si="21"/>
        <v>0</v>
      </c>
    </row>
    <row r="356" spans="1:29" s="2" customFormat="1" ht="15" customHeight="1">
      <c r="A356" s="203" t="s">
        <v>859</v>
      </c>
      <c r="B356" s="5" t="s">
        <v>1732</v>
      </c>
      <c r="C356" s="5" t="s">
        <v>1308</v>
      </c>
      <c r="D356" s="5" t="s">
        <v>31</v>
      </c>
      <c r="E356" s="7" t="s">
        <v>2053</v>
      </c>
      <c r="F356" s="7" t="s">
        <v>2054</v>
      </c>
      <c r="G356" s="7" t="s">
        <v>34</v>
      </c>
      <c r="H356" s="11" t="s">
        <v>2088</v>
      </c>
      <c r="I356" s="11" t="e">
        <f>VLOOKUP(H356,合同高级查询数据!$A$2:$A$51,1,FALSE)</f>
        <v>#N/A</v>
      </c>
      <c r="J356" s="12" t="s">
        <v>36</v>
      </c>
      <c r="K356" s="7" t="s">
        <v>1342</v>
      </c>
      <c r="L356" s="174" t="s">
        <v>2110</v>
      </c>
      <c r="M356" s="16" t="s">
        <v>2111</v>
      </c>
      <c r="N356" s="36" t="s">
        <v>2112</v>
      </c>
      <c r="O356" s="5" t="s">
        <v>1335</v>
      </c>
      <c r="P356" s="27">
        <v>10417</v>
      </c>
      <c r="Q356" s="140">
        <v>0</v>
      </c>
      <c r="R356" s="27">
        <f t="shared" si="22"/>
        <v>0</v>
      </c>
      <c r="S356" s="28">
        <v>202306</v>
      </c>
      <c r="T356" s="184" t="s">
        <v>2113</v>
      </c>
      <c r="U356" s="184"/>
      <c r="V356" s="178">
        <v>0</v>
      </c>
      <c r="W356" s="35"/>
      <c r="X356" s="36">
        <v>44501</v>
      </c>
      <c r="Y356" s="36">
        <v>44957</v>
      </c>
      <c r="Z356" s="178">
        <v>0</v>
      </c>
      <c r="AA356" s="44">
        <v>0</v>
      </c>
      <c r="AB356" s="178">
        <v>0</v>
      </c>
      <c r="AC356" s="178">
        <f t="shared" si="21"/>
        <v>0</v>
      </c>
    </row>
    <row r="357" spans="1:29" s="2" customFormat="1" ht="15" customHeight="1">
      <c r="A357" s="7" t="s">
        <v>878</v>
      </c>
      <c r="B357" s="5" t="s">
        <v>1732</v>
      </c>
      <c r="C357" s="5" t="s">
        <v>1747</v>
      </c>
      <c r="D357" s="5" t="s">
        <v>1748</v>
      </c>
      <c r="E357" s="7" t="s">
        <v>2114</v>
      </c>
      <c r="F357" s="7" t="s">
        <v>2115</v>
      </c>
      <c r="G357" s="7" t="s">
        <v>34</v>
      </c>
      <c r="H357" s="11" t="s">
        <v>2116</v>
      </c>
      <c r="I357" s="11" t="e">
        <f>VLOOKUP(H357,合同高级查询数据!$A$2:$A$51,1,FALSE)</f>
        <v>#N/A</v>
      </c>
      <c r="J357" s="12" t="s">
        <v>36</v>
      </c>
      <c r="K357" s="7" t="s">
        <v>1981</v>
      </c>
      <c r="L357" s="174" t="s">
        <v>2117</v>
      </c>
      <c r="M357" s="16" t="s">
        <v>2118</v>
      </c>
      <c r="N357" s="36" t="s">
        <v>2119</v>
      </c>
      <c r="O357" s="5" t="s">
        <v>1329</v>
      </c>
      <c r="P357" s="27">
        <v>5400</v>
      </c>
      <c r="Q357" s="140">
        <v>0</v>
      </c>
      <c r="R357" s="27">
        <f t="shared" si="22"/>
        <v>0</v>
      </c>
      <c r="S357" s="28">
        <v>202306</v>
      </c>
      <c r="T357" s="184" t="s">
        <v>2120</v>
      </c>
      <c r="U357" s="184"/>
      <c r="V357" s="178">
        <v>0</v>
      </c>
      <c r="W357" s="35"/>
      <c r="X357" s="220">
        <v>44440</v>
      </c>
      <c r="Y357" s="220">
        <v>44742</v>
      </c>
      <c r="Z357" s="178">
        <v>0</v>
      </c>
      <c r="AA357" s="44">
        <v>0</v>
      </c>
      <c r="AB357" s="178">
        <v>0</v>
      </c>
      <c r="AC357" s="178">
        <f t="shared" si="21"/>
        <v>0</v>
      </c>
    </row>
    <row r="358" spans="1:29" s="2" customFormat="1" ht="15" customHeight="1">
      <c r="A358" s="7" t="s">
        <v>878</v>
      </c>
      <c r="B358" s="5" t="s">
        <v>1732</v>
      </c>
      <c r="C358" s="5" t="s">
        <v>1747</v>
      </c>
      <c r="D358" s="5" t="s">
        <v>1748</v>
      </c>
      <c r="E358" s="7" t="s">
        <v>2114</v>
      </c>
      <c r="F358" s="7" t="s">
        <v>2115</v>
      </c>
      <c r="G358" s="7" t="s">
        <v>34</v>
      </c>
      <c r="H358" s="11" t="s">
        <v>2116</v>
      </c>
      <c r="I358" s="11" t="e">
        <f>VLOOKUP(H358,合同高级查询数据!$A$2:$A$51,1,FALSE)</f>
        <v>#N/A</v>
      </c>
      <c r="J358" s="12" t="s">
        <v>36</v>
      </c>
      <c r="K358" s="7" t="s">
        <v>1981</v>
      </c>
      <c r="L358" s="174" t="s">
        <v>2121</v>
      </c>
      <c r="M358" s="16" t="s">
        <v>2118</v>
      </c>
      <c r="N358" s="36" t="s">
        <v>2119</v>
      </c>
      <c r="O358" s="5" t="s">
        <v>1329</v>
      </c>
      <c r="P358" s="27">
        <v>5050</v>
      </c>
      <c r="Q358" s="140">
        <v>0</v>
      </c>
      <c r="R358" s="27">
        <f t="shared" si="22"/>
        <v>0</v>
      </c>
      <c r="S358" s="28">
        <v>202306</v>
      </c>
      <c r="T358" s="184" t="s">
        <v>2122</v>
      </c>
      <c r="U358" s="184"/>
      <c r="V358" s="178">
        <v>0</v>
      </c>
      <c r="W358" s="35"/>
      <c r="X358" s="220">
        <v>44440</v>
      </c>
      <c r="Y358" s="220">
        <v>44742</v>
      </c>
      <c r="Z358" s="178">
        <v>0</v>
      </c>
      <c r="AA358" s="44">
        <v>0</v>
      </c>
      <c r="AB358" s="178">
        <v>0</v>
      </c>
      <c r="AC358" s="178">
        <f t="shared" si="21"/>
        <v>0</v>
      </c>
    </row>
    <row r="359" spans="1:29" s="2" customFormat="1" ht="15" customHeight="1">
      <c r="A359" s="203" t="s">
        <v>859</v>
      </c>
      <c r="B359" s="7" t="s">
        <v>1732</v>
      </c>
      <c r="C359" s="7" t="s">
        <v>1882</v>
      </c>
      <c r="D359" s="5" t="s">
        <v>1748</v>
      </c>
      <c r="E359" s="7" t="s">
        <v>2123</v>
      </c>
      <c r="F359" s="7" t="s">
        <v>2124</v>
      </c>
      <c r="G359" s="7" t="s">
        <v>34</v>
      </c>
      <c r="H359" s="11" t="s">
        <v>2125</v>
      </c>
      <c r="I359" s="11" t="e">
        <f>VLOOKUP(H359,合同高级查询数据!$A$2:$A$51,1,FALSE)</f>
        <v>#N/A</v>
      </c>
      <c r="J359" s="12" t="s">
        <v>36</v>
      </c>
      <c r="K359" s="7" t="s">
        <v>2126</v>
      </c>
      <c r="L359" s="213" t="s">
        <v>2127</v>
      </c>
      <c r="M359" s="16" t="s">
        <v>2128</v>
      </c>
      <c r="N359" s="36" t="s">
        <v>2129</v>
      </c>
      <c r="O359" s="5" t="s">
        <v>2130</v>
      </c>
      <c r="P359" s="140">
        <v>5000</v>
      </c>
      <c r="Q359" s="140">
        <v>49</v>
      </c>
      <c r="R359" s="27">
        <f t="shared" si="22"/>
        <v>245000</v>
      </c>
      <c r="S359" s="28">
        <v>202306</v>
      </c>
      <c r="T359" s="184" t="s">
        <v>2131</v>
      </c>
      <c r="U359" s="184"/>
      <c r="V359" s="178">
        <v>48.994583130000002</v>
      </c>
      <c r="W359" s="35"/>
      <c r="X359" s="36">
        <v>44986</v>
      </c>
      <c r="Y359" s="36">
        <v>45351</v>
      </c>
      <c r="Z359" s="5" t="s">
        <v>2132</v>
      </c>
      <c r="AA359" s="45">
        <v>0.3</v>
      </c>
      <c r="AB359" s="34">
        <v>120</v>
      </c>
      <c r="AC359" s="178">
        <f t="shared" si="21"/>
        <v>36</v>
      </c>
    </row>
    <row r="360" spans="1:29" s="2" customFormat="1" ht="15" customHeight="1">
      <c r="A360" s="203" t="s">
        <v>859</v>
      </c>
      <c r="B360" s="7" t="s">
        <v>1732</v>
      </c>
      <c r="C360" s="7" t="s">
        <v>1882</v>
      </c>
      <c r="D360" s="5" t="s">
        <v>1748</v>
      </c>
      <c r="E360" s="7" t="s">
        <v>2123</v>
      </c>
      <c r="F360" s="7" t="s">
        <v>2124</v>
      </c>
      <c r="G360" s="7" t="s">
        <v>34</v>
      </c>
      <c r="H360" s="11" t="s">
        <v>2125</v>
      </c>
      <c r="I360" s="11" t="e">
        <f>VLOOKUP(H360,合同高级查询数据!$A$2:$A$51,1,FALSE)</f>
        <v>#N/A</v>
      </c>
      <c r="J360" s="12" t="s">
        <v>36</v>
      </c>
      <c r="K360" s="7" t="s">
        <v>2126</v>
      </c>
      <c r="L360" s="213" t="s">
        <v>2133</v>
      </c>
      <c r="M360" s="16" t="s">
        <v>2128</v>
      </c>
      <c r="N360" s="36" t="s">
        <v>2134</v>
      </c>
      <c r="O360" s="5" t="s">
        <v>2135</v>
      </c>
      <c r="P360" s="27">
        <v>5000</v>
      </c>
      <c r="Q360" s="140">
        <v>36</v>
      </c>
      <c r="R360" s="27">
        <f t="shared" si="22"/>
        <v>180000</v>
      </c>
      <c r="S360" s="28">
        <v>202306</v>
      </c>
      <c r="T360" s="184" t="s">
        <v>2136</v>
      </c>
      <c r="U360" s="184"/>
      <c r="V360" s="178">
        <v>33.815731049</v>
      </c>
      <c r="W360" s="188"/>
      <c r="X360" s="192">
        <v>44986</v>
      </c>
      <c r="Y360" s="192">
        <v>45351</v>
      </c>
      <c r="Z360" s="5" t="s">
        <v>2137</v>
      </c>
      <c r="AA360" s="45">
        <v>0.3</v>
      </c>
      <c r="AB360" s="34">
        <v>120</v>
      </c>
      <c r="AC360" s="34">
        <f t="shared" si="21"/>
        <v>36</v>
      </c>
    </row>
    <row r="361" spans="1:29" s="3" customFormat="1" ht="15" customHeight="1">
      <c r="A361" s="86" t="s">
        <v>859</v>
      </c>
      <c r="B361" s="86" t="s">
        <v>1732</v>
      </c>
      <c r="C361" s="86" t="s">
        <v>860</v>
      </c>
      <c r="D361" s="65" t="s">
        <v>31</v>
      </c>
      <c r="E361" s="86" t="s">
        <v>2138</v>
      </c>
      <c r="F361" s="86" t="s">
        <v>2139</v>
      </c>
      <c r="G361" s="86" t="s">
        <v>34</v>
      </c>
      <c r="H361" s="53" t="s">
        <v>2140</v>
      </c>
      <c r="I361" s="53" t="e">
        <f>VLOOKUP(H361,合同高级查询数据!$A$2:$A$51,1,FALSE)</f>
        <v>#N/A</v>
      </c>
      <c r="J361" s="51" t="s">
        <v>36</v>
      </c>
      <c r="K361" s="86" t="s">
        <v>2141</v>
      </c>
      <c r="L361" s="175" t="s">
        <v>2142</v>
      </c>
      <c r="M361" s="54" t="s">
        <v>2143</v>
      </c>
      <c r="N361" s="211">
        <v>43282</v>
      </c>
      <c r="O361" s="211" t="s">
        <v>1941</v>
      </c>
      <c r="P361" s="58">
        <v>5000</v>
      </c>
      <c r="Q361" s="99">
        <v>36</v>
      </c>
      <c r="R361" s="58">
        <f t="shared" si="22"/>
        <v>180000</v>
      </c>
      <c r="S361" s="59">
        <v>202306</v>
      </c>
      <c r="T361" s="185" t="s">
        <v>2144</v>
      </c>
      <c r="U361" s="195"/>
      <c r="V361" s="196">
        <v>34.958301544000001</v>
      </c>
      <c r="W361" s="197"/>
      <c r="X361" s="198"/>
      <c r="Y361" s="211"/>
      <c r="Z361" s="65" t="s">
        <v>2145</v>
      </c>
      <c r="AA361" s="200">
        <v>0.45</v>
      </c>
      <c r="AB361" s="104">
        <v>80</v>
      </c>
      <c r="AC361" s="196">
        <f t="shared" si="21"/>
        <v>36</v>
      </c>
    </row>
    <row r="362" spans="1:29" s="3" customFormat="1" ht="15" customHeight="1">
      <c r="A362" s="86" t="s">
        <v>859</v>
      </c>
      <c r="B362" s="86" t="s">
        <v>1732</v>
      </c>
      <c r="C362" s="86" t="s">
        <v>860</v>
      </c>
      <c r="D362" s="65" t="s">
        <v>31</v>
      </c>
      <c r="E362" s="86" t="s">
        <v>2138</v>
      </c>
      <c r="F362" s="86" t="s">
        <v>2139</v>
      </c>
      <c r="G362" s="86" t="s">
        <v>34</v>
      </c>
      <c r="H362" s="53" t="s">
        <v>2146</v>
      </c>
      <c r="I362" s="53" t="e">
        <f>VLOOKUP(H362,合同高级查询数据!$A$2:$A$51,1,FALSE)</f>
        <v>#N/A</v>
      </c>
      <c r="J362" s="51" t="s">
        <v>36</v>
      </c>
      <c r="K362" s="86" t="s">
        <v>1099</v>
      </c>
      <c r="L362" s="175" t="s">
        <v>2147</v>
      </c>
      <c r="M362" s="54" t="s">
        <v>2148</v>
      </c>
      <c r="N362" s="64">
        <v>43282</v>
      </c>
      <c r="O362" s="211" t="s">
        <v>1941</v>
      </c>
      <c r="P362" s="58">
        <v>5000</v>
      </c>
      <c r="Q362" s="99">
        <v>36</v>
      </c>
      <c r="R362" s="58">
        <f t="shared" si="22"/>
        <v>180000</v>
      </c>
      <c r="S362" s="59">
        <v>202306</v>
      </c>
      <c r="T362" s="185" t="s">
        <v>2149</v>
      </c>
      <c r="U362" s="195"/>
      <c r="V362" s="196">
        <v>34.935760498</v>
      </c>
      <c r="W362" s="197"/>
      <c r="X362" s="198"/>
      <c r="Y362" s="211"/>
      <c r="Z362" s="65" t="s">
        <v>2150</v>
      </c>
      <c r="AA362" s="200">
        <v>0.45</v>
      </c>
      <c r="AB362" s="104">
        <v>80</v>
      </c>
      <c r="AC362" s="196">
        <f t="shared" si="21"/>
        <v>36</v>
      </c>
    </row>
    <row r="363" spans="1:29" s="3" customFormat="1" ht="15" customHeight="1">
      <c r="A363" s="86" t="s">
        <v>878</v>
      </c>
      <c r="B363" s="65" t="s">
        <v>1732</v>
      </c>
      <c r="C363" s="65" t="s">
        <v>860</v>
      </c>
      <c r="D363" s="65" t="s">
        <v>31</v>
      </c>
      <c r="E363" s="86" t="s">
        <v>2138</v>
      </c>
      <c r="F363" s="86" t="s">
        <v>2139</v>
      </c>
      <c r="G363" s="86" t="s">
        <v>34</v>
      </c>
      <c r="H363" s="53" t="s">
        <v>2151</v>
      </c>
      <c r="I363" s="53" t="e">
        <f>VLOOKUP(H363,合同高级查询数据!$A$2:$A$51,1,FALSE)</f>
        <v>#N/A</v>
      </c>
      <c r="J363" s="51" t="s">
        <v>36</v>
      </c>
      <c r="K363" s="86" t="s">
        <v>2141</v>
      </c>
      <c r="L363" s="175" t="s">
        <v>2152</v>
      </c>
      <c r="M363" s="54" t="s">
        <v>2153</v>
      </c>
      <c r="N363" s="64" t="s">
        <v>2154</v>
      </c>
      <c r="O363" s="65" t="s">
        <v>969</v>
      </c>
      <c r="P363" s="58">
        <v>4500</v>
      </c>
      <c r="Q363" s="99">
        <v>102.1</v>
      </c>
      <c r="R363" s="58">
        <f t="shared" si="22"/>
        <v>459450</v>
      </c>
      <c r="S363" s="59">
        <v>202306</v>
      </c>
      <c r="T363" s="185" t="s">
        <v>2155</v>
      </c>
      <c r="U363" s="185"/>
      <c r="V363" s="196">
        <v>102.00564575200001</v>
      </c>
      <c r="W363" s="103"/>
      <c r="X363" s="64"/>
      <c r="Y363" s="64"/>
      <c r="Z363" s="65" t="s">
        <v>2156</v>
      </c>
      <c r="AA363" s="200">
        <v>0.5</v>
      </c>
      <c r="AB363" s="104">
        <v>200</v>
      </c>
      <c r="AC363" s="196">
        <f t="shared" si="21"/>
        <v>100</v>
      </c>
    </row>
    <row r="364" spans="1:29" s="3" customFormat="1" ht="15" customHeight="1">
      <c r="A364" s="215" t="s">
        <v>859</v>
      </c>
      <c r="B364" s="65" t="s">
        <v>1732</v>
      </c>
      <c r="C364" s="65" t="s">
        <v>860</v>
      </c>
      <c r="D364" s="65" t="s">
        <v>31</v>
      </c>
      <c r="E364" s="86" t="s">
        <v>2157</v>
      </c>
      <c r="F364" s="86" t="s">
        <v>2158</v>
      </c>
      <c r="G364" s="86" t="s">
        <v>34</v>
      </c>
      <c r="H364" s="53" t="s">
        <v>2159</v>
      </c>
      <c r="I364" s="53" t="e">
        <f>VLOOKUP(H364,合同高级查询数据!$A$2:$A$51,1,FALSE)</f>
        <v>#N/A</v>
      </c>
      <c r="J364" s="51" t="s">
        <v>36</v>
      </c>
      <c r="K364" s="86" t="s">
        <v>896</v>
      </c>
      <c r="L364" s="175" t="s">
        <v>894</v>
      </c>
      <c r="M364" s="54" t="s">
        <v>2160</v>
      </c>
      <c r="N364" s="64">
        <v>43922</v>
      </c>
      <c r="O364" s="218" t="s">
        <v>277</v>
      </c>
      <c r="P364" s="58">
        <v>6333.33</v>
      </c>
      <c r="Q364" s="99">
        <v>25.5</v>
      </c>
      <c r="R364" s="58">
        <f t="shared" si="22"/>
        <v>161499.92000000001</v>
      </c>
      <c r="S364" s="59">
        <v>202306</v>
      </c>
      <c r="T364" s="185" t="s">
        <v>2161</v>
      </c>
      <c r="U364" s="185"/>
      <c r="V364" s="196">
        <v>25.415380477999999</v>
      </c>
      <c r="W364" s="103"/>
      <c r="X364" s="64"/>
      <c r="Y364" s="64"/>
      <c r="Z364" s="65" t="s">
        <v>2162</v>
      </c>
      <c r="AA364" s="200">
        <v>0.25</v>
      </c>
      <c r="AB364" s="104">
        <v>100</v>
      </c>
      <c r="AC364" s="196">
        <f t="shared" si="21"/>
        <v>25</v>
      </c>
    </row>
    <row r="365" spans="1:29" s="2" customFormat="1" ht="15" customHeight="1">
      <c r="A365" s="7" t="s">
        <v>878</v>
      </c>
      <c r="B365" s="5" t="s">
        <v>1732</v>
      </c>
      <c r="C365" s="5" t="s">
        <v>860</v>
      </c>
      <c r="D365" s="5" t="s">
        <v>31</v>
      </c>
      <c r="E365" s="7" t="s">
        <v>2157</v>
      </c>
      <c r="F365" s="7" t="s">
        <v>2158</v>
      </c>
      <c r="G365" s="7" t="s">
        <v>34</v>
      </c>
      <c r="H365" s="11" t="s">
        <v>2163</v>
      </c>
      <c r="I365" s="11" t="e">
        <f>VLOOKUP(H365,合同高级查询数据!$A$2:$A$51,1,FALSE)</f>
        <v>#N/A</v>
      </c>
      <c r="J365" s="12" t="s">
        <v>36</v>
      </c>
      <c r="K365" s="7" t="s">
        <v>1099</v>
      </c>
      <c r="L365" s="178" t="s">
        <v>1091</v>
      </c>
      <c r="M365" s="16" t="s">
        <v>2164</v>
      </c>
      <c r="N365" s="36">
        <v>43922</v>
      </c>
      <c r="O365" s="219" t="s">
        <v>434</v>
      </c>
      <c r="P365" s="27">
        <v>5500</v>
      </c>
      <c r="Q365" s="140">
        <v>60.7</v>
      </c>
      <c r="R365" s="27">
        <f t="shared" si="22"/>
        <v>333850</v>
      </c>
      <c r="S365" s="28">
        <v>202306</v>
      </c>
      <c r="T365" s="184" t="s">
        <v>2165</v>
      </c>
      <c r="U365" s="184"/>
      <c r="V365" s="178">
        <v>60.626255035</v>
      </c>
      <c r="W365" s="35"/>
      <c r="X365" s="36">
        <v>44958</v>
      </c>
      <c r="Y365" s="36">
        <v>45322</v>
      </c>
      <c r="Z365" s="5" t="s">
        <v>2166</v>
      </c>
      <c r="AA365" s="45">
        <v>0.3</v>
      </c>
      <c r="AB365" s="34">
        <v>200</v>
      </c>
      <c r="AC365" s="178">
        <f t="shared" si="21"/>
        <v>60</v>
      </c>
    </row>
    <row r="366" spans="1:29" s="2" customFormat="1" ht="15" customHeight="1">
      <c r="A366" s="7" t="s">
        <v>878</v>
      </c>
      <c r="B366" s="5" t="s">
        <v>1732</v>
      </c>
      <c r="C366" s="5" t="s">
        <v>860</v>
      </c>
      <c r="D366" s="5" t="s">
        <v>31</v>
      </c>
      <c r="E366" s="7" t="s">
        <v>2167</v>
      </c>
      <c r="F366" s="7" t="s">
        <v>2168</v>
      </c>
      <c r="G366" s="7" t="s">
        <v>34</v>
      </c>
      <c r="H366" s="11" t="s">
        <v>2169</v>
      </c>
      <c r="I366" s="11" t="e">
        <f>VLOOKUP(H366,合同高级查询数据!$A$2:$A$51,1,FALSE)</f>
        <v>#N/A</v>
      </c>
      <c r="J366" s="12" t="s">
        <v>36</v>
      </c>
      <c r="K366" s="7" t="s">
        <v>1085</v>
      </c>
      <c r="L366" s="178" t="s">
        <v>2170</v>
      </c>
      <c r="M366" s="16" t="s">
        <v>2171</v>
      </c>
      <c r="N366" s="36" t="s">
        <v>2172</v>
      </c>
      <c r="O366" s="219" t="s">
        <v>1880</v>
      </c>
      <c r="P366" s="27">
        <v>5000</v>
      </c>
      <c r="Q366" s="140">
        <v>0</v>
      </c>
      <c r="R366" s="27">
        <f t="shared" si="22"/>
        <v>0</v>
      </c>
      <c r="S366" s="28">
        <v>202306</v>
      </c>
      <c r="T366" s="184" t="s">
        <v>2173</v>
      </c>
      <c r="U366" s="184"/>
      <c r="V366" s="178">
        <v>0</v>
      </c>
      <c r="W366" s="35"/>
      <c r="X366" s="36">
        <v>44682</v>
      </c>
      <c r="Y366" s="36">
        <v>45046</v>
      </c>
      <c r="Z366" s="178">
        <v>0</v>
      </c>
      <c r="AA366" s="44">
        <v>0</v>
      </c>
      <c r="AB366" s="178">
        <v>0</v>
      </c>
      <c r="AC366" s="178">
        <f t="shared" si="21"/>
        <v>0</v>
      </c>
    </row>
    <row r="367" spans="1:29" s="3" customFormat="1" ht="15" customHeight="1">
      <c r="A367" s="86" t="s">
        <v>871</v>
      </c>
      <c r="B367" s="65" t="s">
        <v>1732</v>
      </c>
      <c r="C367" s="65" t="s">
        <v>2174</v>
      </c>
      <c r="D367" s="65" t="s">
        <v>1748</v>
      </c>
      <c r="E367" s="86" t="s">
        <v>2167</v>
      </c>
      <c r="F367" s="86" t="s">
        <v>2168</v>
      </c>
      <c r="G367" s="86" t="s">
        <v>34</v>
      </c>
      <c r="H367" s="53" t="s">
        <v>2175</v>
      </c>
      <c r="I367" s="53" t="e">
        <f>VLOOKUP(H367,合同高级查询数据!$A$2:$A$51,1,FALSE)</f>
        <v>#N/A</v>
      </c>
      <c r="J367" s="51" t="s">
        <v>36</v>
      </c>
      <c r="K367" s="65" t="s">
        <v>2174</v>
      </c>
      <c r="L367" s="196" t="s">
        <v>2176</v>
      </c>
      <c r="M367" s="54" t="s">
        <v>2177</v>
      </c>
      <c r="N367" s="64" t="s">
        <v>2178</v>
      </c>
      <c r="O367" s="218" t="s">
        <v>969</v>
      </c>
      <c r="P367" s="58">
        <v>5833.33</v>
      </c>
      <c r="Q367" s="99">
        <v>80</v>
      </c>
      <c r="R367" s="58">
        <f t="shared" si="22"/>
        <v>466666.4</v>
      </c>
      <c r="S367" s="59">
        <v>202306</v>
      </c>
      <c r="T367" s="185" t="s">
        <v>2179</v>
      </c>
      <c r="U367" s="185"/>
      <c r="V367" s="196">
        <v>79.138046265</v>
      </c>
      <c r="W367" s="103"/>
      <c r="X367" s="64"/>
      <c r="Y367" s="64"/>
      <c r="Z367" s="65" t="s">
        <v>2180</v>
      </c>
      <c r="AA367" s="200">
        <v>0.4</v>
      </c>
      <c r="AB367" s="104">
        <v>200</v>
      </c>
      <c r="AC367" s="196">
        <f t="shared" si="21"/>
        <v>80</v>
      </c>
    </row>
    <row r="368" spans="1:29" s="3" customFormat="1" ht="15" customHeight="1">
      <c r="A368" s="86" t="s">
        <v>878</v>
      </c>
      <c r="B368" s="65" t="s">
        <v>1732</v>
      </c>
      <c r="C368" s="65" t="s">
        <v>860</v>
      </c>
      <c r="D368" s="65" t="s">
        <v>31</v>
      </c>
      <c r="E368" s="86" t="s">
        <v>2167</v>
      </c>
      <c r="F368" s="86" t="s">
        <v>2168</v>
      </c>
      <c r="G368" s="86" t="s">
        <v>34</v>
      </c>
      <c r="H368" s="53" t="s">
        <v>2181</v>
      </c>
      <c r="I368" s="53" t="e">
        <f>VLOOKUP(H368,合同高级查询数据!$A$2:$A$51,1,FALSE)</f>
        <v>#N/A</v>
      </c>
      <c r="J368" s="51" t="s">
        <v>36</v>
      </c>
      <c r="K368" s="65" t="s">
        <v>2182</v>
      </c>
      <c r="L368" s="196" t="s">
        <v>2183</v>
      </c>
      <c r="M368" s="54" t="s">
        <v>2184</v>
      </c>
      <c r="N368" s="64">
        <v>44348</v>
      </c>
      <c r="O368" s="218" t="s">
        <v>434</v>
      </c>
      <c r="P368" s="58">
        <v>4200</v>
      </c>
      <c r="Q368" s="99">
        <v>103.6</v>
      </c>
      <c r="R368" s="58">
        <f t="shared" si="22"/>
        <v>435120</v>
      </c>
      <c r="S368" s="59">
        <v>202306</v>
      </c>
      <c r="T368" s="185" t="s">
        <v>2185</v>
      </c>
      <c r="U368" s="185"/>
      <c r="V368" s="196">
        <v>103.569656372</v>
      </c>
      <c r="W368" s="103"/>
      <c r="X368" s="64"/>
      <c r="Y368" s="64"/>
      <c r="Z368" s="65" t="s">
        <v>2186</v>
      </c>
      <c r="AA368" s="200">
        <v>0.5</v>
      </c>
      <c r="AB368" s="104">
        <v>200</v>
      </c>
      <c r="AC368" s="196">
        <f t="shared" si="21"/>
        <v>100</v>
      </c>
    </row>
    <row r="369" spans="1:29" s="2" customFormat="1" ht="15" customHeight="1">
      <c r="A369" s="203" t="s">
        <v>859</v>
      </c>
      <c r="B369" s="5" t="s">
        <v>1732</v>
      </c>
      <c r="C369" s="5" t="s">
        <v>860</v>
      </c>
      <c r="D369" s="5" t="s">
        <v>31</v>
      </c>
      <c r="E369" s="7" t="s">
        <v>2167</v>
      </c>
      <c r="F369" s="7" t="s">
        <v>2168</v>
      </c>
      <c r="G369" s="7" t="s">
        <v>34</v>
      </c>
      <c r="H369" s="11" t="s">
        <v>2187</v>
      </c>
      <c r="I369" s="11" t="e">
        <f>VLOOKUP(H369,合同高级查询数据!$A$2:$A$51,1,FALSE)</f>
        <v>#N/A</v>
      </c>
      <c r="J369" s="12" t="s">
        <v>36</v>
      </c>
      <c r="K369" s="5" t="s">
        <v>2100</v>
      </c>
      <c r="L369" s="178" t="s">
        <v>2188</v>
      </c>
      <c r="M369" s="16" t="s">
        <v>2189</v>
      </c>
      <c r="N369" s="36">
        <v>44835</v>
      </c>
      <c r="O369" s="219" t="s">
        <v>434</v>
      </c>
      <c r="P369" s="27">
        <v>5400</v>
      </c>
      <c r="Q369" s="140">
        <v>60.3</v>
      </c>
      <c r="R369" s="27">
        <f t="shared" si="22"/>
        <v>325620</v>
      </c>
      <c r="S369" s="28">
        <v>202306</v>
      </c>
      <c r="T369" s="184" t="s">
        <v>2190</v>
      </c>
      <c r="U369" s="184"/>
      <c r="V369" s="178">
        <v>60.231155395999998</v>
      </c>
      <c r="W369" s="35"/>
      <c r="X369" s="36">
        <v>44835</v>
      </c>
      <c r="Y369" s="21">
        <v>45199</v>
      </c>
      <c r="Z369" s="5" t="s">
        <v>2191</v>
      </c>
      <c r="AA369" s="45">
        <v>0.3</v>
      </c>
      <c r="AB369" s="34">
        <v>200</v>
      </c>
      <c r="AC369" s="178">
        <f t="shared" si="21"/>
        <v>60</v>
      </c>
    </row>
    <row r="370" spans="1:29" s="2" customFormat="1" ht="15" customHeight="1">
      <c r="A370" s="7" t="s">
        <v>878</v>
      </c>
      <c r="B370" s="5" t="s">
        <v>1732</v>
      </c>
      <c r="C370" s="5" t="s">
        <v>860</v>
      </c>
      <c r="D370" s="5" t="s">
        <v>31</v>
      </c>
      <c r="E370" s="7" t="s">
        <v>2167</v>
      </c>
      <c r="F370" s="7" t="s">
        <v>2168</v>
      </c>
      <c r="G370" s="7" t="s">
        <v>34</v>
      </c>
      <c r="H370" s="11" t="s">
        <v>2192</v>
      </c>
      <c r="I370" s="11" t="e">
        <f>VLOOKUP(H370,合同高级查询数据!$A$2:$A$51,1,FALSE)</f>
        <v>#N/A</v>
      </c>
      <c r="J370" s="12" t="s">
        <v>36</v>
      </c>
      <c r="K370" s="5" t="s">
        <v>1116</v>
      </c>
      <c r="L370" s="178" t="s">
        <v>2193</v>
      </c>
      <c r="M370" s="16" t="s">
        <v>2194</v>
      </c>
      <c r="N370" s="36">
        <v>44927</v>
      </c>
      <c r="O370" s="219" t="s">
        <v>434</v>
      </c>
      <c r="P370" s="27">
        <v>5000</v>
      </c>
      <c r="Q370" s="140">
        <v>80.599999999999994</v>
      </c>
      <c r="R370" s="27">
        <f t="shared" si="22"/>
        <v>403000</v>
      </c>
      <c r="S370" s="28">
        <v>202306</v>
      </c>
      <c r="T370" s="184" t="s">
        <v>2195</v>
      </c>
      <c r="U370" s="184"/>
      <c r="V370" s="178">
        <v>80.528915405000006</v>
      </c>
      <c r="W370" s="188"/>
      <c r="X370" s="36">
        <v>44927</v>
      </c>
      <c r="Y370" s="36">
        <v>45291</v>
      </c>
      <c r="Z370" s="5" t="s">
        <v>2196</v>
      </c>
      <c r="AA370" s="45">
        <v>0.4</v>
      </c>
      <c r="AB370" s="34">
        <v>200</v>
      </c>
      <c r="AC370" s="178">
        <f t="shared" si="21"/>
        <v>80</v>
      </c>
    </row>
    <row r="371" spans="1:29" s="3" customFormat="1" ht="15" customHeight="1">
      <c r="A371" s="215" t="s">
        <v>859</v>
      </c>
      <c r="B371" s="65" t="s">
        <v>1732</v>
      </c>
      <c r="C371" s="65" t="s">
        <v>1278</v>
      </c>
      <c r="D371" s="65" t="s">
        <v>1791</v>
      </c>
      <c r="E371" s="86" t="s">
        <v>2197</v>
      </c>
      <c r="F371" s="86" t="s">
        <v>2198</v>
      </c>
      <c r="G371" s="86" t="s">
        <v>34</v>
      </c>
      <c r="H371" s="53" t="s">
        <v>2199</v>
      </c>
      <c r="I371" s="53" t="e">
        <f>VLOOKUP(H371,合同高级查询数据!$A$2:$A$51,1,FALSE)</f>
        <v>#N/A</v>
      </c>
      <c r="J371" s="51" t="s">
        <v>36</v>
      </c>
      <c r="K371" s="86" t="s">
        <v>1300</v>
      </c>
      <c r="L371" s="175" t="s">
        <v>2200</v>
      </c>
      <c r="M371" s="54" t="s">
        <v>2201</v>
      </c>
      <c r="N371" s="64">
        <v>43862</v>
      </c>
      <c r="O371" s="65" t="s">
        <v>277</v>
      </c>
      <c r="P371" s="58">
        <v>6250</v>
      </c>
      <c r="Q371" s="99">
        <v>26.4</v>
      </c>
      <c r="R371" s="58">
        <f t="shared" si="22"/>
        <v>165000</v>
      </c>
      <c r="S371" s="59">
        <v>202306</v>
      </c>
      <c r="T371" s="185" t="s">
        <v>2202</v>
      </c>
      <c r="U371" s="185"/>
      <c r="V371" s="196">
        <v>26.368396758999999</v>
      </c>
      <c r="W371" s="103"/>
      <c r="X371" s="64"/>
      <c r="Y371" s="64"/>
      <c r="Z371" s="65" t="s">
        <v>2203</v>
      </c>
      <c r="AA371" s="200">
        <v>0.25</v>
      </c>
      <c r="AB371" s="104">
        <v>100</v>
      </c>
      <c r="AC371" s="196">
        <f t="shared" si="21"/>
        <v>25</v>
      </c>
    </row>
    <row r="372" spans="1:29" s="2" customFormat="1" ht="15" customHeight="1">
      <c r="A372" s="203" t="s">
        <v>859</v>
      </c>
      <c r="B372" s="5" t="s">
        <v>1732</v>
      </c>
      <c r="C372" s="5" t="s">
        <v>2204</v>
      </c>
      <c r="D372" s="5" t="s">
        <v>1748</v>
      </c>
      <c r="E372" s="7" t="s">
        <v>2197</v>
      </c>
      <c r="F372" s="7" t="s">
        <v>2198</v>
      </c>
      <c r="G372" s="7" t="s">
        <v>34</v>
      </c>
      <c r="H372" s="11" t="s">
        <v>2205</v>
      </c>
      <c r="I372" s="11" t="str">
        <f>VLOOKUP(H372,合同高级查询数据!$A$2:$A$51,1,FALSE)</f>
        <v>182315IDC00236</v>
      </c>
      <c r="J372" s="12" t="s">
        <v>36</v>
      </c>
      <c r="K372" s="7" t="s">
        <v>2204</v>
      </c>
      <c r="L372" s="174" t="s">
        <v>2206</v>
      </c>
      <c r="M372" s="16" t="s">
        <v>2207</v>
      </c>
      <c r="N372" s="36">
        <v>44014</v>
      </c>
      <c r="O372" s="5" t="s">
        <v>1249</v>
      </c>
      <c r="P372" s="27">
        <v>4166.67</v>
      </c>
      <c r="Q372" s="140">
        <v>60</v>
      </c>
      <c r="R372" s="27">
        <f t="shared" si="22"/>
        <v>250000.2</v>
      </c>
      <c r="S372" s="28">
        <v>202306</v>
      </c>
      <c r="T372" s="184" t="s">
        <v>2208</v>
      </c>
      <c r="U372" s="184"/>
      <c r="V372" s="178">
        <v>48.255947112999998</v>
      </c>
      <c r="W372" s="35"/>
      <c r="X372" s="192">
        <v>45047</v>
      </c>
      <c r="Y372" s="192">
        <v>45412</v>
      </c>
      <c r="Z372" s="5" t="s">
        <v>2209</v>
      </c>
      <c r="AA372" s="45">
        <v>1</v>
      </c>
      <c r="AB372" s="34">
        <v>60</v>
      </c>
      <c r="AC372" s="178">
        <f t="shared" si="21"/>
        <v>60</v>
      </c>
    </row>
    <row r="373" spans="1:29" s="2" customFormat="1" ht="15" customHeight="1">
      <c r="A373" s="7" t="s">
        <v>878</v>
      </c>
      <c r="B373" s="5" t="s">
        <v>1732</v>
      </c>
      <c r="C373" s="5" t="s">
        <v>1278</v>
      </c>
      <c r="D373" s="5" t="s">
        <v>1791</v>
      </c>
      <c r="E373" s="7" t="s">
        <v>2197</v>
      </c>
      <c r="F373" s="7" t="s">
        <v>2198</v>
      </c>
      <c r="G373" s="7" t="s">
        <v>34</v>
      </c>
      <c r="H373" s="11" t="s">
        <v>2210</v>
      </c>
      <c r="I373" s="11" t="e">
        <f>VLOOKUP(H373,合同高级查询数据!$A$2:$A$51,1,FALSE)</f>
        <v>#N/A</v>
      </c>
      <c r="J373" s="12" t="s">
        <v>36</v>
      </c>
      <c r="K373" s="7" t="s">
        <v>2211</v>
      </c>
      <c r="L373" s="174" t="s">
        <v>2212</v>
      </c>
      <c r="M373" s="16" t="s">
        <v>2213</v>
      </c>
      <c r="N373" s="36" t="s">
        <v>2214</v>
      </c>
      <c r="O373" s="5" t="s">
        <v>1880</v>
      </c>
      <c r="P373" s="27">
        <v>5000</v>
      </c>
      <c r="Q373" s="140">
        <v>0</v>
      </c>
      <c r="R373" s="27">
        <f t="shared" si="22"/>
        <v>0</v>
      </c>
      <c r="S373" s="28">
        <v>202306</v>
      </c>
      <c r="T373" s="184" t="s">
        <v>2215</v>
      </c>
      <c r="U373" s="184"/>
      <c r="V373" s="178">
        <v>0</v>
      </c>
      <c r="W373" s="35"/>
      <c r="X373" s="36">
        <v>44166</v>
      </c>
      <c r="Y373" s="36">
        <v>44530</v>
      </c>
      <c r="Z373" s="178">
        <v>0</v>
      </c>
      <c r="AA373" s="44">
        <v>0</v>
      </c>
      <c r="AB373" s="178">
        <v>0</v>
      </c>
      <c r="AC373" s="178">
        <f t="shared" si="21"/>
        <v>0</v>
      </c>
    </row>
    <row r="374" spans="1:29" s="2" customFormat="1" ht="15" customHeight="1">
      <c r="A374" s="7" t="s">
        <v>878</v>
      </c>
      <c r="B374" s="5" t="s">
        <v>1732</v>
      </c>
      <c r="C374" s="5" t="s">
        <v>1278</v>
      </c>
      <c r="D374" s="5" t="s">
        <v>1791</v>
      </c>
      <c r="E374" s="7" t="s">
        <v>2197</v>
      </c>
      <c r="F374" s="7" t="s">
        <v>2198</v>
      </c>
      <c r="G374" s="7" t="s">
        <v>34</v>
      </c>
      <c r="H374" s="11" t="s">
        <v>2216</v>
      </c>
      <c r="I374" s="11" t="e">
        <f>VLOOKUP(H374,合同高级查询数据!$A$2:$A$51,1,FALSE)</f>
        <v>#N/A</v>
      </c>
      <c r="J374" s="12" t="s">
        <v>36</v>
      </c>
      <c r="K374" s="7" t="s">
        <v>1300</v>
      </c>
      <c r="L374" s="174" t="s">
        <v>2217</v>
      </c>
      <c r="M374" s="16" t="s">
        <v>2218</v>
      </c>
      <c r="N374" s="36" t="s">
        <v>2219</v>
      </c>
      <c r="O374" s="5" t="s">
        <v>2220</v>
      </c>
      <c r="P374" s="27">
        <v>5000</v>
      </c>
      <c r="Q374" s="140">
        <v>374.8</v>
      </c>
      <c r="R374" s="27">
        <f t="shared" si="22"/>
        <v>1874000</v>
      </c>
      <c r="S374" s="28">
        <v>202306</v>
      </c>
      <c r="T374" s="184" t="s">
        <v>2221</v>
      </c>
      <c r="U374" s="184"/>
      <c r="V374" s="178">
        <v>374.74835205099998</v>
      </c>
      <c r="W374" s="35"/>
      <c r="X374" s="36">
        <v>44958</v>
      </c>
      <c r="Y374" s="36">
        <v>45382</v>
      </c>
      <c r="Z374" s="5" t="s">
        <v>2222</v>
      </c>
      <c r="AA374" s="45">
        <v>0.4</v>
      </c>
      <c r="AB374" s="34">
        <v>880</v>
      </c>
      <c r="AC374" s="178">
        <f t="shared" si="21"/>
        <v>352</v>
      </c>
    </row>
    <row r="375" spans="1:29" s="2" customFormat="1" ht="15" customHeight="1">
      <c r="A375" s="7" t="s">
        <v>878</v>
      </c>
      <c r="B375" s="5" t="s">
        <v>1732</v>
      </c>
      <c r="C375" s="5" t="s">
        <v>1278</v>
      </c>
      <c r="D375" s="5" t="s">
        <v>1791</v>
      </c>
      <c r="E375" s="7" t="s">
        <v>2197</v>
      </c>
      <c r="F375" s="7" t="s">
        <v>2198</v>
      </c>
      <c r="G375" s="7" t="s">
        <v>34</v>
      </c>
      <c r="H375" s="11" t="s">
        <v>2216</v>
      </c>
      <c r="I375" s="11" t="e">
        <f>VLOOKUP(H375,合同高级查询数据!$A$2:$A$51,1,FALSE)</f>
        <v>#N/A</v>
      </c>
      <c r="J375" s="12" t="s">
        <v>36</v>
      </c>
      <c r="K375" s="7" t="s">
        <v>1300</v>
      </c>
      <c r="L375" s="174" t="s">
        <v>2223</v>
      </c>
      <c r="M375" s="16" t="s">
        <v>2218</v>
      </c>
      <c r="N375" s="36" t="s">
        <v>2224</v>
      </c>
      <c r="O375" s="5" t="s">
        <v>1329</v>
      </c>
      <c r="P375" s="27">
        <v>5000</v>
      </c>
      <c r="Q375" s="140">
        <v>0</v>
      </c>
      <c r="R375" s="27">
        <f t="shared" si="22"/>
        <v>0</v>
      </c>
      <c r="S375" s="28">
        <v>202306</v>
      </c>
      <c r="T375" s="184" t="s">
        <v>2225</v>
      </c>
      <c r="U375" s="184"/>
      <c r="V375" s="178">
        <v>0</v>
      </c>
      <c r="W375" s="35"/>
      <c r="X375" s="36">
        <v>44958</v>
      </c>
      <c r="Y375" s="36">
        <v>45382</v>
      </c>
      <c r="Z375" s="178">
        <v>0</v>
      </c>
      <c r="AA375" s="44">
        <v>0</v>
      </c>
      <c r="AB375" s="178">
        <v>0</v>
      </c>
      <c r="AC375" s="178">
        <f t="shared" si="21"/>
        <v>0</v>
      </c>
    </row>
    <row r="376" spans="1:29" s="2" customFormat="1" ht="15" customHeight="1">
      <c r="A376" s="7" t="s">
        <v>878</v>
      </c>
      <c r="B376" s="5" t="s">
        <v>1732</v>
      </c>
      <c r="C376" s="5" t="s">
        <v>1278</v>
      </c>
      <c r="D376" s="5" t="s">
        <v>1791</v>
      </c>
      <c r="E376" s="7" t="s">
        <v>2197</v>
      </c>
      <c r="F376" s="7" t="s">
        <v>2198</v>
      </c>
      <c r="G376" s="7" t="s">
        <v>34</v>
      </c>
      <c r="H376" s="11" t="s">
        <v>2216</v>
      </c>
      <c r="I376" s="11" t="e">
        <f>VLOOKUP(H376,合同高级查询数据!$A$2:$A$51,1,FALSE)</f>
        <v>#N/A</v>
      </c>
      <c r="J376" s="12" t="s">
        <v>36</v>
      </c>
      <c r="K376" s="7" t="s">
        <v>1300</v>
      </c>
      <c r="L376" s="174" t="s">
        <v>2226</v>
      </c>
      <c r="M376" s="16" t="s">
        <v>2218</v>
      </c>
      <c r="N376" s="36" t="s">
        <v>2227</v>
      </c>
      <c r="O376" s="5" t="s">
        <v>2228</v>
      </c>
      <c r="P376" s="27">
        <v>5000</v>
      </c>
      <c r="Q376" s="140">
        <v>0</v>
      </c>
      <c r="R376" s="27">
        <f t="shared" si="22"/>
        <v>0</v>
      </c>
      <c r="S376" s="28">
        <v>202306</v>
      </c>
      <c r="T376" s="184" t="s">
        <v>2229</v>
      </c>
      <c r="U376" s="184"/>
      <c r="V376" s="178">
        <v>0</v>
      </c>
      <c r="W376" s="35"/>
      <c r="X376" s="36">
        <v>44958</v>
      </c>
      <c r="Y376" s="36">
        <v>45382</v>
      </c>
      <c r="Z376" s="178">
        <v>0</v>
      </c>
      <c r="AA376" s="44">
        <v>0</v>
      </c>
      <c r="AB376" s="178">
        <v>0</v>
      </c>
      <c r="AC376" s="178">
        <f t="shared" si="21"/>
        <v>0</v>
      </c>
    </row>
    <row r="377" spans="1:29" s="2" customFormat="1" ht="15" customHeight="1">
      <c r="A377" s="7" t="s">
        <v>878</v>
      </c>
      <c r="B377" s="5" t="s">
        <v>1732</v>
      </c>
      <c r="C377" s="5" t="s">
        <v>1278</v>
      </c>
      <c r="D377" s="5" t="s">
        <v>1791</v>
      </c>
      <c r="E377" s="7" t="s">
        <v>2197</v>
      </c>
      <c r="F377" s="7" t="s">
        <v>2198</v>
      </c>
      <c r="G377" s="7" t="s">
        <v>34</v>
      </c>
      <c r="H377" s="11" t="s">
        <v>2216</v>
      </c>
      <c r="I377" s="11" t="e">
        <f>VLOOKUP(H377,合同高级查询数据!$A$2:$A$51,1,FALSE)</f>
        <v>#N/A</v>
      </c>
      <c r="J377" s="12" t="s">
        <v>36</v>
      </c>
      <c r="K377" s="7" t="s">
        <v>1300</v>
      </c>
      <c r="L377" s="174" t="s">
        <v>2230</v>
      </c>
      <c r="M377" s="16" t="s">
        <v>2218</v>
      </c>
      <c r="N377" s="36" t="s">
        <v>2231</v>
      </c>
      <c r="O377" s="5" t="s">
        <v>1329</v>
      </c>
      <c r="P377" s="27">
        <v>5000</v>
      </c>
      <c r="Q377" s="140">
        <v>0</v>
      </c>
      <c r="R377" s="27">
        <f t="shared" si="22"/>
        <v>0</v>
      </c>
      <c r="S377" s="28">
        <v>202306</v>
      </c>
      <c r="T377" s="184" t="s">
        <v>2232</v>
      </c>
      <c r="U377" s="184"/>
      <c r="V377" s="178">
        <v>0</v>
      </c>
      <c r="W377" s="35"/>
      <c r="X377" s="36">
        <v>44958</v>
      </c>
      <c r="Y377" s="36">
        <v>45382</v>
      </c>
      <c r="Z377" s="178">
        <v>0</v>
      </c>
      <c r="AA377" s="44">
        <v>0</v>
      </c>
      <c r="AB377" s="178">
        <v>0</v>
      </c>
      <c r="AC377" s="178">
        <f t="shared" si="21"/>
        <v>0</v>
      </c>
    </row>
    <row r="378" spans="1:29" s="3" customFormat="1" ht="15" customHeight="1">
      <c r="A378" s="86" t="s">
        <v>859</v>
      </c>
      <c r="B378" s="86" t="s">
        <v>1732</v>
      </c>
      <c r="C378" s="86" t="s">
        <v>1278</v>
      </c>
      <c r="D378" s="65" t="s">
        <v>1791</v>
      </c>
      <c r="E378" s="86" t="s">
        <v>2233</v>
      </c>
      <c r="F378" s="86" t="s">
        <v>2234</v>
      </c>
      <c r="G378" s="86" t="s">
        <v>34</v>
      </c>
      <c r="H378" s="53" t="s">
        <v>2235</v>
      </c>
      <c r="I378" s="53" t="e">
        <f>VLOOKUP(H378,合同高级查询数据!$A$2:$A$51,1,FALSE)</f>
        <v>#N/A</v>
      </c>
      <c r="J378" s="51" t="s">
        <v>36</v>
      </c>
      <c r="K378" s="86" t="s">
        <v>1283</v>
      </c>
      <c r="L378" s="175" t="s">
        <v>2236</v>
      </c>
      <c r="M378" s="54" t="s">
        <v>2237</v>
      </c>
      <c r="N378" s="211" t="s">
        <v>2238</v>
      </c>
      <c r="O378" s="211" t="s">
        <v>2239</v>
      </c>
      <c r="P378" s="58">
        <v>6167</v>
      </c>
      <c r="Q378" s="99">
        <v>62</v>
      </c>
      <c r="R378" s="58">
        <f t="shared" si="22"/>
        <v>382354</v>
      </c>
      <c r="S378" s="59">
        <v>202306</v>
      </c>
      <c r="T378" s="185" t="s">
        <v>2240</v>
      </c>
      <c r="U378" s="195"/>
      <c r="V378" s="196">
        <v>61.910972594999997</v>
      </c>
      <c r="W378" s="103"/>
      <c r="X378" s="64"/>
      <c r="Y378" s="64"/>
      <c r="Z378" s="65" t="s">
        <v>2241</v>
      </c>
      <c r="AA378" s="200">
        <v>0.3</v>
      </c>
      <c r="AB378" s="104">
        <v>200</v>
      </c>
      <c r="AC378" s="196">
        <f t="shared" ref="AC378:AC441" si="23">AA378*AB378</f>
        <v>60</v>
      </c>
    </row>
    <row r="379" spans="1:29" s="3" customFormat="1" ht="15" customHeight="1">
      <c r="A379" s="215" t="s">
        <v>859</v>
      </c>
      <c r="B379" s="86" t="s">
        <v>1732</v>
      </c>
      <c r="C379" s="86" t="s">
        <v>1278</v>
      </c>
      <c r="D379" s="65" t="s">
        <v>1791</v>
      </c>
      <c r="E379" s="86" t="s">
        <v>2233</v>
      </c>
      <c r="F379" s="86" t="s">
        <v>2234</v>
      </c>
      <c r="G379" s="86" t="s">
        <v>34</v>
      </c>
      <c r="H379" s="53" t="s">
        <v>2235</v>
      </c>
      <c r="I379" s="53" t="e">
        <f>VLOOKUP(H379,合同高级查询数据!$A$2:$A$51,1,FALSE)</f>
        <v>#N/A</v>
      </c>
      <c r="J379" s="51" t="s">
        <v>36</v>
      </c>
      <c r="K379" s="86" t="s">
        <v>1283</v>
      </c>
      <c r="L379" s="175" t="s">
        <v>2242</v>
      </c>
      <c r="M379" s="54" t="s">
        <v>2237</v>
      </c>
      <c r="N379" s="64" t="s">
        <v>2243</v>
      </c>
      <c r="O379" s="65" t="s">
        <v>1745</v>
      </c>
      <c r="P379" s="58">
        <v>6167</v>
      </c>
      <c r="Q379" s="99">
        <v>19</v>
      </c>
      <c r="R379" s="58">
        <f t="shared" si="22"/>
        <v>117173</v>
      </c>
      <c r="S379" s="59">
        <v>202306</v>
      </c>
      <c r="T379" s="185" t="s">
        <v>2244</v>
      </c>
      <c r="U379" s="185"/>
      <c r="V379" s="196">
        <v>19.004083633</v>
      </c>
      <c r="W379" s="103"/>
      <c r="X379" s="64"/>
      <c r="Y379" s="64"/>
      <c r="Z379" s="65" t="s">
        <v>2245</v>
      </c>
      <c r="AA379" s="200">
        <v>0.3</v>
      </c>
      <c r="AB379" s="104">
        <v>60</v>
      </c>
      <c r="AC379" s="196">
        <f t="shared" si="23"/>
        <v>18</v>
      </c>
    </row>
    <row r="380" spans="1:29" s="3" customFormat="1" ht="15" customHeight="1">
      <c r="A380" s="86" t="s">
        <v>871</v>
      </c>
      <c r="B380" s="65" t="s">
        <v>1732</v>
      </c>
      <c r="C380" s="65" t="s">
        <v>2246</v>
      </c>
      <c r="D380" s="65" t="s">
        <v>1748</v>
      </c>
      <c r="E380" s="86" t="s">
        <v>2247</v>
      </c>
      <c r="F380" s="86" t="s">
        <v>2248</v>
      </c>
      <c r="G380" s="86" t="s">
        <v>34</v>
      </c>
      <c r="H380" s="53" t="s">
        <v>2249</v>
      </c>
      <c r="I380" s="53" t="e">
        <f>VLOOKUP(H380,合同高级查询数据!$A$2:$A$51,1,FALSE)</f>
        <v>#N/A</v>
      </c>
      <c r="J380" s="51" t="s">
        <v>36</v>
      </c>
      <c r="K380" s="86" t="s">
        <v>2250</v>
      </c>
      <c r="L380" s="175" t="s">
        <v>2251</v>
      </c>
      <c r="M380" s="54" t="s">
        <v>2252</v>
      </c>
      <c r="N380" s="64">
        <v>43852</v>
      </c>
      <c r="O380" s="65" t="s">
        <v>277</v>
      </c>
      <c r="P380" s="58">
        <v>4167</v>
      </c>
      <c r="Q380" s="99">
        <v>40</v>
      </c>
      <c r="R380" s="58">
        <f t="shared" si="22"/>
        <v>166680</v>
      </c>
      <c r="S380" s="59">
        <v>202306</v>
      </c>
      <c r="T380" s="185" t="s">
        <v>2253</v>
      </c>
      <c r="U380" s="185"/>
      <c r="V380" s="196">
        <v>38.385971069</v>
      </c>
      <c r="W380" s="103"/>
      <c r="X380" s="64"/>
      <c r="Y380" s="64"/>
      <c r="Z380" s="65" t="s">
        <v>2254</v>
      </c>
      <c r="AA380" s="200">
        <v>0.4</v>
      </c>
      <c r="AB380" s="104">
        <v>100</v>
      </c>
      <c r="AC380" s="196">
        <f t="shared" si="23"/>
        <v>40</v>
      </c>
    </row>
    <row r="381" spans="1:29" s="3" customFormat="1" ht="15" customHeight="1">
      <c r="A381" s="86" t="s">
        <v>878</v>
      </c>
      <c r="B381" s="65" t="s">
        <v>1732</v>
      </c>
      <c r="C381" s="65" t="s">
        <v>1882</v>
      </c>
      <c r="D381" s="65" t="s">
        <v>1748</v>
      </c>
      <c r="E381" s="86" t="s">
        <v>2255</v>
      </c>
      <c r="F381" s="86" t="s">
        <v>2256</v>
      </c>
      <c r="G381" s="86" t="s">
        <v>34</v>
      </c>
      <c r="H381" s="53" t="s">
        <v>2257</v>
      </c>
      <c r="I381" s="53" t="e">
        <f>VLOOKUP(H381,合同高级查询数据!$A$2:$A$51,1,FALSE)</f>
        <v>#N/A</v>
      </c>
      <c r="J381" s="51" t="s">
        <v>36</v>
      </c>
      <c r="K381" s="86" t="s">
        <v>2126</v>
      </c>
      <c r="L381" s="175" t="s">
        <v>2258</v>
      </c>
      <c r="M381" s="54" t="s">
        <v>2259</v>
      </c>
      <c r="N381" s="64">
        <v>44044</v>
      </c>
      <c r="O381" s="65" t="s">
        <v>277</v>
      </c>
      <c r="P381" s="58">
        <v>4700</v>
      </c>
      <c r="Q381" s="99">
        <v>0</v>
      </c>
      <c r="R381" s="58">
        <f t="shared" si="22"/>
        <v>0</v>
      </c>
      <c r="S381" s="59">
        <v>202306</v>
      </c>
      <c r="T381" s="185" t="s">
        <v>2260</v>
      </c>
      <c r="U381" s="185"/>
      <c r="V381" s="196">
        <v>0</v>
      </c>
      <c r="W381" s="103"/>
      <c r="X381" s="64"/>
      <c r="Y381" s="64"/>
      <c r="Z381" s="65" t="s">
        <v>2261</v>
      </c>
      <c r="AA381" s="200">
        <v>0.5</v>
      </c>
      <c r="AB381" s="104">
        <v>100</v>
      </c>
      <c r="AC381" s="196">
        <f t="shared" si="23"/>
        <v>50</v>
      </c>
    </row>
    <row r="382" spans="1:29" s="2" customFormat="1" ht="15" customHeight="1">
      <c r="A382" s="203" t="s">
        <v>859</v>
      </c>
      <c r="B382" s="5" t="s">
        <v>1732</v>
      </c>
      <c r="C382" s="5" t="s">
        <v>1747</v>
      </c>
      <c r="D382" s="5" t="s">
        <v>1748</v>
      </c>
      <c r="E382" s="7" t="s">
        <v>2255</v>
      </c>
      <c r="F382" s="7" t="s">
        <v>2256</v>
      </c>
      <c r="G382" s="7" t="s">
        <v>34</v>
      </c>
      <c r="H382" s="11" t="s">
        <v>2262</v>
      </c>
      <c r="I382" s="11" t="e">
        <f>VLOOKUP(H382,合同高级查询数据!$A$2:$A$51,1,FALSE)</f>
        <v>#N/A</v>
      </c>
      <c r="J382" s="12" t="s">
        <v>36</v>
      </c>
      <c r="K382" s="7" t="s">
        <v>1752</v>
      </c>
      <c r="L382" s="174" t="s">
        <v>2263</v>
      </c>
      <c r="M382" s="16" t="s">
        <v>2264</v>
      </c>
      <c r="N382" s="36" t="s">
        <v>2265</v>
      </c>
      <c r="O382" s="5" t="s">
        <v>1498</v>
      </c>
      <c r="P382" s="27">
        <v>5250</v>
      </c>
      <c r="Q382" s="140">
        <v>0</v>
      </c>
      <c r="R382" s="27">
        <f t="shared" si="22"/>
        <v>0</v>
      </c>
      <c r="S382" s="28">
        <v>202306</v>
      </c>
      <c r="T382" s="184" t="s">
        <v>2266</v>
      </c>
      <c r="U382" s="184"/>
      <c r="V382" s="178">
        <v>0</v>
      </c>
      <c r="W382" s="35"/>
      <c r="X382" s="36">
        <v>44105</v>
      </c>
      <c r="Y382" s="36">
        <v>44469</v>
      </c>
      <c r="Z382" s="178">
        <v>0</v>
      </c>
      <c r="AA382" s="44">
        <v>0</v>
      </c>
      <c r="AB382" s="178">
        <v>0</v>
      </c>
      <c r="AC382" s="178">
        <f t="shared" si="23"/>
        <v>0</v>
      </c>
    </row>
    <row r="383" spans="1:29" s="3" customFormat="1" ht="15" customHeight="1">
      <c r="A383" s="215" t="s">
        <v>859</v>
      </c>
      <c r="B383" s="65" t="s">
        <v>1732</v>
      </c>
      <c r="C383" s="65" t="s">
        <v>1747</v>
      </c>
      <c r="D383" s="65" t="s">
        <v>1748</v>
      </c>
      <c r="E383" s="86" t="s">
        <v>2255</v>
      </c>
      <c r="F383" s="86" t="s">
        <v>2256</v>
      </c>
      <c r="G383" s="86" t="s">
        <v>34</v>
      </c>
      <c r="H383" s="53" t="s">
        <v>2267</v>
      </c>
      <c r="I383" s="53" t="e">
        <f>VLOOKUP(H383,合同高级查询数据!$A$2:$A$51,1,FALSE)</f>
        <v>#N/A</v>
      </c>
      <c r="J383" s="51" t="s">
        <v>36</v>
      </c>
      <c r="K383" s="86" t="s">
        <v>2268</v>
      </c>
      <c r="L383" s="175" t="s">
        <v>2269</v>
      </c>
      <c r="M383" s="54" t="s">
        <v>2270</v>
      </c>
      <c r="N383" s="64">
        <v>44348</v>
      </c>
      <c r="O383" s="65" t="s">
        <v>1249</v>
      </c>
      <c r="P383" s="58">
        <v>3333.33</v>
      </c>
      <c r="Q383" s="99">
        <v>18</v>
      </c>
      <c r="R383" s="58">
        <f t="shared" si="22"/>
        <v>59999.94</v>
      </c>
      <c r="S383" s="59">
        <v>202306</v>
      </c>
      <c r="T383" s="185" t="s">
        <v>2271</v>
      </c>
      <c r="U383" s="185"/>
      <c r="V383" s="196">
        <v>17.385244369999999</v>
      </c>
      <c r="W383" s="103"/>
      <c r="X383" s="64"/>
      <c r="Y383" s="64"/>
      <c r="Z383" s="65" t="s">
        <v>2272</v>
      </c>
      <c r="AA383" s="200">
        <v>0.3</v>
      </c>
      <c r="AB383" s="104">
        <v>60</v>
      </c>
      <c r="AC383" s="196">
        <f t="shared" si="23"/>
        <v>18</v>
      </c>
    </row>
    <row r="384" spans="1:29" s="3" customFormat="1" ht="15" customHeight="1">
      <c r="A384" s="86" t="s">
        <v>878</v>
      </c>
      <c r="B384" s="65" t="s">
        <v>1732</v>
      </c>
      <c r="C384" s="65" t="s">
        <v>2174</v>
      </c>
      <c r="D384" s="65" t="s">
        <v>1748</v>
      </c>
      <c r="E384" s="86" t="s">
        <v>2255</v>
      </c>
      <c r="F384" s="86" t="s">
        <v>2256</v>
      </c>
      <c r="G384" s="86" t="s">
        <v>34</v>
      </c>
      <c r="H384" s="53" t="s">
        <v>2273</v>
      </c>
      <c r="I384" s="53" t="e">
        <f>VLOOKUP(H384,合同高级查询数据!$A$2:$A$51,1,FALSE)</f>
        <v>#N/A</v>
      </c>
      <c r="J384" s="51" t="s">
        <v>36</v>
      </c>
      <c r="K384" s="86" t="s">
        <v>2174</v>
      </c>
      <c r="L384" s="175" t="s">
        <v>2274</v>
      </c>
      <c r="M384" s="54" t="s">
        <v>2275</v>
      </c>
      <c r="N384" s="64" t="s">
        <v>2276</v>
      </c>
      <c r="O384" s="65" t="s">
        <v>2277</v>
      </c>
      <c r="P384" s="58">
        <v>3500</v>
      </c>
      <c r="Q384" s="99">
        <v>40</v>
      </c>
      <c r="R384" s="58">
        <f t="shared" si="22"/>
        <v>140000</v>
      </c>
      <c r="S384" s="59">
        <v>202306</v>
      </c>
      <c r="T384" s="185" t="s">
        <v>2278</v>
      </c>
      <c r="U384" s="185"/>
      <c r="V384" s="196">
        <v>30.884096146000001</v>
      </c>
      <c r="W384" s="103"/>
      <c r="X384" s="64"/>
      <c r="Y384" s="64"/>
      <c r="Z384" s="65" t="s">
        <v>2279</v>
      </c>
      <c r="AA384" s="200">
        <v>1</v>
      </c>
      <c r="AB384" s="104">
        <v>40</v>
      </c>
      <c r="AC384" s="196">
        <f t="shared" si="23"/>
        <v>40</v>
      </c>
    </row>
    <row r="385" spans="1:29" s="2" customFormat="1" ht="15" customHeight="1">
      <c r="A385" s="203" t="s">
        <v>859</v>
      </c>
      <c r="B385" s="5" t="s">
        <v>1732</v>
      </c>
      <c r="C385" s="5" t="s">
        <v>1123</v>
      </c>
      <c r="D385" s="5" t="s">
        <v>31</v>
      </c>
      <c r="E385" s="7" t="s">
        <v>2280</v>
      </c>
      <c r="F385" s="7" t="s">
        <v>2281</v>
      </c>
      <c r="G385" s="7" t="s">
        <v>34</v>
      </c>
      <c r="H385" s="11" t="s">
        <v>2282</v>
      </c>
      <c r="I385" s="11" t="e">
        <f>VLOOKUP(H385,合同高级查询数据!$A$2:$A$51,1,FALSE)</f>
        <v>#N/A</v>
      </c>
      <c r="J385" s="12" t="s">
        <v>36</v>
      </c>
      <c r="K385" s="7" t="s">
        <v>1139</v>
      </c>
      <c r="L385" s="174" t="s">
        <v>2283</v>
      </c>
      <c r="M385" s="16" t="s">
        <v>2284</v>
      </c>
      <c r="N385" s="36" t="s">
        <v>2285</v>
      </c>
      <c r="O385" s="5" t="s">
        <v>2286</v>
      </c>
      <c r="P385" s="27">
        <v>7700</v>
      </c>
      <c r="Q385" s="140">
        <v>3.7</v>
      </c>
      <c r="R385" s="27">
        <f t="shared" si="22"/>
        <v>28490</v>
      </c>
      <c r="S385" s="28">
        <v>202306</v>
      </c>
      <c r="T385" s="184" t="s">
        <v>2287</v>
      </c>
      <c r="U385" s="184"/>
      <c r="V385" s="178">
        <v>3.6149020200000002</v>
      </c>
      <c r="W385" s="35"/>
      <c r="X385" s="36">
        <v>44896</v>
      </c>
      <c r="Y385" s="36">
        <v>45260</v>
      </c>
      <c r="Z385" s="5" t="s">
        <v>2288</v>
      </c>
      <c r="AA385" s="45">
        <v>0.3</v>
      </c>
      <c r="AB385" s="34">
        <v>10</v>
      </c>
      <c r="AC385" s="178">
        <f t="shared" si="23"/>
        <v>3</v>
      </c>
    </row>
    <row r="386" spans="1:29" s="2" customFormat="1" ht="15" customHeight="1">
      <c r="A386" s="203" t="s">
        <v>859</v>
      </c>
      <c r="B386" s="5" t="s">
        <v>1732</v>
      </c>
      <c r="C386" s="5" t="s">
        <v>1902</v>
      </c>
      <c r="D386" s="5" t="s">
        <v>1791</v>
      </c>
      <c r="E386" s="7" t="s">
        <v>2280</v>
      </c>
      <c r="F386" s="7" t="s">
        <v>2281</v>
      </c>
      <c r="G386" s="7" t="s">
        <v>34</v>
      </c>
      <c r="H386" s="11" t="s">
        <v>2289</v>
      </c>
      <c r="I386" s="11" t="e">
        <f>VLOOKUP(H386,合同高级查询数据!$A$2:$A$51,1,FALSE)</f>
        <v>#N/A</v>
      </c>
      <c r="J386" s="12" t="s">
        <v>36</v>
      </c>
      <c r="K386" s="7" t="s">
        <v>2290</v>
      </c>
      <c r="L386" s="174" t="s">
        <v>2291</v>
      </c>
      <c r="M386" s="16" t="s">
        <v>2292</v>
      </c>
      <c r="N386" s="36" t="s">
        <v>2293</v>
      </c>
      <c r="O386" s="5" t="s">
        <v>2294</v>
      </c>
      <c r="P386" s="27">
        <v>6000</v>
      </c>
      <c r="Q386" s="140">
        <v>78</v>
      </c>
      <c r="R386" s="27">
        <f t="shared" si="22"/>
        <v>468000</v>
      </c>
      <c r="S386" s="28">
        <v>202306</v>
      </c>
      <c r="T386" s="184" t="s">
        <v>2295</v>
      </c>
      <c r="U386" s="184"/>
      <c r="V386" s="178">
        <v>77.962997436999999</v>
      </c>
      <c r="W386" s="35"/>
      <c r="X386" s="36">
        <v>44927</v>
      </c>
      <c r="Y386" s="36">
        <v>45291</v>
      </c>
      <c r="Z386" s="5" t="s">
        <v>2296</v>
      </c>
      <c r="AA386" s="45">
        <v>0.3</v>
      </c>
      <c r="AB386" s="34">
        <v>260</v>
      </c>
      <c r="AC386" s="178">
        <f t="shared" si="23"/>
        <v>78</v>
      </c>
    </row>
    <row r="387" spans="1:29" s="3" customFormat="1" ht="15" customHeight="1">
      <c r="A387" s="86" t="s">
        <v>871</v>
      </c>
      <c r="B387" s="65" t="s">
        <v>1732</v>
      </c>
      <c r="C387" s="65" t="s">
        <v>1758</v>
      </c>
      <c r="D387" s="65" t="s">
        <v>31</v>
      </c>
      <c r="E387" s="86" t="s">
        <v>2280</v>
      </c>
      <c r="F387" s="86" t="s">
        <v>2281</v>
      </c>
      <c r="G387" s="86" t="s">
        <v>34</v>
      </c>
      <c r="H387" s="53" t="s">
        <v>2297</v>
      </c>
      <c r="I387" s="53" t="e">
        <f>VLOOKUP(H387,合同高级查询数据!$A$2:$A$51,1,FALSE)</f>
        <v>#N/A</v>
      </c>
      <c r="J387" s="51" t="s">
        <v>36</v>
      </c>
      <c r="K387" s="86" t="s">
        <v>2298</v>
      </c>
      <c r="L387" s="175" t="s">
        <v>2299</v>
      </c>
      <c r="M387" s="54" t="s">
        <v>2300</v>
      </c>
      <c r="N387" s="64" t="s">
        <v>1912</v>
      </c>
      <c r="O387" s="65" t="s">
        <v>2301</v>
      </c>
      <c r="P387" s="58">
        <v>5250</v>
      </c>
      <c r="Q387" s="99">
        <v>48</v>
      </c>
      <c r="R387" s="58">
        <f t="shared" si="22"/>
        <v>252000</v>
      </c>
      <c r="S387" s="59">
        <v>202306</v>
      </c>
      <c r="T387" s="185" t="s">
        <v>2302</v>
      </c>
      <c r="U387" s="185"/>
      <c r="V387" s="196">
        <v>47.477779388000002</v>
      </c>
      <c r="W387" s="103"/>
      <c r="X387" s="64"/>
      <c r="Y387" s="64"/>
      <c r="Z387" s="65" t="s">
        <v>2303</v>
      </c>
      <c r="AA387" s="200">
        <v>0.3</v>
      </c>
      <c r="AB387" s="104">
        <v>160</v>
      </c>
      <c r="AC387" s="196">
        <f t="shared" si="23"/>
        <v>48</v>
      </c>
    </row>
    <row r="388" spans="1:29" s="3" customFormat="1" ht="15" customHeight="1">
      <c r="A388" s="86" t="s">
        <v>871</v>
      </c>
      <c r="B388" s="65" t="s">
        <v>1732</v>
      </c>
      <c r="C388" s="65" t="s">
        <v>1902</v>
      </c>
      <c r="D388" s="65" t="s">
        <v>1791</v>
      </c>
      <c r="E388" s="86" t="s">
        <v>2280</v>
      </c>
      <c r="F388" s="86" t="s">
        <v>2281</v>
      </c>
      <c r="G388" s="86" t="s">
        <v>34</v>
      </c>
      <c r="H388" s="53" t="s">
        <v>2304</v>
      </c>
      <c r="I388" s="53" t="e">
        <f>VLOOKUP(H388,合同高级查询数据!$A$2:$A$51,1,FALSE)</f>
        <v>#N/A</v>
      </c>
      <c r="J388" s="51" t="s">
        <v>36</v>
      </c>
      <c r="K388" s="86" t="s">
        <v>2290</v>
      </c>
      <c r="L388" s="175" t="s">
        <v>2305</v>
      </c>
      <c r="M388" s="54" t="s">
        <v>2306</v>
      </c>
      <c r="N388" s="64">
        <v>45017</v>
      </c>
      <c r="O388" s="65" t="s">
        <v>1798</v>
      </c>
      <c r="P388" s="58">
        <v>5000</v>
      </c>
      <c r="Q388" s="99">
        <v>12.2</v>
      </c>
      <c r="R388" s="58">
        <f t="shared" si="22"/>
        <v>61000</v>
      </c>
      <c r="S388" s="59">
        <v>202306</v>
      </c>
      <c r="T388" s="185" t="s">
        <v>2307</v>
      </c>
      <c r="U388" s="185"/>
      <c r="V388" s="196">
        <v>12.118261337</v>
      </c>
      <c r="W388" s="103"/>
      <c r="X388" s="64"/>
      <c r="Y388" s="64"/>
      <c r="Z388" s="65" t="s">
        <v>2308</v>
      </c>
      <c r="AA388" s="200">
        <v>0.3</v>
      </c>
      <c r="AB388" s="104">
        <v>40</v>
      </c>
      <c r="AC388" s="104">
        <f t="shared" si="23"/>
        <v>12</v>
      </c>
    </row>
    <row r="389" spans="1:29" s="3" customFormat="1" ht="15" customHeight="1">
      <c r="A389" s="86" t="s">
        <v>878</v>
      </c>
      <c r="B389" s="86" t="s">
        <v>1732</v>
      </c>
      <c r="C389" s="86" t="s">
        <v>417</v>
      </c>
      <c r="D389" s="65" t="s">
        <v>1748</v>
      </c>
      <c r="E389" s="86" t="s">
        <v>2309</v>
      </c>
      <c r="F389" s="86" t="s">
        <v>2310</v>
      </c>
      <c r="G389" s="86" t="s">
        <v>34</v>
      </c>
      <c r="H389" s="53" t="s">
        <v>2311</v>
      </c>
      <c r="I389" s="53" t="e">
        <f>VLOOKUP(H389,合同高级查询数据!$A$2:$A$51,1,FALSE)</f>
        <v>#N/A</v>
      </c>
      <c r="J389" s="51" t="s">
        <v>36</v>
      </c>
      <c r="K389" s="86" t="s">
        <v>2312</v>
      </c>
      <c r="L389" s="175" t="s">
        <v>2313</v>
      </c>
      <c r="M389" s="54" t="s">
        <v>2314</v>
      </c>
      <c r="N389" s="211" t="s">
        <v>2315</v>
      </c>
      <c r="O389" s="211" t="s">
        <v>2316</v>
      </c>
      <c r="P389" s="58">
        <v>5500</v>
      </c>
      <c r="Q389" s="99">
        <v>135.1</v>
      </c>
      <c r="R389" s="58">
        <f t="shared" si="22"/>
        <v>743050</v>
      </c>
      <c r="S389" s="59">
        <v>202306</v>
      </c>
      <c r="T389" s="185" t="s">
        <v>2317</v>
      </c>
      <c r="U389" s="195"/>
      <c r="V389" s="196">
        <v>135.04319763199999</v>
      </c>
      <c r="W389" s="103"/>
      <c r="X389" s="64"/>
      <c r="Y389" s="64"/>
      <c r="Z389" s="65" t="s">
        <v>2318</v>
      </c>
      <c r="AA389" s="200">
        <v>0.3</v>
      </c>
      <c r="AB389" s="104">
        <v>430</v>
      </c>
      <c r="AC389" s="196">
        <f t="shared" si="23"/>
        <v>129</v>
      </c>
    </row>
    <row r="390" spans="1:29" s="3" customFormat="1" ht="15" customHeight="1">
      <c r="A390" s="86" t="s">
        <v>878</v>
      </c>
      <c r="B390" s="86" t="s">
        <v>1732</v>
      </c>
      <c r="C390" s="86" t="s">
        <v>417</v>
      </c>
      <c r="D390" s="65" t="s">
        <v>1748</v>
      </c>
      <c r="E390" s="86" t="s">
        <v>2309</v>
      </c>
      <c r="F390" s="86" t="s">
        <v>2310</v>
      </c>
      <c r="G390" s="86" t="s">
        <v>34</v>
      </c>
      <c r="H390" s="53" t="s">
        <v>2319</v>
      </c>
      <c r="I390" s="53" t="e">
        <f>VLOOKUP(H390,合同高级查询数据!$A$2:$A$51,1,FALSE)</f>
        <v>#N/A</v>
      </c>
      <c r="J390" s="51" t="s">
        <v>36</v>
      </c>
      <c r="K390" s="86" t="s">
        <v>575</v>
      </c>
      <c r="L390" s="205" t="s">
        <v>2320</v>
      </c>
      <c r="M390" s="54" t="s">
        <v>2321</v>
      </c>
      <c r="N390" s="211">
        <v>43491</v>
      </c>
      <c r="O390" s="211" t="s">
        <v>582</v>
      </c>
      <c r="P390" s="58">
        <v>5500</v>
      </c>
      <c r="Q390" s="99">
        <v>99.9</v>
      </c>
      <c r="R390" s="58">
        <f t="shared" si="22"/>
        <v>549450</v>
      </c>
      <c r="S390" s="59">
        <v>202306</v>
      </c>
      <c r="T390" s="185" t="s">
        <v>2322</v>
      </c>
      <c r="U390" s="195"/>
      <c r="V390" s="196">
        <v>97.577751160000005</v>
      </c>
      <c r="W390" s="103">
        <v>102.12</v>
      </c>
      <c r="X390" s="64"/>
      <c r="Y390" s="64"/>
      <c r="Z390" s="65" t="s">
        <v>2323</v>
      </c>
      <c r="AA390" s="200">
        <v>0.3</v>
      </c>
      <c r="AB390" s="104">
        <v>300</v>
      </c>
      <c r="AC390" s="196">
        <f t="shared" si="23"/>
        <v>90</v>
      </c>
    </row>
    <row r="391" spans="1:29" s="2" customFormat="1" ht="15" customHeight="1">
      <c r="A391" s="7" t="s">
        <v>878</v>
      </c>
      <c r="B391" s="7" t="s">
        <v>1732</v>
      </c>
      <c r="C391" s="7" t="s">
        <v>417</v>
      </c>
      <c r="D391" s="5" t="s">
        <v>1748</v>
      </c>
      <c r="E391" s="7" t="s">
        <v>2309</v>
      </c>
      <c r="F391" s="7" t="s">
        <v>2310</v>
      </c>
      <c r="G391" s="7" t="s">
        <v>34</v>
      </c>
      <c r="H391" s="11" t="s">
        <v>2324</v>
      </c>
      <c r="I391" s="11" t="e">
        <f>VLOOKUP(H391,合同高级查询数据!$A$2:$A$51,1,FALSE)</f>
        <v>#N/A</v>
      </c>
      <c r="J391" s="12" t="s">
        <v>36</v>
      </c>
      <c r="K391" s="7" t="s">
        <v>575</v>
      </c>
      <c r="L391" s="174" t="s">
        <v>2325</v>
      </c>
      <c r="M391" s="16" t="s">
        <v>2321</v>
      </c>
      <c r="N391" s="208" t="s">
        <v>2326</v>
      </c>
      <c r="O391" s="208" t="s">
        <v>1329</v>
      </c>
      <c r="P391" s="27">
        <v>5000</v>
      </c>
      <c r="Q391" s="140">
        <v>0</v>
      </c>
      <c r="R391" s="27">
        <f t="shared" si="22"/>
        <v>0</v>
      </c>
      <c r="S391" s="28">
        <v>202306</v>
      </c>
      <c r="T391" s="184" t="s">
        <v>2327</v>
      </c>
      <c r="U391" s="37"/>
      <c r="V391" s="178">
        <v>0</v>
      </c>
      <c r="W391" s="35"/>
      <c r="X391" s="36">
        <v>44075</v>
      </c>
      <c r="Y391" s="36">
        <v>44439</v>
      </c>
      <c r="Z391" s="178">
        <v>0</v>
      </c>
      <c r="AA391" s="44">
        <v>0</v>
      </c>
      <c r="AB391" s="178">
        <v>0</v>
      </c>
      <c r="AC391" s="178">
        <f t="shared" si="23"/>
        <v>0</v>
      </c>
    </row>
    <row r="392" spans="1:29" s="3" customFormat="1" ht="15" customHeight="1">
      <c r="A392" s="86" t="s">
        <v>878</v>
      </c>
      <c r="B392" s="86" t="s">
        <v>1732</v>
      </c>
      <c r="C392" s="86" t="s">
        <v>417</v>
      </c>
      <c r="D392" s="65" t="s">
        <v>1748</v>
      </c>
      <c r="E392" s="86" t="s">
        <v>2309</v>
      </c>
      <c r="F392" s="86" t="s">
        <v>2310</v>
      </c>
      <c r="G392" s="86" t="s">
        <v>34</v>
      </c>
      <c r="H392" s="53" t="s">
        <v>2311</v>
      </c>
      <c r="I392" s="53" t="e">
        <f>VLOOKUP(H392,合同高级查询数据!$A$2:$A$51,1,FALSE)</f>
        <v>#N/A</v>
      </c>
      <c r="J392" s="51" t="s">
        <v>36</v>
      </c>
      <c r="K392" s="86" t="s">
        <v>2328</v>
      </c>
      <c r="L392" s="175" t="s">
        <v>2329</v>
      </c>
      <c r="M392" s="54" t="s">
        <v>2330</v>
      </c>
      <c r="N392" s="211" t="s">
        <v>2331</v>
      </c>
      <c r="O392" s="211" t="s">
        <v>2332</v>
      </c>
      <c r="P392" s="58">
        <v>5500</v>
      </c>
      <c r="Q392" s="99">
        <v>122.6</v>
      </c>
      <c r="R392" s="58">
        <f t="shared" si="22"/>
        <v>674300</v>
      </c>
      <c r="S392" s="59">
        <v>202306</v>
      </c>
      <c r="T392" s="185" t="s">
        <v>2333</v>
      </c>
      <c r="U392" s="195"/>
      <c r="V392" s="196">
        <v>120.49488830600001</v>
      </c>
      <c r="W392" s="103">
        <v>124.56</v>
      </c>
      <c r="X392" s="64"/>
      <c r="Y392" s="64"/>
      <c r="Z392" s="65" t="s">
        <v>2334</v>
      </c>
      <c r="AA392" s="200">
        <v>0.3</v>
      </c>
      <c r="AB392" s="104">
        <v>260</v>
      </c>
      <c r="AC392" s="196">
        <f t="shared" si="23"/>
        <v>78</v>
      </c>
    </row>
    <row r="393" spans="1:29" s="3" customFormat="1" ht="15" customHeight="1">
      <c r="A393" s="86" t="s">
        <v>878</v>
      </c>
      <c r="B393" s="86" t="s">
        <v>1732</v>
      </c>
      <c r="C393" s="86" t="s">
        <v>417</v>
      </c>
      <c r="D393" s="65" t="s">
        <v>1748</v>
      </c>
      <c r="E393" s="86" t="s">
        <v>2309</v>
      </c>
      <c r="F393" s="86" t="s">
        <v>2310</v>
      </c>
      <c r="G393" s="86" t="s">
        <v>34</v>
      </c>
      <c r="H393" s="53" t="s">
        <v>2311</v>
      </c>
      <c r="I393" s="53" t="e">
        <f>VLOOKUP(H393,合同高级查询数据!$A$2:$A$51,1,FALSE)</f>
        <v>#N/A</v>
      </c>
      <c r="J393" s="51" t="s">
        <v>36</v>
      </c>
      <c r="K393" s="86" t="s">
        <v>2335</v>
      </c>
      <c r="L393" s="175" t="s">
        <v>823</v>
      </c>
      <c r="M393" s="54" t="s">
        <v>2336</v>
      </c>
      <c r="N393" s="180">
        <v>43438</v>
      </c>
      <c r="O393" s="181" t="s">
        <v>434</v>
      </c>
      <c r="P393" s="58">
        <v>5500</v>
      </c>
      <c r="Q393" s="99">
        <v>60.4</v>
      </c>
      <c r="R393" s="58">
        <f t="shared" si="22"/>
        <v>332200</v>
      </c>
      <c r="S393" s="59">
        <v>202306</v>
      </c>
      <c r="T393" s="185" t="s">
        <v>2337</v>
      </c>
      <c r="U393" s="195"/>
      <c r="V393" s="196">
        <v>60.363292694000002</v>
      </c>
      <c r="W393" s="103"/>
      <c r="X393" s="64"/>
      <c r="Y393" s="64"/>
      <c r="Z393" s="65" t="s">
        <v>2338</v>
      </c>
      <c r="AA393" s="200">
        <v>0.3</v>
      </c>
      <c r="AB393" s="104">
        <v>200</v>
      </c>
      <c r="AC393" s="196">
        <f t="shared" si="23"/>
        <v>60</v>
      </c>
    </row>
    <row r="394" spans="1:29" s="3" customFormat="1" ht="15" customHeight="1">
      <c r="A394" s="86" t="s">
        <v>878</v>
      </c>
      <c r="B394" s="86" t="s">
        <v>1732</v>
      </c>
      <c r="C394" s="86" t="s">
        <v>417</v>
      </c>
      <c r="D394" s="65" t="s">
        <v>1748</v>
      </c>
      <c r="E394" s="86" t="s">
        <v>2309</v>
      </c>
      <c r="F394" s="86" t="s">
        <v>2310</v>
      </c>
      <c r="G394" s="86" t="s">
        <v>34</v>
      </c>
      <c r="H394" s="53" t="s">
        <v>2311</v>
      </c>
      <c r="I394" s="53" t="e">
        <f>VLOOKUP(H394,合同高级查询数据!$A$2:$A$51,1,FALSE)</f>
        <v>#N/A</v>
      </c>
      <c r="J394" s="51" t="s">
        <v>422</v>
      </c>
      <c r="K394" s="86" t="s">
        <v>2339</v>
      </c>
      <c r="L394" s="175" t="s">
        <v>2340</v>
      </c>
      <c r="M394" s="54" t="s">
        <v>2336</v>
      </c>
      <c r="N394" s="180">
        <v>44075</v>
      </c>
      <c r="O394" s="181" t="s">
        <v>2341</v>
      </c>
      <c r="P394" s="58">
        <v>5500</v>
      </c>
      <c r="Q394" s="99">
        <v>0</v>
      </c>
      <c r="R394" s="58">
        <f t="shared" si="22"/>
        <v>0</v>
      </c>
      <c r="S394" s="59">
        <v>202306</v>
      </c>
      <c r="T394" s="185" t="s">
        <v>2342</v>
      </c>
      <c r="U394" s="195"/>
      <c r="V394" s="196">
        <v>0</v>
      </c>
      <c r="W394" s="103"/>
      <c r="X394" s="64"/>
      <c r="Y394" s="64"/>
      <c r="Z394" s="196">
        <v>0</v>
      </c>
      <c r="AA394" s="201">
        <v>0</v>
      </c>
      <c r="AB394" s="196">
        <v>0</v>
      </c>
      <c r="AC394" s="196">
        <f t="shared" si="23"/>
        <v>0</v>
      </c>
    </row>
    <row r="395" spans="1:29" s="3" customFormat="1" ht="15" customHeight="1">
      <c r="A395" s="86" t="s">
        <v>878</v>
      </c>
      <c r="B395" s="86" t="s">
        <v>1732</v>
      </c>
      <c r="C395" s="86" t="s">
        <v>417</v>
      </c>
      <c r="D395" s="65" t="s">
        <v>1748</v>
      </c>
      <c r="E395" s="86" t="s">
        <v>2309</v>
      </c>
      <c r="F395" s="86" t="s">
        <v>2310</v>
      </c>
      <c r="G395" s="86" t="s">
        <v>34</v>
      </c>
      <c r="H395" s="53" t="s">
        <v>2343</v>
      </c>
      <c r="I395" s="53" t="e">
        <f>VLOOKUP(H395,合同高级查询数据!$A$2:$A$51,1,FALSE)</f>
        <v>#N/A</v>
      </c>
      <c r="J395" s="51" t="s">
        <v>1359</v>
      </c>
      <c r="K395" s="86" t="s">
        <v>2344</v>
      </c>
      <c r="L395" s="205" t="s">
        <v>2345</v>
      </c>
      <c r="M395" s="54" t="s">
        <v>624</v>
      </c>
      <c r="N395" s="180">
        <v>43773</v>
      </c>
      <c r="O395" s="181" t="s">
        <v>277</v>
      </c>
      <c r="P395" s="58">
        <v>5500</v>
      </c>
      <c r="Q395" s="99">
        <v>62.6</v>
      </c>
      <c r="R395" s="58">
        <f t="shared" si="22"/>
        <v>344300</v>
      </c>
      <c r="S395" s="59">
        <v>202306</v>
      </c>
      <c r="T395" s="185" t="s">
        <v>2346</v>
      </c>
      <c r="U395" s="195"/>
      <c r="V395" s="196">
        <v>62.595557751999998</v>
      </c>
      <c r="W395" s="103"/>
      <c r="X395" s="64"/>
      <c r="Y395" s="64"/>
      <c r="Z395" s="65" t="s">
        <v>2347</v>
      </c>
      <c r="AA395" s="200">
        <v>0.3</v>
      </c>
      <c r="AB395" s="104">
        <v>100</v>
      </c>
      <c r="AC395" s="104">
        <f t="shared" si="23"/>
        <v>30</v>
      </c>
    </row>
    <row r="396" spans="1:29" s="3" customFormat="1" ht="15" customHeight="1">
      <c r="A396" s="86" t="s">
        <v>878</v>
      </c>
      <c r="B396" s="86" t="s">
        <v>1732</v>
      </c>
      <c r="C396" s="86" t="s">
        <v>417</v>
      </c>
      <c r="D396" s="65" t="s">
        <v>1748</v>
      </c>
      <c r="E396" s="86" t="s">
        <v>2309</v>
      </c>
      <c r="F396" s="86" t="s">
        <v>2310</v>
      </c>
      <c r="G396" s="86" t="s">
        <v>34</v>
      </c>
      <c r="H396" s="53" t="s">
        <v>2311</v>
      </c>
      <c r="I396" s="53" t="e">
        <f>VLOOKUP(H396,合同高级查询数据!$A$2:$A$51,1,FALSE)</f>
        <v>#N/A</v>
      </c>
      <c r="J396" s="51" t="s">
        <v>36</v>
      </c>
      <c r="K396" s="65" t="s">
        <v>2312</v>
      </c>
      <c r="L396" s="65" t="s">
        <v>2348</v>
      </c>
      <c r="M396" s="65" t="s">
        <v>2314</v>
      </c>
      <c r="N396" s="64" t="s">
        <v>2349</v>
      </c>
      <c r="O396" s="65" t="s">
        <v>2350</v>
      </c>
      <c r="P396" s="98">
        <v>5500</v>
      </c>
      <c r="Q396" s="99">
        <v>0</v>
      </c>
      <c r="R396" s="58">
        <f t="shared" si="22"/>
        <v>0</v>
      </c>
      <c r="S396" s="59">
        <v>202306</v>
      </c>
      <c r="T396" s="186" t="s">
        <v>2351</v>
      </c>
      <c r="U396" s="185"/>
      <c r="V396" s="196">
        <v>0</v>
      </c>
      <c r="W396" s="103"/>
      <c r="X396" s="64"/>
      <c r="Y396" s="64"/>
      <c r="Z396" s="196">
        <v>0</v>
      </c>
      <c r="AA396" s="201">
        <v>0</v>
      </c>
      <c r="AB396" s="196">
        <v>0</v>
      </c>
      <c r="AC396" s="196">
        <f t="shared" si="23"/>
        <v>0</v>
      </c>
    </row>
    <row r="397" spans="1:29" s="3" customFormat="1" ht="15" customHeight="1">
      <c r="A397" s="86" t="s">
        <v>878</v>
      </c>
      <c r="B397" s="86" t="s">
        <v>1732</v>
      </c>
      <c r="C397" s="86" t="s">
        <v>417</v>
      </c>
      <c r="D397" s="65" t="s">
        <v>1748</v>
      </c>
      <c r="E397" s="86" t="s">
        <v>2309</v>
      </c>
      <c r="F397" s="86" t="s">
        <v>2310</v>
      </c>
      <c r="G397" s="86" t="s">
        <v>34</v>
      </c>
      <c r="H397" s="53" t="s">
        <v>2311</v>
      </c>
      <c r="I397" s="53" t="e">
        <f>VLOOKUP(H397,合同高级查询数据!$A$2:$A$51,1,FALSE)</f>
        <v>#N/A</v>
      </c>
      <c r="J397" s="51" t="s">
        <v>36</v>
      </c>
      <c r="K397" s="65" t="s">
        <v>2312</v>
      </c>
      <c r="L397" s="65" t="s">
        <v>2352</v>
      </c>
      <c r="M397" s="65" t="s">
        <v>2353</v>
      </c>
      <c r="N397" s="64" t="s">
        <v>2354</v>
      </c>
      <c r="O397" s="65" t="s">
        <v>2355</v>
      </c>
      <c r="P397" s="98">
        <v>5500</v>
      </c>
      <c r="Q397" s="99">
        <v>60.1</v>
      </c>
      <c r="R397" s="58">
        <f t="shared" si="22"/>
        <v>330550</v>
      </c>
      <c r="S397" s="59">
        <v>202306</v>
      </c>
      <c r="T397" s="186" t="s">
        <v>2356</v>
      </c>
      <c r="U397" s="185"/>
      <c r="V397" s="196">
        <v>60.080780029000003</v>
      </c>
      <c r="W397" s="103"/>
      <c r="X397" s="64"/>
      <c r="Y397" s="64"/>
      <c r="Z397" s="104" t="s">
        <v>2357</v>
      </c>
      <c r="AA397" s="200">
        <v>0.3</v>
      </c>
      <c r="AB397" s="104">
        <v>200</v>
      </c>
      <c r="AC397" s="196">
        <f t="shared" si="23"/>
        <v>60</v>
      </c>
    </row>
    <row r="398" spans="1:29" s="3" customFormat="1" ht="15" customHeight="1">
      <c r="A398" s="86" t="s">
        <v>878</v>
      </c>
      <c r="B398" s="86" t="s">
        <v>1732</v>
      </c>
      <c r="C398" s="86" t="s">
        <v>2204</v>
      </c>
      <c r="D398" s="65" t="s">
        <v>1748</v>
      </c>
      <c r="E398" s="86" t="s">
        <v>2309</v>
      </c>
      <c r="F398" s="86" t="s">
        <v>2310</v>
      </c>
      <c r="G398" s="86" t="s">
        <v>34</v>
      </c>
      <c r="H398" s="53" t="s">
        <v>2358</v>
      </c>
      <c r="I398" s="53" t="e">
        <f>VLOOKUP(H398,合同高级查询数据!$A$2:$A$51,1,FALSE)</f>
        <v>#N/A</v>
      </c>
      <c r="J398" s="51" t="s">
        <v>36</v>
      </c>
      <c r="K398" s="86" t="s">
        <v>2359</v>
      </c>
      <c r="L398" s="205" t="s">
        <v>2360</v>
      </c>
      <c r="M398" s="54" t="s">
        <v>2361</v>
      </c>
      <c r="N398" s="211" t="s">
        <v>2362</v>
      </c>
      <c r="O398" s="211" t="s">
        <v>2363</v>
      </c>
      <c r="P398" s="58">
        <v>4200</v>
      </c>
      <c r="Q398" s="99">
        <v>47.4</v>
      </c>
      <c r="R398" s="58">
        <f t="shared" si="22"/>
        <v>199080</v>
      </c>
      <c r="S398" s="59">
        <v>202306</v>
      </c>
      <c r="T398" s="185" t="s">
        <v>2364</v>
      </c>
      <c r="U398" s="195"/>
      <c r="V398" s="196">
        <v>47.398582458</v>
      </c>
      <c r="W398" s="103"/>
      <c r="X398" s="64"/>
      <c r="Y398" s="64"/>
      <c r="Z398" s="65" t="s">
        <v>2365</v>
      </c>
      <c r="AA398" s="200">
        <v>0.3</v>
      </c>
      <c r="AB398" s="104">
        <v>220</v>
      </c>
      <c r="AC398" s="196">
        <f t="shared" si="23"/>
        <v>66</v>
      </c>
    </row>
    <row r="399" spans="1:29" s="2" customFormat="1" ht="15" customHeight="1">
      <c r="A399" s="7" t="s">
        <v>878</v>
      </c>
      <c r="B399" s="7" t="s">
        <v>1732</v>
      </c>
      <c r="C399" s="7" t="s">
        <v>2366</v>
      </c>
      <c r="D399" s="5" t="s">
        <v>1748</v>
      </c>
      <c r="E399" s="7" t="s">
        <v>2309</v>
      </c>
      <c r="F399" s="7" t="s">
        <v>2310</v>
      </c>
      <c r="G399" s="7" t="s">
        <v>34</v>
      </c>
      <c r="H399" s="11" t="s">
        <v>2367</v>
      </c>
      <c r="I399" s="11" t="e">
        <f>VLOOKUP(H399,合同高级查询数据!$A$2:$A$51,1,FALSE)</f>
        <v>#N/A</v>
      </c>
      <c r="J399" s="12" t="s">
        <v>36</v>
      </c>
      <c r="K399" s="7" t="s">
        <v>2368</v>
      </c>
      <c r="L399" s="174" t="s">
        <v>2369</v>
      </c>
      <c r="M399" s="16" t="s">
        <v>2370</v>
      </c>
      <c r="N399" s="36" t="s">
        <v>2371</v>
      </c>
      <c r="O399" s="5" t="s">
        <v>2372</v>
      </c>
      <c r="P399" s="27">
        <v>5500</v>
      </c>
      <c r="Q399" s="140">
        <v>0</v>
      </c>
      <c r="R399" s="27">
        <f t="shared" si="22"/>
        <v>0</v>
      </c>
      <c r="S399" s="28">
        <v>202306</v>
      </c>
      <c r="T399" s="224" t="s">
        <v>2373</v>
      </c>
      <c r="U399" s="184"/>
      <c r="V399" s="178">
        <v>125.570777893</v>
      </c>
      <c r="W399" s="35">
        <v>129.56</v>
      </c>
      <c r="X399" s="208">
        <v>44197</v>
      </c>
      <c r="Y399" s="208">
        <v>44561</v>
      </c>
      <c r="Z399" s="178">
        <v>0</v>
      </c>
      <c r="AA399" s="44">
        <v>0</v>
      </c>
      <c r="AB399" s="178">
        <v>0</v>
      </c>
      <c r="AC399" s="178">
        <f t="shared" si="23"/>
        <v>0</v>
      </c>
    </row>
    <row r="400" spans="1:29" s="2" customFormat="1" ht="15" customHeight="1">
      <c r="A400" s="7" t="s">
        <v>878</v>
      </c>
      <c r="B400" s="7" t="s">
        <v>1732</v>
      </c>
      <c r="C400" s="7" t="s">
        <v>2374</v>
      </c>
      <c r="D400" s="5" t="s">
        <v>1791</v>
      </c>
      <c r="E400" s="7" t="s">
        <v>2309</v>
      </c>
      <c r="F400" s="7" t="s">
        <v>2310</v>
      </c>
      <c r="G400" s="7" t="s">
        <v>34</v>
      </c>
      <c r="H400" s="11" t="s">
        <v>2375</v>
      </c>
      <c r="I400" s="11" t="e">
        <f>VLOOKUP(H400,合同高级查询数据!$A$2:$A$51,1,FALSE)</f>
        <v>#N/A</v>
      </c>
      <c r="J400" s="12" t="s">
        <v>36</v>
      </c>
      <c r="K400" s="7" t="s">
        <v>2376</v>
      </c>
      <c r="L400" s="174" t="s">
        <v>2377</v>
      </c>
      <c r="M400" s="16" t="s">
        <v>2378</v>
      </c>
      <c r="N400" s="208" t="s">
        <v>2379</v>
      </c>
      <c r="O400" s="5" t="s">
        <v>2380</v>
      </c>
      <c r="P400" s="27">
        <v>5500</v>
      </c>
      <c r="Q400" s="140">
        <v>0</v>
      </c>
      <c r="R400" s="27">
        <f t="shared" si="22"/>
        <v>0</v>
      </c>
      <c r="S400" s="28">
        <v>202306</v>
      </c>
      <c r="T400" s="184" t="s">
        <v>2381</v>
      </c>
      <c r="U400" s="184"/>
      <c r="V400" s="178">
        <v>0</v>
      </c>
      <c r="W400" s="35"/>
      <c r="X400" s="36">
        <v>44287</v>
      </c>
      <c r="Y400" s="36">
        <v>44561</v>
      </c>
      <c r="Z400" s="178">
        <v>0</v>
      </c>
      <c r="AA400" s="44">
        <v>0</v>
      </c>
      <c r="AB400" s="178">
        <v>0</v>
      </c>
      <c r="AC400" s="178">
        <f t="shared" si="23"/>
        <v>0</v>
      </c>
    </row>
    <row r="401" spans="1:29" s="2" customFormat="1" ht="15" customHeight="1">
      <c r="A401" s="7" t="s">
        <v>878</v>
      </c>
      <c r="B401" s="5" t="s">
        <v>1732</v>
      </c>
      <c r="C401" s="5" t="s">
        <v>2374</v>
      </c>
      <c r="D401" s="5" t="s">
        <v>1791</v>
      </c>
      <c r="E401" s="7" t="s">
        <v>2309</v>
      </c>
      <c r="F401" s="7" t="s">
        <v>2310</v>
      </c>
      <c r="G401" s="7" t="s">
        <v>34</v>
      </c>
      <c r="H401" s="11" t="s">
        <v>2375</v>
      </c>
      <c r="I401" s="11" t="e">
        <f>VLOOKUP(H401,合同高级查询数据!$A$2:$A$51,1,FALSE)</f>
        <v>#N/A</v>
      </c>
      <c r="J401" s="12" t="s">
        <v>36</v>
      </c>
      <c r="K401" s="7" t="s">
        <v>2376</v>
      </c>
      <c r="L401" s="174" t="s">
        <v>2382</v>
      </c>
      <c r="M401" s="16" t="s">
        <v>2378</v>
      </c>
      <c r="N401" s="209">
        <v>44287</v>
      </c>
      <c r="O401" s="223" t="s">
        <v>1779</v>
      </c>
      <c r="P401" s="27">
        <v>5500</v>
      </c>
      <c r="Q401" s="140">
        <v>0</v>
      </c>
      <c r="R401" s="27">
        <f t="shared" si="22"/>
        <v>0</v>
      </c>
      <c r="S401" s="28">
        <v>202306</v>
      </c>
      <c r="T401" s="184" t="s">
        <v>2383</v>
      </c>
      <c r="U401" s="184"/>
      <c r="V401" s="178">
        <v>0</v>
      </c>
      <c r="W401" s="35"/>
      <c r="X401" s="36">
        <v>44287</v>
      </c>
      <c r="Y401" s="36">
        <v>44561</v>
      </c>
      <c r="Z401" s="178">
        <v>0</v>
      </c>
      <c r="AA401" s="44">
        <v>0</v>
      </c>
      <c r="AB401" s="178">
        <v>0</v>
      </c>
      <c r="AC401" s="178">
        <f t="shared" si="23"/>
        <v>0</v>
      </c>
    </row>
    <row r="402" spans="1:29" s="2" customFormat="1" ht="15" customHeight="1">
      <c r="A402" s="7" t="s">
        <v>878</v>
      </c>
      <c r="B402" s="216" t="s">
        <v>1732</v>
      </c>
      <c r="C402" s="5" t="s">
        <v>417</v>
      </c>
      <c r="D402" s="5" t="s">
        <v>1748</v>
      </c>
      <c r="E402" s="7" t="s">
        <v>2309</v>
      </c>
      <c r="F402" s="7" t="s">
        <v>2310</v>
      </c>
      <c r="G402" s="7" t="s">
        <v>34</v>
      </c>
      <c r="H402" s="11" t="s">
        <v>2384</v>
      </c>
      <c r="I402" s="11" t="e">
        <f>VLOOKUP(H402,合同高级查询数据!$A$2:$A$51,1,FALSE)</f>
        <v>#N/A</v>
      </c>
      <c r="J402" s="12" t="s">
        <v>36</v>
      </c>
      <c r="K402" s="7" t="s">
        <v>2312</v>
      </c>
      <c r="L402" s="174" t="s">
        <v>2385</v>
      </c>
      <c r="M402" s="16" t="s">
        <v>2353</v>
      </c>
      <c r="N402" s="36" t="s">
        <v>2386</v>
      </c>
      <c r="O402" s="5" t="s">
        <v>2387</v>
      </c>
      <c r="P402" s="27">
        <v>4500</v>
      </c>
      <c r="Q402" s="140">
        <v>200</v>
      </c>
      <c r="R402" s="27">
        <f t="shared" si="22"/>
        <v>900000</v>
      </c>
      <c r="S402" s="28">
        <v>202306</v>
      </c>
      <c r="T402" s="184" t="s">
        <v>2388</v>
      </c>
      <c r="U402" s="184"/>
      <c r="V402" s="178">
        <v>161.283401489</v>
      </c>
      <c r="W402" s="35"/>
      <c r="X402" s="36">
        <v>44835</v>
      </c>
      <c r="Y402" s="21">
        <v>45199</v>
      </c>
      <c r="Z402" s="5" t="s">
        <v>2389</v>
      </c>
      <c r="AA402" s="45">
        <v>1</v>
      </c>
      <c r="AB402" s="34">
        <v>200</v>
      </c>
      <c r="AC402" s="178">
        <f t="shared" si="23"/>
        <v>200</v>
      </c>
    </row>
    <row r="403" spans="1:29" s="2" customFormat="1" ht="15" customHeight="1">
      <c r="A403" s="7" t="s">
        <v>878</v>
      </c>
      <c r="B403" s="7" t="s">
        <v>1732</v>
      </c>
      <c r="C403" s="7" t="s">
        <v>417</v>
      </c>
      <c r="D403" s="5" t="s">
        <v>1748</v>
      </c>
      <c r="E403" s="7" t="s">
        <v>2309</v>
      </c>
      <c r="F403" s="7" t="s">
        <v>2310</v>
      </c>
      <c r="G403" s="7" t="s">
        <v>34</v>
      </c>
      <c r="H403" s="11" t="s">
        <v>2390</v>
      </c>
      <c r="I403" s="11" t="e">
        <f>VLOOKUP(H403,合同高级查询数据!$A$2:$A$51,1,FALSE)</f>
        <v>#N/A</v>
      </c>
      <c r="J403" s="12" t="s">
        <v>36</v>
      </c>
      <c r="K403" s="7" t="s">
        <v>575</v>
      </c>
      <c r="L403" s="174" t="s">
        <v>2391</v>
      </c>
      <c r="M403" s="177" t="s">
        <v>2392</v>
      </c>
      <c r="N403" s="208" t="s">
        <v>2393</v>
      </c>
      <c r="O403" s="5" t="s">
        <v>1871</v>
      </c>
      <c r="P403" s="27">
        <v>5500</v>
      </c>
      <c r="Q403" s="140">
        <v>127.6</v>
      </c>
      <c r="R403" s="27">
        <f t="shared" si="22"/>
        <v>701800</v>
      </c>
      <c r="S403" s="28">
        <v>202306</v>
      </c>
      <c r="T403" s="184" t="s">
        <v>2394</v>
      </c>
      <c r="U403" s="184"/>
      <c r="V403" s="178">
        <v>125.570777893</v>
      </c>
      <c r="W403" s="35"/>
      <c r="X403" s="36">
        <v>44927</v>
      </c>
      <c r="Y403" s="36">
        <v>45291</v>
      </c>
      <c r="Z403" s="5" t="s">
        <v>2395</v>
      </c>
      <c r="AA403" s="45">
        <v>0.3</v>
      </c>
      <c r="AB403" s="34">
        <v>400</v>
      </c>
      <c r="AC403" s="178">
        <f t="shared" si="23"/>
        <v>120</v>
      </c>
    </row>
    <row r="404" spans="1:29" s="2" customFormat="1" ht="15" customHeight="1">
      <c r="A404" s="7" t="s">
        <v>878</v>
      </c>
      <c r="B404" s="5" t="s">
        <v>1732</v>
      </c>
      <c r="C404" s="5" t="s">
        <v>417</v>
      </c>
      <c r="D404" s="5" t="s">
        <v>1748</v>
      </c>
      <c r="E404" s="7" t="s">
        <v>2309</v>
      </c>
      <c r="F404" s="7" t="s">
        <v>2310</v>
      </c>
      <c r="G404" s="7" t="s">
        <v>34</v>
      </c>
      <c r="H404" s="11" t="s">
        <v>2390</v>
      </c>
      <c r="I404" s="11" t="e">
        <f>VLOOKUP(H404,合同高级查询数据!$A$2:$A$51,1,FALSE)</f>
        <v>#N/A</v>
      </c>
      <c r="J404" s="12" t="s">
        <v>36</v>
      </c>
      <c r="K404" s="7" t="s">
        <v>575</v>
      </c>
      <c r="L404" s="174" t="s">
        <v>2396</v>
      </c>
      <c r="M404" s="16" t="s">
        <v>2392</v>
      </c>
      <c r="N404" s="36">
        <v>44287</v>
      </c>
      <c r="O404" s="5" t="s">
        <v>1329</v>
      </c>
      <c r="P404" s="27">
        <v>5500</v>
      </c>
      <c r="Q404" s="140">
        <v>0</v>
      </c>
      <c r="R404" s="27">
        <f t="shared" ref="R404:R467" si="24">ROUND(P404*Q404,2)</f>
        <v>0</v>
      </c>
      <c r="S404" s="28">
        <v>202306</v>
      </c>
      <c r="T404" s="184" t="s">
        <v>2397</v>
      </c>
      <c r="U404" s="184"/>
      <c r="V404" s="178">
        <v>0</v>
      </c>
      <c r="W404" s="35"/>
      <c r="X404" s="36">
        <v>44927</v>
      </c>
      <c r="Y404" s="36">
        <v>45291</v>
      </c>
      <c r="Z404" s="178">
        <v>0</v>
      </c>
      <c r="AA404" s="44">
        <v>0</v>
      </c>
      <c r="AB404" s="178">
        <v>0</v>
      </c>
      <c r="AC404" s="178">
        <f t="shared" si="23"/>
        <v>0</v>
      </c>
    </row>
    <row r="405" spans="1:29" s="3" customFormat="1" ht="15" customHeight="1">
      <c r="A405" s="86" t="s">
        <v>878</v>
      </c>
      <c r="B405" s="65" t="s">
        <v>1732</v>
      </c>
      <c r="C405" s="65" t="s">
        <v>214</v>
      </c>
      <c r="D405" s="65" t="s">
        <v>31</v>
      </c>
      <c r="E405" s="86" t="s">
        <v>2309</v>
      </c>
      <c r="F405" s="86" t="s">
        <v>2310</v>
      </c>
      <c r="G405" s="86" t="s">
        <v>34</v>
      </c>
      <c r="H405" s="53" t="s">
        <v>2398</v>
      </c>
      <c r="I405" s="53" t="e">
        <f>VLOOKUP(H405,合同高级查询数据!$A$2:$A$51,1,FALSE)</f>
        <v>#N/A</v>
      </c>
      <c r="J405" s="51" t="s">
        <v>36</v>
      </c>
      <c r="K405" s="86" t="s">
        <v>2399</v>
      </c>
      <c r="L405" s="175" t="s">
        <v>1230</v>
      </c>
      <c r="M405" s="54" t="s">
        <v>2400</v>
      </c>
      <c r="N405" s="64">
        <v>44348</v>
      </c>
      <c r="O405" s="65" t="s">
        <v>1664</v>
      </c>
      <c r="P405" s="58">
        <v>3750</v>
      </c>
      <c r="Q405" s="99">
        <v>160</v>
      </c>
      <c r="R405" s="58">
        <f t="shared" si="24"/>
        <v>600000</v>
      </c>
      <c r="S405" s="59">
        <v>202306</v>
      </c>
      <c r="T405" s="185" t="s">
        <v>2401</v>
      </c>
      <c r="U405" s="185"/>
      <c r="V405" s="196">
        <v>128.282592773</v>
      </c>
      <c r="W405" s="103"/>
      <c r="X405" s="64"/>
      <c r="Y405" s="64"/>
      <c r="Z405" s="65" t="s">
        <v>2402</v>
      </c>
      <c r="AA405" s="200">
        <v>1</v>
      </c>
      <c r="AB405" s="104">
        <v>160</v>
      </c>
      <c r="AC405" s="196">
        <f t="shared" si="23"/>
        <v>160</v>
      </c>
    </row>
    <row r="406" spans="1:29" s="2" customFormat="1" ht="15" customHeight="1">
      <c r="A406" s="7" t="s">
        <v>878</v>
      </c>
      <c r="B406" s="5" t="s">
        <v>1732</v>
      </c>
      <c r="C406" s="7" t="s">
        <v>417</v>
      </c>
      <c r="D406" s="5" t="s">
        <v>1748</v>
      </c>
      <c r="E406" s="7" t="s">
        <v>2309</v>
      </c>
      <c r="F406" s="7" t="s">
        <v>2310</v>
      </c>
      <c r="G406" s="7" t="s">
        <v>34</v>
      </c>
      <c r="H406" s="11" t="s">
        <v>2403</v>
      </c>
      <c r="I406" s="11" t="e">
        <f>VLOOKUP(H406,合同高级查询数据!$A$2:$A$51,1,FALSE)</f>
        <v>#N/A</v>
      </c>
      <c r="J406" s="12" t="s">
        <v>36</v>
      </c>
      <c r="K406" s="7" t="s">
        <v>830</v>
      </c>
      <c r="L406" s="213" t="s">
        <v>2404</v>
      </c>
      <c r="M406" s="16" t="s">
        <v>2405</v>
      </c>
      <c r="N406" s="208">
        <v>44591</v>
      </c>
      <c r="O406" s="208" t="s">
        <v>434</v>
      </c>
      <c r="P406" s="27">
        <v>5500</v>
      </c>
      <c r="Q406" s="140">
        <v>60.9</v>
      </c>
      <c r="R406" s="27">
        <f t="shared" si="24"/>
        <v>334950</v>
      </c>
      <c r="S406" s="28">
        <v>202306</v>
      </c>
      <c r="T406" s="184" t="s">
        <v>2406</v>
      </c>
      <c r="U406" s="184"/>
      <c r="V406" s="178">
        <v>59.760276793999999</v>
      </c>
      <c r="W406" s="35">
        <v>62</v>
      </c>
      <c r="X406" s="36">
        <v>44958</v>
      </c>
      <c r="Y406" s="36">
        <v>45322</v>
      </c>
      <c r="Z406" s="5" t="s">
        <v>2407</v>
      </c>
      <c r="AA406" s="45">
        <v>0.3</v>
      </c>
      <c r="AB406" s="34">
        <v>200</v>
      </c>
      <c r="AC406" s="178">
        <f t="shared" si="23"/>
        <v>60</v>
      </c>
    </row>
    <row r="407" spans="1:29" s="2" customFormat="1" ht="15" customHeight="1">
      <c r="A407" s="7" t="s">
        <v>878</v>
      </c>
      <c r="B407" s="5" t="s">
        <v>1732</v>
      </c>
      <c r="C407" s="7" t="s">
        <v>417</v>
      </c>
      <c r="D407" s="5" t="s">
        <v>1748</v>
      </c>
      <c r="E407" s="7" t="s">
        <v>2309</v>
      </c>
      <c r="F407" s="7" t="s">
        <v>2310</v>
      </c>
      <c r="G407" s="7" t="s">
        <v>34</v>
      </c>
      <c r="H407" s="11" t="s">
        <v>2408</v>
      </c>
      <c r="I407" s="11" t="e">
        <f>VLOOKUP(H407,合同高级查询数据!$A$2:$A$51,1,FALSE)</f>
        <v>#N/A</v>
      </c>
      <c r="J407" s="12" t="s">
        <v>36</v>
      </c>
      <c r="K407" s="7" t="s">
        <v>575</v>
      </c>
      <c r="L407" s="213" t="s">
        <v>2409</v>
      </c>
      <c r="M407" s="16" t="s">
        <v>2410</v>
      </c>
      <c r="N407" s="208" t="s">
        <v>2411</v>
      </c>
      <c r="O407" s="208" t="s">
        <v>1329</v>
      </c>
      <c r="P407" s="27">
        <v>5500</v>
      </c>
      <c r="Q407" s="140">
        <v>63.1</v>
      </c>
      <c r="R407" s="27">
        <f t="shared" si="24"/>
        <v>347050</v>
      </c>
      <c r="S407" s="28">
        <v>202306</v>
      </c>
      <c r="T407" s="184" t="s">
        <v>2412</v>
      </c>
      <c r="U407" s="184"/>
      <c r="V407" s="178">
        <v>61.735408782999997</v>
      </c>
      <c r="W407" s="35">
        <v>64.37</v>
      </c>
      <c r="X407" s="36">
        <v>44927</v>
      </c>
      <c r="Y407" s="36">
        <v>45291</v>
      </c>
      <c r="Z407" s="5" t="s">
        <v>2413</v>
      </c>
      <c r="AA407" s="45">
        <v>0.3</v>
      </c>
      <c r="AB407" s="34">
        <v>200</v>
      </c>
      <c r="AC407" s="178">
        <f t="shared" si="23"/>
        <v>60</v>
      </c>
    </row>
    <row r="408" spans="1:29" s="3" customFormat="1" ht="15" customHeight="1">
      <c r="A408" s="86" t="s">
        <v>871</v>
      </c>
      <c r="B408" s="65" t="s">
        <v>1732</v>
      </c>
      <c r="C408" s="65" t="s">
        <v>417</v>
      </c>
      <c r="D408" s="65" t="s">
        <v>1748</v>
      </c>
      <c r="E408" s="65" t="s">
        <v>2309</v>
      </c>
      <c r="F408" s="65" t="s">
        <v>2310</v>
      </c>
      <c r="G408" s="86" t="s">
        <v>34</v>
      </c>
      <c r="H408" s="65" t="s">
        <v>2414</v>
      </c>
      <c r="I408" s="53" t="e">
        <f>VLOOKUP(H408,合同高级查询数据!$A$2:$A$51,1,FALSE)</f>
        <v>#N/A</v>
      </c>
      <c r="J408" s="51" t="s">
        <v>36</v>
      </c>
      <c r="K408" s="65" t="s">
        <v>830</v>
      </c>
      <c r="L408" s="65" t="s">
        <v>2415</v>
      </c>
      <c r="M408" s="65" t="s">
        <v>2416</v>
      </c>
      <c r="N408" s="64" t="s">
        <v>2417</v>
      </c>
      <c r="O408" s="65" t="s">
        <v>2418</v>
      </c>
      <c r="P408" s="98">
        <v>5000</v>
      </c>
      <c r="Q408" s="99">
        <v>45</v>
      </c>
      <c r="R408" s="98">
        <f t="shared" si="24"/>
        <v>225000</v>
      </c>
      <c r="S408" s="59">
        <v>202306</v>
      </c>
      <c r="T408" s="185" t="s">
        <v>2419</v>
      </c>
      <c r="U408" s="185"/>
      <c r="V408" s="196">
        <v>43.717472076</v>
      </c>
      <c r="W408" s="103">
        <v>45.2</v>
      </c>
      <c r="X408" s="64"/>
      <c r="Y408" s="64"/>
      <c r="Z408" s="65" t="s">
        <v>2420</v>
      </c>
      <c r="AA408" s="200">
        <v>0.3</v>
      </c>
      <c r="AB408" s="104">
        <v>150</v>
      </c>
      <c r="AC408" s="196">
        <f t="shared" si="23"/>
        <v>45</v>
      </c>
    </row>
    <row r="409" spans="1:29" s="3" customFormat="1" ht="15" customHeight="1">
      <c r="A409" s="86" t="s">
        <v>871</v>
      </c>
      <c r="B409" s="65" t="s">
        <v>1732</v>
      </c>
      <c r="C409" s="65" t="s">
        <v>417</v>
      </c>
      <c r="D409" s="65" t="s">
        <v>1748</v>
      </c>
      <c r="E409" s="65" t="s">
        <v>2309</v>
      </c>
      <c r="F409" s="65" t="s">
        <v>2310</v>
      </c>
      <c r="G409" s="86" t="s">
        <v>34</v>
      </c>
      <c r="H409" s="65" t="s">
        <v>2414</v>
      </c>
      <c r="I409" s="53" t="e">
        <f>VLOOKUP(H409,合同高级查询数据!$A$2:$A$51,1,FALSE)</f>
        <v>#N/A</v>
      </c>
      <c r="J409" s="51" t="s">
        <v>36</v>
      </c>
      <c r="K409" s="65" t="s">
        <v>830</v>
      </c>
      <c r="L409" s="65" t="s">
        <v>2421</v>
      </c>
      <c r="M409" s="65" t="s">
        <v>2416</v>
      </c>
      <c r="N409" s="64">
        <v>44805</v>
      </c>
      <c r="O409" s="65" t="s">
        <v>2422</v>
      </c>
      <c r="P409" s="98">
        <v>5000</v>
      </c>
      <c r="Q409" s="99">
        <v>45</v>
      </c>
      <c r="R409" s="98">
        <f t="shared" si="24"/>
        <v>225000</v>
      </c>
      <c r="S409" s="59">
        <v>202306</v>
      </c>
      <c r="T409" s="185" t="s">
        <v>2423</v>
      </c>
      <c r="U409" s="185"/>
      <c r="V409" s="196">
        <v>43.346485137999998</v>
      </c>
      <c r="W409" s="103">
        <v>45</v>
      </c>
      <c r="X409" s="64"/>
      <c r="Y409" s="64"/>
      <c r="Z409" s="65" t="s">
        <v>2424</v>
      </c>
      <c r="AA409" s="200">
        <v>0.3</v>
      </c>
      <c r="AB409" s="104">
        <v>150</v>
      </c>
      <c r="AC409" s="196">
        <f t="shared" si="23"/>
        <v>45</v>
      </c>
    </row>
    <row r="410" spans="1:29" s="2" customFormat="1" ht="15" customHeight="1">
      <c r="A410" s="7" t="s">
        <v>878</v>
      </c>
      <c r="B410" s="5" t="s">
        <v>1732</v>
      </c>
      <c r="C410" s="7" t="s">
        <v>417</v>
      </c>
      <c r="D410" s="5" t="s">
        <v>1748</v>
      </c>
      <c r="E410" s="7" t="s">
        <v>2309</v>
      </c>
      <c r="F410" s="7" t="s">
        <v>2310</v>
      </c>
      <c r="G410" s="7" t="s">
        <v>34</v>
      </c>
      <c r="H410" s="5" t="s">
        <v>2425</v>
      </c>
      <c r="I410" s="11" t="e">
        <f>VLOOKUP(H410,合同高级查询数据!$A$2:$A$51,1,FALSE)</f>
        <v>#N/A</v>
      </c>
      <c r="J410" s="12" t="s">
        <v>36</v>
      </c>
      <c r="K410" s="5" t="s">
        <v>2426</v>
      </c>
      <c r="L410" s="5" t="s">
        <v>2427</v>
      </c>
      <c r="M410" s="5" t="s">
        <v>2428</v>
      </c>
      <c r="N410" s="36">
        <v>44835</v>
      </c>
      <c r="O410" s="5" t="s">
        <v>277</v>
      </c>
      <c r="P410" s="26">
        <v>4200</v>
      </c>
      <c r="Q410" s="140">
        <v>100</v>
      </c>
      <c r="R410" s="26">
        <f t="shared" si="24"/>
        <v>420000</v>
      </c>
      <c r="S410" s="28">
        <v>202306</v>
      </c>
      <c r="T410" s="184" t="s">
        <v>2429</v>
      </c>
      <c r="U410" s="184"/>
      <c r="V410" s="178">
        <v>75.822547912999994</v>
      </c>
      <c r="W410" s="35"/>
      <c r="X410" s="36">
        <v>44835</v>
      </c>
      <c r="Y410" s="21">
        <v>45199</v>
      </c>
      <c r="Z410" s="5" t="s">
        <v>2430</v>
      </c>
      <c r="AA410" s="45">
        <v>1</v>
      </c>
      <c r="AB410" s="34">
        <v>100</v>
      </c>
      <c r="AC410" s="178">
        <f t="shared" si="23"/>
        <v>100</v>
      </c>
    </row>
    <row r="411" spans="1:29" s="2" customFormat="1" ht="15" customHeight="1">
      <c r="A411" s="7" t="s">
        <v>878</v>
      </c>
      <c r="B411" s="7" t="s">
        <v>1732</v>
      </c>
      <c r="C411" s="7" t="s">
        <v>214</v>
      </c>
      <c r="D411" s="5" t="s">
        <v>31</v>
      </c>
      <c r="E411" s="7" t="s">
        <v>2431</v>
      </c>
      <c r="F411" s="7" t="s">
        <v>2432</v>
      </c>
      <c r="G411" s="7" t="s">
        <v>34</v>
      </c>
      <c r="H411" s="11" t="s">
        <v>2433</v>
      </c>
      <c r="I411" s="11" t="e">
        <f>VLOOKUP(H411,合同高级查询数据!$A$2:$A$51,1,FALSE)</f>
        <v>#N/A</v>
      </c>
      <c r="J411" s="12" t="s">
        <v>36</v>
      </c>
      <c r="K411" s="7" t="s">
        <v>2012</v>
      </c>
      <c r="L411" s="174" t="s">
        <v>2434</v>
      </c>
      <c r="M411" s="16" t="s">
        <v>2435</v>
      </c>
      <c r="N411" s="208">
        <v>43306</v>
      </c>
      <c r="O411" s="208" t="s">
        <v>1941</v>
      </c>
      <c r="P411" s="27">
        <v>4800</v>
      </c>
      <c r="Q411" s="140">
        <v>25.1</v>
      </c>
      <c r="R411" s="27">
        <f t="shared" si="24"/>
        <v>120480</v>
      </c>
      <c r="S411" s="28">
        <v>202306</v>
      </c>
      <c r="T411" s="184" t="s">
        <v>2436</v>
      </c>
      <c r="U411" s="37"/>
      <c r="V411" s="178">
        <v>25.061761856</v>
      </c>
      <c r="W411" s="35"/>
      <c r="X411" s="36">
        <v>44927</v>
      </c>
      <c r="Y411" s="36">
        <v>45291</v>
      </c>
      <c r="Z411" s="5" t="s">
        <v>2437</v>
      </c>
      <c r="AA411" s="45">
        <v>0.3</v>
      </c>
      <c r="AB411" s="34">
        <v>80</v>
      </c>
      <c r="AC411" s="178">
        <f t="shared" si="23"/>
        <v>24</v>
      </c>
    </row>
    <row r="412" spans="1:29" s="2" customFormat="1" ht="15" customHeight="1">
      <c r="A412" s="7" t="s">
        <v>859</v>
      </c>
      <c r="B412" s="216" t="s">
        <v>1732</v>
      </c>
      <c r="C412" s="5" t="s">
        <v>214</v>
      </c>
      <c r="D412" s="5" t="s">
        <v>31</v>
      </c>
      <c r="E412" s="7" t="s">
        <v>2431</v>
      </c>
      <c r="F412" s="7" t="s">
        <v>2432</v>
      </c>
      <c r="G412" s="7" t="s">
        <v>34</v>
      </c>
      <c r="H412" s="11" t="s">
        <v>2438</v>
      </c>
      <c r="I412" s="11" t="e">
        <f>VLOOKUP(H412,合同高级查询数据!$A$2:$A$51,1,FALSE)</f>
        <v>#N/A</v>
      </c>
      <c r="J412" s="12" t="s">
        <v>36</v>
      </c>
      <c r="K412" s="7" t="s">
        <v>780</v>
      </c>
      <c r="L412" s="174" t="s">
        <v>2439</v>
      </c>
      <c r="M412" s="16" t="s">
        <v>2440</v>
      </c>
      <c r="N412" s="36" t="s">
        <v>2441</v>
      </c>
      <c r="O412" s="5" t="s">
        <v>1880</v>
      </c>
      <c r="P412" s="27">
        <v>6833</v>
      </c>
      <c r="Q412" s="140">
        <v>0</v>
      </c>
      <c r="R412" s="27">
        <f t="shared" si="24"/>
        <v>0</v>
      </c>
      <c r="S412" s="28">
        <v>202306</v>
      </c>
      <c r="T412" s="184" t="s">
        <v>2442</v>
      </c>
      <c r="U412" s="184"/>
      <c r="V412" s="178">
        <v>0</v>
      </c>
      <c r="W412" s="35"/>
      <c r="X412" s="36">
        <v>44562</v>
      </c>
      <c r="Y412" s="36">
        <v>44926</v>
      </c>
      <c r="Z412" s="178">
        <v>0</v>
      </c>
      <c r="AA412" s="44">
        <v>0</v>
      </c>
      <c r="AB412" s="178">
        <v>0</v>
      </c>
      <c r="AC412" s="178">
        <f t="shared" si="23"/>
        <v>0</v>
      </c>
    </row>
    <row r="413" spans="1:29" s="2" customFormat="1" ht="15" customHeight="1">
      <c r="A413" s="7" t="s">
        <v>878</v>
      </c>
      <c r="B413" s="7" t="s">
        <v>1732</v>
      </c>
      <c r="C413" s="7" t="s">
        <v>214</v>
      </c>
      <c r="D413" s="5" t="s">
        <v>31</v>
      </c>
      <c r="E413" s="7" t="s">
        <v>2431</v>
      </c>
      <c r="F413" s="7" t="s">
        <v>2432</v>
      </c>
      <c r="G413" s="7" t="s">
        <v>34</v>
      </c>
      <c r="H413" s="11" t="s">
        <v>2443</v>
      </c>
      <c r="I413" s="11" t="e">
        <f>VLOOKUP(H413,合同高级查询数据!$A$2:$A$51,1,FALSE)</f>
        <v>#N/A</v>
      </c>
      <c r="J413" s="12" t="s">
        <v>36</v>
      </c>
      <c r="K413" s="7" t="s">
        <v>746</v>
      </c>
      <c r="L413" s="174" t="s">
        <v>2444</v>
      </c>
      <c r="M413" s="16" t="s">
        <v>2445</v>
      </c>
      <c r="N413" s="208" t="s">
        <v>2446</v>
      </c>
      <c r="O413" s="208" t="s">
        <v>2447</v>
      </c>
      <c r="P413" s="27">
        <v>4800</v>
      </c>
      <c r="Q413" s="140">
        <v>64.3</v>
      </c>
      <c r="R413" s="27">
        <f t="shared" si="24"/>
        <v>308640</v>
      </c>
      <c r="S413" s="28">
        <v>202306</v>
      </c>
      <c r="T413" s="184" t="s">
        <v>2448</v>
      </c>
      <c r="U413" s="37"/>
      <c r="V413" s="178">
        <v>64.207809448000006</v>
      </c>
      <c r="W413" s="35"/>
      <c r="X413" s="36">
        <v>44927</v>
      </c>
      <c r="Y413" s="36">
        <v>45291</v>
      </c>
      <c r="Z413" s="5" t="s">
        <v>2449</v>
      </c>
      <c r="AA413" s="45">
        <v>0.4</v>
      </c>
      <c r="AB413" s="34">
        <v>160</v>
      </c>
      <c r="AC413" s="178">
        <f t="shared" si="23"/>
        <v>64</v>
      </c>
    </row>
    <row r="414" spans="1:29" s="2" customFormat="1" ht="15" customHeight="1">
      <c r="A414" s="203" t="s">
        <v>878</v>
      </c>
      <c r="B414" s="216" t="s">
        <v>1732</v>
      </c>
      <c r="C414" s="5" t="s">
        <v>1308</v>
      </c>
      <c r="D414" s="5" t="s">
        <v>31</v>
      </c>
      <c r="E414" s="7" t="s">
        <v>2431</v>
      </c>
      <c r="F414" s="7" t="s">
        <v>2432</v>
      </c>
      <c r="G414" s="7" t="s">
        <v>34</v>
      </c>
      <c r="H414" s="11" t="s">
        <v>2450</v>
      </c>
      <c r="I414" s="11" t="e">
        <f>VLOOKUP(H414,合同高级查询数据!$A$2:$A$51,1,FALSE)</f>
        <v>#N/A</v>
      </c>
      <c r="J414" s="12" t="s">
        <v>36</v>
      </c>
      <c r="K414" s="7" t="s">
        <v>1784</v>
      </c>
      <c r="L414" s="174" t="s">
        <v>2451</v>
      </c>
      <c r="M414" s="16" t="s">
        <v>2452</v>
      </c>
      <c r="N414" s="36" t="s">
        <v>2453</v>
      </c>
      <c r="O414" s="5" t="s">
        <v>1779</v>
      </c>
      <c r="P414" s="27">
        <v>4900</v>
      </c>
      <c r="Q414" s="140">
        <v>0</v>
      </c>
      <c r="R414" s="27">
        <f t="shared" si="24"/>
        <v>0</v>
      </c>
      <c r="S414" s="28">
        <v>202306</v>
      </c>
      <c r="T414" s="184" t="s">
        <v>2454</v>
      </c>
      <c r="U414" s="184"/>
      <c r="V414" s="178">
        <v>0</v>
      </c>
      <c r="W414" s="35"/>
      <c r="X414" s="208">
        <v>44743</v>
      </c>
      <c r="Y414" s="36">
        <v>45107</v>
      </c>
      <c r="Z414" s="178">
        <v>0</v>
      </c>
      <c r="AA414" s="44">
        <v>0</v>
      </c>
      <c r="AB414" s="178">
        <v>0</v>
      </c>
      <c r="AC414" s="178">
        <f t="shared" si="23"/>
        <v>0</v>
      </c>
    </row>
    <row r="415" spans="1:29" s="3" customFormat="1" ht="15" customHeight="1">
      <c r="A415" s="215" t="s">
        <v>859</v>
      </c>
      <c r="B415" s="65" t="s">
        <v>1732</v>
      </c>
      <c r="C415" s="65" t="s">
        <v>417</v>
      </c>
      <c r="D415" s="65" t="s">
        <v>1748</v>
      </c>
      <c r="E415" s="86" t="s">
        <v>2455</v>
      </c>
      <c r="F415" s="86" t="s">
        <v>2456</v>
      </c>
      <c r="G415" s="86" t="s">
        <v>34</v>
      </c>
      <c r="H415" s="53" t="s">
        <v>2457</v>
      </c>
      <c r="I415" s="53" t="e">
        <f>VLOOKUP(H415,合同高级查询数据!$A$2:$A$51,1,FALSE)</f>
        <v>#N/A</v>
      </c>
      <c r="J415" s="51" t="s">
        <v>36</v>
      </c>
      <c r="K415" s="86" t="s">
        <v>2312</v>
      </c>
      <c r="L415" s="175" t="s">
        <v>2458</v>
      </c>
      <c r="M415" s="54" t="s">
        <v>2459</v>
      </c>
      <c r="N415" s="64" t="s">
        <v>2460</v>
      </c>
      <c r="O415" s="65" t="s">
        <v>2461</v>
      </c>
      <c r="P415" s="58">
        <v>5833</v>
      </c>
      <c r="Q415" s="99">
        <v>48</v>
      </c>
      <c r="R415" s="58">
        <f t="shared" si="24"/>
        <v>279984</v>
      </c>
      <c r="S415" s="59">
        <v>202306</v>
      </c>
      <c r="T415" s="185" t="s">
        <v>2462</v>
      </c>
      <c r="U415" s="185"/>
      <c r="V415" s="196">
        <v>46.689891815000003</v>
      </c>
      <c r="W415" s="103"/>
      <c r="X415" s="64"/>
      <c r="Y415" s="64"/>
      <c r="Z415" s="65" t="s">
        <v>2463</v>
      </c>
      <c r="AA415" s="200">
        <v>0.3</v>
      </c>
      <c r="AB415" s="104">
        <v>160</v>
      </c>
      <c r="AC415" s="196">
        <f t="shared" si="23"/>
        <v>48</v>
      </c>
    </row>
    <row r="416" spans="1:29" s="3" customFormat="1" ht="15" customHeight="1">
      <c r="A416" s="215" t="s">
        <v>859</v>
      </c>
      <c r="B416" s="65" t="s">
        <v>1732</v>
      </c>
      <c r="C416" s="65" t="s">
        <v>417</v>
      </c>
      <c r="D416" s="65" t="s">
        <v>1748</v>
      </c>
      <c r="E416" s="86" t="s">
        <v>2455</v>
      </c>
      <c r="F416" s="86" t="s">
        <v>2456</v>
      </c>
      <c r="G416" s="86" t="s">
        <v>34</v>
      </c>
      <c r="H416" s="53" t="s">
        <v>2457</v>
      </c>
      <c r="I416" s="53" t="e">
        <f>VLOOKUP(H416,合同高级查询数据!$A$2:$A$51,1,FALSE)</f>
        <v>#N/A</v>
      </c>
      <c r="J416" s="51" t="s">
        <v>36</v>
      </c>
      <c r="K416" s="86" t="s">
        <v>2312</v>
      </c>
      <c r="L416" s="175" t="s">
        <v>2464</v>
      </c>
      <c r="M416" s="54" t="s">
        <v>2459</v>
      </c>
      <c r="N416" s="64" t="s">
        <v>2465</v>
      </c>
      <c r="O416" s="65" t="s">
        <v>2466</v>
      </c>
      <c r="P416" s="58">
        <v>5833</v>
      </c>
      <c r="Q416" s="99">
        <v>60</v>
      </c>
      <c r="R416" s="58">
        <f t="shared" si="24"/>
        <v>349980</v>
      </c>
      <c r="S416" s="59">
        <v>202306</v>
      </c>
      <c r="T416" s="185" t="s">
        <v>2467</v>
      </c>
      <c r="U416" s="185"/>
      <c r="V416" s="196">
        <v>58.674510955999999</v>
      </c>
      <c r="W416" s="212"/>
      <c r="X416" s="64"/>
      <c r="Y416" s="64"/>
      <c r="Z416" s="196" t="s">
        <v>2468</v>
      </c>
      <c r="AA416" s="200">
        <v>0.3</v>
      </c>
      <c r="AB416" s="104">
        <v>200</v>
      </c>
      <c r="AC416" s="196">
        <f t="shared" si="23"/>
        <v>60</v>
      </c>
    </row>
    <row r="417" spans="1:29" s="3" customFormat="1" ht="15" customHeight="1">
      <c r="A417" s="215" t="s">
        <v>859</v>
      </c>
      <c r="B417" s="65" t="s">
        <v>1732</v>
      </c>
      <c r="C417" s="65" t="s">
        <v>417</v>
      </c>
      <c r="D417" s="65" t="s">
        <v>1748</v>
      </c>
      <c r="E417" s="86" t="s">
        <v>2455</v>
      </c>
      <c r="F417" s="86" t="s">
        <v>2456</v>
      </c>
      <c r="G417" s="86" t="s">
        <v>34</v>
      </c>
      <c r="H417" s="53" t="s">
        <v>2469</v>
      </c>
      <c r="I417" s="53" t="e">
        <f>VLOOKUP(H417,合同高级查询数据!$A$2:$A$51,1,FALSE)</f>
        <v>#N/A</v>
      </c>
      <c r="J417" s="51" t="s">
        <v>36</v>
      </c>
      <c r="K417" s="86" t="s">
        <v>2470</v>
      </c>
      <c r="L417" s="175" t="s">
        <v>2471</v>
      </c>
      <c r="M417" s="54" t="s">
        <v>2472</v>
      </c>
      <c r="N417" s="64" t="s">
        <v>2473</v>
      </c>
      <c r="O417" s="196" t="s">
        <v>1880</v>
      </c>
      <c r="P417" s="98">
        <v>6500</v>
      </c>
      <c r="Q417" s="99">
        <v>30</v>
      </c>
      <c r="R417" s="58">
        <f t="shared" si="24"/>
        <v>195000</v>
      </c>
      <c r="S417" s="59">
        <v>202306</v>
      </c>
      <c r="T417" s="185" t="s">
        <v>2474</v>
      </c>
      <c r="U417" s="185"/>
      <c r="V417" s="196">
        <v>29.055379867999999</v>
      </c>
      <c r="W417" s="212"/>
      <c r="X417" s="211"/>
      <c r="Y417" s="64"/>
      <c r="Z417" s="65" t="s">
        <v>2475</v>
      </c>
      <c r="AA417" s="200">
        <v>0.3</v>
      </c>
      <c r="AB417" s="104">
        <v>100</v>
      </c>
      <c r="AC417" s="196">
        <f t="shared" si="23"/>
        <v>30</v>
      </c>
    </row>
    <row r="418" spans="1:29" s="2" customFormat="1" ht="15" customHeight="1">
      <c r="A418" s="203" t="s">
        <v>871</v>
      </c>
      <c r="B418" s="5" t="s">
        <v>1732</v>
      </c>
      <c r="C418" s="5" t="s">
        <v>417</v>
      </c>
      <c r="D418" s="5" t="s">
        <v>1748</v>
      </c>
      <c r="E418" s="7" t="s">
        <v>2455</v>
      </c>
      <c r="F418" s="7" t="s">
        <v>2456</v>
      </c>
      <c r="G418" s="7" t="s">
        <v>34</v>
      </c>
      <c r="H418" s="11" t="s">
        <v>2476</v>
      </c>
      <c r="I418" s="11" t="e">
        <f>VLOOKUP(H418,合同高级查询数据!$A$2:$A$51,1,FALSE)</f>
        <v>#N/A</v>
      </c>
      <c r="J418" s="12" t="s">
        <v>36</v>
      </c>
      <c r="K418" s="7" t="s">
        <v>2312</v>
      </c>
      <c r="L418" s="174" t="s">
        <v>2477</v>
      </c>
      <c r="M418" s="16" t="s">
        <v>2478</v>
      </c>
      <c r="N418" s="36">
        <v>44927</v>
      </c>
      <c r="O418" s="5" t="s">
        <v>2422</v>
      </c>
      <c r="P418" s="26">
        <v>5417</v>
      </c>
      <c r="Q418" s="140">
        <v>45</v>
      </c>
      <c r="R418" s="27">
        <f t="shared" si="24"/>
        <v>243765</v>
      </c>
      <c r="S418" s="28">
        <v>202306</v>
      </c>
      <c r="T418" s="184" t="s">
        <v>2479</v>
      </c>
      <c r="U418" s="184"/>
      <c r="V418" s="178">
        <v>43.660240172999998</v>
      </c>
      <c r="W418" s="188"/>
      <c r="X418" s="36">
        <v>44927</v>
      </c>
      <c r="Y418" s="36">
        <v>45291</v>
      </c>
      <c r="Z418" s="5" t="s">
        <v>2480</v>
      </c>
      <c r="AA418" s="45">
        <v>0.3</v>
      </c>
      <c r="AB418" s="34">
        <v>150</v>
      </c>
      <c r="AC418" s="178">
        <f t="shared" si="23"/>
        <v>45</v>
      </c>
    </row>
    <row r="419" spans="1:29" s="2" customFormat="1" ht="15" customHeight="1">
      <c r="A419" s="203" t="s">
        <v>871</v>
      </c>
      <c r="B419" s="5" t="s">
        <v>1732</v>
      </c>
      <c r="C419" s="5" t="s">
        <v>417</v>
      </c>
      <c r="D419" s="5" t="s">
        <v>1748</v>
      </c>
      <c r="E419" s="7" t="s">
        <v>2455</v>
      </c>
      <c r="F419" s="7" t="s">
        <v>2456</v>
      </c>
      <c r="G419" s="7" t="s">
        <v>34</v>
      </c>
      <c r="H419" s="11" t="s">
        <v>2476</v>
      </c>
      <c r="I419" s="11" t="e">
        <f>VLOOKUP(H419,合同高级查询数据!$A$2:$A$51,1,FALSE)</f>
        <v>#N/A</v>
      </c>
      <c r="J419" s="12" t="s">
        <v>36</v>
      </c>
      <c r="K419" s="7" t="s">
        <v>2312</v>
      </c>
      <c r="L419" s="174" t="s">
        <v>2481</v>
      </c>
      <c r="M419" s="16" t="s">
        <v>2478</v>
      </c>
      <c r="N419" s="36">
        <v>44927</v>
      </c>
      <c r="O419" s="5" t="s">
        <v>2422</v>
      </c>
      <c r="P419" s="26">
        <v>5417</v>
      </c>
      <c r="Q419" s="140">
        <v>45</v>
      </c>
      <c r="R419" s="27">
        <f t="shared" si="24"/>
        <v>243765</v>
      </c>
      <c r="S419" s="28">
        <v>202306</v>
      </c>
      <c r="T419" s="184" t="s">
        <v>2479</v>
      </c>
      <c r="U419" s="184"/>
      <c r="V419" s="178">
        <v>43.353466034</v>
      </c>
      <c r="W419" s="188"/>
      <c r="X419" s="36">
        <v>44927</v>
      </c>
      <c r="Y419" s="36">
        <v>45291</v>
      </c>
      <c r="Z419" s="5" t="s">
        <v>2482</v>
      </c>
      <c r="AA419" s="45">
        <v>0.3</v>
      </c>
      <c r="AB419" s="34">
        <v>150</v>
      </c>
      <c r="AC419" s="178">
        <f t="shared" si="23"/>
        <v>45</v>
      </c>
    </row>
    <row r="420" spans="1:29" s="2" customFormat="1" ht="15" customHeight="1">
      <c r="A420" s="7" t="s">
        <v>878</v>
      </c>
      <c r="B420" s="5" t="s">
        <v>1732</v>
      </c>
      <c r="C420" s="5" t="s">
        <v>2366</v>
      </c>
      <c r="D420" s="5" t="s">
        <v>1748</v>
      </c>
      <c r="E420" s="7" t="s">
        <v>2483</v>
      </c>
      <c r="F420" s="7" t="s">
        <v>2484</v>
      </c>
      <c r="G420" s="7" t="s">
        <v>34</v>
      </c>
      <c r="H420" s="11" t="s">
        <v>2485</v>
      </c>
      <c r="I420" s="11" t="e">
        <f>VLOOKUP(H420,合同高级查询数据!$A$2:$A$51,1,FALSE)</f>
        <v>#N/A</v>
      </c>
      <c r="J420" s="12" t="s">
        <v>36</v>
      </c>
      <c r="K420" s="7" t="s">
        <v>2368</v>
      </c>
      <c r="L420" s="174" t="s">
        <v>2486</v>
      </c>
      <c r="M420" s="16" t="s">
        <v>2487</v>
      </c>
      <c r="N420" s="36" t="s">
        <v>2488</v>
      </c>
      <c r="O420" s="5" t="s">
        <v>2489</v>
      </c>
      <c r="P420" s="27">
        <v>5400</v>
      </c>
      <c r="Q420" s="140">
        <v>122.6</v>
      </c>
      <c r="R420" s="27">
        <f t="shared" si="24"/>
        <v>662040</v>
      </c>
      <c r="S420" s="28">
        <v>202306</v>
      </c>
      <c r="T420" s="184" t="s">
        <v>2490</v>
      </c>
      <c r="U420" s="184"/>
      <c r="V420" s="178">
        <v>122.60389709499999</v>
      </c>
      <c r="W420" s="188"/>
      <c r="X420" s="36">
        <v>44927</v>
      </c>
      <c r="Y420" s="36">
        <v>45291</v>
      </c>
      <c r="Z420" s="5" t="s">
        <v>2491</v>
      </c>
      <c r="AA420" s="45">
        <v>0.4</v>
      </c>
      <c r="AB420" s="34">
        <v>300</v>
      </c>
      <c r="AC420" s="178">
        <f t="shared" si="23"/>
        <v>120</v>
      </c>
    </row>
    <row r="421" spans="1:29" s="2" customFormat="1" ht="15" customHeight="1">
      <c r="A421" s="7" t="s">
        <v>878</v>
      </c>
      <c r="B421" s="5" t="s">
        <v>1732</v>
      </c>
      <c r="C421" s="5" t="s">
        <v>2366</v>
      </c>
      <c r="D421" s="5" t="s">
        <v>1748</v>
      </c>
      <c r="E421" s="7" t="s">
        <v>2483</v>
      </c>
      <c r="F421" s="7" t="s">
        <v>2484</v>
      </c>
      <c r="G421" s="7" t="s">
        <v>34</v>
      </c>
      <c r="H421" s="11" t="s">
        <v>2492</v>
      </c>
      <c r="I421" s="11" t="e">
        <f>VLOOKUP(H421,合同高级查询数据!$A$2:$A$51,1,FALSE)</f>
        <v>#N/A</v>
      </c>
      <c r="J421" s="12" t="s">
        <v>36</v>
      </c>
      <c r="K421" s="7" t="s">
        <v>2368</v>
      </c>
      <c r="L421" s="174" t="s">
        <v>2493</v>
      </c>
      <c r="M421" s="16" t="s">
        <v>2487</v>
      </c>
      <c r="N421" s="36">
        <v>44625</v>
      </c>
      <c r="O421" s="5" t="s">
        <v>277</v>
      </c>
      <c r="P421" s="27">
        <v>4500</v>
      </c>
      <c r="Q421" s="140">
        <v>100</v>
      </c>
      <c r="R421" s="27">
        <f t="shared" si="24"/>
        <v>450000</v>
      </c>
      <c r="S421" s="28">
        <v>202306</v>
      </c>
      <c r="T421" s="184" t="s">
        <v>2494</v>
      </c>
      <c r="U421" s="184"/>
      <c r="V421" s="178">
        <v>80.128334045000003</v>
      </c>
      <c r="W421" s="35"/>
      <c r="X421" s="36">
        <v>44986</v>
      </c>
      <c r="Y421" s="36">
        <v>45291</v>
      </c>
      <c r="Z421" s="5" t="s">
        <v>2495</v>
      </c>
      <c r="AA421" s="45">
        <v>1</v>
      </c>
      <c r="AB421" s="34">
        <v>100</v>
      </c>
      <c r="AC421" s="178">
        <f t="shared" si="23"/>
        <v>100</v>
      </c>
    </row>
    <row r="422" spans="1:29" s="2" customFormat="1" ht="15" customHeight="1">
      <c r="A422" s="7" t="s">
        <v>878</v>
      </c>
      <c r="B422" s="5" t="s">
        <v>1732</v>
      </c>
      <c r="C422" s="5" t="s">
        <v>1747</v>
      </c>
      <c r="D422" s="5" t="s">
        <v>1748</v>
      </c>
      <c r="E422" s="7" t="s">
        <v>2496</v>
      </c>
      <c r="F422" s="7" t="s">
        <v>2497</v>
      </c>
      <c r="G422" s="7" t="s">
        <v>34</v>
      </c>
      <c r="H422" s="11" t="s">
        <v>2498</v>
      </c>
      <c r="I422" s="11" t="e">
        <f>VLOOKUP(H422,合同高级查询数据!$A$2:$A$51,1,FALSE)</f>
        <v>#N/A</v>
      </c>
      <c r="J422" s="12" t="s">
        <v>36</v>
      </c>
      <c r="K422" s="7" t="s">
        <v>2268</v>
      </c>
      <c r="L422" s="174" t="s">
        <v>2499</v>
      </c>
      <c r="M422" s="16" t="s">
        <v>2500</v>
      </c>
      <c r="N422" s="36" t="s">
        <v>2501</v>
      </c>
      <c r="O422" s="5" t="s">
        <v>2502</v>
      </c>
      <c r="P422" s="27">
        <v>5200</v>
      </c>
      <c r="Q422" s="140">
        <v>0</v>
      </c>
      <c r="R422" s="27">
        <f t="shared" si="24"/>
        <v>0</v>
      </c>
      <c r="S422" s="28">
        <v>202306</v>
      </c>
      <c r="T422" s="184" t="s">
        <v>2503</v>
      </c>
      <c r="U422" s="184"/>
      <c r="V422" s="178">
        <v>0</v>
      </c>
      <c r="W422" s="35"/>
      <c r="X422" s="36">
        <v>44470</v>
      </c>
      <c r="Y422" s="36">
        <v>44834</v>
      </c>
      <c r="Z422" s="178">
        <v>0</v>
      </c>
      <c r="AA422" s="44">
        <v>0</v>
      </c>
      <c r="AB422" s="178">
        <v>0</v>
      </c>
      <c r="AC422" s="178">
        <f t="shared" si="23"/>
        <v>0</v>
      </c>
    </row>
    <row r="423" spans="1:29" s="2" customFormat="1" ht="15" customHeight="1">
      <c r="A423" s="7" t="s">
        <v>878</v>
      </c>
      <c r="B423" s="5" t="s">
        <v>1732</v>
      </c>
      <c r="C423" s="5" t="s">
        <v>1747</v>
      </c>
      <c r="D423" s="5" t="s">
        <v>1748</v>
      </c>
      <c r="E423" s="7" t="s">
        <v>2496</v>
      </c>
      <c r="F423" s="7" t="s">
        <v>2497</v>
      </c>
      <c r="G423" s="7" t="s">
        <v>34</v>
      </c>
      <c r="H423" s="11" t="s">
        <v>2498</v>
      </c>
      <c r="I423" s="11" t="e">
        <f>VLOOKUP(H423,合同高级查询数据!$A$2:$A$51,1,FALSE)</f>
        <v>#N/A</v>
      </c>
      <c r="J423" s="12" t="s">
        <v>36</v>
      </c>
      <c r="K423" s="7" t="s">
        <v>2268</v>
      </c>
      <c r="L423" s="174" t="s">
        <v>2504</v>
      </c>
      <c r="M423" s="16" t="s">
        <v>2500</v>
      </c>
      <c r="N423" s="36" t="s">
        <v>2505</v>
      </c>
      <c r="O423" s="5" t="s">
        <v>2506</v>
      </c>
      <c r="P423" s="27">
        <v>5200</v>
      </c>
      <c r="Q423" s="140">
        <v>0</v>
      </c>
      <c r="R423" s="27">
        <f t="shared" si="24"/>
        <v>0</v>
      </c>
      <c r="S423" s="28">
        <v>202306</v>
      </c>
      <c r="T423" s="184" t="s">
        <v>2507</v>
      </c>
      <c r="U423" s="184"/>
      <c r="V423" s="178">
        <v>0</v>
      </c>
      <c r="W423" s="188"/>
      <c r="X423" s="36">
        <v>44470</v>
      </c>
      <c r="Y423" s="36">
        <v>44834</v>
      </c>
      <c r="Z423" s="178">
        <v>0</v>
      </c>
      <c r="AA423" s="44">
        <v>0</v>
      </c>
      <c r="AB423" s="178">
        <v>0</v>
      </c>
      <c r="AC423" s="178">
        <f t="shared" si="23"/>
        <v>0</v>
      </c>
    </row>
    <row r="424" spans="1:29" s="2" customFormat="1" ht="15" customHeight="1">
      <c r="A424" s="203" t="s">
        <v>859</v>
      </c>
      <c r="B424" s="5" t="s">
        <v>1732</v>
      </c>
      <c r="C424" s="5" t="s">
        <v>214</v>
      </c>
      <c r="D424" s="5" t="s">
        <v>31</v>
      </c>
      <c r="E424" s="7" t="s">
        <v>2496</v>
      </c>
      <c r="F424" s="7" t="s">
        <v>2497</v>
      </c>
      <c r="G424" s="7" t="s">
        <v>34</v>
      </c>
      <c r="H424" s="11" t="s">
        <v>2508</v>
      </c>
      <c r="I424" s="11" t="e">
        <f>VLOOKUP(H424,合同高级查询数据!$A$2:$A$51,1,FALSE)</f>
        <v>#N/A</v>
      </c>
      <c r="J424" s="12" t="s">
        <v>36</v>
      </c>
      <c r="K424" s="7" t="s">
        <v>2509</v>
      </c>
      <c r="L424" s="174" t="s">
        <v>2510</v>
      </c>
      <c r="M424" s="16" t="s">
        <v>2511</v>
      </c>
      <c r="N424" s="36" t="s">
        <v>2512</v>
      </c>
      <c r="O424" s="5" t="s">
        <v>1880</v>
      </c>
      <c r="P424" s="27">
        <v>6916.67</v>
      </c>
      <c r="Q424" s="140">
        <v>0</v>
      </c>
      <c r="R424" s="27">
        <f t="shared" si="24"/>
        <v>0</v>
      </c>
      <c r="S424" s="28">
        <v>202306</v>
      </c>
      <c r="T424" s="184" t="s">
        <v>2513</v>
      </c>
      <c r="U424" s="184"/>
      <c r="V424" s="178">
        <v>0</v>
      </c>
      <c r="W424" s="35"/>
      <c r="X424" s="36">
        <v>44958</v>
      </c>
      <c r="Y424" s="36">
        <v>45322</v>
      </c>
      <c r="Z424" s="178">
        <v>0</v>
      </c>
      <c r="AA424" s="45">
        <v>0</v>
      </c>
      <c r="AB424" s="34">
        <v>0</v>
      </c>
      <c r="AC424" s="178">
        <f t="shared" si="23"/>
        <v>0</v>
      </c>
    </row>
    <row r="425" spans="1:29" s="2" customFormat="1" ht="15" customHeight="1">
      <c r="A425" s="203" t="s">
        <v>859</v>
      </c>
      <c r="B425" s="5" t="s">
        <v>1732</v>
      </c>
      <c r="C425" s="5" t="s">
        <v>214</v>
      </c>
      <c r="D425" s="5" t="s">
        <v>31</v>
      </c>
      <c r="E425" s="7" t="s">
        <v>2496</v>
      </c>
      <c r="F425" s="7" t="s">
        <v>2497</v>
      </c>
      <c r="G425" s="7" t="s">
        <v>34</v>
      </c>
      <c r="H425" s="11" t="s">
        <v>2514</v>
      </c>
      <c r="I425" s="11" t="e">
        <f>VLOOKUP(H425,合同高级查询数据!$A$2:$A$51,1,FALSE)</f>
        <v>#N/A</v>
      </c>
      <c r="J425" s="12" t="s">
        <v>36</v>
      </c>
      <c r="K425" s="7" t="s">
        <v>2509</v>
      </c>
      <c r="L425" s="174" t="s">
        <v>2515</v>
      </c>
      <c r="M425" s="16" t="s">
        <v>2516</v>
      </c>
      <c r="N425" s="36">
        <v>44229</v>
      </c>
      <c r="O425" s="5" t="s">
        <v>434</v>
      </c>
      <c r="P425" s="27">
        <v>15250</v>
      </c>
      <c r="Q425" s="140">
        <v>50</v>
      </c>
      <c r="R425" s="27">
        <f t="shared" si="24"/>
        <v>762500</v>
      </c>
      <c r="S425" s="28">
        <v>202306</v>
      </c>
      <c r="T425" s="184" t="s">
        <v>2517</v>
      </c>
      <c r="U425" s="184"/>
      <c r="V425" s="178">
        <v>40.208595275999997</v>
      </c>
      <c r="W425" s="35"/>
      <c r="X425" s="36">
        <v>44958</v>
      </c>
      <c r="Y425" s="36">
        <v>45322</v>
      </c>
      <c r="Z425" s="5" t="s">
        <v>2518</v>
      </c>
      <c r="AA425" s="45">
        <v>0.25</v>
      </c>
      <c r="AB425" s="34">
        <v>200</v>
      </c>
      <c r="AC425" s="178">
        <f t="shared" si="23"/>
        <v>50</v>
      </c>
    </row>
    <row r="426" spans="1:29" s="3" customFormat="1" ht="15" customHeight="1">
      <c r="A426" s="86" t="s">
        <v>859</v>
      </c>
      <c r="B426" s="65" t="s">
        <v>1732</v>
      </c>
      <c r="C426" s="65" t="s">
        <v>2519</v>
      </c>
      <c r="D426" s="65" t="s">
        <v>1791</v>
      </c>
      <c r="E426" s="86" t="s">
        <v>2496</v>
      </c>
      <c r="F426" s="86" t="s">
        <v>2497</v>
      </c>
      <c r="G426" s="86" t="s">
        <v>34</v>
      </c>
      <c r="H426" s="53" t="s">
        <v>2520</v>
      </c>
      <c r="I426" s="53" t="e">
        <f>VLOOKUP(H426,合同高级查询数据!$A$2:$A$51,1,FALSE)</f>
        <v>#N/A</v>
      </c>
      <c r="J426" s="51" t="s">
        <v>36</v>
      </c>
      <c r="K426" s="86" t="s">
        <v>2521</v>
      </c>
      <c r="L426" s="175" t="s">
        <v>2522</v>
      </c>
      <c r="M426" s="54" t="s">
        <v>2523</v>
      </c>
      <c r="N426" s="64">
        <v>44441</v>
      </c>
      <c r="O426" s="65" t="s">
        <v>277</v>
      </c>
      <c r="P426" s="58">
        <v>6000</v>
      </c>
      <c r="Q426" s="99">
        <v>42.1</v>
      </c>
      <c r="R426" s="58">
        <f t="shared" si="24"/>
        <v>252600</v>
      </c>
      <c r="S426" s="59">
        <v>202306</v>
      </c>
      <c r="T426" s="185" t="s">
        <v>2524</v>
      </c>
      <c r="U426" s="185"/>
      <c r="V426" s="196">
        <v>42.014636993000003</v>
      </c>
      <c r="W426" s="103"/>
      <c r="X426" s="225"/>
      <c r="Y426" s="225"/>
      <c r="Z426" s="65" t="s">
        <v>2525</v>
      </c>
      <c r="AA426" s="200">
        <v>0.3</v>
      </c>
      <c r="AB426" s="104">
        <v>100</v>
      </c>
      <c r="AC426" s="196">
        <f t="shared" si="23"/>
        <v>30</v>
      </c>
    </row>
    <row r="427" spans="1:29" s="2" customFormat="1" ht="15" customHeight="1">
      <c r="A427" s="7" t="s">
        <v>859</v>
      </c>
      <c r="B427" s="5" t="s">
        <v>1732</v>
      </c>
      <c r="C427" s="5" t="s">
        <v>1790</v>
      </c>
      <c r="D427" s="5" t="s">
        <v>1791</v>
      </c>
      <c r="E427" s="7" t="s">
        <v>2496</v>
      </c>
      <c r="F427" s="7" t="s">
        <v>2497</v>
      </c>
      <c r="G427" s="7" t="s">
        <v>34</v>
      </c>
      <c r="H427" s="11" t="s">
        <v>2526</v>
      </c>
      <c r="I427" s="11" t="e">
        <f>VLOOKUP(H427,合同高级查询数据!$A$2:$A$51,1,FALSE)</f>
        <v>#N/A</v>
      </c>
      <c r="J427" s="12" t="s">
        <v>36</v>
      </c>
      <c r="K427" s="7" t="s">
        <v>2527</v>
      </c>
      <c r="L427" s="174" t="s">
        <v>2528</v>
      </c>
      <c r="M427" s="16" t="s">
        <v>2529</v>
      </c>
      <c r="N427" s="36">
        <v>44470</v>
      </c>
      <c r="O427" s="5" t="s">
        <v>434</v>
      </c>
      <c r="P427" s="27">
        <v>13750</v>
      </c>
      <c r="Q427" s="140">
        <v>40</v>
      </c>
      <c r="R427" s="27">
        <f t="shared" si="24"/>
        <v>550000</v>
      </c>
      <c r="S427" s="28">
        <v>202306</v>
      </c>
      <c r="T427" s="184" t="s">
        <v>2530</v>
      </c>
      <c r="U427" s="184"/>
      <c r="V427" s="178">
        <v>33.027980804000002</v>
      </c>
      <c r="W427" s="35"/>
      <c r="X427" s="36">
        <v>45017</v>
      </c>
      <c r="Y427" s="36">
        <v>45382</v>
      </c>
      <c r="Z427" s="5" t="s">
        <v>2531</v>
      </c>
      <c r="AA427" s="45">
        <v>0.2</v>
      </c>
      <c r="AB427" s="34">
        <v>200</v>
      </c>
      <c r="AC427" s="178">
        <f t="shared" si="23"/>
        <v>40</v>
      </c>
    </row>
    <row r="428" spans="1:29" s="2" customFormat="1" ht="15" customHeight="1">
      <c r="A428" s="7" t="s">
        <v>878</v>
      </c>
      <c r="B428" s="5" t="s">
        <v>1732</v>
      </c>
      <c r="C428" s="5" t="s">
        <v>1387</v>
      </c>
      <c r="D428" s="5" t="s">
        <v>1791</v>
      </c>
      <c r="E428" s="7" t="s">
        <v>2532</v>
      </c>
      <c r="F428" s="7" t="s">
        <v>2533</v>
      </c>
      <c r="G428" s="7" t="s">
        <v>34</v>
      </c>
      <c r="H428" s="11" t="s">
        <v>2534</v>
      </c>
      <c r="I428" s="11" t="e">
        <f>VLOOKUP(H428,合同高级查询数据!$A$2:$A$51,1,FALSE)</f>
        <v>#N/A</v>
      </c>
      <c r="J428" s="12" t="s">
        <v>36</v>
      </c>
      <c r="K428" s="7" t="s">
        <v>1428</v>
      </c>
      <c r="L428" s="174" t="s">
        <v>2535</v>
      </c>
      <c r="M428" s="16" t="s">
        <v>2536</v>
      </c>
      <c r="N428" s="36" t="s">
        <v>2537</v>
      </c>
      <c r="O428" s="5" t="s">
        <v>1329</v>
      </c>
      <c r="P428" s="27">
        <v>4800</v>
      </c>
      <c r="Q428" s="140">
        <v>0</v>
      </c>
      <c r="R428" s="27">
        <f t="shared" si="24"/>
        <v>0</v>
      </c>
      <c r="S428" s="28">
        <v>202306</v>
      </c>
      <c r="T428" s="184" t="s">
        <v>2538</v>
      </c>
      <c r="U428" s="184"/>
      <c r="V428" s="178">
        <v>0</v>
      </c>
      <c r="W428" s="35"/>
      <c r="X428" s="36">
        <v>44234</v>
      </c>
      <c r="Y428" s="36">
        <v>44592</v>
      </c>
      <c r="Z428" s="178">
        <v>0</v>
      </c>
      <c r="AA428" s="44">
        <v>0</v>
      </c>
      <c r="AB428" s="178">
        <v>0</v>
      </c>
      <c r="AC428" s="178">
        <f t="shared" si="23"/>
        <v>0</v>
      </c>
    </row>
    <row r="429" spans="1:29" s="2" customFormat="1" ht="15" customHeight="1">
      <c r="A429" s="7" t="s">
        <v>859</v>
      </c>
      <c r="B429" s="7" t="s">
        <v>1732</v>
      </c>
      <c r="C429" s="7" t="s">
        <v>1790</v>
      </c>
      <c r="D429" s="5" t="s">
        <v>1791</v>
      </c>
      <c r="E429" s="7" t="s">
        <v>2539</v>
      </c>
      <c r="F429" s="7" t="s">
        <v>2540</v>
      </c>
      <c r="G429" s="7" t="s">
        <v>34</v>
      </c>
      <c r="H429" s="11" t="s">
        <v>2541</v>
      </c>
      <c r="I429" s="11" t="e">
        <f>VLOOKUP(H429,合同高级查询数据!$A$2:$A$51,1,FALSE)</f>
        <v>#N/A</v>
      </c>
      <c r="J429" s="12" t="s">
        <v>36</v>
      </c>
      <c r="K429" s="7" t="s">
        <v>1795</v>
      </c>
      <c r="L429" s="174" t="s">
        <v>2542</v>
      </c>
      <c r="M429" s="16" t="s">
        <v>2543</v>
      </c>
      <c r="N429" s="208" t="s">
        <v>2544</v>
      </c>
      <c r="O429" s="208" t="s">
        <v>1880</v>
      </c>
      <c r="P429" s="27">
        <v>6667</v>
      </c>
      <c r="Q429" s="140">
        <v>0</v>
      </c>
      <c r="R429" s="27">
        <f t="shared" si="24"/>
        <v>0</v>
      </c>
      <c r="S429" s="28">
        <v>202306</v>
      </c>
      <c r="T429" s="184" t="s">
        <v>2545</v>
      </c>
      <c r="U429" s="37"/>
      <c r="V429" s="178">
        <v>0</v>
      </c>
      <c r="W429" s="35"/>
      <c r="X429" s="208">
        <v>44075</v>
      </c>
      <c r="Y429" s="208">
        <v>44439</v>
      </c>
      <c r="Z429" s="178">
        <v>0</v>
      </c>
      <c r="AA429" s="44">
        <v>0</v>
      </c>
      <c r="AB429" s="178">
        <v>0</v>
      </c>
      <c r="AC429" s="178">
        <f t="shared" si="23"/>
        <v>0</v>
      </c>
    </row>
    <row r="430" spans="1:29" s="2" customFormat="1" ht="15" customHeight="1">
      <c r="A430" s="7" t="s">
        <v>878</v>
      </c>
      <c r="B430" s="5" t="s">
        <v>1732</v>
      </c>
      <c r="C430" s="5" t="s">
        <v>2546</v>
      </c>
      <c r="D430" s="5" t="s">
        <v>1791</v>
      </c>
      <c r="E430" s="7" t="s">
        <v>2547</v>
      </c>
      <c r="F430" s="7" t="s">
        <v>2548</v>
      </c>
      <c r="G430" s="7" t="s">
        <v>34</v>
      </c>
      <c r="H430" s="11" t="s">
        <v>2549</v>
      </c>
      <c r="I430" s="11" t="e">
        <f>VLOOKUP(H430,合同高级查询数据!$A$2:$A$51,1,FALSE)</f>
        <v>#N/A</v>
      </c>
      <c r="J430" s="12" t="s">
        <v>36</v>
      </c>
      <c r="K430" s="7" t="s">
        <v>2550</v>
      </c>
      <c r="L430" s="174" t="s">
        <v>2551</v>
      </c>
      <c r="M430" s="16" t="s">
        <v>2552</v>
      </c>
      <c r="N430" s="36" t="s">
        <v>2488</v>
      </c>
      <c r="O430" s="5" t="s">
        <v>969</v>
      </c>
      <c r="P430" s="27">
        <v>5800</v>
      </c>
      <c r="Q430" s="140">
        <v>80</v>
      </c>
      <c r="R430" s="27">
        <f t="shared" si="24"/>
        <v>464000</v>
      </c>
      <c r="S430" s="28">
        <v>202306</v>
      </c>
      <c r="T430" s="184" t="s">
        <v>2553</v>
      </c>
      <c r="U430" s="184"/>
      <c r="V430" s="178">
        <v>76.596679687999995</v>
      </c>
      <c r="W430" s="35"/>
      <c r="X430" s="36">
        <v>44743</v>
      </c>
      <c r="Y430" s="36">
        <v>45107</v>
      </c>
      <c r="Z430" s="178" t="s">
        <v>2554</v>
      </c>
      <c r="AA430" s="44">
        <v>0.4</v>
      </c>
      <c r="AB430" s="178">
        <v>200</v>
      </c>
      <c r="AC430" s="178">
        <f t="shared" si="23"/>
        <v>80</v>
      </c>
    </row>
    <row r="431" spans="1:29" s="2" customFormat="1" ht="15" customHeight="1">
      <c r="A431" s="7" t="s">
        <v>878</v>
      </c>
      <c r="B431" s="5" t="s">
        <v>1732</v>
      </c>
      <c r="C431" s="5" t="s">
        <v>2546</v>
      </c>
      <c r="D431" s="5" t="s">
        <v>1791</v>
      </c>
      <c r="E431" s="7" t="s">
        <v>2547</v>
      </c>
      <c r="F431" s="7" t="s">
        <v>2548</v>
      </c>
      <c r="G431" s="7" t="s">
        <v>34</v>
      </c>
      <c r="H431" s="11" t="s">
        <v>2555</v>
      </c>
      <c r="I431" s="11" t="e">
        <f>VLOOKUP(H431,合同高级查询数据!$A$2:$A$51,1,FALSE)</f>
        <v>#N/A</v>
      </c>
      <c r="J431" s="12" t="s">
        <v>36</v>
      </c>
      <c r="K431" s="7" t="s">
        <v>2550</v>
      </c>
      <c r="L431" s="174" t="s">
        <v>2556</v>
      </c>
      <c r="M431" s="16" t="s">
        <v>2557</v>
      </c>
      <c r="N431" s="36" t="s">
        <v>2558</v>
      </c>
      <c r="O431" s="5" t="s">
        <v>1335</v>
      </c>
      <c r="P431" s="27">
        <v>5800</v>
      </c>
      <c r="Q431" s="140">
        <v>0</v>
      </c>
      <c r="R431" s="27">
        <f t="shared" si="24"/>
        <v>0</v>
      </c>
      <c r="S431" s="28">
        <v>202306</v>
      </c>
      <c r="T431" s="184" t="s">
        <v>2559</v>
      </c>
      <c r="U431" s="184"/>
      <c r="V431" s="178">
        <v>0</v>
      </c>
      <c r="W431" s="35"/>
      <c r="X431" s="36">
        <v>44805</v>
      </c>
      <c r="Y431" s="21">
        <v>45107</v>
      </c>
      <c r="Z431" s="178">
        <v>0</v>
      </c>
      <c r="AA431" s="44">
        <v>0</v>
      </c>
      <c r="AB431" s="178">
        <v>0</v>
      </c>
      <c r="AC431" s="178">
        <f t="shared" si="23"/>
        <v>0</v>
      </c>
    </row>
    <row r="432" spans="1:29" s="2" customFormat="1" ht="15" customHeight="1">
      <c r="A432" s="7" t="s">
        <v>878</v>
      </c>
      <c r="B432" s="5" t="s">
        <v>1732</v>
      </c>
      <c r="C432" s="5" t="s">
        <v>2546</v>
      </c>
      <c r="D432" s="5" t="s">
        <v>1791</v>
      </c>
      <c r="E432" s="7" t="s">
        <v>2547</v>
      </c>
      <c r="F432" s="7" t="s">
        <v>2548</v>
      </c>
      <c r="G432" s="7" t="s">
        <v>34</v>
      </c>
      <c r="H432" s="11" t="s">
        <v>2560</v>
      </c>
      <c r="I432" s="11" t="e">
        <f>VLOOKUP(H432,合同高级查询数据!$A$2:$A$51,1,FALSE)</f>
        <v>#N/A</v>
      </c>
      <c r="J432" s="12" t="s">
        <v>36</v>
      </c>
      <c r="K432" s="7" t="s">
        <v>2561</v>
      </c>
      <c r="L432" s="174" t="s">
        <v>2562</v>
      </c>
      <c r="M432" s="16" t="s">
        <v>2563</v>
      </c>
      <c r="N432" s="36" t="s">
        <v>2564</v>
      </c>
      <c r="O432" s="5" t="s">
        <v>2565</v>
      </c>
      <c r="P432" s="27">
        <v>5800</v>
      </c>
      <c r="Q432" s="140">
        <v>0</v>
      </c>
      <c r="R432" s="27">
        <f t="shared" si="24"/>
        <v>0</v>
      </c>
      <c r="S432" s="28">
        <v>202306</v>
      </c>
      <c r="T432" s="184" t="s">
        <v>2566</v>
      </c>
      <c r="U432" s="184"/>
      <c r="V432" s="178">
        <v>0</v>
      </c>
      <c r="W432" s="35"/>
      <c r="X432" s="36">
        <v>44562</v>
      </c>
      <c r="Y432" s="36">
        <v>44985</v>
      </c>
      <c r="Z432" s="178">
        <v>0</v>
      </c>
      <c r="AA432" s="44">
        <v>0</v>
      </c>
      <c r="AB432" s="178">
        <v>0</v>
      </c>
      <c r="AC432" s="178">
        <f t="shared" si="23"/>
        <v>0</v>
      </c>
    </row>
    <row r="433" spans="1:29" s="3" customFormat="1" ht="15" customHeight="1">
      <c r="A433" s="86" t="s">
        <v>871</v>
      </c>
      <c r="B433" s="86" t="s">
        <v>1732</v>
      </c>
      <c r="C433" s="86" t="s">
        <v>2017</v>
      </c>
      <c r="D433" s="65" t="s">
        <v>1791</v>
      </c>
      <c r="E433" s="86" t="s">
        <v>2567</v>
      </c>
      <c r="F433" s="86" t="s">
        <v>2568</v>
      </c>
      <c r="G433" s="86" t="s">
        <v>34</v>
      </c>
      <c r="H433" s="53" t="s">
        <v>2569</v>
      </c>
      <c r="I433" s="53" t="e">
        <f>VLOOKUP(H433,合同高级查询数据!$A$2:$A$51,1,FALSE)</f>
        <v>#N/A</v>
      </c>
      <c r="J433" s="51" t="s">
        <v>36</v>
      </c>
      <c r="K433" s="86" t="s">
        <v>2019</v>
      </c>
      <c r="L433" s="175" t="s">
        <v>2570</v>
      </c>
      <c r="M433" s="54" t="s">
        <v>2571</v>
      </c>
      <c r="N433" s="180">
        <v>43617</v>
      </c>
      <c r="O433" s="181" t="s">
        <v>1798</v>
      </c>
      <c r="P433" s="58">
        <v>5200</v>
      </c>
      <c r="Q433" s="99">
        <v>16.5</v>
      </c>
      <c r="R433" s="58">
        <f t="shared" si="24"/>
        <v>85800</v>
      </c>
      <c r="S433" s="59">
        <v>202306</v>
      </c>
      <c r="T433" s="185" t="s">
        <v>2572</v>
      </c>
      <c r="U433" s="195"/>
      <c r="V433" s="196">
        <v>16.417644501000002</v>
      </c>
      <c r="W433" s="103"/>
      <c r="X433" s="64"/>
      <c r="Y433" s="64"/>
      <c r="Z433" s="65" t="s">
        <v>2573</v>
      </c>
      <c r="AA433" s="200">
        <v>0.4</v>
      </c>
      <c r="AB433" s="104">
        <v>40</v>
      </c>
      <c r="AC433" s="196">
        <f t="shared" si="23"/>
        <v>16</v>
      </c>
    </row>
    <row r="434" spans="1:29" s="2" customFormat="1" ht="15" customHeight="1">
      <c r="A434" s="7" t="s">
        <v>871</v>
      </c>
      <c r="B434" s="7" t="s">
        <v>1732</v>
      </c>
      <c r="C434" s="7" t="s">
        <v>1123</v>
      </c>
      <c r="D434" s="5" t="s">
        <v>31</v>
      </c>
      <c r="E434" s="7" t="s">
        <v>2574</v>
      </c>
      <c r="F434" s="7" t="s">
        <v>2575</v>
      </c>
      <c r="G434" s="7" t="s">
        <v>34</v>
      </c>
      <c r="H434" s="11" t="s">
        <v>2576</v>
      </c>
      <c r="I434" s="11" t="e">
        <f>VLOOKUP(H434,合同高级查询数据!$A$2:$A$51,1,FALSE)</f>
        <v>#N/A</v>
      </c>
      <c r="J434" s="12" t="s">
        <v>36</v>
      </c>
      <c r="K434" s="7" t="s">
        <v>1998</v>
      </c>
      <c r="L434" s="174" t="s">
        <v>2577</v>
      </c>
      <c r="M434" s="16" t="s">
        <v>2578</v>
      </c>
      <c r="N434" s="36" t="s">
        <v>2579</v>
      </c>
      <c r="O434" s="36" t="s">
        <v>2580</v>
      </c>
      <c r="P434" s="27">
        <v>7667</v>
      </c>
      <c r="Q434" s="140">
        <v>0</v>
      </c>
      <c r="R434" s="27">
        <f t="shared" si="24"/>
        <v>0</v>
      </c>
      <c r="S434" s="28">
        <v>202306</v>
      </c>
      <c r="T434" s="184" t="s">
        <v>2581</v>
      </c>
      <c r="U434" s="37"/>
      <c r="V434" s="178">
        <v>0</v>
      </c>
      <c r="W434" s="35"/>
      <c r="X434" s="36">
        <v>44348</v>
      </c>
      <c r="Y434" s="36">
        <v>44712</v>
      </c>
      <c r="Z434" s="178">
        <v>0</v>
      </c>
      <c r="AA434" s="44">
        <v>0</v>
      </c>
      <c r="AB434" s="178">
        <v>0</v>
      </c>
      <c r="AC434" s="178">
        <f t="shared" si="23"/>
        <v>0</v>
      </c>
    </row>
    <row r="435" spans="1:29" s="2" customFormat="1" ht="15" customHeight="1">
      <c r="A435" s="7" t="s">
        <v>878</v>
      </c>
      <c r="B435" s="7" t="s">
        <v>1732</v>
      </c>
      <c r="C435" s="7" t="s">
        <v>860</v>
      </c>
      <c r="D435" s="5" t="s">
        <v>31</v>
      </c>
      <c r="E435" s="7" t="s">
        <v>861</v>
      </c>
      <c r="F435" s="7" t="s">
        <v>2582</v>
      </c>
      <c r="G435" s="7" t="s">
        <v>34</v>
      </c>
      <c r="H435" s="11" t="s">
        <v>2583</v>
      </c>
      <c r="I435" s="11" t="e">
        <f>VLOOKUP(H435,合同高级查询数据!$A$2:$A$51,1,FALSE)</f>
        <v>#N/A</v>
      </c>
      <c r="J435" s="12" t="s">
        <v>36</v>
      </c>
      <c r="K435" s="7" t="s">
        <v>1267</v>
      </c>
      <c r="L435" s="174" t="s">
        <v>2584</v>
      </c>
      <c r="M435" s="16" t="s">
        <v>2585</v>
      </c>
      <c r="N435" s="208" t="s">
        <v>2586</v>
      </c>
      <c r="O435" s="208" t="s">
        <v>2587</v>
      </c>
      <c r="P435" s="27">
        <v>5500</v>
      </c>
      <c r="Q435" s="140">
        <v>0</v>
      </c>
      <c r="R435" s="27">
        <f t="shared" si="24"/>
        <v>0</v>
      </c>
      <c r="S435" s="28">
        <v>202306</v>
      </c>
      <c r="T435" s="184" t="s">
        <v>2588</v>
      </c>
      <c r="U435" s="37"/>
      <c r="V435" s="178">
        <v>0</v>
      </c>
      <c r="W435" s="35"/>
      <c r="X435" s="208">
        <v>44197</v>
      </c>
      <c r="Y435" s="208">
        <v>44561</v>
      </c>
      <c r="Z435" s="178">
        <v>0</v>
      </c>
      <c r="AA435" s="44">
        <v>0</v>
      </c>
      <c r="AB435" s="178">
        <v>0</v>
      </c>
      <c r="AC435" s="178">
        <f t="shared" si="23"/>
        <v>0</v>
      </c>
    </row>
    <row r="436" spans="1:29" s="2" customFormat="1" ht="15" customHeight="1">
      <c r="A436" s="7" t="s">
        <v>878</v>
      </c>
      <c r="B436" s="7" t="s">
        <v>1732</v>
      </c>
      <c r="C436" s="7" t="s">
        <v>860</v>
      </c>
      <c r="D436" s="5" t="s">
        <v>31</v>
      </c>
      <c r="E436" s="7" t="s">
        <v>861</v>
      </c>
      <c r="F436" s="7" t="s">
        <v>2582</v>
      </c>
      <c r="G436" s="7" t="s">
        <v>34</v>
      </c>
      <c r="H436" s="11" t="s">
        <v>2589</v>
      </c>
      <c r="I436" s="11" t="e">
        <f>VLOOKUP(H436,合同高级查询数据!$A$2:$A$51,1,FALSE)</f>
        <v>#N/A</v>
      </c>
      <c r="J436" s="12" t="s">
        <v>36</v>
      </c>
      <c r="K436" s="7" t="s">
        <v>932</v>
      </c>
      <c r="L436" s="174" t="s">
        <v>1105</v>
      </c>
      <c r="M436" s="16" t="s">
        <v>2590</v>
      </c>
      <c r="N436" s="208" t="s">
        <v>2591</v>
      </c>
      <c r="O436" s="208" t="s">
        <v>769</v>
      </c>
      <c r="P436" s="27">
        <v>5000</v>
      </c>
      <c r="Q436" s="140">
        <v>83.7</v>
      </c>
      <c r="R436" s="27">
        <f t="shared" si="24"/>
        <v>418500</v>
      </c>
      <c r="S436" s="28">
        <v>202306</v>
      </c>
      <c r="T436" s="184" t="s">
        <v>2592</v>
      </c>
      <c r="U436" s="37"/>
      <c r="V436" s="178">
        <v>83.618438721000004</v>
      </c>
      <c r="W436" s="35"/>
      <c r="X436" s="208">
        <v>44927</v>
      </c>
      <c r="Y436" s="208">
        <v>45291</v>
      </c>
      <c r="Z436" s="213" t="s">
        <v>2593</v>
      </c>
      <c r="AA436" s="45">
        <v>0.4</v>
      </c>
      <c r="AB436" s="34">
        <v>200</v>
      </c>
      <c r="AC436" s="178">
        <f t="shared" si="23"/>
        <v>80</v>
      </c>
    </row>
    <row r="437" spans="1:29" s="2" customFormat="1" ht="15" customHeight="1">
      <c r="A437" s="7" t="s">
        <v>859</v>
      </c>
      <c r="B437" s="7" t="s">
        <v>1732</v>
      </c>
      <c r="C437" s="7" t="s">
        <v>860</v>
      </c>
      <c r="D437" s="5" t="s">
        <v>31</v>
      </c>
      <c r="E437" s="7" t="s">
        <v>861</v>
      </c>
      <c r="F437" s="7" t="s">
        <v>2582</v>
      </c>
      <c r="G437" s="7" t="s">
        <v>34</v>
      </c>
      <c r="H437" s="11" t="s">
        <v>2594</v>
      </c>
      <c r="I437" s="11" t="e">
        <f>VLOOKUP(H437,合同高级查询数据!$A$2:$A$51,1,FALSE)</f>
        <v>#N/A</v>
      </c>
      <c r="J437" s="12" t="s">
        <v>36</v>
      </c>
      <c r="K437" s="7" t="s">
        <v>932</v>
      </c>
      <c r="L437" s="174" t="s">
        <v>2595</v>
      </c>
      <c r="M437" s="16" t="s">
        <v>2596</v>
      </c>
      <c r="N437" s="208" t="s">
        <v>2597</v>
      </c>
      <c r="O437" s="208" t="s">
        <v>2598</v>
      </c>
      <c r="P437" s="27">
        <v>6000</v>
      </c>
      <c r="Q437" s="140">
        <v>96</v>
      </c>
      <c r="R437" s="27">
        <f t="shared" si="24"/>
        <v>576000</v>
      </c>
      <c r="S437" s="28">
        <v>202306</v>
      </c>
      <c r="T437" s="184" t="s">
        <v>2599</v>
      </c>
      <c r="U437" s="37"/>
      <c r="V437" s="178">
        <v>95.921493530000006</v>
      </c>
      <c r="W437" s="35"/>
      <c r="X437" s="208">
        <v>44927</v>
      </c>
      <c r="Y437" s="208">
        <v>45291</v>
      </c>
      <c r="Z437" s="5" t="s">
        <v>2600</v>
      </c>
      <c r="AA437" s="45">
        <v>0.3</v>
      </c>
      <c r="AB437" s="34">
        <v>320</v>
      </c>
      <c r="AC437" s="178">
        <f t="shared" si="23"/>
        <v>96</v>
      </c>
    </row>
    <row r="438" spans="1:29" s="2" customFormat="1" ht="15" customHeight="1">
      <c r="A438" s="7" t="s">
        <v>878</v>
      </c>
      <c r="B438" s="7" t="s">
        <v>1732</v>
      </c>
      <c r="C438" s="7" t="s">
        <v>860</v>
      </c>
      <c r="D438" s="5" t="s">
        <v>31</v>
      </c>
      <c r="E438" s="7" t="s">
        <v>861</v>
      </c>
      <c r="F438" s="7" t="s">
        <v>2582</v>
      </c>
      <c r="G438" s="7" t="s">
        <v>34</v>
      </c>
      <c r="H438" s="11" t="s">
        <v>2601</v>
      </c>
      <c r="I438" s="11" t="e">
        <f>VLOOKUP(H438,合同高级查询数据!$A$2:$A$51,1,FALSE)</f>
        <v>#N/A</v>
      </c>
      <c r="J438" s="12" t="s">
        <v>36</v>
      </c>
      <c r="K438" s="7" t="s">
        <v>932</v>
      </c>
      <c r="L438" s="174" t="s">
        <v>2602</v>
      </c>
      <c r="M438" s="16" t="s">
        <v>2603</v>
      </c>
      <c r="N438" s="36">
        <v>43983</v>
      </c>
      <c r="O438" s="219" t="s">
        <v>277</v>
      </c>
      <c r="P438" s="27">
        <v>3600</v>
      </c>
      <c r="Q438" s="140">
        <v>100</v>
      </c>
      <c r="R438" s="27">
        <f t="shared" si="24"/>
        <v>360000</v>
      </c>
      <c r="S438" s="28">
        <v>202306</v>
      </c>
      <c r="T438" s="184" t="s">
        <v>2604</v>
      </c>
      <c r="U438" s="184"/>
      <c r="V438" s="178">
        <v>78.824249268000003</v>
      </c>
      <c r="W438" s="35"/>
      <c r="X438" s="208">
        <v>44927</v>
      </c>
      <c r="Y438" s="208">
        <v>45291</v>
      </c>
      <c r="Z438" s="5" t="s">
        <v>2605</v>
      </c>
      <c r="AA438" s="45">
        <v>1</v>
      </c>
      <c r="AB438" s="34">
        <v>100</v>
      </c>
      <c r="AC438" s="178">
        <f t="shared" si="23"/>
        <v>100</v>
      </c>
    </row>
    <row r="439" spans="1:29" s="2" customFormat="1" ht="15" customHeight="1">
      <c r="A439" s="7" t="s">
        <v>878</v>
      </c>
      <c r="B439" s="216" t="s">
        <v>1732</v>
      </c>
      <c r="C439" s="5" t="s">
        <v>2174</v>
      </c>
      <c r="D439" s="5" t="s">
        <v>1748</v>
      </c>
      <c r="E439" s="7" t="s">
        <v>861</v>
      </c>
      <c r="F439" s="7" t="s">
        <v>2582</v>
      </c>
      <c r="G439" s="7" t="s">
        <v>34</v>
      </c>
      <c r="H439" s="11" t="s">
        <v>2606</v>
      </c>
      <c r="I439" s="11" t="e">
        <f>VLOOKUP(H439,合同高级查询数据!$A$2:$A$51,1,FALSE)</f>
        <v>#N/A</v>
      </c>
      <c r="J439" s="12" t="s">
        <v>36</v>
      </c>
      <c r="K439" s="7" t="s">
        <v>2174</v>
      </c>
      <c r="L439" s="174" t="s">
        <v>2607</v>
      </c>
      <c r="M439" s="16" t="s">
        <v>2608</v>
      </c>
      <c r="N439" s="36" t="s">
        <v>2609</v>
      </c>
      <c r="O439" s="5" t="s">
        <v>1329</v>
      </c>
      <c r="P439" s="27">
        <v>5500</v>
      </c>
      <c r="Q439" s="140">
        <v>0</v>
      </c>
      <c r="R439" s="27">
        <f t="shared" si="24"/>
        <v>0</v>
      </c>
      <c r="S439" s="28">
        <v>202306</v>
      </c>
      <c r="T439" s="184" t="s">
        <v>2610</v>
      </c>
      <c r="U439" s="184"/>
      <c r="V439" s="178">
        <v>0</v>
      </c>
      <c r="W439" s="35"/>
      <c r="X439" s="36">
        <v>44440</v>
      </c>
      <c r="Y439" s="36">
        <v>44804</v>
      </c>
      <c r="Z439" s="178">
        <v>0</v>
      </c>
      <c r="AA439" s="44">
        <v>0</v>
      </c>
      <c r="AB439" s="178">
        <v>0</v>
      </c>
      <c r="AC439" s="178">
        <f t="shared" si="23"/>
        <v>0</v>
      </c>
    </row>
    <row r="440" spans="1:29" s="2" customFormat="1" ht="15" customHeight="1">
      <c r="A440" s="203" t="s">
        <v>859</v>
      </c>
      <c r="B440" s="216" t="s">
        <v>1732</v>
      </c>
      <c r="C440" s="7" t="s">
        <v>860</v>
      </c>
      <c r="D440" s="5" t="s">
        <v>31</v>
      </c>
      <c r="E440" s="7" t="s">
        <v>861</v>
      </c>
      <c r="F440" s="7" t="s">
        <v>2582</v>
      </c>
      <c r="G440" s="7" t="s">
        <v>34</v>
      </c>
      <c r="H440" s="11" t="s">
        <v>2611</v>
      </c>
      <c r="I440" s="11" t="e">
        <f>VLOOKUP(H440,合同高级查询数据!$A$2:$A$51,1,FALSE)</f>
        <v>#N/A</v>
      </c>
      <c r="J440" s="12" t="s">
        <v>36</v>
      </c>
      <c r="K440" s="7" t="s">
        <v>932</v>
      </c>
      <c r="L440" s="174" t="s">
        <v>2612</v>
      </c>
      <c r="M440" s="16" t="s">
        <v>2613</v>
      </c>
      <c r="N440" s="36" t="s">
        <v>2614</v>
      </c>
      <c r="O440" s="5" t="s">
        <v>1329</v>
      </c>
      <c r="P440" s="27">
        <v>7000</v>
      </c>
      <c r="Q440" s="140">
        <v>0</v>
      </c>
      <c r="R440" s="27">
        <f t="shared" si="24"/>
        <v>0</v>
      </c>
      <c r="S440" s="28">
        <v>202306</v>
      </c>
      <c r="T440" s="184" t="s">
        <v>2615</v>
      </c>
      <c r="U440" s="184"/>
      <c r="V440" s="178">
        <v>0</v>
      </c>
      <c r="W440" s="35"/>
      <c r="X440" s="36">
        <v>44378</v>
      </c>
      <c r="Y440" s="36">
        <v>44742</v>
      </c>
      <c r="Z440" s="178">
        <v>0</v>
      </c>
      <c r="AA440" s="44">
        <v>0</v>
      </c>
      <c r="AB440" s="178">
        <v>0</v>
      </c>
      <c r="AC440" s="178">
        <f t="shared" si="23"/>
        <v>0</v>
      </c>
    </row>
    <row r="441" spans="1:29" s="2" customFormat="1" ht="15" customHeight="1">
      <c r="A441" s="7" t="s">
        <v>878</v>
      </c>
      <c r="B441" s="216" t="s">
        <v>1732</v>
      </c>
      <c r="C441" s="7" t="s">
        <v>214</v>
      </c>
      <c r="D441" s="5" t="s">
        <v>31</v>
      </c>
      <c r="E441" s="7" t="s">
        <v>861</v>
      </c>
      <c r="F441" s="7" t="s">
        <v>2582</v>
      </c>
      <c r="G441" s="7" t="s">
        <v>34</v>
      </c>
      <c r="H441" s="11" t="s">
        <v>2616</v>
      </c>
      <c r="I441" s="11" t="e">
        <f>VLOOKUP(H441,合同高级查询数据!$A$2:$A$51,1,FALSE)</f>
        <v>#N/A</v>
      </c>
      <c r="J441" s="12" t="s">
        <v>36</v>
      </c>
      <c r="K441" s="7" t="s">
        <v>281</v>
      </c>
      <c r="L441" s="174" t="s">
        <v>2617</v>
      </c>
      <c r="M441" s="16" t="s">
        <v>2618</v>
      </c>
      <c r="N441" s="36" t="s">
        <v>2619</v>
      </c>
      <c r="O441" s="5" t="s">
        <v>1329</v>
      </c>
      <c r="P441" s="27">
        <v>4800</v>
      </c>
      <c r="Q441" s="140">
        <v>0</v>
      </c>
      <c r="R441" s="27">
        <f t="shared" si="24"/>
        <v>0</v>
      </c>
      <c r="S441" s="28">
        <v>202306</v>
      </c>
      <c r="T441" s="184" t="s">
        <v>2620</v>
      </c>
      <c r="U441" s="184"/>
      <c r="V441" s="178">
        <v>0</v>
      </c>
      <c r="W441" s="35"/>
      <c r="X441" s="36">
        <v>44317</v>
      </c>
      <c r="Y441" s="36">
        <v>44681</v>
      </c>
      <c r="Z441" s="178">
        <v>0</v>
      </c>
      <c r="AA441" s="44">
        <v>0</v>
      </c>
      <c r="AB441" s="178">
        <v>0</v>
      </c>
      <c r="AC441" s="178">
        <f t="shared" si="23"/>
        <v>0</v>
      </c>
    </row>
    <row r="442" spans="1:29" s="2" customFormat="1" ht="15" customHeight="1">
      <c r="A442" s="7" t="s">
        <v>878</v>
      </c>
      <c r="B442" s="216" t="s">
        <v>1732</v>
      </c>
      <c r="C442" s="5" t="s">
        <v>1758</v>
      </c>
      <c r="D442" s="5" t="s">
        <v>31</v>
      </c>
      <c r="E442" s="7" t="s">
        <v>861</v>
      </c>
      <c r="F442" s="7" t="s">
        <v>2582</v>
      </c>
      <c r="G442" s="7" t="s">
        <v>34</v>
      </c>
      <c r="H442" s="11" t="s">
        <v>2621</v>
      </c>
      <c r="I442" s="11" t="e">
        <f>VLOOKUP(H442,合同高级查询数据!$A$2:$A$51,1,FALSE)</f>
        <v>#N/A</v>
      </c>
      <c r="J442" s="12" t="s">
        <v>36</v>
      </c>
      <c r="K442" s="7" t="s">
        <v>2622</v>
      </c>
      <c r="L442" s="174" t="s">
        <v>2623</v>
      </c>
      <c r="M442" s="16" t="s">
        <v>2624</v>
      </c>
      <c r="N442" s="36" t="s">
        <v>2625</v>
      </c>
      <c r="O442" s="5" t="s">
        <v>1880</v>
      </c>
      <c r="P442" s="27">
        <v>4300</v>
      </c>
      <c r="Q442" s="140">
        <v>0</v>
      </c>
      <c r="R442" s="27">
        <f t="shared" si="24"/>
        <v>0</v>
      </c>
      <c r="S442" s="28">
        <v>202306</v>
      </c>
      <c r="T442" s="184" t="s">
        <v>2626</v>
      </c>
      <c r="U442" s="184"/>
      <c r="V442" s="178">
        <v>0</v>
      </c>
      <c r="W442" s="35"/>
      <c r="X442" s="208">
        <v>44409</v>
      </c>
      <c r="Y442" s="208">
        <v>44773</v>
      </c>
      <c r="Z442" s="178">
        <v>0</v>
      </c>
      <c r="AA442" s="44">
        <v>0</v>
      </c>
      <c r="AB442" s="178">
        <v>0</v>
      </c>
      <c r="AC442" s="178">
        <f t="shared" ref="AC442:AC469" si="25">AA442*AB442</f>
        <v>0</v>
      </c>
    </row>
    <row r="443" spans="1:29" s="2" customFormat="1" ht="15" customHeight="1">
      <c r="A443" s="7" t="s">
        <v>878</v>
      </c>
      <c r="B443" s="7" t="s">
        <v>1732</v>
      </c>
      <c r="C443" s="7" t="s">
        <v>1758</v>
      </c>
      <c r="D443" s="5" t="s">
        <v>31</v>
      </c>
      <c r="E443" s="7" t="s">
        <v>861</v>
      </c>
      <c r="F443" s="7" t="s">
        <v>2582</v>
      </c>
      <c r="G443" s="7" t="s">
        <v>34</v>
      </c>
      <c r="H443" s="11" t="s">
        <v>2621</v>
      </c>
      <c r="I443" s="11" t="e">
        <f>VLOOKUP(H443,合同高级查询数据!$A$2:$A$51,1,FALSE)</f>
        <v>#N/A</v>
      </c>
      <c r="J443" s="12" t="s">
        <v>36</v>
      </c>
      <c r="K443" s="7" t="s">
        <v>2622</v>
      </c>
      <c r="L443" s="7" t="s">
        <v>2627</v>
      </c>
      <c r="M443" s="16" t="s">
        <v>2624</v>
      </c>
      <c r="N443" s="36" t="s">
        <v>2628</v>
      </c>
      <c r="O443" s="208" t="s">
        <v>2629</v>
      </c>
      <c r="P443" s="27">
        <v>4300</v>
      </c>
      <c r="Q443" s="140">
        <v>0</v>
      </c>
      <c r="R443" s="27">
        <f t="shared" si="24"/>
        <v>0</v>
      </c>
      <c r="S443" s="28">
        <v>202306</v>
      </c>
      <c r="T443" s="184" t="s">
        <v>2630</v>
      </c>
      <c r="U443" s="37"/>
      <c r="V443" s="178">
        <v>0</v>
      </c>
      <c r="W443" s="35"/>
      <c r="X443" s="208">
        <v>44409</v>
      </c>
      <c r="Y443" s="208">
        <v>44773</v>
      </c>
      <c r="Z443" s="178">
        <v>0</v>
      </c>
      <c r="AA443" s="44">
        <v>0</v>
      </c>
      <c r="AB443" s="178">
        <v>0</v>
      </c>
      <c r="AC443" s="178">
        <f t="shared" si="25"/>
        <v>0</v>
      </c>
    </row>
    <row r="444" spans="1:29" s="2" customFormat="1" ht="15" customHeight="1">
      <c r="A444" s="7" t="s">
        <v>878</v>
      </c>
      <c r="B444" s="7" t="s">
        <v>1732</v>
      </c>
      <c r="C444" s="7" t="s">
        <v>214</v>
      </c>
      <c r="D444" s="5" t="s">
        <v>31</v>
      </c>
      <c r="E444" s="7" t="s">
        <v>861</v>
      </c>
      <c r="F444" s="7" t="s">
        <v>2582</v>
      </c>
      <c r="G444" s="7" t="s">
        <v>34</v>
      </c>
      <c r="H444" s="11" t="s">
        <v>2631</v>
      </c>
      <c r="I444" s="11" t="e">
        <f>VLOOKUP(H444,合同高级查询数据!$A$2:$A$51,1,FALSE)</f>
        <v>#N/A</v>
      </c>
      <c r="J444" s="12" t="s">
        <v>36</v>
      </c>
      <c r="K444" s="7" t="s">
        <v>281</v>
      </c>
      <c r="L444" s="7" t="s">
        <v>2632</v>
      </c>
      <c r="M444" s="16" t="s">
        <v>2633</v>
      </c>
      <c r="N444" s="36" t="s">
        <v>2634</v>
      </c>
      <c r="O444" s="208" t="s">
        <v>2635</v>
      </c>
      <c r="P444" s="27">
        <v>4800</v>
      </c>
      <c r="Q444" s="140">
        <v>8</v>
      </c>
      <c r="R444" s="27">
        <f t="shared" si="24"/>
        <v>38400</v>
      </c>
      <c r="S444" s="28">
        <v>202306</v>
      </c>
      <c r="T444" s="184" t="s">
        <v>2636</v>
      </c>
      <c r="U444" s="37"/>
      <c r="V444" s="178">
        <v>6.058105469</v>
      </c>
      <c r="W444" s="194"/>
      <c r="X444" s="36">
        <v>44866</v>
      </c>
      <c r="Y444" s="36">
        <v>45230</v>
      </c>
      <c r="Z444" s="5" t="s">
        <v>2637</v>
      </c>
      <c r="AA444" s="45">
        <v>0.4</v>
      </c>
      <c r="AB444" s="34">
        <v>20</v>
      </c>
      <c r="AC444" s="178">
        <f t="shared" si="25"/>
        <v>8</v>
      </c>
    </row>
    <row r="445" spans="1:29" s="2" customFormat="1" ht="15" customHeight="1">
      <c r="A445" s="7" t="s">
        <v>878</v>
      </c>
      <c r="B445" s="7" t="s">
        <v>1732</v>
      </c>
      <c r="C445" s="7" t="s">
        <v>1308</v>
      </c>
      <c r="D445" s="5" t="s">
        <v>31</v>
      </c>
      <c r="E445" s="7" t="s">
        <v>861</v>
      </c>
      <c r="F445" s="7" t="s">
        <v>2582</v>
      </c>
      <c r="G445" s="7" t="s">
        <v>34</v>
      </c>
      <c r="H445" s="11" t="s">
        <v>2638</v>
      </c>
      <c r="I445" s="11" t="e">
        <f>VLOOKUP(H445,合同高级查询数据!$A$2:$A$51,1,FALSE)</f>
        <v>#N/A</v>
      </c>
      <c r="J445" s="12" t="s">
        <v>36</v>
      </c>
      <c r="K445" s="7" t="s">
        <v>1519</v>
      </c>
      <c r="L445" s="7" t="s">
        <v>2639</v>
      </c>
      <c r="M445" s="16" t="s">
        <v>2640</v>
      </c>
      <c r="N445" s="36" t="s">
        <v>2641</v>
      </c>
      <c r="O445" s="208" t="s">
        <v>1329</v>
      </c>
      <c r="P445" s="27">
        <v>4900</v>
      </c>
      <c r="Q445" s="140">
        <v>0</v>
      </c>
      <c r="R445" s="27">
        <f t="shared" si="24"/>
        <v>0</v>
      </c>
      <c r="S445" s="28">
        <v>202306</v>
      </c>
      <c r="T445" s="184" t="s">
        <v>2642</v>
      </c>
      <c r="U445" s="37"/>
      <c r="V445" s="178">
        <v>0</v>
      </c>
      <c r="W445" s="194"/>
      <c r="X445" s="36">
        <v>44621</v>
      </c>
      <c r="Y445" s="192">
        <v>45016</v>
      </c>
      <c r="Z445" s="178">
        <v>0</v>
      </c>
      <c r="AA445" s="44">
        <v>0</v>
      </c>
      <c r="AB445" s="178">
        <v>0</v>
      </c>
      <c r="AC445" s="178">
        <f t="shared" si="25"/>
        <v>0</v>
      </c>
    </row>
    <row r="446" spans="1:29" s="2" customFormat="1" ht="15" customHeight="1">
      <c r="A446" s="7" t="s">
        <v>878</v>
      </c>
      <c r="B446" s="216" t="s">
        <v>1732</v>
      </c>
      <c r="C446" s="5" t="s">
        <v>1123</v>
      </c>
      <c r="D446" s="5" t="s">
        <v>31</v>
      </c>
      <c r="E446" s="7" t="s">
        <v>2643</v>
      </c>
      <c r="F446" s="7" t="s">
        <v>2644</v>
      </c>
      <c r="G446" s="7" t="s">
        <v>34</v>
      </c>
      <c r="H446" s="11" t="s">
        <v>2645</v>
      </c>
      <c r="I446" s="11" t="e">
        <f>VLOOKUP(H446,合同高级查询数据!$A$2:$A$51,1,FALSE)</f>
        <v>#N/A</v>
      </c>
      <c r="J446" s="12" t="s">
        <v>36</v>
      </c>
      <c r="K446" s="7" t="s">
        <v>1133</v>
      </c>
      <c r="L446" s="174" t="s">
        <v>2646</v>
      </c>
      <c r="M446" s="16" t="s">
        <v>2647</v>
      </c>
      <c r="N446" s="36" t="s">
        <v>2648</v>
      </c>
      <c r="O446" s="5" t="s">
        <v>2649</v>
      </c>
      <c r="P446" s="27">
        <v>5000</v>
      </c>
      <c r="Q446" s="140">
        <v>137</v>
      </c>
      <c r="R446" s="27">
        <f t="shared" si="24"/>
        <v>685000</v>
      </c>
      <c r="S446" s="28">
        <v>202306</v>
      </c>
      <c r="T446" s="184" t="s">
        <v>2650</v>
      </c>
      <c r="U446" s="184"/>
      <c r="V446" s="178">
        <v>136.918823242</v>
      </c>
      <c r="W446" s="35"/>
      <c r="X446" s="36">
        <v>44805</v>
      </c>
      <c r="Y446" s="220">
        <v>45169</v>
      </c>
      <c r="Z446" s="5" t="s">
        <v>2651</v>
      </c>
      <c r="AA446" s="45">
        <v>0.3</v>
      </c>
      <c r="AB446" s="34">
        <v>400</v>
      </c>
      <c r="AC446" s="178">
        <f t="shared" si="25"/>
        <v>120</v>
      </c>
    </row>
    <row r="447" spans="1:29" s="2" customFormat="1" ht="15" customHeight="1">
      <c r="A447" s="7" t="s">
        <v>878</v>
      </c>
      <c r="B447" s="216" t="s">
        <v>1732</v>
      </c>
      <c r="C447" s="5" t="s">
        <v>1972</v>
      </c>
      <c r="D447" s="5" t="s">
        <v>31</v>
      </c>
      <c r="E447" s="7" t="s">
        <v>2643</v>
      </c>
      <c r="F447" s="7" t="s">
        <v>2644</v>
      </c>
      <c r="G447" s="7" t="s">
        <v>34</v>
      </c>
      <c r="H447" s="11" t="s">
        <v>2652</v>
      </c>
      <c r="I447" s="11" t="e">
        <f>VLOOKUP(H447,合同高级查询数据!$A$2:$A$51,1,FALSE)</f>
        <v>#N/A</v>
      </c>
      <c r="J447" s="12" t="s">
        <v>36</v>
      </c>
      <c r="K447" s="7" t="s">
        <v>2653</v>
      </c>
      <c r="L447" s="174" t="s">
        <v>2654</v>
      </c>
      <c r="M447" s="16" t="s">
        <v>2655</v>
      </c>
      <c r="N447" s="36" t="s">
        <v>2656</v>
      </c>
      <c r="O447" s="5" t="s">
        <v>2657</v>
      </c>
      <c r="P447" s="27">
        <v>5500</v>
      </c>
      <c r="Q447" s="140">
        <v>7.3</v>
      </c>
      <c r="R447" s="27">
        <f t="shared" si="24"/>
        <v>40150</v>
      </c>
      <c r="S447" s="28">
        <v>202306</v>
      </c>
      <c r="T447" s="184" t="s">
        <v>2658</v>
      </c>
      <c r="U447" s="184"/>
      <c r="V447" s="178">
        <v>7.3020329479999999</v>
      </c>
      <c r="W447" s="35"/>
      <c r="X447" s="36">
        <v>44866</v>
      </c>
      <c r="Y447" s="21">
        <v>45230</v>
      </c>
      <c r="Z447" s="5" t="s">
        <v>2659</v>
      </c>
      <c r="AA447" s="45">
        <v>0</v>
      </c>
      <c r="AB447" s="34">
        <v>60</v>
      </c>
      <c r="AC447" s="178">
        <f t="shared" si="25"/>
        <v>0</v>
      </c>
    </row>
    <row r="448" spans="1:29" s="2" customFormat="1" ht="15" customHeight="1">
      <c r="A448" s="7" t="s">
        <v>878</v>
      </c>
      <c r="B448" s="216" t="s">
        <v>1732</v>
      </c>
      <c r="C448" s="5" t="s">
        <v>1308</v>
      </c>
      <c r="D448" s="5" t="s">
        <v>31</v>
      </c>
      <c r="E448" s="7" t="s">
        <v>2643</v>
      </c>
      <c r="F448" s="7" t="s">
        <v>2644</v>
      </c>
      <c r="G448" s="7" t="s">
        <v>34</v>
      </c>
      <c r="H448" s="11" t="s">
        <v>2660</v>
      </c>
      <c r="I448" s="11" t="e">
        <f>VLOOKUP(H448,合同高级查询数据!$A$2:$A$51,1,FALSE)</f>
        <v>#N/A</v>
      </c>
      <c r="J448" s="12" t="s">
        <v>36</v>
      </c>
      <c r="K448" s="7" t="s">
        <v>1784</v>
      </c>
      <c r="L448" s="174" t="s">
        <v>2661</v>
      </c>
      <c r="M448" s="16" t="s">
        <v>2662</v>
      </c>
      <c r="N448" s="36" t="s">
        <v>2663</v>
      </c>
      <c r="O448" s="5" t="s">
        <v>2664</v>
      </c>
      <c r="P448" s="27">
        <v>4800</v>
      </c>
      <c r="Q448" s="140">
        <v>141.9</v>
      </c>
      <c r="R448" s="27">
        <f t="shared" si="24"/>
        <v>681120</v>
      </c>
      <c r="S448" s="28">
        <v>202306</v>
      </c>
      <c r="T448" s="184" t="s">
        <v>2665</v>
      </c>
      <c r="U448" s="184"/>
      <c r="V448" s="178">
        <v>141.89222717300001</v>
      </c>
      <c r="W448" s="35"/>
      <c r="X448" s="208">
        <v>44741</v>
      </c>
      <c r="Y448" s="208">
        <v>45169</v>
      </c>
      <c r="Z448" s="5" t="s">
        <v>2666</v>
      </c>
      <c r="AA448" s="45">
        <v>0.4</v>
      </c>
      <c r="AB448" s="34">
        <v>300</v>
      </c>
      <c r="AC448" s="178">
        <f t="shared" si="25"/>
        <v>120</v>
      </c>
    </row>
    <row r="449" spans="1:29" s="2" customFormat="1" ht="15" customHeight="1">
      <c r="A449" s="7" t="s">
        <v>878</v>
      </c>
      <c r="B449" s="216" t="s">
        <v>1732</v>
      </c>
      <c r="C449" s="5" t="s">
        <v>2174</v>
      </c>
      <c r="D449" s="5" t="s">
        <v>1748</v>
      </c>
      <c r="E449" s="7" t="s">
        <v>2643</v>
      </c>
      <c r="F449" s="7" t="s">
        <v>2644</v>
      </c>
      <c r="G449" s="7" t="s">
        <v>34</v>
      </c>
      <c r="H449" s="11" t="s">
        <v>2667</v>
      </c>
      <c r="I449" s="11" t="e">
        <f>VLOOKUP(H449,合同高级查询数据!$A$2:$A$51,1,FALSE)</f>
        <v>#N/A</v>
      </c>
      <c r="J449" s="12" t="s">
        <v>36</v>
      </c>
      <c r="K449" s="7" t="s">
        <v>2174</v>
      </c>
      <c r="L449" s="174" t="s">
        <v>2668</v>
      </c>
      <c r="M449" s="16" t="s">
        <v>2669</v>
      </c>
      <c r="N449" s="36">
        <v>44927</v>
      </c>
      <c r="O449" s="5" t="s">
        <v>434</v>
      </c>
      <c r="P449" s="27">
        <v>4800</v>
      </c>
      <c r="Q449" s="140">
        <v>81.099999999999994</v>
      </c>
      <c r="R449" s="27">
        <f t="shared" si="24"/>
        <v>389280</v>
      </c>
      <c r="S449" s="28">
        <v>202306</v>
      </c>
      <c r="T449" s="184" t="s">
        <v>2195</v>
      </c>
      <c r="U449" s="184"/>
      <c r="V449" s="178">
        <v>81.074951171999999</v>
      </c>
      <c r="W449" s="35"/>
      <c r="X449" s="208">
        <v>44924</v>
      </c>
      <c r="Y449" s="208">
        <v>45291</v>
      </c>
      <c r="Z449" s="5" t="s">
        <v>2670</v>
      </c>
      <c r="AA449" s="45">
        <v>0.4</v>
      </c>
      <c r="AB449" s="34">
        <v>200</v>
      </c>
      <c r="AC449" s="178">
        <f t="shared" si="25"/>
        <v>80</v>
      </c>
    </row>
    <row r="450" spans="1:29" s="2" customFormat="1" ht="15" customHeight="1">
      <c r="A450" s="7" t="s">
        <v>878</v>
      </c>
      <c r="B450" s="5" t="s">
        <v>1732</v>
      </c>
      <c r="C450" s="5" t="s">
        <v>2374</v>
      </c>
      <c r="D450" s="5" t="s">
        <v>1791</v>
      </c>
      <c r="E450" s="7" t="s">
        <v>2643</v>
      </c>
      <c r="F450" s="7" t="s">
        <v>2644</v>
      </c>
      <c r="G450" s="6" t="s">
        <v>34</v>
      </c>
      <c r="H450" s="11" t="s">
        <v>2671</v>
      </c>
      <c r="I450" s="11" t="e">
        <f>VLOOKUP(H450,合同高级查询数据!$A$2:$A$51,1,FALSE)</f>
        <v>#N/A</v>
      </c>
      <c r="J450" s="12" t="s">
        <v>36</v>
      </c>
      <c r="K450" s="6" t="s">
        <v>2672</v>
      </c>
      <c r="L450" s="6" t="s">
        <v>2673</v>
      </c>
      <c r="M450" s="16" t="s">
        <v>2674</v>
      </c>
      <c r="N450" s="36">
        <v>44927</v>
      </c>
      <c r="O450" s="121" t="s">
        <v>277</v>
      </c>
      <c r="P450" s="27">
        <v>5200</v>
      </c>
      <c r="Q450" s="140">
        <v>48.8</v>
      </c>
      <c r="R450" s="27">
        <f t="shared" si="24"/>
        <v>253760</v>
      </c>
      <c r="S450" s="28">
        <v>202306</v>
      </c>
      <c r="T450" s="221" t="s">
        <v>2675</v>
      </c>
      <c r="U450" s="184"/>
      <c r="V450" s="178">
        <v>48.761508941999999</v>
      </c>
      <c r="W450" s="35"/>
      <c r="X450" s="36">
        <v>44927</v>
      </c>
      <c r="Y450" s="36">
        <v>45291</v>
      </c>
      <c r="Z450" s="5" t="s">
        <v>2676</v>
      </c>
      <c r="AA450" s="45">
        <v>0.4</v>
      </c>
      <c r="AB450" s="34">
        <v>100</v>
      </c>
      <c r="AC450" s="178">
        <f t="shared" si="25"/>
        <v>40</v>
      </c>
    </row>
    <row r="451" spans="1:29" s="3" customFormat="1" ht="15" customHeight="1">
      <c r="A451" s="86" t="s">
        <v>878</v>
      </c>
      <c r="B451" s="226" t="s">
        <v>1732</v>
      </c>
      <c r="C451" s="65" t="s">
        <v>1972</v>
      </c>
      <c r="D451" s="65" t="s">
        <v>31</v>
      </c>
      <c r="E451" s="86" t="s">
        <v>2643</v>
      </c>
      <c r="F451" s="86" t="s">
        <v>2644</v>
      </c>
      <c r="G451" s="86" t="s">
        <v>34</v>
      </c>
      <c r="H451" s="53" t="s">
        <v>2677</v>
      </c>
      <c r="I451" s="53" t="e">
        <f>VLOOKUP(H451,合同高级查询数据!$A$2:$A$51,1,FALSE)</f>
        <v>#N/A</v>
      </c>
      <c r="J451" s="51" t="s">
        <v>36</v>
      </c>
      <c r="K451" s="86" t="s">
        <v>2653</v>
      </c>
      <c r="L451" s="175" t="s">
        <v>2678</v>
      </c>
      <c r="M451" s="54" t="s">
        <v>2679</v>
      </c>
      <c r="N451" s="64">
        <v>45047</v>
      </c>
      <c r="O451" s="228" t="s">
        <v>458</v>
      </c>
      <c r="P451" s="58">
        <v>5500</v>
      </c>
      <c r="Q451" s="99">
        <v>61.1</v>
      </c>
      <c r="R451" s="58">
        <f t="shared" si="24"/>
        <v>336050</v>
      </c>
      <c r="S451" s="59">
        <v>202306</v>
      </c>
      <c r="T451" s="229" t="s">
        <v>2680</v>
      </c>
      <c r="U451" s="185"/>
      <c r="V451" s="196">
        <v>61.056430816999999</v>
      </c>
      <c r="W451" s="103"/>
      <c r="X451" s="64"/>
      <c r="Y451" s="64"/>
      <c r="Z451" s="65" t="s">
        <v>2681</v>
      </c>
      <c r="AA451" s="200">
        <v>0.4</v>
      </c>
      <c r="AB451" s="104">
        <v>140</v>
      </c>
      <c r="AC451" s="104">
        <f t="shared" si="25"/>
        <v>56</v>
      </c>
    </row>
    <row r="452" spans="1:29" s="2" customFormat="1" ht="15" customHeight="1">
      <c r="A452" s="203" t="s">
        <v>859</v>
      </c>
      <c r="B452" s="216" t="s">
        <v>1732</v>
      </c>
      <c r="C452" s="5" t="s">
        <v>1790</v>
      </c>
      <c r="D452" s="5" t="s">
        <v>1791</v>
      </c>
      <c r="E452" s="7" t="s">
        <v>2682</v>
      </c>
      <c r="F452" s="7" t="s">
        <v>2683</v>
      </c>
      <c r="G452" s="7" t="s">
        <v>34</v>
      </c>
      <c r="H452" s="11" t="s">
        <v>2684</v>
      </c>
      <c r="I452" s="11" t="e">
        <f>VLOOKUP(H452,合同高级查询数据!$A$2:$A$51,1,FALSE)</f>
        <v>#N/A</v>
      </c>
      <c r="J452" s="12" t="s">
        <v>36</v>
      </c>
      <c r="K452" s="7" t="s">
        <v>2685</v>
      </c>
      <c r="L452" s="174" t="s">
        <v>2686</v>
      </c>
      <c r="M452" s="16" t="s">
        <v>2687</v>
      </c>
      <c r="N452" s="36" t="s">
        <v>2688</v>
      </c>
      <c r="O452" s="5" t="s">
        <v>2689</v>
      </c>
      <c r="P452" s="27">
        <v>6333</v>
      </c>
      <c r="Q452" s="140">
        <v>111.3</v>
      </c>
      <c r="R452" s="27">
        <f t="shared" si="24"/>
        <v>704862.9</v>
      </c>
      <c r="S452" s="28">
        <v>202306</v>
      </c>
      <c r="T452" s="184" t="s">
        <v>2690</v>
      </c>
      <c r="U452" s="184"/>
      <c r="V452" s="178">
        <v>111.269706726</v>
      </c>
      <c r="W452" s="35"/>
      <c r="X452" s="208">
        <v>44866</v>
      </c>
      <c r="Y452" s="208">
        <v>45230</v>
      </c>
      <c r="Z452" s="5" t="s">
        <v>2691</v>
      </c>
      <c r="AA452" s="45">
        <v>0.3</v>
      </c>
      <c r="AB452" s="34">
        <v>360</v>
      </c>
      <c r="AC452" s="178">
        <f t="shared" si="25"/>
        <v>108</v>
      </c>
    </row>
    <row r="453" spans="1:29" s="3" customFormat="1" ht="15" customHeight="1">
      <c r="A453" s="215" t="s">
        <v>859</v>
      </c>
      <c r="B453" s="65" t="s">
        <v>1732</v>
      </c>
      <c r="C453" s="65" t="s">
        <v>1972</v>
      </c>
      <c r="D453" s="65" t="s">
        <v>31</v>
      </c>
      <c r="E453" s="86" t="s">
        <v>2682</v>
      </c>
      <c r="F453" s="86" t="s">
        <v>2683</v>
      </c>
      <c r="G453" s="86" t="s">
        <v>34</v>
      </c>
      <c r="H453" s="53" t="s">
        <v>2692</v>
      </c>
      <c r="I453" s="53" t="e">
        <f>VLOOKUP(H453,合同高级查询数据!$A$2:$A$51,1,FALSE)</f>
        <v>#N/A</v>
      </c>
      <c r="J453" s="51" t="s">
        <v>36</v>
      </c>
      <c r="K453" s="86" t="s">
        <v>2693</v>
      </c>
      <c r="L453" s="175" t="s">
        <v>2694</v>
      </c>
      <c r="M453" s="54" t="s">
        <v>2695</v>
      </c>
      <c r="N453" s="64">
        <v>44652</v>
      </c>
      <c r="O453" s="65" t="s">
        <v>277</v>
      </c>
      <c r="P453" s="58">
        <v>15416.67</v>
      </c>
      <c r="Q453" s="99">
        <v>25</v>
      </c>
      <c r="R453" s="58">
        <f t="shared" si="24"/>
        <v>385416.75</v>
      </c>
      <c r="S453" s="59">
        <v>202306</v>
      </c>
      <c r="T453" s="185" t="s">
        <v>2696</v>
      </c>
      <c r="U453" s="185"/>
      <c r="V453" s="196">
        <v>21.562093735000001</v>
      </c>
      <c r="W453" s="103"/>
      <c r="X453" s="211"/>
      <c r="Y453" s="211"/>
      <c r="Z453" s="65" t="s">
        <v>2697</v>
      </c>
      <c r="AA453" s="200">
        <v>0.25</v>
      </c>
      <c r="AB453" s="104">
        <v>100</v>
      </c>
      <c r="AC453" s="196">
        <f t="shared" si="25"/>
        <v>25</v>
      </c>
    </row>
    <row r="454" spans="1:29" s="3" customFormat="1" ht="15" customHeight="1">
      <c r="A454" s="215" t="s">
        <v>871</v>
      </c>
      <c r="B454" s="65" t="s">
        <v>1732</v>
      </c>
      <c r="C454" s="65" t="s">
        <v>1747</v>
      </c>
      <c r="D454" s="65" t="s">
        <v>1748</v>
      </c>
      <c r="E454" s="86" t="s">
        <v>2682</v>
      </c>
      <c r="F454" s="86" t="s">
        <v>2683</v>
      </c>
      <c r="G454" s="86" t="s">
        <v>34</v>
      </c>
      <c r="H454" s="53" t="s">
        <v>2698</v>
      </c>
      <c r="I454" s="53" t="e">
        <f>VLOOKUP(H454,合同高级查询数据!$A$2:$A$51,1,FALSE)</f>
        <v>#N/A</v>
      </c>
      <c r="J454" s="51" t="s">
        <v>36</v>
      </c>
      <c r="K454" s="86" t="s">
        <v>2699</v>
      </c>
      <c r="L454" s="175" t="s">
        <v>2700</v>
      </c>
      <c r="M454" s="54" t="s">
        <v>2701</v>
      </c>
      <c r="N454" s="64">
        <v>45078</v>
      </c>
      <c r="O454" s="65" t="s">
        <v>277</v>
      </c>
      <c r="P454" s="58">
        <v>3750</v>
      </c>
      <c r="Q454" s="99">
        <v>28</v>
      </c>
      <c r="R454" s="58">
        <f t="shared" si="24"/>
        <v>105000</v>
      </c>
      <c r="S454" s="59">
        <v>202306</v>
      </c>
      <c r="T454" s="185" t="s">
        <v>2702</v>
      </c>
      <c r="U454" s="185"/>
      <c r="V454" s="196">
        <v>9.0727443700000006</v>
      </c>
      <c r="W454" s="103"/>
      <c r="X454" s="211"/>
      <c r="Y454" s="211"/>
      <c r="Z454" s="65" t="s">
        <v>2703</v>
      </c>
      <c r="AA454" s="200">
        <v>0.28000000000000003</v>
      </c>
      <c r="AB454" s="104">
        <v>100</v>
      </c>
      <c r="AC454" s="104">
        <f t="shared" si="25"/>
        <v>28.000000000000004</v>
      </c>
    </row>
    <row r="455" spans="1:29" s="2" customFormat="1" ht="15" customHeight="1">
      <c r="A455" s="203" t="s">
        <v>859</v>
      </c>
      <c r="B455" s="216" t="s">
        <v>1732</v>
      </c>
      <c r="C455" s="7" t="s">
        <v>2546</v>
      </c>
      <c r="D455" s="5" t="s">
        <v>1791</v>
      </c>
      <c r="E455" s="7" t="s">
        <v>2704</v>
      </c>
      <c r="F455" s="7" t="s">
        <v>2705</v>
      </c>
      <c r="G455" s="7" t="s">
        <v>34</v>
      </c>
      <c r="H455" s="11" t="s">
        <v>2706</v>
      </c>
      <c r="I455" s="11" t="e">
        <f>VLOOKUP(H455,合同高级查询数据!$A$2:$A$51,1,FALSE)</f>
        <v>#N/A</v>
      </c>
      <c r="J455" s="12" t="s">
        <v>36</v>
      </c>
      <c r="K455" s="7" t="s">
        <v>2561</v>
      </c>
      <c r="L455" s="174" t="s">
        <v>2707</v>
      </c>
      <c r="M455" s="16" t="s">
        <v>2708</v>
      </c>
      <c r="N455" s="36" t="s">
        <v>2709</v>
      </c>
      <c r="O455" s="5" t="s">
        <v>2710</v>
      </c>
      <c r="P455" s="27">
        <v>5833.3</v>
      </c>
      <c r="Q455" s="140">
        <v>48</v>
      </c>
      <c r="R455" s="27">
        <f t="shared" si="24"/>
        <v>279998.40000000002</v>
      </c>
      <c r="S455" s="28">
        <v>202306</v>
      </c>
      <c r="T455" s="184" t="s">
        <v>2711</v>
      </c>
      <c r="U455" s="184"/>
      <c r="V455" s="178">
        <v>48.004364013999997</v>
      </c>
      <c r="W455" s="35"/>
      <c r="X455" s="36">
        <v>44927</v>
      </c>
      <c r="Y455" s="192">
        <v>45291</v>
      </c>
      <c r="Z455" s="5" t="s">
        <v>2712</v>
      </c>
      <c r="AA455" s="45">
        <v>0.4</v>
      </c>
      <c r="AB455" s="34">
        <v>120</v>
      </c>
      <c r="AC455" s="178">
        <f t="shared" si="25"/>
        <v>48</v>
      </c>
    </row>
    <row r="456" spans="1:29" s="2" customFormat="1" ht="15" customHeight="1">
      <c r="A456" s="203" t="s">
        <v>859</v>
      </c>
      <c r="B456" s="216" t="s">
        <v>1732</v>
      </c>
      <c r="C456" s="5" t="s">
        <v>860</v>
      </c>
      <c r="D456" s="5" t="s">
        <v>31</v>
      </c>
      <c r="E456" s="7" t="s">
        <v>118</v>
      </c>
      <c r="F456" s="7" t="s">
        <v>2713</v>
      </c>
      <c r="G456" s="7" t="s">
        <v>34</v>
      </c>
      <c r="H456" s="11" t="s">
        <v>2714</v>
      </c>
      <c r="I456" s="11" t="e">
        <f>VLOOKUP(H456,合同高级查询数据!$A$2:$A$51,1,FALSE)</f>
        <v>#N/A</v>
      </c>
      <c r="J456" s="12" t="s">
        <v>36</v>
      </c>
      <c r="K456" s="7" t="s">
        <v>932</v>
      </c>
      <c r="L456" s="174" t="s">
        <v>2715</v>
      </c>
      <c r="M456" s="16" t="s">
        <v>2716</v>
      </c>
      <c r="N456" s="36" t="s">
        <v>2717</v>
      </c>
      <c r="O456" s="5" t="s">
        <v>1880</v>
      </c>
      <c r="P456" s="27">
        <v>6250</v>
      </c>
      <c r="Q456" s="140">
        <v>0</v>
      </c>
      <c r="R456" s="27">
        <f t="shared" si="24"/>
        <v>0</v>
      </c>
      <c r="S456" s="28">
        <v>202306</v>
      </c>
      <c r="T456" s="184" t="s">
        <v>2718</v>
      </c>
      <c r="U456" s="184"/>
      <c r="V456" s="178">
        <v>0</v>
      </c>
      <c r="W456" s="35"/>
      <c r="X456" s="36">
        <v>44378</v>
      </c>
      <c r="Y456" s="36">
        <v>44742</v>
      </c>
      <c r="Z456" s="178">
        <v>0</v>
      </c>
      <c r="AA456" s="44">
        <v>0</v>
      </c>
      <c r="AB456" s="178">
        <v>0</v>
      </c>
      <c r="AC456" s="178">
        <f t="shared" si="25"/>
        <v>0</v>
      </c>
    </row>
    <row r="457" spans="1:29" s="2" customFormat="1" ht="15" customHeight="1">
      <c r="A457" s="203" t="s">
        <v>859</v>
      </c>
      <c r="B457" s="216" t="s">
        <v>1732</v>
      </c>
      <c r="C457" s="5" t="s">
        <v>1972</v>
      </c>
      <c r="D457" s="5" t="s">
        <v>31</v>
      </c>
      <c r="E457" s="7" t="s">
        <v>2719</v>
      </c>
      <c r="F457" s="7" t="s">
        <v>2720</v>
      </c>
      <c r="G457" s="7" t="s">
        <v>34</v>
      </c>
      <c r="H457" s="11" t="s">
        <v>2721</v>
      </c>
      <c r="I457" s="11" t="e">
        <f>VLOOKUP(H457,合同高级查询数据!$A$2:$A$51,1,FALSE)</f>
        <v>#N/A</v>
      </c>
      <c r="J457" s="12" t="s">
        <v>36</v>
      </c>
      <c r="K457" s="7" t="s">
        <v>2722</v>
      </c>
      <c r="L457" s="174" t="s">
        <v>2723</v>
      </c>
      <c r="M457" s="16" t="s">
        <v>2724</v>
      </c>
      <c r="N457" s="36" t="s">
        <v>2725</v>
      </c>
      <c r="O457" s="5" t="s">
        <v>1880</v>
      </c>
      <c r="P457" s="27">
        <v>6500</v>
      </c>
      <c r="Q457" s="140">
        <v>0</v>
      </c>
      <c r="R457" s="27">
        <f t="shared" si="24"/>
        <v>0</v>
      </c>
      <c r="S457" s="28">
        <v>202306</v>
      </c>
      <c r="T457" s="184" t="s">
        <v>2726</v>
      </c>
      <c r="U457" s="184"/>
      <c r="V457" s="178">
        <v>0</v>
      </c>
      <c r="W457" s="35"/>
      <c r="X457" s="36">
        <v>44774</v>
      </c>
      <c r="Y457" s="36">
        <v>44834</v>
      </c>
      <c r="Z457" s="178">
        <v>0</v>
      </c>
      <c r="AA457" s="44">
        <v>0</v>
      </c>
      <c r="AB457" s="178">
        <v>0</v>
      </c>
      <c r="AC457" s="178">
        <f t="shared" si="25"/>
        <v>0</v>
      </c>
    </row>
    <row r="458" spans="1:29" s="2" customFormat="1" ht="15" customHeight="1">
      <c r="A458" s="203" t="s">
        <v>859</v>
      </c>
      <c r="B458" s="216" t="s">
        <v>1732</v>
      </c>
      <c r="C458" s="5" t="s">
        <v>1972</v>
      </c>
      <c r="D458" s="5" t="s">
        <v>31</v>
      </c>
      <c r="E458" s="7" t="s">
        <v>2719</v>
      </c>
      <c r="F458" s="7" t="s">
        <v>2720</v>
      </c>
      <c r="G458" s="7" t="s">
        <v>34</v>
      </c>
      <c r="H458" s="11" t="s">
        <v>2727</v>
      </c>
      <c r="I458" s="11" t="e">
        <f>VLOOKUP(H458,合同高级查询数据!$A$2:$A$51,1,FALSE)</f>
        <v>#N/A</v>
      </c>
      <c r="J458" s="12" t="s">
        <v>36</v>
      </c>
      <c r="K458" s="7" t="s">
        <v>2094</v>
      </c>
      <c r="L458" s="174" t="s">
        <v>2728</v>
      </c>
      <c r="M458" s="16" t="s">
        <v>2729</v>
      </c>
      <c r="N458" s="36" t="s">
        <v>2730</v>
      </c>
      <c r="O458" s="5" t="s">
        <v>1329</v>
      </c>
      <c r="P458" s="27">
        <v>6500</v>
      </c>
      <c r="Q458" s="140">
        <v>0</v>
      </c>
      <c r="R458" s="27">
        <f t="shared" si="24"/>
        <v>0</v>
      </c>
      <c r="S458" s="28">
        <v>202306</v>
      </c>
      <c r="T458" s="184" t="s">
        <v>2731</v>
      </c>
      <c r="U458" s="184"/>
      <c r="V458" s="178">
        <v>0</v>
      </c>
      <c r="W458" s="35"/>
      <c r="X458" s="36">
        <v>44470</v>
      </c>
      <c r="Y458" s="36">
        <v>44834</v>
      </c>
      <c r="Z458" s="178">
        <v>0</v>
      </c>
      <c r="AA458" s="44">
        <v>0</v>
      </c>
      <c r="AB458" s="178">
        <v>0</v>
      </c>
      <c r="AC458" s="178">
        <f t="shared" si="25"/>
        <v>0</v>
      </c>
    </row>
    <row r="459" spans="1:29" s="2" customFormat="1" ht="15" customHeight="1">
      <c r="A459" s="203" t="s">
        <v>878</v>
      </c>
      <c r="B459" s="216" t="s">
        <v>1732</v>
      </c>
      <c r="C459" s="5" t="s">
        <v>1308</v>
      </c>
      <c r="D459" s="5" t="s">
        <v>31</v>
      </c>
      <c r="E459" s="7" t="s">
        <v>2732</v>
      </c>
      <c r="F459" s="7" t="s">
        <v>2733</v>
      </c>
      <c r="G459" s="7" t="s">
        <v>34</v>
      </c>
      <c r="H459" s="11" t="s">
        <v>2734</v>
      </c>
      <c r="I459" s="11" t="e">
        <f>VLOOKUP(H459,合同高级查询数据!$A$2:$A$51,1,FALSE)</f>
        <v>#N/A</v>
      </c>
      <c r="J459" s="12" t="s">
        <v>36</v>
      </c>
      <c r="K459" s="7" t="s">
        <v>1784</v>
      </c>
      <c r="L459" s="174" t="s">
        <v>2735</v>
      </c>
      <c r="M459" s="16" t="s">
        <v>2736</v>
      </c>
      <c r="N459" s="36" t="s">
        <v>2737</v>
      </c>
      <c r="O459" s="5" t="s">
        <v>1779</v>
      </c>
      <c r="P459" s="27">
        <v>4600</v>
      </c>
      <c r="Q459" s="140">
        <v>0</v>
      </c>
      <c r="R459" s="27">
        <f t="shared" si="24"/>
        <v>0</v>
      </c>
      <c r="S459" s="28">
        <v>202306</v>
      </c>
      <c r="T459" s="184" t="s">
        <v>2738</v>
      </c>
      <c r="U459" s="184"/>
      <c r="V459" s="178">
        <v>0</v>
      </c>
      <c r="W459" s="35"/>
      <c r="X459" s="36">
        <v>44409</v>
      </c>
      <c r="Y459" s="36">
        <v>44773</v>
      </c>
      <c r="Z459" s="178">
        <v>0</v>
      </c>
      <c r="AA459" s="44">
        <v>0</v>
      </c>
      <c r="AB459" s="178">
        <v>0</v>
      </c>
      <c r="AC459" s="178">
        <f t="shared" si="25"/>
        <v>0</v>
      </c>
    </row>
    <row r="460" spans="1:29" s="2" customFormat="1" ht="15" customHeight="1">
      <c r="A460" s="7" t="s">
        <v>878</v>
      </c>
      <c r="B460" s="216" t="s">
        <v>1732</v>
      </c>
      <c r="C460" s="5" t="s">
        <v>1387</v>
      </c>
      <c r="D460" s="5" t="s">
        <v>1791</v>
      </c>
      <c r="E460" s="7" t="s">
        <v>2739</v>
      </c>
      <c r="F460" s="7" t="s">
        <v>2740</v>
      </c>
      <c r="G460" s="7" t="s">
        <v>34</v>
      </c>
      <c r="H460" s="11" t="s">
        <v>2741</v>
      </c>
      <c r="I460" s="11" t="e">
        <f>VLOOKUP(H460,合同高级查询数据!$A$2:$A$51,1,FALSE)</f>
        <v>#N/A</v>
      </c>
      <c r="J460" s="12" t="s">
        <v>36</v>
      </c>
      <c r="K460" s="7" t="s">
        <v>1428</v>
      </c>
      <c r="L460" s="174" t="s">
        <v>2742</v>
      </c>
      <c r="M460" s="16" t="s">
        <v>2536</v>
      </c>
      <c r="N460" s="36" t="s">
        <v>2743</v>
      </c>
      <c r="O460" s="5" t="s">
        <v>1329</v>
      </c>
      <c r="P460" s="27">
        <v>5500</v>
      </c>
      <c r="Q460" s="140">
        <v>0</v>
      </c>
      <c r="R460" s="27">
        <f t="shared" si="24"/>
        <v>0</v>
      </c>
      <c r="S460" s="28">
        <v>202306</v>
      </c>
      <c r="T460" s="184" t="s">
        <v>2744</v>
      </c>
      <c r="U460" s="184"/>
      <c r="V460" s="178">
        <v>0</v>
      </c>
      <c r="W460" s="35"/>
      <c r="X460" s="36">
        <v>44409</v>
      </c>
      <c r="Y460" s="36">
        <v>44773</v>
      </c>
      <c r="Z460" s="178">
        <v>0</v>
      </c>
      <c r="AA460" s="44">
        <v>0</v>
      </c>
      <c r="AB460" s="178">
        <v>0</v>
      </c>
      <c r="AC460" s="178">
        <f t="shared" si="25"/>
        <v>0</v>
      </c>
    </row>
    <row r="461" spans="1:29" s="2" customFormat="1" ht="15" customHeight="1">
      <c r="A461" s="7" t="s">
        <v>878</v>
      </c>
      <c r="B461" s="216" t="s">
        <v>1732</v>
      </c>
      <c r="C461" s="216" t="s">
        <v>1387</v>
      </c>
      <c r="D461" s="5" t="s">
        <v>1791</v>
      </c>
      <c r="E461" s="7" t="s">
        <v>2739</v>
      </c>
      <c r="F461" s="7" t="s">
        <v>2740</v>
      </c>
      <c r="G461" s="7" t="s">
        <v>34</v>
      </c>
      <c r="H461" s="11" t="s">
        <v>2741</v>
      </c>
      <c r="I461" s="11" t="e">
        <f>VLOOKUP(H461,合同高级查询数据!$A$2:$A$51,1,FALSE)</f>
        <v>#N/A</v>
      </c>
      <c r="J461" s="12" t="s">
        <v>36</v>
      </c>
      <c r="K461" s="7" t="s">
        <v>1428</v>
      </c>
      <c r="L461" s="174" t="s">
        <v>2745</v>
      </c>
      <c r="M461" s="16" t="s">
        <v>2746</v>
      </c>
      <c r="N461" s="36" t="s">
        <v>2747</v>
      </c>
      <c r="O461" s="5" t="s">
        <v>1329</v>
      </c>
      <c r="P461" s="27">
        <v>5500</v>
      </c>
      <c r="Q461" s="140">
        <v>0</v>
      </c>
      <c r="R461" s="27">
        <f t="shared" si="24"/>
        <v>0</v>
      </c>
      <c r="S461" s="28">
        <v>202306</v>
      </c>
      <c r="T461" s="184" t="s">
        <v>2748</v>
      </c>
      <c r="U461" s="184"/>
      <c r="V461" s="178">
        <v>0</v>
      </c>
      <c r="W461" s="35"/>
      <c r="X461" s="36">
        <v>44409</v>
      </c>
      <c r="Y461" s="36">
        <v>44773</v>
      </c>
      <c r="Z461" s="178">
        <v>0</v>
      </c>
      <c r="AA461" s="44">
        <v>0</v>
      </c>
      <c r="AB461" s="178">
        <v>0</v>
      </c>
      <c r="AC461" s="178">
        <f t="shared" si="25"/>
        <v>0</v>
      </c>
    </row>
    <row r="462" spans="1:29" s="2" customFormat="1" ht="15" customHeight="1">
      <c r="A462" s="7" t="s">
        <v>871</v>
      </c>
      <c r="B462" s="5" t="s">
        <v>1732</v>
      </c>
      <c r="C462" s="5" t="s">
        <v>1387</v>
      </c>
      <c r="D462" s="5" t="s">
        <v>1791</v>
      </c>
      <c r="E462" s="7" t="s">
        <v>2749</v>
      </c>
      <c r="F462" s="7" t="s">
        <v>2750</v>
      </c>
      <c r="G462" s="7" t="s">
        <v>34</v>
      </c>
      <c r="H462" s="11" t="s">
        <v>2751</v>
      </c>
      <c r="I462" s="11" t="e">
        <f>VLOOKUP(H462,合同高级查询数据!$A$2:$A$51,1,FALSE)</f>
        <v>#N/A</v>
      </c>
      <c r="J462" s="12" t="s">
        <v>36</v>
      </c>
      <c r="K462" s="7" t="s">
        <v>2752</v>
      </c>
      <c r="L462" s="174" t="s">
        <v>2753</v>
      </c>
      <c r="M462" s="16" t="s">
        <v>2754</v>
      </c>
      <c r="N462" s="36" t="s">
        <v>2755</v>
      </c>
      <c r="O462" s="5" t="s">
        <v>1498</v>
      </c>
      <c r="P462" s="27">
        <v>6833.33</v>
      </c>
      <c r="Q462" s="140">
        <v>0</v>
      </c>
      <c r="R462" s="27">
        <f t="shared" si="24"/>
        <v>0</v>
      </c>
      <c r="S462" s="28">
        <v>202306</v>
      </c>
      <c r="T462" s="184" t="s">
        <v>2756</v>
      </c>
      <c r="U462" s="184"/>
      <c r="V462" s="178">
        <v>0</v>
      </c>
      <c r="W462" s="35"/>
      <c r="X462" s="220">
        <v>44440</v>
      </c>
      <c r="Y462" s="220">
        <v>44804</v>
      </c>
      <c r="Z462" s="178">
        <v>0</v>
      </c>
      <c r="AA462" s="44">
        <v>0</v>
      </c>
      <c r="AB462" s="178">
        <v>0</v>
      </c>
      <c r="AC462" s="178">
        <f t="shared" si="25"/>
        <v>0</v>
      </c>
    </row>
    <row r="463" spans="1:29" s="2" customFormat="1" ht="15" customHeight="1">
      <c r="A463" s="7" t="s">
        <v>871</v>
      </c>
      <c r="B463" s="5" t="s">
        <v>1732</v>
      </c>
      <c r="C463" s="5" t="s">
        <v>2757</v>
      </c>
      <c r="D463" s="5" t="s">
        <v>1791</v>
      </c>
      <c r="E463" s="7" t="s">
        <v>2758</v>
      </c>
      <c r="F463" s="7" t="s">
        <v>2759</v>
      </c>
      <c r="G463" s="7" t="s">
        <v>34</v>
      </c>
      <c r="H463" s="11" t="s">
        <v>2760</v>
      </c>
      <c r="I463" s="11" t="e">
        <f>VLOOKUP(H463,合同高级查询数据!$A$2:$A$51,1,FALSE)</f>
        <v>#N/A</v>
      </c>
      <c r="J463" s="12" t="s">
        <v>36</v>
      </c>
      <c r="K463" s="7" t="s">
        <v>2761</v>
      </c>
      <c r="L463" s="174" t="s">
        <v>2762</v>
      </c>
      <c r="M463" s="16" t="s">
        <v>2763</v>
      </c>
      <c r="N463" s="36" t="s">
        <v>2764</v>
      </c>
      <c r="O463" s="5" t="s">
        <v>2765</v>
      </c>
      <c r="P463" s="27">
        <v>6666.67</v>
      </c>
      <c r="Q463" s="140">
        <v>0</v>
      </c>
      <c r="R463" s="27">
        <f t="shared" si="24"/>
        <v>0</v>
      </c>
      <c r="S463" s="28">
        <v>202306</v>
      </c>
      <c r="T463" s="184" t="s">
        <v>2766</v>
      </c>
      <c r="U463" s="184"/>
      <c r="V463" s="178">
        <v>0</v>
      </c>
      <c r="W463" s="35"/>
      <c r="X463" s="36">
        <v>44593</v>
      </c>
      <c r="Y463" s="36">
        <v>44957</v>
      </c>
      <c r="Z463" s="178">
        <v>0</v>
      </c>
      <c r="AA463" s="44">
        <v>0</v>
      </c>
      <c r="AB463" s="178">
        <v>0</v>
      </c>
      <c r="AC463" s="178">
        <f t="shared" si="25"/>
        <v>0</v>
      </c>
    </row>
    <row r="464" spans="1:29" s="3" customFormat="1" ht="15" customHeight="1">
      <c r="A464" s="86" t="s">
        <v>878</v>
      </c>
      <c r="B464" s="65" t="s">
        <v>1732</v>
      </c>
      <c r="C464" s="65" t="s">
        <v>214</v>
      </c>
      <c r="D464" s="65" t="s">
        <v>31</v>
      </c>
      <c r="E464" s="86" t="s">
        <v>2767</v>
      </c>
      <c r="F464" s="86" t="s">
        <v>2768</v>
      </c>
      <c r="G464" s="86" t="s">
        <v>34</v>
      </c>
      <c r="H464" s="53" t="s">
        <v>2769</v>
      </c>
      <c r="I464" s="53" t="e">
        <f>VLOOKUP(H464,合同高级查询数据!$A$2:$A$51,1,FALSE)</f>
        <v>#N/A</v>
      </c>
      <c r="J464" s="51" t="s">
        <v>36</v>
      </c>
      <c r="K464" s="86" t="s">
        <v>723</v>
      </c>
      <c r="L464" s="65" t="s">
        <v>721</v>
      </c>
      <c r="M464" s="54" t="s">
        <v>2770</v>
      </c>
      <c r="N464" s="64" t="s">
        <v>2771</v>
      </c>
      <c r="O464" s="65" t="s">
        <v>2772</v>
      </c>
      <c r="P464" s="58">
        <v>4350</v>
      </c>
      <c r="Q464" s="99">
        <v>60</v>
      </c>
      <c r="R464" s="58">
        <f t="shared" si="24"/>
        <v>261000</v>
      </c>
      <c r="S464" s="59">
        <v>202306</v>
      </c>
      <c r="T464" s="185" t="s">
        <v>2773</v>
      </c>
      <c r="U464" s="185"/>
      <c r="V464" s="196">
        <v>59.996116637999997</v>
      </c>
      <c r="W464" s="103"/>
      <c r="X464" s="64"/>
      <c r="Y464" s="64"/>
      <c r="Z464" s="65" t="s">
        <v>2774</v>
      </c>
      <c r="AA464" s="200">
        <v>0.4</v>
      </c>
      <c r="AB464" s="104">
        <v>150</v>
      </c>
      <c r="AC464" s="196">
        <f t="shared" si="25"/>
        <v>60</v>
      </c>
    </row>
    <row r="465" spans="1:29" s="3" customFormat="1" ht="15" customHeight="1">
      <c r="A465" s="86" t="s">
        <v>878</v>
      </c>
      <c r="B465" s="65" t="s">
        <v>1732</v>
      </c>
      <c r="C465" s="65" t="s">
        <v>214</v>
      </c>
      <c r="D465" s="65" t="s">
        <v>31</v>
      </c>
      <c r="E465" s="86" t="s">
        <v>2767</v>
      </c>
      <c r="F465" s="86" t="s">
        <v>2768</v>
      </c>
      <c r="G465" s="86" t="s">
        <v>34</v>
      </c>
      <c r="H465" s="53" t="s">
        <v>2769</v>
      </c>
      <c r="I465" s="53" t="e">
        <f>VLOOKUP(H465,合同高级查询数据!$A$2:$A$51,1,FALSE)</f>
        <v>#N/A</v>
      </c>
      <c r="J465" s="51" t="s">
        <v>36</v>
      </c>
      <c r="K465" s="86" t="s">
        <v>723</v>
      </c>
      <c r="L465" s="65" t="s">
        <v>2775</v>
      </c>
      <c r="M465" s="54" t="s">
        <v>2770</v>
      </c>
      <c r="N465" s="64">
        <v>44805</v>
      </c>
      <c r="O465" s="65" t="s">
        <v>2422</v>
      </c>
      <c r="P465" s="58">
        <v>4350</v>
      </c>
      <c r="Q465" s="99">
        <v>60</v>
      </c>
      <c r="R465" s="58">
        <f t="shared" si="24"/>
        <v>261000</v>
      </c>
      <c r="S465" s="59">
        <v>202306</v>
      </c>
      <c r="T465" s="185" t="s">
        <v>2776</v>
      </c>
      <c r="U465" s="185"/>
      <c r="V465" s="196">
        <v>59.95054245</v>
      </c>
      <c r="W465" s="103"/>
      <c r="X465" s="64"/>
      <c r="Y465" s="64"/>
      <c r="Z465" s="65" t="s">
        <v>2777</v>
      </c>
      <c r="AA465" s="200">
        <v>0.4</v>
      </c>
      <c r="AB465" s="104">
        <v>150</v>
      </c>
      <c r="AC465" s="196">
        <f t="shared" si="25"/>
        <v>60</v>
      </c>
    </row>
    <row r="466" spans="1:29" s="3" customFormat="1" ht="15" customHeight="1">
      <c r="A466" s="86" t="s">
        <v>878</v>
      </c>
      <c r="B466" s="65" t="s">
        <v>1732</v>
      </c>
      <c r="C466" s="65" t="s">
        <v>214</v>
      </c>
      <c r="D466" s="65" t="s">
        <v>31</v>
      </c>
      <c r="E466" s="86" t="s">
        <v>2767</v>
      </c>
      <c r="F466" s="86" t="s">
        <v>2768</v>
      </c>
      <c r="G466" s="86" t="s">
        <v>34</v>
      </c>
      <c r="H466" s="53" t="s">
        <v>2778</v>
      </c>
      <c r="I466" s="53" t="e">
        <f>VLOOKUP(H466,合同高级查询数据!$A$2:$A$51,1,FALSE)</f>
        <v>#N/A</v>
      </c>
      <c r="J466" s="51" t="s">
        <v>36</v>
      </c>
      <c r="K466" s="86" t="s">
        <v>723</v>
      </c>
      <c r="L466" s="65" t="s">
        <v>2779</v>
      </c>
      <c r="M466" s="54" t="s">
        <v>2770</v>
      </c>
      <c r="N466" s="64">
        <v>44682</v>
      </c>
      <c r="O466" s="65" t="s">
        <v>434</v>
      </c>
      <c r="P466" s="58">
        <v>4350</v>
      </c>
      <c r="Q466" s="99">
        <v>80.8</v>
      </c>
      <c r="R466" s="58">
        <f t="shared" si="24"/>
        <v>351480</v>
      </c>
      <c r="S466" s="59">
        <v>202306</v>
      </c>
      <c r="T466" s="185" t="s">
        <v>2780</v>
      </c>
      <c r="U466" s="185"/>
      <c r="V466" s="196">
        <v>80.737968445000007</v>
      </c>
      <c r="W466" s="103"/>
      <c r="X466" s="64"/>
      <c r="Y466" s="64"/>
      <c r="Z466" s="65" t="s">
        <v>2781</v>
      </c>
      <c r="AA466" s="200">
        <v>0.4</v>
      </c>
      <c r="AB466" s="104">
        <v>200</v>
      </c>
      <c r="AC466" s="196">
        <f t="shared" si="25"/>
        <v>80</v>
      </c>
    </row>
    <row r="467" spans="1:29" s="3" customFormat="1" ht="15" customHeight="1">
      <c r="A467" s="86" t="s">
        <v>871</v>
      </c>
      <c r="B467" s="65" t="s">
        <v>1732</v>
      </c>
      <c r="C467" s="65" t="s">
        <v>2246</v>
      </c>
      <c r="D467" s="65" t="s">
        <v>1748</v>
      </c>
      <c r="E467" s="86" t="s">
        <v>2782</v>
      </c>
      <c r="F467" s="86" t="s">
        <v>2783</v>
      </c>
      <c r="G467" s="86" t="s">
        <v>34</v>
      </c>
      <c r="H467" s="53" t="s">
        <v>2784</v>
      </c>
      <c r="I467" s="53" t="e">
        <f>VLOOKUP(H467,合同高级查询数据!$A$2:$A$51,1,FALSE)</f>
        <v>#N/A</v>
      </c>
      <c r="J467" s="51" t="s">
        <v>36</v>
      </c>
      <c r="K467" s="86" t="s">
        <v>2785</v>
      </c>
      <c r="L467" s="175" t="s">
        <v>2786</v>
      </c>
      <c r="M467" s="54" t="s">
        <v>2787</v>
      </c>
      <c r="N467" s="64">
        <v>44470</v>
      </c>
      <c r="O467" s="65" t="s">
        <v>277</v>
      </c>
      <c r="P467" s="58">
        <v>4167</v>
      </c>
      <c r="Q467" s="99">
        <v>30</v>
      </c>
      <c r="R467" s="58">
        <f t="shared" si="24"/>
        <v>125010</v>
      </c>
      <c r="S467" s="59">
        <v>202306</v>
      </c>
      <c r="T467" s="185" t="s">
        <v>2788</v>
      </c>
      <c r="U467" s="185"/>
      <c r="V467" s="196">
        <v>28.589174271000001</v>
      </c>
      <c r="W467" s="103"/>
      <c r="X467" s="64"/>
      <c r="Y467" s="64"/>
      <c r="Z467" s="65" t="s">
        <v>2789</v>
      </c>
      <c r="AA467" s="200">
        <v>0.3</v>
      </c>
      <c r="AB467" s="104">
        <v>100</v>
      </c>
      <c r="AC467" s="196">
        <f t="shared" si="25"/>
        <v>30</v>
      </c>
    </row>
    <row r="468" spans="1:29" s="2" customFormat="1" ht="15" customHeight="1">
      <c r="A468" s="7" t="s">
        <v>878</v>
      </c>
      <c r="B468" s="5" t="s">
        <v>1732</v>
      </c>
      <c r="C468" s="5" t="s">
        <v>1838</v>
      </c>
      <c r="D468" s="5" t="s">
        <v>1748</v>
      </c>
      <c r="E468" s="7" t="s">
        <v>306</v>
      </c>
      <c r="F468" s="7" t="s">
        <v>307</v>
      </c>
      <c r="G468" s="7" t="s">
        <v>34</v>
      </c>
      <c r="H468" s="11" t="s">
        <v>2790</v>
      </c>
      <c r="I468" s="11" t="e">
        <f>VLOOKUP(H468,合同高级查询数据!$A$2:$A$51,1,FALSE)</f>
        <v>#N/A</v>
      </c>
      <c r="J468" s="12" t="s">
        <v>36</v>
      </c>
      <c r="K468" s="7" t="s">
        <v>2791</v>
      </c>
      <c r="L468" s="174" t="s">
        <v>2792</v>
      </c>
      <c r="M468" s="16" t="s">
        <v>2793</v>
      </c>
      <c r="N468" s="36" t="s">
        <v>2794</v>
      </c>
      <c r="O468" s="5" t="s">
        <v>1745</v>
      </c>
      <c r="P468" s="27">
        <v>5200</v>
      </c>
      <c r="Q468" s="140">
        <v>0</v>
      </c>
      <c r="R468" s="27">
        <f t="shared" ref="R468:R502" si="26">ROUND(P468*Q468,2)</f>
        <v>0</v>
      </c>
      <c r="S468" s="28">
        <v>202306</v>
      </c>
      <c r="T468" s="184" t="s">
        <v>2795</v>
      </c>
      <c r="U468" s="184"/>
      <c r="V468" s="178">
        <v>0</v>
      </c>
      <c r="W468" s="35"/>
      <c r="X468" s="36">
        <v>44470</v>
      </c>
      <c r="Y468" s="36">
        <v>44834</v>
      </c>
      <c r="Z468" s="178">
        <v>0</v>
      </c>
      <c r="AA468" s="44">
        <v>0</v>
      </c>
      <c r="AB468" s="178">
        <v>0</v>
      </c>
      <c r="AC468" s="178">
        <f t="shared" si="25"/>
        <v>0</v>
      </c>
    </row>
    <row r="469" spans="1:29" s="3" customFormat="1" ht="15" customHeight="1">
      <c r="A469" s="86" t="s">
        <v>878</v>
      </c>
      <c r="B469" s="65" t="s">
        <v>1732</v>
      </c>
      <c r="C469" s="65" t="s">
        <v>1838</v>
      </c>
      <c r="D469" s="65" t="s">
        <v>1748</v>
      </c>
      <c r="E469" s="86" t="s">
        <v>306</v>
      </c>
      <c r="F469" s="86" t="s">
        <v>307</v>
      </c>
      <c r="G469" s="86" t="s">
        <v>34</v>
      </c>
      <c r="H469" s="53" t="s">
        <v>2796</v>
      </c>
      <c r="I469" s="53" t="e">
        <f>VLOOKUP(H469,合同高级查询数据!$A$2:$A$51,1,FALSE)</f>
        <v>#N/A</v>
      </c>
      <c r="J469" s="51" t="s">
        <v>36</v>
      </c>
      <c r="K469" s="86" t="s">
        <v>2791</v>
      </c>
      <c r="L469" s="175" t="s">
        <v>2797</v>
      </c>
      <c r="M469" s="54" t="s">
        <v>2793</v>
      </c>
      <c r="N469" s="64" t="s">
        <v>867</v>
      </c>
      <c r="O469" s="65" t="s">
        <v>969</v>
      </c>
      <c r="P469" s="58">
        <v>5200</v>
      </c>
      <c r="Q469" s="99">
        <v>40.4</v>
      </c>
      <c r="R469" s="58">
        <f t="shared" si="26"/>
        <v>210080</v>
      </c>
      <c r="S469" s="59">
        <v>202306</v>
      </c>
      <c r="T469" s="185" t="s">
        <v>2798</v>
      </c>
      <c r="U469" s="185"/>
      <c r="V469" s="196">
        <v>40.370830536</v>
      </c>
      <c r="W469" s="103"/>
      <c r="X469" s="64"/>
      <c r="Y469" s="64"/>
      <c r="Z469" s="65" t="s">
        <v>2799</v>
      </c>
      <c r="AA469" s="200">
        <v>0.2</v>
      </c>
      <c r="AB469" s="104">
        <v>200</v>
      </c>
      <c r="AC469" s="196">
        <f t="shared" si="25"/>
        <v>40</v>
      </c>
    </row>
    <row r="470" spans="1:29" s="2" customFormat="1" ht="15" customHeight="1">
      <c r="A470" s="7" t="s">
        <v>878</v>
      </c>
      <c r="B470" s="5" t="s">
        <v>1732</v>
      </c>
      <c r="C470" s="5" t="s">
        <v>1838</v>
      </c>
      <c r="D470" s="5" t="s">
        <v>1748</v>
      </c>
      <c r="E470" s="7" t="s">
        <v>306</v>
      </c>
      <c r="F470" s="7" t="s">
        <v>307</v>
      </c>
      <c r="G470" s="7" t="s">
        <v>34</v>
      </c>
      <c r="H470" s="11" t="s">
        <v>2800</v>
      </c>
      <c r="I470" s="11" t="e">
        <f>VLOOKUP(H470,合同高级查询数据!$A$2:$A$51,1,FALSE)</f>
        <v>#N/A</v>
      </c>
      <c r="J470" s="12" t="s">
        <v>36</v>
      </c>
      <c r="K470" s="7" t="s">
        <v>2791</v>
      </c>
      <c r="L470" s="174" t="s">
        <v>2797</v>
      </c>
      <c r="M470" s="16" t="s">
        <v>2793</v>
      </c>
      <c r="N470" s="36" t="s">
        <v>867</v>
      </c>
      <c r="O470" s="5" t="s">
        <v>969</v>
      </c>
      <c r="P470" s="27">
        <v>5200</v>
      </c>
      <c r="Q470" s="140">
        <v>0.99</v>
      </c>
      <c r="R470" s="27">
        <f t="shared" si="26"/>
        <v>5148</v>
      </c>
      <c r="S470" s="28">
        <v>202305</v>
      </c>
      <c r="T470" s="184" t="s">
        <v>2801</v>
      </c>
      <c r="U470" s="184"/>
      <c r="V470" s="178"/>
      <c r="W470" s="35"/>
      <c r="X470" s="36"/>
      <c r="Y470" s="36"/>
      <c r="Z470" s="5"/>
      <c r="AA470" s="45"/>
      <c r="AB470" s="34"/>
      <c r="AC470" s="178"/>
    </row>
    <row r="471" spans="1:29" s="2" customFormat="1" ht="15" customHeight="1">
      <c r="A471" s="7" t="s">
        <v>871</v>
      </c>
      <c r="B471" s="5" t="s">
        <v>1732</v>
      </c>
      <c r="C471" s="5" t="s">
        <v>1747</v>
      </c>
      <c r="D471" s="5" t="s">
        <v>1748</v>
      </c>
      <c r="E471" s="7" t="s">
        <v>62</v>
      </c>
      <c r="F471" s="7" t="s">
        <v>63</v>
      </c>
      <c r="G471" s="7" t="s">
        <v>34</v>
      </c>
      <c r="H471" s="11" t="s">
        <v>2802</v>
      </c>
      <c r="I471" s="11" t="str">
        <f>VLOOKUP(H471,合同高级查询数据!$A$2:$A$51,1,FALSE)</f>
        <v>182315IDC00234</v>
      </c>
      <c r="J471" s="12" t="s">
        <v>36</v>
      </c>
      <c r="K471" s="7" t="s">
        <v>1981</v>
      </c>
      <c r="L471" s="174" t="s">
        <v>2803</v>
      </c>
      <c r="M471" s="16" t="s">
        <v>2804</v>
      </c>
      <c r="N471" s="36">
        <v>44501</v>
      </c>
      <c r="O471" s="5" t="s">
        <v>434</v>
      </c>
      <c r="P471" s="27">
        <v>4200</v>
      </c>
      <c r="Q471" s="140">
        <v>60</v>
      </c>
      <c r="R471" s="27">
        <f t="shared" si="26"/>
        <v>252000</v>
      </c>
      <c r="S471" s="28">
        <v>202306</v>
      </c>
      <c r="T471" s="184" t="s">
        <v>2805</v>
      </c>
      <c r="U471" s="184"/>
      <c r="V471" s="178">
        <v>59.293838501000003</v>
      </c>
      <c r="W471" s="35"/>
      <c r="X471" s="192">
        <v>45017</v>
      </c>
      <c r="Y471" s="192">
        <v>45382</v>
      </c>
      <c r="Z471" s="178" t="s">
        <v>2806</v>
      </c>
      <c r="AA471" s="45">
        <v>0.3</v>
      </c>
      <c r="AB471" s="178">
        <v>200</v>
      </c>
      <c r="AC471" s="178">
        <f t="shared" ref="AC471:AC483" si="27">AA471*AB471</f>
        <v>60</v>
      </c>
    </row>
    <row r="472" spans="1:29" s="2" customFormat="1" ht="15" customHeight="1">
      <c r="A472" s="7" t="s">
        <v>871</v>
      </c>
      <c r="B472" s="5" t="s">
        <v>1732</v>
      </c>
      <c r="C472" s="5" t="s">
        <v>1747</v>
      </c>
      <c r="D472" s="5" t="s">
        <v>1748</v>
      </c>
      <c r="E472" s="5" t="s">
        <v>62</v>
      </c>
      <c r="F472" s="5" t="s">
        <v>63</v>
      </c>
      <c r="G472" s="7" t="s">
        <v>34</v>
      </c>
      <c r="H472" s="11" t="s">
        <v>2802</v>
      </c>
      <c r="I472" s="11" t="str">
        <f>VLOOKUP(H472,合同高级查询数据!$A$2:$A$51,1,FALSE)</f>
        <v>182315IDC00234</v>
      </c>
      <c r="J472" s="12" t="s">
        <v>36</v>
      </c>
      <c r="K472" s="7" t="s">
        <v>1981</v>
      </c>
      <c r="L472" s="5" t="s">
        <v>2807</v>
      </c>
      <c r="M472" s="5" t="s">
        <v>2804</v>
      </c>
      <c r="N472" s="36">
        <v>44593</v>
      </c>
      <c r="O472" s="5" t="s">
        <v>434</v>
      </c>
      <c r="P472" s="27">
        <v>4200</v>
      </c>
      <c r="Q472" s="140">
        <v>60</v>
      </c>
      <c r="R472" s="27">
        <f t="shared" si="26"/>
        <v>252000</v>
      </c>
      <c r="S472" s="28">
        <v>202306</v>
      </c>
      <c r="T472" s="184" t="s">
        <v>2808</v>
      </c>
      <c r="U472" s="184"/>
      <c r="V472" s="178">
        <v>58.847267150999997</v>
      </c>
      <c r="W472" s="35"/>
      <c r="X472" s="192">
        <v>45017</v>
      </c>
      <c r="Y472" s="192">
        <v>45382</v>
      </c>
      <c r="Z472" s="5" t="s">
        <v>2809</v>
      </c>
      <c r="AA472" s="45">
        <v>0.3</v>
      </c>
      <c r="AB472" s="34">
        <v>200</v>
      </c>
      <c r="AC472" s="178">
        <f t="shared" si="27"/>
        <v>60</v>
      </c>
    </row>
    <row r="473" spans="1:29" s="2" customFormat="1" ht="15" customHeight="1">
      <c r="A473" s="7" t="s">
        <v>871</v>
      </c>
      <c r="B473" s="5" t="s">
        <v>1732</v>
      </c>
      <c r="C473" s="5" t="s">
        <v>1747</v>
      </c>
      <c r="D473" s="5" t="s">
        <v>1748</v>
      </c>
      <c r="E473" s="5" t="s">
        <v>62</v>
      </c>
      <c r="F473" s="5" t="s">
        <v>63</v>
      </c>
      <c r="G473" s="7" t="s">
        <v>34</v>
      </c>
      <c r="H473" s="12" t="s">
        <v>2810</v>
      </c>
      <c r="I473" s="11" t="e">
        <f>VLOOKUP(H473,合同高级查询数据!$A$2:$A$51,1,FALSE)</f>
        <v>#N/A</v>
      </c>
      <c r="J473" s="12" t="s">
        <v>36</v>
      </c>
      <c r="K473" s="7" t="s">
        <v>1752</v>
      </c>
      <c r="L473" s="5" t="s">
        <v>2811</v>
      </c>
      <c r="M473" s="5" t="s">
        <v>1754</v>
      </c>
      <c r="N473" s="36" t="s">
        <v>2812</v>
      </c>
      <c r="O473" s="5" t="s">
        <v>1880</v>
      </c>
      <c r="P473" s="26">
        <v>4200</v>
      </c>
      <c r="Q473" s="140">
        <v>0</v>
      </c>
      <c r="R473" s="27">
        <f t="shared" si="26"/>
        <v>0</v>
      </c>
      <c r="S473" s="28">
        <v>202306</v>
      </c>
      <c r="T473" s="184" t="s">
        <v>2813</v>
      </c>
      <c r="U473" s="184"/>
      <c r="V473" s="178">
        <v>0</v>
      </c>
      <c r="W473" s="35"/>
      <c r="X473" s="36">
        <v>44654</v>
      </c>
      <c r="Y473" s="36">
        <v>45016</v>
      </c>
      <c r="Z473" s="178">
        <v>0</v>
      </c>
      <c r="AA473" s="44">
        <v>0</v>
      </c>
      <c r="AB473" s="178">
        <v>0</v>
      </c>
      <c r="AC473" s="178">
        <f t="shared" si="27"/>
        <v>0</v>
      </c>
    </row>
    <row r="474" spans="1:29" s="2" customFormat="1" ht="15" customHeight="1">
      <c r="A474" s="7" t="s">
        <v>859</v>
      </c>
      <c r="B474" s="5" t="s">
        <v>1732</v>
      </c>
      <c r="C474" s="5" t="s">
        <v>1747</v>
      </c>
      <c r="D474" s="5" t="s">
        <v>1748</v>
      </c>
      <c r="E474" s="5" t="s">
        <v>62</v>
      </c>
      <c r="F474" s="5" t="s">
        <v>63</v>
      </c>
      <c r="G474" s="7" t="s">
        <v>34</v>
      </c>
      <c r="H474" s="12" t="s">
        <v>2814</v>
      </c>
      <c r="I474" s="11" t="e">
        <f>VLOOKUP(H474,合同高级查询数据!$A$2:$A$51,1,FALSE)</f>
        <v>#N/A</v>
      </c>
      <c r="J474" s="12" t="s">
        <v>36</v>
      </c>
      <c r="K474" s="7" t="s">
        <v>2815</v>
      </c>
      <c r="L474" s="5" t="s">
        <v>2816</v>
      </c>
      <c r="M474" s="5" t="s">
        <v>2817</v>
      </c>
      <c r="N474" s="36" t="s">
        <v>2818</v>
      </c>
      <c r="O474" s="5" t="s">
        <v>1329</v>
      </c>
      <c r="P474" s="26">
        <v>4200</v>
      </c>
      <c r="Q474" s="140">
        <v>0</v>
      </c>
      <c r="R474" s="27">
        <f t="shared" si="26"/>
        <v>0</v>
      </c>
      <c r="S474" s="28">
        <v>202306</v>
      </c>
      <c r="T474" s="184" t="s">
        <v>2819</v>
      </c>
      <c r="U474" s="184"/>
      <c r="V474" s="178">
        <v>0</v>
      </c>
      <c r="W474" s="188"/>
      <c r="X474" s="36">
        <v>44744</v>
      </c>
      <c r="Y474" s="36">
        <v>45016</v>
      </c>
      <c r="Z474" s="178">
        <v>0</v>
      </c>
      <c r="AA474" s="44">
        <v>0</v>
      </c>
      <c r="AB474" s="178">
        <v>0</v>
      </c>
      <c r="AC474" s="178">
        <f t="shared" si="27"/>
        <v>0</v>
      </c>
    </row>
    <row r="475" spans="1:29" s="2" customFormat="1" ht="15" customHeight="1">
      <c r="A475" s="7" t="s">
        <v>871</v>
      </c>
      <c r="B475" s="5" t="s">
        <v>1732</v>
      </c>
      <c r="C475" s="5" t="s">
        <v>1747</v>
      </c>
      <c r="D475" s="5" t="s">
        <v>1748</v>
      </c>
      <c r="E475" s="5" t="s">
        <v>62</v>
      </c>
      <c r="F475" s="5" t="s">
        <v>63</v>
      </c>
      <c r="G475" s="7" t="s">
        <v>34</v>
      </c>
      <c r="H475" s="12" t="s">
        <v>2820</v>
      </c>
      <c r="I475" s="11" t="str">
        <f>VLOOKUP(H475,合同高级查询数据!$A$2:$A$51,1,FALSE)</f>
        <v>182315IDC00233</v>
      </c>
      <c r="J475" s="12" t="s">
        <v>36</v>
      </c>
      <c r="K475" s="7" t="s">
        <v>2821</v>
      </c>
      <c r="L475" s="5" t="s">
        <v>2822</v>
      </c>
      <c r="M475" s="5" t="s">
        <v>2823</v>
      </c>
      <c r="N475" s="36">
        <v>44806</v>
      </c>
      <c r="O475" s="5" t="s">
        <v>277</v>
      </c>
      <c r="P475" s="26">
        <v>4200</v>
      </c>
      <c r="Q475" s="140">
        <v>30</v>
      </c>
      <c r="R475" s="27">
        <f t="shared" si="26"/>
        <v>126000</v>
      </c>
      <c r="S475" s="28">
        <v>202306</v>
      </c>
      <c r="T475" s="184" t="s">
        <v>2824</v>
      </c>
      <c r="U475" s="184"/>
      <c r="V475" s="178">
        <v>28.458690643000001</v>
      </c>
      <c r="W475" s="188"/>
      <c r="X475" s="192">
        <v>45017</v>
      </c>
      <c r="Y475" s="192">
        <v>45382</v>
      </c>
      <c r="Z475" s="5" t="s">
        <v>2825</v>
      </c>
      <c r="AA475" s="45">
        <v>0.3</v>
      </c>
      <c r="AB475" s="34">
        <v>100</v>
      </c>
      <c r="AC475" s="178">
        <f t="shared" si="27"/>
        <v>30</v>
      </c>
    </row>
    <row r="476" spans="1:29" s="2" customFormat="1" ht="15" customHeight="1">
      <c r="A476" s="7" t="s">
        <v>859</v>
      </c>
      <c r="B476" s="5" t="s">
        <v>1732</v>
      </c>
      <c r="C476" s="5" t="s">
        <v>1747</v>
      </c>
      <c r="D476" s="5" t="s">
        <v>1748</v>
      </c>
      <c r="E476" s="5" t="s">
        <v>62</v>
      </c>
      <c r="F476" s="5" t="s">
        <v>63</v>
      </c>
      <c r="G476" s="7" t="s">
        <v>34</v>
      </c>
      <c r="H476" s="12" t="s">
        <v>2826</v>
      </c>
      <c r="I476" s="11" t="e">
        <f>VLOOKUP(H476,合同高级查询数据!$A$2:$A$51,1,FALSE)</f>
        <v>#N/A</v>
      </c>
      <c r="J476" s="12" t="s">
        <v>36</v>
      </c>
      <c r="K476" s="7" t="s">
        <v>2821</v>
      </c>
      <c r="L476" s="5" t="s">
        <v>2827</v>
      </c>
      <c r="M476" s="5" t="s">
        <v>2828</v>
      </c>
      <c r="N476" s="36" t="s">
        <v>2829</v>
      </c>
      <c r="O476" s="34" t="s">
        <v>1880</v>
      </c>
      <c r="P476" s="26">
        <v>4200</v>
      </c>
      <c r="Q476" s="140">
        <v>0</v>
      </c>
      <c r="R476" s="27">
        <f t="shared" si="26"/>
        <v>0</v>
      </c>
      <c r="S476" s="28">
        <v>202306</v>
      </c>
      <c r="T476" s="184" t="s">
        <v>2830</v>
      </c>
      <c r="U476" s="184"/>
      <c r="V476" s="178">
        <v>0</v>
      </c>
      <c r="W476" s="188"/>
      <c r="X476" s="36">
        <v>44805</v>
      </c>
      <c r="Y476" s="192">
        <v>45016</v>
      </c>
      <c r="Z476" s="178">
        <v>0</v>
      </c>
      <c r="AA476" s="44">
        <v>0</v>
      </c>
      <c r="AB476" s="178">
        <v>0</v>
      </c>
      <c r="AC476" s="178">
        <f t="shared" si="27"/>
        <v>0</v>
      </c>
    </row>
    <row r="477" spans="1:29" s="2" customFormat="1" ht="15" customHeight="1">
      <c r="A477" s="7" t="s">
        <v>859</v>
      </c>
      <c r="B477" s="5" t="s">
        <v>1732</v>
      </c>
      <c r="C477" s="5" t="s">
        <v>1308</v>
      </c>
      <c r="D477" s="5" t="s">
        <v>31</v>
      </c>
      <c r="E477" s="7" t="s">
        <v>2831</v>
      </c>
      <c r="F477" s="7" t="s">
        <v>2832</v>
      </c>
      <c r="G477" s="7" t="s">
        <v>34</v>
      </c>
      <c r="H477" s="11" t="s">
        <v>2833</v>
      </c>
      <c r="I477" s="11" t="e">
        <f>VLOOKUP(H477,合同高级查询数据!$A$2:$A$51,1,FALSE)</f>
        <v>#N/A</v>
      </c>
      <c r="J477" s="12" t="s">
        <v>36</v>
      </c>
      <c r="K477" s="5" t="s">
        <v>1784</v>
      </c>
      <c r="L477" s="5" t="s">
        <v>2028</v>
      </c>
      <c r="M477" s="5" t="s">
        <v>2029</v>
      </c>
      <c r="N477" s="36" t="s">
        <v>2834</v>
      </c>
      <c r="O477" s="5" t="s">
        <v>2031</v>
      </c>
      <c r="P477" s="26">
        <v>10417</v>
      </c>
      <c r="Q477" s="140">
        <v>0</v>
      </c>
      <c r="R477" s="27">
        <f t="shared" si="26"/>
        <v>0</v>
      </c>
      <c r="S477" s="28">
        <v>202306</v>
      </c>
      <c r="T477" s="184" t="s">
        <v>2835</v>
      </c>
      <c r="U477" s="184"/>
      <c r="V477" s="178">
        <v>0</v>
      </c>
      <c r="W477" s="35"/>
      <c r="X477" s="36">
        <v>44470</v>
      </c>
      <c r="Y477" s="36">
        <v>44834</v>
      </c>
      <c r="Z477" s="178">
        <v>0</v>
      </c>
      <c r="AA477" s="44">
        <v>0</v>
      </c>
      <c r="AB477" s="178">
        <v>0</v>
      </c>
      <c r="AC477" s="178">
        <f t="shared" si="27"/>
        <v>0</v>
      </c>
    </row>
    <row r="478" spans="1:29" s="2" customFormat="1" ht="15" customHeight="1">
      <c r="A478" s="7" t="s">
        <v>859</v>
      </c>
      <c r="B478" s="5" t="s">
        <v>1732</v>
      </c>
      <c r="C478" s="5" t="s">
        <v>1308</v>
      </c>
      <c r="D478" s="5" t="s">
        <v>31</v>
      </c>
      <c r="E478" s="7" t="s">
        <v>2831</v>
      </c>
      <c r="F478" s="7" t="s">
        <v>2832</v>
      </c>
      <c r="G478" s="7" t="s">
        <v>34</v>
      </c>
      <c r="H478" s="11" t="s">
        <v>2833</v>
      </c>
      <c r="I478" s="11" t="e">
        <f>VLOOKUP(H478,合同高级查询数据!$A$2:$A$51,1,FALSE)</f>
        <v>#N/A</v>
      </c>
      <c r="J478" s="12" t="s">
        <v>36</v>
      </c>
      <c r="K478" s="7" t="s">
        <v>1784</v>
      </c>
      <c r="L478" s="174" t="s">
        <v>2033</v>
      </c>
      <c r="M478" s="16" t="s">
        <v>2034</v>
      </c>
      <c r="N478" s="36" t="s">
        <v>2836</v>
      </c>
      <c r="O478" s="5" t="s">
        <v>2837</v>
      </c>
      <c r="P478" s="26">
        <v>10417</v>
      </c>
      <c r="Q478" s="140">
        <v>0</v>
      </c>
      <c r="R478" s="27">
        <f t="shared" si="26"/>
        <v>0</v>
      </c>
      <c r="S478" s="28">
        <v>202306</v>
      </c>
      <c r="T478" s="184" t="s">
        <v>2838</v>
      </c>
      <c r="U478" s="184"/>
      <c r="V478" s="178">
        <v>0</v>
      </c>
      <c r="W478" s="35"/>
      <c r="X478" s="36">
        <v>44470</v>
      </c>
      <c r="Y478" s="36">
        <v>44834</v>
      </c>
      <c r="Z478" s="178">
        <v>0</v>
      </c>
      <c r="AA478" s="44">
        <v>0</v>
      </c>
      <c r="AB478" s="178">
        <v>0</v>
      </c>
      <c r="AC478" s="178">
        <f t="shared" si="27"/>
        <v>0</v>
      </c>
    </row>
    <row r="479" spans="1:29" s="2" customFormat="1" ht="15" customHeight="1">
      <c r="A479" s="7" t="s">
        <v>859</v>
      </c>
      <c r="B479" s="5" t="s">
        <v>1732</v>
      </c>
      <c r="C479" s="5" t="s">
        <v>1308</v>
      </c>
      <c r="D479" s="5" t="s">
        <v>31</v>
      </c>
      <c r="E479" s="7" t="s">
        <v>2831</v>
      </c>
      <c r="F479" s="7" t="s">
        <v>2832</v>
      </c>
      <c r="G479" s="6" t="s">
        <v>34</v>
      </c>
      <c r="H479" s="11" t="s">
        <v>2839</v>
      </c>
      <c r="I479" s="11" t="e">
        <f>VLOOKUP(H479,合同高级查询数据!$A$2:$A$51,1,FALSE)</f>
        <v>#N/A</v>
      </c>
      <c r="J479" s="12" t="s">
        <v>36</v>
      </c>
      <c r="K479" s="6" t="s">
        <v>1342</v>
      </c>
      <c r="L479" s="217" t="s">
        <v>2068</v>
      </c>
      <c r="M479" s="16" t="s">
        <v>2069</v>
      </c>
      <c r="N479" s="36" t="s">
        <v>2840</v>
      </c>
      <c r="O479" s="121" t="s">
        <v>2841</v>
      </c>
      <c r="P479" s="26">
        <v>10417</v>
      </c>
      <c r="Q479" s="140">
        <v>0</v>
      </c>
      <c r="R479" s="27">
        <f t="shared" si="26"/>
        <v>0</v>
      </c>
      <c r="S479" s="28">
        <v>202306</v>
      </c>
      <c r="T479" s="221" t="s">
        <v>2842</v>
      </c>
      <c r="U479" s="184"/>
      <c r="V479" s="178">
        <v>0</v>
      </c>
      <c r="W479" s="35"/>
      <c r="X479" s="36">
        <v>44593</v>
      </c>
      <c r="Y479" s="36">
        <v>44834</v>
      </c>
      <c r="Z479" s="178">
        <v>0</v>
      </c>
      <c r="AA479" s="44">
        <v>0</v>
      </c>
      <c r="AB479" s="178">
        <v>0</v>
      </c>
      <c r="AC479" s="178">
        <f t="shared" si="27"/>
        <v>0</v>
      </c>
    </row>
    <row r="480" spans="1:29" s="2" customFormat="1" ht="15" customHeight="1">
      <c r="A480" s="203" t="s">
        <v>859</v>
      </c>
      <c r="B480" s="5" t="s">
        <v>1732</v>
      </c>
      <c r="C480" s="5" t="s">
        <v>1972</v>
      </c>
      <c r="D480" s="5" t="s">
        <v>31</v>
      </c>
      <c r="E480" s="7" t="s">
        <v>2831</v>
      </c>
      <c r="F480" s="7" t="s">
        <v>2832</v>
      </c>
      <c r="G480" s="7" t="s">
        <v>34</v>
      </c>
      <c r="H480" s="11" t="s">
        <v>2843</v>
      </c>
      <c r="I480" s="11" t="e">
        <f>VLOOKUP(H480,合同高级查询数据!$A$2:$A$51,1,FALSE)</f>
        <v>#N/A</v>
      </c>
      <c r="J480" s="12" t="s">
        <v>36</v>
      </c>
      <c r="K480" s="7" t="s">
        <v>2094</v>
      </c>
      <c r="L480" s="174" t="s">
        <v>2095</v>
      </c>
      <c r="M480" s="16" t="s">
        <v>2096</v>
      </c>
      <c r="N480" s="36">
        <v>44958</v>
      </c>
      <c r="O480" s="5" t="s">
        <v>277</v>
      </c>
      <c r="P480" s="27">
        <v>6333</v>
      </c>
      <c r="Q480" s="140">
        <v>31.3</v>
      </c>
      <c r="R480" s="27">
        <f t="shared" si="26"/>
        <v>198222.9</v>
      </c>
      <c r="S480" s="28">
        <v>202306</v>
      </c>
      <c r="T480" s="184" t="s">
        <v>2844</v>
      </c>
      <c r="U480" s="184"/>
      <c r="V480" s="178">
        <v>31.213731765999999</v>
      </c>
      <c r="W480" s="35"/>
      <c r="X480" s="36">
        <v>44958</v>
      </c>
      <c r="Y480" s="192">
        <v>45199</v>
      </c>
      <c r="Z480" s="5" t="s">
        <v>2845</v>
      </c>
      <c r="AA480" s="45">
        <v>0.3</v>
      </c>
      <c r="AB480" s="34">
        <v>100</v>
      </c>
      <c r="AC480" s="178">
        <f t="shared" si="27"/>
        <v>30</v>
      </c>
    </row>
    <row r="481" spans="1:29" s="3" customFormat="1" ht="15" customHeight="1">
      <c r="A481" s="215" t="s">
        <v>859</v>
      </c>
      <c r="B481" s="65" t="s">
        <v>1732</v>
      </c>
      <c r="C481" s="65" t="s">
        <v>860</v>
      </c>
      <c r="D481" s="65" t="s">
        <v>31</v>
      </c>
      <c r="E481" s="86" t="s">
        <v>2831</v>
      </c>
      <c r="F481" s="86" t="s">
        <v>2832</v>
      </c>
      <c r="G481" s="86" t="s">
        <v>34</v>
      </c>
      <c r="H481" s="53" t="s">
        <v>2846</v>
      </c>
      <c r="I481" s="53" t="e">
        <f>VLOOKUP(H481,合同高级查询数据!$A$2:$A$51,1,FALSE)</f>
        <v>#N/A</v>
      </c>
      <c r="J481" s="51" t="s">
        <v>36</v>
      </c>
      <c r="K481" s="86" t="s">
        <v>2100</v>
      </c>
      <c r="L481" s="175" t="s">
        <v>2101</v>
      </c>
      <c r="M481" s="54" t="s">
        <v>2102</v>
      </c>
      <c r="N481" s="64">
        <v>44958</v>
      </c>
      <c r="O481" s="65" t="s">
        <v>434</v>
      </c>
      <c r="P481" s="58">
        <v>5000</v>
      </c>
      <c r="Q481" s="99">
        <v>60.2</v>
      </c>
      <c r="R481" s="58">
        <f t="shared" si="26"/>
        <v>301000</v>
      </c>
      <c r="S481" s="59">
        <v>202306</v>
      </c>
      <c r="T481" s="185" t="s">
        <v>2847</v>
      </c>
      <c r="U481" s="185"/>
      <c r="V481" s="196">
        <v>60.178779601999999</v>
      </c>
      <c r="W481" s="103"/>
      <c r="X481" s="64"/>
      <c r="Y481" s="199"/>
      <c r="Z481" s="65" t="s">
        <v>2848</v>
      </c>
      <c r="AA481" s="200">
        <v>0.3</v>
      </c>
      <c r="AB481" s="104">
        <v>200</v>
      </c>
      <c r="AC481" s="196">
        <f t="shared" si="27"/>
        <v>60</v>
      </c>
    </row>
    <row r="482" spans="1:29" s="2" customFormat="1" ht="15" customHeight="1">
      <c r="A482" s="203" t="s">
        <v>859</v>
      </c>
      <c r="B482" s="5" t="s">
        <v>1732</v>
      </c>
      <c r="C482" s="5" t="s">
        <v>1308</v>
      </c>
      <c r="D482" s="5" t="s">
        <v>31</v>
      </c>
      <c r="E482" s="7" t="s">
        <v>2831</v>
      </c>
      <c r="F482" s="7" t="s">
        <v>2832</v>
      </c>
      <c r="G482" s="7" t="s">
        <v>34</v>
      </c>
      <c r="H482" s="11" t="s">
        <v>2849</v>
      </c>
      <c r="I482" s="11" t="e">
        <f>VLOOKUP(H482,合同高级查询数据!$A$2:$A$51,1,FALSE)</f>
        <v>#N/A</v>
      </c>
      <c r="J482" s="12" t="s">
        <v>36</v>
      </c>
      <c r="K482" s="7" t="s">
        <v>1342</v>
      </c>
      <c r="L482" s="174" t="s">
        <v>2110</v>
      </c>
      <c r="M482" s="16" t="s">
        <v>2111</v>
      </c>
      <c r="N482" s="36">
        <v>44958</v>
      </c>
      <c r="O482" s="5" t="s">
        <v>277</v>
      </c>
      <c r="P482" s="27">
        <v>8333</v>
      </c>
      <c r="Q482" s="140">
        <v>41.1</v>
      </c>
      <c r="R482" s="27">
        <f t="shared" si="26"/>
        <v>342486.3</v>
      </c>
      <c r="S482" s="28">
        <v>202306</v>
      </c>
      <c r="T482" s="184" t="s">
        <v>2850</v>
      </c>
      <c r="U482" s="184"/>
      <c r="V482" s="178">
        <v>41.021381378000001</v>
      </c>
      <c r="W482" s="35"/>
      <c r="X482" s="36">
        <v>44958</v>
      </c>
      <c r="Y482" s="192">
        <v>45230</v>
      </c>
      <c r="Z482" s="5" t="s">
        <v>2851</v>
      </c>
      <c r="AA482" s="45">
        <v>0.3</v>
      </c>
      <c r="AB482" s="34">
        <v>100</v>
      </c>
      <c r="AC482" s="178">
        <f t="shared" si="27"/>
        <v>30</v>
      </c>
    </row>
    <row r="483" spans="1:29" s="3" customFormat="1" ht="15" customHeight="1">
      <c r="A483" s="86" t="s">
        <v>859</v>
      </c>
      <c r="B483" s="65" t="s">
        <v>1732</v>
      </c>
      <c r="C483" s="65" t="s">
        <v>1838</v>
      </c>
      <c r="D483" s="65" t="s">
        <v>1748</v>
      </c>
      <c r="E483" s="86" t="s">
        <v>2852</v>
      </c>
      <c r="F483" s="86" t="s">
        <v>2853</v>
      </c>
      <c r="G483" s="85" t="s">
        <v>34</v>
      </c>
      <c r="H483" s="53" t="s">
        <v>2854</v>
      </c>
      <c r="I483" s="53" t="e">
        <f>VLOOKUP(H483,合同高级查询数据!$A$2:$A$51,1,FALSE)</f>
        <v>#N/A</v>
      </c>
      <c r="J483" s="51" t="s">
        <v>36</v>
      </c>
      <c r="K483" s="85" t="s">
        <v>2855</v>
      </c>
      <c r="L483" s="227" t="s">
        <v>2856</v>
      </c>
      <c r="M483" s="54" t="s">
        <v>2857</v>
      </c>
      <c r="N483" s="64" t="s">
        <v>2858</v>
      </c>
      <c r="O483" s="228" t="s">
        <v>1880</v>
      </c>
      <c r="P483" s="58">
        <v>5416.67</v>
      </c>
      <c r="Q483" s="99">
        <v>30</v>
      </c>
      <c r="R483" s="58">
        <f t="shared" si="26"/>
        <v>162500.1</v>
      </c>
      <c r="S483" s="59">
        <v>202306</v>
      </c>
      <c r="T483" s="229" t="s">
        <v>2859</v>
      </c>
      <c r="U483" s="185"/>
      <c r="V483" s="196">
        <v>28.966547011999999</v>
      </c>
      <c r="W483" s="103"/>
      <c r="X483" s="64"/>
      <c r="Y483" s="64"/>
      <c r="Z483" s="65" t="s">
        <v>2860</v>
      </c>
      <c r="AA483" s="200">
        <v>0.3</v>
      </c>
      <c r="AB483" s="104">
        <v>100</v>
      </c>
      <c r="AC483" s="196">
        <f t="shared" si="27"/>
        <v>30</v>
      </c>
    </row>
    <row r="484" spans="1:29" s="3" customFormat="1" ht="15" customHeight="1">
      <c r="A484" s="86" t="s">
        <v>859</v>
      </c>
      <c r="B484" s="65" t="s">
        <v>1732</v>
      </c>
      <c r="C484" s="65" t="s">
        <v>1838</v>
      </c>
      <c r="D484" s="65" t="s">
        <v>1748</v>
      </c>
      <c r="E484" s="86" t="s">
        <v>2852</v>
      </c>
      <c r="F484" s="86" t="s">
        <v>2853</v>
      </c>
      <c r="G484" s="85" t="s">
        <v>34</v>
      </c>
      <c r="H484" s="53" t="s">
        <v>2854</v>
      </c>
      <c r="I484" s="53" t="e">
        <f>VLOOKUP(H484,合同高级查询数据!$A$2:$A$51,1,FALSE)</f>
        <v>#N/A</v>
      </c>
      <c r="J484" s="51" t="s">
        <v>36</v>
      </c>
      <c r="K484" s="85" t="s">
        <v>2855</v>
      </c>
      <c r="L484" s="227" t="s">
        <v>2856</v>
      </c>
      <c r="M484" s="54" t="s">
        <v>2857</v>
      </c>
      <c r="N484" s="64">
        <v>44531</v>
      </c>
      <c r="O484" s="228" t="s">
        <v>277</v>
      </c>
      <c r="P484" s="58">
        <v>5416.67</v>
      </c>
      <c r="Q484" s="99">
        <v>0.5</v>
      </c>
      <c r="R484" s="58">
        <f t="shared" si="26"/>
        <v>2708.34</v>
      </c>
      <c r="S484" s="59">
        <v>202305</v>
      </c>
      <c r="T484" s="185" t="s">
        <v>2861</v>
      </c>
      <c r="U484" s="185"/>
      <c r="V484" s="196"/>
      <c r="W484" s="103"/>
      <c r="X484" s="64"/>
      <c r="Y484" s="64"/>
      <c r="Z484" s="65"/>
      <c r="AA484" s="200"/>
      <c r="AB484" s="104"/>
      <c r="AC484" s="196"/>
    </row>
    <row r="485" spans="1:29" s="3" customFormat="1" ht="15" customHeight="1">
      <c r="A485" s="86" t="s">
        <v>859</v>
      </c>
      <c r="B485" s="65" t="s">
        <v>1732</v>
      </c>
      <c r="C485" s="65" t="s">
        <v>1790</v>
      </c>
      <c r="D485" s="65" t="s">
        <v>1791</v>
      </c>
      <c r="E485" s="86" t="s">
        <v>2862</v>
      </c>
      <c r="F485" s="86" t="s">
        <v>2863</v>
      </c>
      <c r="G485" s="85" t="s">
        <v>34</v>
      </c>
      <c r="H485" s="53" t="s">
        <v>2864</v>
      </c>
      <c r="I485" s="53" t="e">
        <f>VLOOKUP(H485,合同高级查询数据!$A$2:$A$51,1,FALSE)</f>
        <v>#N/A</v>
      </c>
      <c r="J485" s="51" t="s">
        <v>1359</v>
      </c>
      <c r="K485" s="85" t="s">
        <v>2865</v>
      </c>
      <c r="L485" s="227" t="s">
        <v>2866</v>
      </c>
      <c r="M485" s="54" t="s">
        <v>2867</v>
      </c>
      <c r="N485" s="64">
        <v>44545</v>
      </c>
      <c r="O485" s="228" t="s">
        <v>1798</v>
      </c>
      <c r="P485" s="58">
        <v>11750</v>
      </c>
      <c r="Q485" s="99">
        <v>12</v>
      </c>
      <c r="R485" s="58">
        <f t="shared" si="26"/>
        <v>141000</v>
      </c>
      <c r="S485" s="59">
        <v>202306</v>
      </c>
      <c r="T485" s="229" t="s">
        <v>2868</v>
      </c>
      <c r="U485" s="185"/>
      <c r="V485" s="196">
        <v>8.5401436299999993</v>
      </c>
      <c r="W485" s="103"/>
      <c r="X485" s="64"/>
      <c r="Y485" s="64"/>
      <c r="Z485" s="65" t="s">
        <v>2869</v>
      </c>
      <c r="AA485" s="200">
        <v>0.3</v>
      </c>
      <c r="AB485" s="104">
        <v>40</v>
      </c>
      <c r="AC485" s="104">
        <f t="shared" ref="AC485:AC498" si="28">AA485*AB485</f>
        <v>12</v>
      </c>
    </row>
    <row r="486" spans="1:29" s="3" customFormat="1" ht="15" customHeight="1">
      <c r="A486" s="86" t="s">
        <v>871</v>
      </c>
      <c r="B486" s="65" t="s">
        <v>1732</v>
      </c>
      <c r="C486" s="65" t="s">
        <v>1790</v>
      </c>
      <c r="D486" s="65" t="s">
        <v>1791</v>
      </c>
      <c r="E486" s="86" t="s">
        <v>2862</v>
      </c>
      <c r="F486" s="86" t="s">
        <v>2863</v>
      </c>
      <c r="G486" s="85" t="s">
        <v>34</v>
      </c>
      <c r="H486" s="53" t="s">
        <v>2864</v>
      </c>
      <c r="I486" s="53" t="e">
        <f>VLOOKUP(H486,合同高级查询数据!$A$2:$A$51,1,FALSE)</f>
        <v>#N/A</v>
      </c>
      <c r="J486" s="51" t="s">
        <v>1359</v>
      </c>
      <c r="K486" s="85" t="s">
        <v>2865</v>
      </c>
      <c r="L486" s="227" t="s">
        <v>2870</v>
      </c>
      <c r="M486" s="54" t="s">
        <v>2867</v>
      </c>
      <c r="N486" s="64">
        <v>44545</v>
      </c>
      <c r="O486" s="228" t="s">
        <v>1798</v>
      </c>
      <c r="P486" s="58">
        <v>7560</v>
      </c>
      <c r="Q486" s="99">
        <v>12</v>
      </c>
      <c r="R486" s="58">
        <f t="shared" si="26"/>
        <v>90720</v>
      </c>
      <c r="S486" s="59">
        <v>202306</v>
      </c>
      <c r="T486" s="229" t="s">
        <v>2868</v>
      </c>
      <c r="U486" s="185"/>
      <c r="V486" s="196">
        <v>11.020989477000001</v>
      </c>
      <c r="W486" s="103"/>
      <c r="X486" s="64"/>
      <c r="Y486" s="64"/>
      <c r="Z486" s="65" t="s">
        <v>2871</v>
      </c>
      <c r="AA486" s="200">
        <v>0.3</v>
      </c>
      <c r="AB486" s="104">
        <v>40</v>
      </c>
      <c r="AC486" s="104">
        <f t="shared" si="28"/>
        <v>12</v>
      </c>
    </row>
    <row r="487" spans="1:29" s="3" customFormat="1" ht="15" customHeight="1">
      <c r="A487" s="86" t="s">
        <v>878</v>
      </c>
      <c r="B487" s="65" t="s">
        <v>1732</v>
      </c>
      <c r="C487" s="65" t="s">
        <v>1790</v>
      </c>
      <c r="D487" s="65" t="s">
        <v>1791</v>
      </c>
      <c r="E487" s="86" t="s">
        <v>2862</v>
      </c>
      <c r="F487" s="86" t="s">
        <v>2863</v>
      </c>
      <c r="G487" s="85" t="s">
        <v>34</v>
      </c>
      <c r="H487" s="53" t="s">
        <v>2864</v>
      </c>
      <c r="I487" s="53" t="e">
        <f>VLOOKUP(H487,合同高级查询数据!$A$2:$A$51,1,FALSE)</f>
        <v>#N/A</v>
      </c>
      <c r="J487" s="51" t="s">
        <v>1359</v>
      </c>
      <c r="K487" s="85" t="s">
        <v>2865</v>
      </c>
      <c r="L487" s="227" t="s">
        <v>2872</v>
      </c>
      <c r="M487" s="54" t="s">
        <v>2867</v>
      </c>
      <c r="N487" s="64">
        <v>44545</v>
      </c>
      <c r="O487" s="228" t="s">
        <v>1798</v>
      </c>
      <c r="P487" s="58">
        <v>7560</v>
      </c>
      <c r="Q487" s="99">
        <v>16</v>
      </c>
      <c r="R487" s="58">
        <f t="shared" si="26"/>
        <v>120960</v>
      </c>
      <c r="S487" s="59">
        <v>202306</v>
      </c>
      <c r="T487" s="229" t="s">
        <v>2873</v>
      </c>
      <c r="U487" s="185"/>
      <c r="V487" s="196">
        <v>7.5209630909999996</v>
      </c>
      <c r="W487" s="103"/>
      <c r="X487" s="64"/>
      <c r="Y487" s="64"/>
      <c r="Z487" s="65" t="s">
        <v>2874</v>
      </c>
      <c r="AA487" s="200">
        <v>0.4</v>
      </c>
      <c r="AB487" s="104">
        <v>40</v>
      </c>
      <c r="AC487" s="104">
        <f t="shared" si="28"/>
        <v>16</v>
      </c>
    </row>
    <row r="488" spans="1:29" s="2" customFormat="1" ht="15" customHeight="1">
      <c r="A488" s="7" t="s">
        <v>871</v>
      </c>
      <c r="B488" s="5" t="s">
        <v>1732</v>
      </c>
      <c r="C488" s="5" t="s">
        <v>417</v>
      </c>
      <c r="D488" s="5" t="s">
        <v>1748</v>
      </c>
      <c r="E488" s="7" t="s">
        <v>2875</v>
      </c>
      <c r="F488" s="7" t="s">
        <v>2876</v>
      </c>
      <c r="G488" s="6" t="s">
        <v>34</v>
      </c>
      <c r="H488" s="11" t="s">
        <v>2877</v>
      </c>
      <c r="I488" s="11" t="e">
        <f>VLOOKUP(H488,合同高级查询数据!$A$2:$A$51,1,FALSE)</f>
        <v>#N/A</v>
      </c>
      <c r="J488" s="12" t="s">
        <v>36</v>
      </c>
      <c r="K488" s="6" t="s">
        <v>575</v>
      </c>
      <c r="L488" s="217" t="s">
        <v>2878</v>
      </c>
      <c r="M488" s="16" t="s">
        <v>2879</v>
      </c>
      <c r="N488" s="36" t="s">
        <v>2880</v>
      </c>
      <c r="O488" s="121" t="s">
        <v>1880</v>
      </c>
      <c r="P488" s="27">
        <v>5500</v>
      </c>
      <c r="Q488" s="140">
        <v>0</v>
      </c>
      <c r="R488" s="27">
        <f t="shared" si="26"/>
        <v>0</v>
      </c>
      <c r="S488" s="28">
        <v>202306</v>
      </c>
      <c r="T488" s="221" t="s">
        <v>2881</v>
      </c>
      <c r="U488" s="184"/>
      <c r="V488" s="178">
        <v>0</v>
      </c>
      <c r="W488" s="35"/>
      <c r="X488" s="36">
        <v>44652</v>
      </c>
      <c r="Y488" s="36">
        <v>44681</v>
      </c>
      <c r="Z488" s="178">
        <v>0</v>
      </c>
      <c r="AA488" s="44">
        <v>0</v>
      </c>
      <c r="AB488" s="178">
        <v>0</v>
      </c>
      <c r="AC488" s="178">
        <f t="shared" si="28"/>
        <v>0</v>
      </c>
    </row>
    <row r="489" spans="1:29" s="2" customFormat="1" ht="15" customHeight="1">
      <c r="A489" s="7" t="s">
        <v>878</v>
      </c>
      <c r="B489" s="5" t="s">
        <v>1732</v>
      </c>
      <c r="C489" s="5" t="s">
        <v>2519</v>
      </c>
      <c r="D489" s="5" t="s">
        <v>1791</v>
      </c>
      <c r="E489" s="7" t="s">
        <v>2882</v>
      </c>
      <c r="F489" s="7" t="s">
        <v>2883</v>
      </c>
      <c r="G489" s="6" t="s">
        <v>34</v>
      </c>
      <c r="H489" s="11" t="s">
        <v>2884</v>
      </c>
      <c r="I489" s="11" t="e">
        <f>VLOOKUP(H489,合同高级查询数据!$A$2:$A$51,1,FALSE)</f>
        <v>#N/A</v>
      </c>
      <c r="J489" s="12" t="s">
        <v>36</v>
      </c>
      <c r="K489" s="6" t="s">
        <v>2521</v>
      </c>
      <c r="L489" s="217" t="s">
        <v>2885</v>
      </c>
      <c r="M489" s="16" t="s">
        <v>2886</v>
      </c>
      <c r="N489" s="36" t="s">
        <v>2887</v>
      </c>
      <c r="O489" s="121" t="s">
        <v>1329</v>
      </c>
      <c r="P489" s="27">
        <v>4800</v>
      </c>
      <c r="Q489" s="140">
        <v>0</v>
      </c>
      <c r="R489" s="27">
        <f t="shared" si="26"/>
        <v>0</v>
      </c>
      <c r="S489" s="28">
        <v>202306</v>
      </c>
      <c r="T489" s="221" t="s">
        <v>2888</v>
      </c>
      <c r="U489" s="184"/>
      <c r="V489" s="178">
        <v>0</v>
      </c>
      <c r="W489" s="35"/>
      <c r="X489" s="36">
        <v>44562</v>
      </c>
      <c r="Y489" s="36">
        <v>44592</v>
      </c>
      <c r="Z489" s="178">
        <v>0</v>
      </c>
      <c r="AA489" s="44">
        <v>0</v>
      </c>
      <c r="AB489" s="178">
        <v>0</v>
      </c>
      <c r="AC489" s="178">
        <f t="shared" si="28"/>
        <v>0</v>
      </c>
    </row>
    <row r="490" spans="1:29" s="2" customFormat="1" ht="15" customHeight="1">
      <c r="A490" s="7" t="s">
        <v>859</v>
      </c>
      <c r="B490" s="5" t="s">
        <v>1732</v>
      </c>
      <c r="C490" s="5" t="s">
        <v>1308</v>
      </c>
      <c r="D490" s="5" t="s">
        <v>31</v>
      </c>
      <c r="E490" s="7" t="s">
        <v>2889</v>
      </c>
      <c r="F490" s="7" t="s">
        <v>2890</v>
      </c>
      <c r="G490" s="6" t="s">
        <v>34</v>
      </c>
      <c r="H490" s="11" t="s">
        <v>2891</v>
      </c>
      <c r="I490" s="11" t="e">
        <f>VLOOKUP(H490,合同高级查询数据!$A$2:$A$51,1,FALSE)</f>
        <v>#N/A</v>
      </c>
      <c r="J490" s="12" t="s">
        <v>36</v>
      </c>
      <c r="K490" s="6" t="s">
        <v>1519</v>
      </c>
      <c r="L490" s="217" t="s">
        <v>2892</v>
      </c>
      <c r="M490" s="16" t="s">
        <v>2893</v>
      </c>
      <c r="N490" s="36" t="s">
        <v>2894</v>
      </c>
      <c r="O490" s="121" t="s">
        <v>1329</v>
      </c>
      <c r="P490" s="27">
        <v>9600</v>
      </c>
      <c r="Q490" s="140">
        <v>0</v>
      </c>
      <c r="R490" s="27">
        <f t="shared" si="26"/>
        <v>0</v>
      </c>
      <c r="S490" s="28">
        <v>202306</v>
      </c>
      <c r="T490" s="221" t="s">
        <v>2895</v>
      </c>
      <c r="U490" s="184"/>
      <c r="V490" s="178">
        <v>0</v>
      </c>
      <c r="W490" s="35"/>
      <c r="X490" s="36">
        <v>44593</v>
      </c>
      <c r="Y490" s="36">
        <v>44773</v>
      </c>
      <c r="Z490" s="178">
        <v>0</v>
      </c>
      <c r="AA490" s="44">
        <v>0</v>
      </c>
      <c r="AB490" s="178">
        <v>0</v>
      </c>
      <c r="AC490" s="178">
        <f t="shared" si="28"/>
        <v>0</v>
      </c>
    </row>
    <row r="491" spans="1:29" s="2" customFormat="1" ht="15" customHeight="1">
      <c r="A491" s="7" t="s">
        <v>878</v>
      </c>
      <c r="B491" s="5" t="s">
        <v>1732</v>
      </c>
      <c r="C491" s="5" t="s">
        <v>2374</v>
      </c>
      <c r="D491" s="5" t="s">
        <v>1791</v>
      </c>
      <c r="E491" s="5" t="s">
        <v>2896</v>
      </c>
      <c r="F491" s="5" t="s">
        <v>2897</v>
      </c>
      <c r="G491" s="7" t="s">
        <v>34</v>
      </c>
      <c r="H491" s="12" t="s">
        <v>2898</v>
      </c>
      <c r="I491" s="11" t="e">
        <f>VLOOKUP(H491,合同高级查询数据!$A$2:$A$51,1,FALSE)</f>
        <v>#N/A</v>
      </c>
      <c r="J491" s="12" t="s">
        <v>36</v>
      </c>
      <c r="K491" s="5" t="s">
        <v>2376</v>
      </c>
      <c r="L491" s="5" t="s">
        <v>2899</v>
      </c>
      <c r="M491" s="5" t="s">
        <v>2900</v>
      </c>
      <c r="N491" s="36">
        <v>44593</v>
      </c>
      <c r="O491" s="5" t="s">
        <v>277</v>
      </c>
      <c r="P491" s="26">
        <v>4200</v>
      </c>
      <c r="Q491" s="140">
        <v>100</v>
      </c>
      <c r="R491" s="26">
        <f t="shared" si="26"/>
        <v>420000</v>
      </c>
      <c r="S491" s="28">
        <v>202306</v>
      </c>
      <c r="T491" s="184" t="s">
        <v>2901</v>
      </c>
      <c r="U491" s="184"/>
      <c r="V491" s="178">
        <v>80.847877502000003</v>
      </c>
      <c r="W491" s="35"/>
      <c r="X491" s="36">
        <v>44958</v>
      </c>
      <c r="Y491" s="36">
        <v>45322</v>
      </c>
      <c r="Z491" s="5" t="s">
        <v>2902</v>
      </c>
      <c r="AA491" s="45">
        <v>1</v>
      </c>
      <c r="AB491" s="34">
        <v>100</v>
      </c>
      <c r="AC491" s="178">
        <f t="shared" si="28"/>
        <v>100</v>
      </c>
    </row>
    <row r="492" spans="1:29" s="2" customFormat="1" ht="15" customHeight="1">
      <c r="A492" s="7" t="s">
        <v>871</v>
      </c>
      <c r="B492" s="5" t="s">
        <v>1732</v>
      </c>
      <c r="C492" s="5" t="s">
        <v>545</v>
      </c>
      <c r="D492" s="5" t="s">
        <v>31</v>
      </c>
      <c r="E492" s="5" t="s">
        <v>2903</v>
      </c>
      <c r="F492" s="5" t="s">
        <v>2904</v>
      </c>
      <c r="G492" s="7" t="s">
        <v>34</v>
      </c>
      <c r="H492" s="5" t="s">
        <v>2905</v>
      </c>
      <c r="I492" s="11" t="e">
        <f>VLOOKUP(H492,合同高级查询数据!$A$2:$A$51,1,FALSE)</f>
        <v>#N/A</v>
      </c>
      <c r="J492" s="12" t="s">
        <v>36</v>
      </c>
      <c r="K492" s="5" t="s">
        <v>545</v>
      </c>
      <c r="L492" s="5" t="s">
        <v>2906</v>
      </c>
      <c r="M492" s="5" t="s">
        <v>2907</v>
      </c>
      <c r="N492" s="36">
        <v>44593</v>
      </c>
      <c r="O492" s="5" t="s">
        <v>1941</v>
      </c>
      <c r="P492" s="26">
        <v>7000</v>
      </c>
      <c r="Q492" s="140">
        <v>24</v>
      </c>
      <c r="R492" s="26">
        <f t="shared" si="26"/>
        <v>168000</v>
      </c>
      <c r="S492" s="28">
        <v>202306</v>
      </c>
      <c r="T492" s="184" t="s">
        <v>2908</v>
      </c>
      <c r="U492" s="184"/>
      <c r="V492" s="178">
        <v>23.879816054999999</v>
      </c>
      <c r="W492" s="35"/>
      <c r="X492" s="36">
        <v>44958</v>
      </c>
      <c r="Y492" s="36">
        <v>45322</v>
      </c>
      <c r="Z492" s="5" t="s">
        <v>2909</v>
      </c>
      <c r="AA492" s="45">
        <v>0.3</v>
      </c>
      <c r="AB492" s="34">
        <v>80</v>
      </c>
      <c r="AC492" s="178">
        <f t="shared" si="28"/>
        <v>24</v>
      </c>
    </row>
    <row r="493" spans="1:29" s="2" customFormat="1" ht="15" customHeight="1">
      <c r="A493" s="203" t="s">
        <v>859</v>
      </c>
      <c r="B493" s="5" t="s">
        <v>1732</v>
      </c>
      <c r="C493" s="5" t="s">
        <v>1790</v>
      </c>
      <c r="D493" s="5" t="s">
        <v>1791</v>
      </c>
      <c r="E493" s="5" t="s">
        <v>2910</v>
      </c>
      <c r="F493" s="5" t="s">
        <v>2911</v>
      </c>
      <c r="G493" s="7" t="s">
        <v>34</v>
      </c>
      <c r="H493" s="5" t="s">
        <v>2912</v>
      </c>
      <c r="I493" s="11" t="e">
        <f>VLOOKUP(H493,合同高级查询数据!$A$2:$A$51,1,FALSE)</f>
        <v>#N/A</v>
      </c>
      <c r="J493" s="12" t="s">
        <v>36</v>
      </c>
      <c r="K493" s="5" t="s">
        <v>2865</v>
      </c>
      <c r="L493" s="5" t="s">
        <v>2913</v>
      </c>
      <c r="M493" s="5" t="s">
        <v>2914</v>
      </c>
      <c r="N493" s="36">
        <v>44652</v>
      </c>
      <c r="O493" s="5" t="s">
        <v>434</v>
      </c>
      <c r="P493" s="26">
        <v>5083.33</v>
      </c>
      <c r="Q493" s="140">
        <v>62.4</v>
      </c>
      <c r="R493" s="27">
        <f t="shared" si="26"/>
        <v>317199.78999999998</v>
      </c>
      <c r="S493" s="28">
        <v>202306</v>
      </c>
      <c r="T493" s="184" t="s">
        <v>2915</v>
      </c>
      <c r="U493" s="184"/>
      <c r="V493" s="178">
        <v>62.366180419999999</v>
      </c>
      <c r="W493" s="188"/>
      <c r="X493" s="36">
        <v>45017</v>
      </c>
      <c r="Y493" s="36">
        <v>45382</v>
      </c>
      <c r="Z493" s="5" t="s">
        <v>2916</v>
      </c>
      <c r="AA493" s="45">
        <v>0.3</v>
      </c>
      <c r="AB493" s="34">
        <v>200</v>
      </c>
      <c r="AC493" s="178">
        <f t="shared" si="28"/>
        <v>60</v>
      </c>
    </row>
    <row r="494" spans="1:29" s="2" customFormat="1" ht="15" customHeight="1">
      <c r="A494" s="203" t="s">
        <v>859</v>
      </c>
      <c r="B494" s="5" t="s">
        <v>1732</v>
      </c>
      <c r="C494" s="5" t="s">
        <v>2174</v>
      </c>
      <c r="D494" s="5" t="s">
        <v>1748</v>
      </c>
      <c r="E494" s="5" t="s">
        <v>2910</v>
      </c>
      <c r="F494" s="5" t="s">
        <v>2911</v>
      </c>
      <c r="G494" s="7" t="s">
        <v>34</v>
      </c>
      <c r="H494" s="5" t="s">
        <v>2917</v>
      </c>
      <c r="I494" s="11" t="e">
        <f>VLOOKUP(H494,合同高级查询数据!$A$2:$A$51,1,FALSE)</f>
        <v>#N/A</v>
      </c>
      <c r="J494" s="12" t="s">
        <v>36</v>
      </c>
      <c r="K494" s="5" t="s">
        <v>2174</v>
      </c>
      <c r="L494" s="5" t="s">
        <v>2918</v>
      </c>
      <c r="M494" s="5" t="s">
        <v>2919</v>
      </c>
      <c r="N494" s="36">
        <v>44835</v>
      </c>
      <c r="O494" s="5" t="s">
        <v>277</v>
      </c>
      <c r="P494" s="26">
        <v>6000</v>
      </c>
      <c r="Q494" s="140">
        <v>30</v>
      </c>
      <c r="R494" s="27">
        <f t="shared" si="26"/>
        <v>180000</v>
      </c>
      <c r="S494" s="28">
        <v>202306</v>
      </c>
      <c r="T494" s="184" t="s">
        <v>2920</v>
      </c>
      <c r="U494" s="184"/>
      <c r="V494" s="178">
        <v>28.656234740999999</v>
      </c>
      <c r="W494" s="188"/>
      <c r="X494" s="36">
        <v>44835</v>
      </c>
      <c r="Y494" s="36">
        <v>45199</v>
      </c>
      <c r="Z494" s="5" t="s">
        <v>2921</v>
      </c>
      <c r="AA494" s="45">
        <v>0.3</v>
      </c>
      <c r="AB494" s="34">
        <v>100</v>
      </c>
      <c r="AC494" s="178">
        <f t="shared" si="28"/>
        <v>30</v>
      </c>
    </row>
    <row r="495" spans="1:29" s="3" customFormat="1" ht="15" customHeight="1">
      <c r="A495" s="65" t="s">
        <v>871</v>
      </c>
      <c r="B495" s="65" t="s">
        <v>1732</v>
      </c>
      <c r="C495" s="65" t="s">
        <v>1387</v>
      </c>
      <c r="D495" s="65" t="s">
        <v>1791</v>
      </c>
      <c r="E495" s="65" t="s">
        <v>2910</v>
      </c>
      <c r="F495" s="65" t="s">
        <v>2911</v>
      </c>
      <c r="G495" s="65" t="s">
        <v>34</v>
      </c>
      <c r="H495" s="65" t="s">
        <v>2922</v>
      </c>
      <c r="I495" s="53" t="e">
        <f>VLOOKUP(H495,合同高级查询数据!$A$2:$A$51,1,FALSE)</f>
        <v>#N/A</v>
      </c>
      <c r="J495" s="65" t="s">
        <v>36</v>
      </c>
      <c r="K495" s="205" t="s">
        <v>1428</v>
      </c>
      <c r="L495" s="205" t="s">
        <v>1742</v>
      </c>
      <c r="M495" s="65" t="s">
        <v>1743</v>
      </c>
      <c r="N495" s="64">
        <v>44986</v>
      </c>
      <c r="O495" s="65" t="s">
        <v>1249</v>
      </c>
      <c r="P495" s="90">
        <v>6500</v>
      </c>
      <c r="Q495" s="99">
        <v>19.100000000000001</v>
      </c>
      <c r="R495" s="90">
        <f t="shared" si="26"/>
        <v>124150</v>
      </c>
      <c r="S495" s="59">
        <v>202306</v>
      </c>
      <c r="T495" s="210" t="s">
        <v>2923</v>
      </c>
      <c r="U495" s="210"/>
      <c r="V495" s="196">
        <v>19.093763351</v>
      </c>
      <c r="W495" s="103"/>
      <c r="X495" s="64"/>
      <c r="Y495" s="64"/>
      <c r="Z495" s="65" t="s">
        <v>2924</v>
      </c>
      <c r="AA495" s="200">
        <v>0.3</v>
      </c>
      <c r="AB495" s="104">
        <v>60</v>
      </c>
      <c r="AC495" s="196">
        <f t="shared" si="28"/>
        <v>18</v>
      </c>
    </row>
    <row r="496" spans="1:29" s="3" customFormat="1" ht="15" customHeight="1">
      <c r="A496" s="86" t="s">
        <v>871</v>
      </c>
      <c r="B496" s="65" t="s">
        <v>1732</v>
      </c>
      <c r="C496" s="65" t="s">
        <v>2757</v>
      </c>
      <c r="D496" s="65" t="s">
        <v>1791</v>
      </c>
      <c r="E496" s="65" t="s">
        <v>2925</v>
      </c>
      <c r="F496" s="65" t="s">
        <v>2926</v>
      </c>
      <c r="G496" s="86" t="s">
        <v>34</v>
      </c>
      <c r="H496" s="65" t="s">
        <v>2927</v>
      </c>
      <c r="I496" s="53" t="e">
        <f>VLOOKUP(H496,合同高级查询数据!$A$2:$A$51,1,FALSE)</f>
        <v>#N/A</v>
      </c>
      <c r="J496" s="51" t="s">
        <v>36</v>
      </c>
      <c r="K496" s="65" t="s">
        <v>2928</v>
      </c>
      <c r="L496" s="65" t="s">
        <v>2929</v>
      </c>
      <c r="M496" s="65" t="s">
        <v>2930</v>
      </c>
      <c r="N496" s="64">
        <v>44714</v>
      </c>
      <c r="O496" s="65" t="s">
        <v>277</v>
      </c>
      <c r="P496" s="98">
        <v>5200</v>
      </c>
      <c r="Q496" s="99">
        <v>31.5</v>
      </c>
      <c r="R496" s="58">
        <f t="shared" si="26"/>
        <v>163800</v>
      </c>
      <c r="S496" s="59">
        <v>202306</v>
      </c>
      <c r="T496" s="185" t="s">
        <v>2931</v>
      </c>
      <c r="U496" s="185"/>
      <c r="V496" s="196">
        <v>31.418073654000001</v>
      </c>
      <c r="W496" s="212"/>
      <c r="X496" s="64"/>
      <c r="Y496" s="64"/>
      <c r="Z496" s="65" t="s">
        <v>2932</v>
      </c>
      <c r="AA496" s="200">
        <v>0.3</v>
      </c>
      <c r="AB496" s="104">
        <v>100</v>
      </c>
      <c r="AC496" s="196">
        <f t="shared" si="28"/>
        <v>30</v>
      </c>
    </row>
    <row r="497" spans="1:29" s="2" customFormat="1" ht="15" customHeight="1">
      <c r="A497" s="7" t="s">
        <v>878</v>
      </c>
      <c r="B497" s="5" t="s">
        <v>1732</v>
      </c>
      <c r="C497" s="5" t="s">
        <v>1387</v>
      </c>
      <c r="D497" s="5" t="s">
        <v>1791</v>
      </c>
      <c r="E497" s="5" t="s">
        <v>2933</v>
      </c>
      <c r="F497" s="5" t="s">
        <v>2934</v>
      </c>
      <c r="G497" s="7" t="s">
        <v>34</v>
      </c>
      <c r="H497" s="5" t="s">
        <v>2935</v>
      </c>
      <c r="I497" s="11" t="e">
        <f>VLOOKUP(H497,合同高级查询数据!$A$2:$A$51,1,FALSE)</f>
        <v>#N/A</v>
      </c>
      <c r="J497" s="12" t="s">
        <v>36</v>
      </c>
      <c r="K497" s="5" t="s">
        <v>1428</v>
      </c>
      <c r="L497" s="5" t="s">
        <v>2936</v>
      </c>
      <c r="M497" s="5" t="s">
        <v>2937</v>
      </c>
      <c r="N497" s="36" t="s">
        <v>2938</v>
      </c>
      <c r="O497" s="5" t="s">
        <v>1880</v>
      </c>
      <c r="P497" s="26">
        <v>4700</v>
      </c>
      <c r="Q497" s="140">
        <v>0</v>
      </c>
      <c r="R497" s="27">
        <f t="shared" si="26"/>
        <v>0</v>
      </c>
      <c r="S497" s="28">
        <v>202306</v>
      </c>
      <c r="T497" s="184" t="s">
        <v>2939</v>
      </c>
      <c r="U497" s="184"/>
      <c r="V497" s="178">
        <v>0</v>
      </c>
      <c r="W497" s="188"/>
      <c r="X497" s="36">
        <v>44713</v>
      </c>
      <c r="Y497" s="36">
        <v>45077</v>
      </c>
      <c r="Z497" s="178">
        <v>0</v>
      </c>
      <c r="AA497" s="45">
        <v>0</v>
      </c>
      <c r="AB497" s="34">
        <v>0</v>
      </c>
      <c r="AC497" s="178">
        <f t="shared" si="28"/>
        <v>0</v>
      </c>
    </row>
    <row r="498" spans="1:29" s="2" customFormat="1" ht="15" customHeight="1">
      <c r="A498" s="203" t="s">
        <v>859</v>
      </c>
      <c r="B498" s="5" t="s">
        <v>1732</v>
      </c>
      <c r="C498" s="5" t="s">
        <v>214</v>
      </c>
      <c r="D498" s="5" t="s">
        <v>31</v>
      </c>
      <c r="E498" s="5" t="s">
        <v>2940</v>
      </c>
      <c r="F498" s="5" t="s">
        <v>2941</v>
      </c>
      <c r="G498" s="7" t="s">
        <v>34</v>
      </c>
      <c r="H498" s="5" t="s">
        <v>2942</v>
      </c>
      <c r="I498" s="11" t="e">
        <f>VLOOKUP(H498,合同高级查询数据!$A$2:$A$51,1,FALSE)</f>
        <v>#N/A</v>
      </c>
      <c r="J498" s="12" t="s">
        <v>36</v>
      </c>
      <c r="K498" s="5" t="s">
        <v>733</v>
      </c>
      <c r="L498" s="5" t="s">
        <v>2943</v>
      </c>
      <c r="M498" s="5" t="s">
        <v>2944</v>
      </c>
      <c r="N498" s="36">
        <v>44774</v>
      </c>
      <c r="O498" s="5" t="s">
        <v>2945</v>
      </c>
      <c r="P498" s="26">
        <v>7000</v>
      </c>
      <c r="Q498" s="140">
        <v>87</v>
      </c>
      <c r="R498" s="27">
        <f t="shared" si="26"/>
        <v>609000</v>
      </c>
      <c r="S498" s="28">
        <v>202306</v>
      </c>
      <c r="T498" s="184" t="s">
        <v>2946</v>
      </c>
      <c r="U498" s="184"/>
      <c r="V498" s="178">
        <v>86.995941161999994</v>
      </c>
      <c r="W498" s="188"/>
      <c r="X498" s="36">
        <v>44774</v>
      </c>
      <c r="Y498" s="36">
        <v>45138</v>
      </c>
      <c r="Z498" s="5" t="s">
        <v>2947</v>
      </c>
      <c r="AA498" s="45">
        <v>0.3</v>
      </c>
      <c r="AB498" s="34">
        <v>280</v>
      </c>
      <c r="AC498" s="178">
        <f t="shared" si="28"/>
        <v>84</v>
      </c>
    </row>
    <row r="499" spans="1:29" s="2" customFormat="1" ht="15" customHeight="1">
      <c r="A499" s="203" t="s">
        <v>859</v>
      </c>
      <c r="B499" s="5" t="s">
        <v>1732</v>
      </c>
      <c r="C499" s="5" t="s">
        <v>214</v>
      </c>
      <c r="D499" s="5" t="s">
        <v>31</v>
      </c>
      <c r="E499" s="5" t="s">
        <v>2940</v>
      </c>
      <c r="F499" s="5" t="s">
        <v>2941</v>
      </c>
      <c r="G499" s="7" t="s">
        <v>34</v>
      </c>
      <c r="H499" s="5" t="s">
        <v>2942</v>
      </c>
      <c r="I499" s="11" t="e">
        <f>VLOOKUP(H499,合同高级查询数据!$A$2:$A$51,1,FALSE)</f>
        <v>#N/A</v>
      </c>
      <c r="J499" s="12" t="s">
        <v>36</v>
      </c>
      <c r="K499" s="5" t="s">
        <v>733</v>
      </c>
      <c r="L499" s="5" t="s">
        <v>2943</v>
      </c>
      <c r="M499" s="5" t="s">
        <v>2944</v>
      </c>
      <c r="N499" s="36">
        <v>44774</v>
      </c>
      <c r="O499" s="5" t="s">
        <v>2945</v>
      </c>
      <c r="P499" s="26">
        <v>7000</v>
      </c>
      <c r="Q499" s="140">
        <v>2.4</v>
      </c>
      <c r="R499" s="27">
        <f t="shared" si="26"/>
        <v>16800</v>
      </c>
      <c r="S499" s="28">
        <v>202305</v>
      </c>
      <c r="T499" s="184" t="s">
        <v>2948</v>
      </c>
      <c r="U499" s="184"/>
      <c r="V499" s="178"/>
      <c r="W499" s="188"/>
      <c r="X499" s="36"/>
      <c r="Y499" s="36"/>
      <c r="Z499" s="5"/>
      <c r="AA499" s="45"/>
      <c r="AB499" s="34"/>
      <c r="AC499" s="178"/>
    </row>
    <row r="500" spans="1:29" s="2" customFormat="1" ht="15" customHeight="1">
      <c r="A500" s="203" t="s">
        <v>859</v>
      </c>
      <c r="B500" s="5" t="s">
        <v>1732</v>
      </c>
      <c r="C500" s="5" t="s">
        <v>214</v>
      </c>
      <c r="D500" s="5" t="s">
        <v>31</v>
      </c>
      <c r="E500" s="7" t="s">
        <v>2949</v>
      </c>
      <c r="F500" s="7" t="s">
        <v>2950</v>
      </c>
      <c r="G500" s="7" t="s">
        <v>34</v>
      </c>
      <c r="H500" s="11" t="s">
        <v>2951</v>
      </c>
      <c r="I500" s="11" t="e">
        <f>VLOOKUP(H500,合同高级查询数据!$A$2:$A$51,1,FALSE)</f>
        <v>#N/A</v>
      </c>
      <c r="J500" s="12" t="s">
        <v>36</v>
      </c>
      <c r="K500" s="7" t="s">
        <v>2012</v>
      </c>
      <c r="L500" s="174" t="s">
        <v>2952</v>
      </c>
      <c r="M500" s="16" t="s">
        <v>2953</v>
      </c>
      <c r="N500" s="36">
        <v>44835</v>
      </c>
      <c r="O500" s="5" t="s">
        <v>277</v>
      </c>
      <c r="P500" s="27">
        <v>6000</v>
      </c>
      <c r="Q500" s="140">
        <v>30</v>
      </c>
      <c r="R500" s="27">
        <f t="shared" si="26"/>
        <v>180000</v>
      </c>
      <c r="S500" s="28">
        <v>202306</v>
      </c>
      <c r="T500" s="184" t="s">
        <v>2954</v>
      </c>
      <c r="U500" s="184"/>
      <c r="V500" s="178">
        <v>29.365621567000002</v>
      </c>
      <c r="W500" s="35"/>
      <c r="X500" s="36">
        <v>44835</v>
      </c>
      <c r="Y500" s="36">
        <v>45199</v>
      </c>
      <c r="Z500" s="5" t="s">
        <v>2955</v>
      </c>
      <c r="AA500" s="45">
        <v>0.3</v>
      </c>
      <c r="AB500" s="34">
        <v>100</v>
      </c>
      <c r="AC500" s="178">
        <f t="shared" ref="AC500:AC507" si="29">AA500*AB500</f>
        <v>30</v>
      </c>
    </row>
    <row r="501" spans="1:29" s="2" customFormat="1" ht="15" customHeight="1">
      <c r="A501" s="203" t="s">
        <v>878</v>
      </c>
      <c r="B501" s="5" t="s">
        <v>1732</v>
      </c>
      <c r="C501" s="5" t="s">
        <v>214</v>
      </c>
      <c r="D501" s="5" t="s">
        <v>31</v>
      </c>
      <c r="E501" s="7" t="s">
        <v>2949</v>
      </c>
      <c r="F501" s="7" t="s">
        <v>2950</v>
      </c>
      <c r="G501" s="7" t="s">
        <v>34</v>
      </c>
      <c r="H501" s="11" t="s">
        <v>2956</v>
      </c>
      <c r="I501" s="11" t="e">
        <f>VLOOKUP(H501,合同高级查询数据!$A$2:$A$51,1,FALSE)</f>
        <v>#N/A</v>
      </c>
      <c r="J501" s="12" t="s">
        <v>36</v>
      </c>
      <c r="K501" s="7" t="s">
        <v>2012</v>
      </c>
      <c r="L501" s="174" t="s">
        <v>2957</v>
      </c>
      <c r="M501" s="5" t="s">
        <v>2958</v>
      </c>
      <c r="N501" s="36">
        <v>44835</v>
      </c>
      <c r="O501" s="5" t="s">
        <v>277</v>
      </c>
      <c r="P501" s="27">
        <v>4445.83</v>
      </c>
      <c r="Q501" s="140">
        <v>67.7</v>
      </c>
      <c r="R501" s="27">
        <f t="shared" si="26"/>
        <v>300982.69</v>
      </c>
      <c r="S501" s="28">
        <v>202306</v>
      </c>
      <c r="T501" s="184" t="s">
        <v>2959</v>
      </c>
      <c r="U501" s="184"/>
      <c r="V501" s="178">
        <v>67.62</v>
      </c>
      <c r="W501" s="35"/>
      <c r="X501" s="36">
        <v>44835</v>
      </c>
      <c r="Y501" s="36">
        <v>45199</v>
      </c>
      <c r="Z501" s="5" t="s">
        <v>2960</v>
      </c>
      <c r="AA501" s="45">
        <v>0.3</v>
      </c>
      <c r="AB501" s="34">
        <v>100</v>
      </c>
      <c r="AC501" s="178">
        <f t="shared" si="29"/>
        <v>30</v>
      </c>
    </row>
    <row r="502" spans="1:29" s="2" customFormat="1" ht="15" customHeight="1">
      <c r="A502" s="203" t="s">
        <v>871</v>
      </c>
      <c r="B502" s="5" t="s">
        <v>1732</v>
      </c>
      <c r="C502" s="5" t="s">
        <v>214</v>
      </c>
      <c r="D502" s="5" t="s">
        <v>31</v>
      </c>
      <c r="E502" s="7" t="s">
        <v>2949</v>
      </c>
      <c r="F502" s="7" t="s">
        <v>2950</v>
      </c>
      <c r="G502" s="7" t="s">
        <v>34</v>
      </c>
      <c r="H502" s="11" t="s">
        <v>2961</v>
      </c>
      <c r="I502" s="11" t="e">
        <f>VLOOKUP(H502,合同高级查询数据!$A$2:$A$51,1,FALSE)</f>
        <v>#N/A</v>
      </c>
      <c r="J502" s="12" t="s">
        <v>36</v>
      </c>
      <c r="K502" s="7" t="s">
        <v>2012</v>
      </c>
      <c r="L502" s="174" t="s">
        <v>2962</v>
      </c>
      <c r="M502" s="5" t="s">
        <v>2963</v>
      </c>
      <c r="N502" s="36">
        <v>44835</v>
      </c>
      <c r="O502" s="5" t="s">
        <v>1798</v>
      </c>
      <c r="P502" s="27">
        <v>5254.17</v>
      </c>
      <c r="Q502" s="140">
        <v>31.4</v>
      </c>
      <c r="R502" s="27">
        <f t="shared" si="26"/>
        <v>164980.94</v>
      </c>
      <c r="S502" s="28">
        <v>202306</v>
      </c>
      <c r="T502" s="184" t="s">
        <v>2964</v>
      </c>
      <c r="U502" s="184"/>
      <c r="V502" s="178">
        <v>31.31</v>
      </c>
      <c r="W502" s="35"/>
      <c r="X502" s="36">
        <v>44835</v>
      </c>
      <c r="Y502" s="36">
        <v>45199</v>
      </c>
      <c r="Z502" s="5" t="s">
        <v>2965</v>
      </c>
      <c r="AA502" s="45">
        <v>0.3</v>
      </c>
      <c r="AB502" s="34">
        <v>40</v>
      </c>
      <c r="AC502" s="178">
        <f t="shared" si="29"/>
        <v>12</v>
      </c>
    </row>
    <row r="503" spans="1:29" s="3" customFormat="1" ht="15" customHeight="1">
      <c r="A503" s="215" t="s">
        <v>859</v>
      </c>
      <c r="B503" s="65" t="s">
        <v>1732</v>
      </c>
      <c r="C503" s="65" t="s">
        <v>214</v>
      </c>
      <c r="D503" s="65" t="s">
        <v>31</v>
      </c>
      <c r="E503" s="86" t="s">
        <v>2949</v>
      </c>
      <c r="F503" s="86" t="s">
        <v>2950</v>
      </c>
      <c r="G503" s="86" t="s">
        <v>34</v>
      </c>
      <c r="H503" s="53" t="s">
        <v>2966</v>
      </c>
      <c r="I503" s="53" t="e">
        <f>VLOOKUP(H503,合同高级查询数据!$A$2:$A$51,1,FALSE)</f>
        <v>#N/A</v>
      </c>
      <c r="J503" s="51" t="s">
        <v>36</v>
      </c>
      <c r="K503" s="86" t="s">
        <v>2012</v>
      </c>
      <c r="L503" s="175" t="s">
        <v>2967</v>
      </c>
      <c r="M503" s="65" t="s">
        <v>2968</v>
      </c>
      <c r="N503" s="64">
        <v>45078</v>
      </c>
      <c r="O503" s="65" t="s">
        <v>222</v>
      </c>
      <c r="P503" s="58">
        <v>6200</v>
      </c>
      <c r="Q503" s="99">
        <v>7.3</v>
      </c>
      <c r="R503" s="58">
        <f t="shared" ref="R503:R566" si="30">ROUND(P503*Q503,2)</f>
        <v>45260</v>
      </c>
      <c r="S503" s="59">
        <v>202306</v>
      </c>
      <c r="T503" s="185" t="s">
        <v>1460</v>
      </c>
      <c r="U503" s="185"/>
      <c r="V503" s="196">
        <v>7.2658057210000004</v>
      </c>
      <c r="W503" s="103"/>
      <c r="X503" s="64"/>
      <c r="Y503" s="64"/>
      <c r="Z503" s="65" t="s">
        <v>2969</v>
      </c>
      <c r="AA503" s="200">
        <v>0.3</v>
      </c>
      <c r="AB503" s="104">
        <v>20</v>
      </c>
      <c r="AC503" s="104">
        <f t="shared" si="29"/>
        <v>6</v>
      </c>
    </row>
    <row r="504" spans="1:29" s="3" customFormat="1" ht="15" customHeight="1">
      <c r="A504" s="215" t="s">
        <v>878</v>
      </c>
      <c r="B504" s="65" t="s">
        <v>1732</v>
      </c>
      <c r="C504" s="65" t="s">
        <v>214</v>
      </c>
      <c r="D504" s="65" t="s">
        <v>31</v>
      </c>
      <c r="E504" s="86" t="s">
        <v>2949</v>
      </c>
      <c r="F504" s="86" t="s">
        <v>2950</v>
      </c>
      <c r="G504" s="86" t="s">
        <v>34</v>
      </c>
      <c r="H504" s="53" t="s">
        <v>2966</v>
      </c>
      <c r="I504" s="53" t="e">
        <f>VLOOKUP(H504,合同高级查询数据!$A$2:$A$51,1,FALSE)</f>
        <v>#N/A</v>
      </c>
      <c r="J504" s="51" t="s">
        <v>36</v>
      </c>
      <c r="K504" s="86" t="s">
        <v>2012</v>
      </c>
      <c r="L504" s="175" t="s">
        <v>2970</v>
      </c>
      <c r="M504" s="65" t="s">
        <v>2968</v>
      </c>
      <c r="N504" s="64">
        <v>45078</v>
      </c>
      <c r="O504" s="65" t="s">
        <v>222</v>
      </c>
      <c r="P504" s="58">
        <v>5000</v>
      </c>
      <c r="Q504" s="99">
        <v>6.6</v>
      </c>
      <c r="R504" s="58">
        <f t="shared" si="30"/>
        <v>33000</v>
      </c>
      <c r="S504" s="59">
        <v>202306</v>
      </c>
      <c r="T504" s="185" t="s">
        <v>1460</v>
      </c>
      <c r="U504" s="185"/>
      <c r="V504" s="196">
        <v>6.5667448039999998</v>
      </c>
      <c r="W504" s="103"/>
      <c r="X504" s="64"/>
      <c r="Y504" s="64"/>
      <c r="Z504" s="65" t="s">
        <v>2971</v>
      </c>
      <c r="AA504" s="200">
        <v>0.3</v>
      </c>
      <c r="AB504" s="104">
        <v>20</v>
      </c>
      <c r="AC504" s="104">
        <f t="shared" si="29"/>
        <v>6</v>
      </c>
    </row>
    <row r="505" spans="1:29" s="3" customFormat="1" ht="15" customHeight="1">
      <c r="A505" s="215" t="s">
        <v>871</v>
      </c>
      <c r="B505" s="65" t="s">
        <v>1732</v>
      </c>
      <c r="C505" s="65" t="s">
        <v>214</v>
      </c>
      <c r="D505" s="65" t="s">
        <v>31</v>
      </c>
      <c r="E505" s="86" t="s">
        <v>2949</v>
      </c>
      <c r="F505" s="86" t="s">
        <v>2950</v>
      </c>
      <c r="G505" s="86" t="s">
        <v>34</v>
      </c>
      <c r="H505" s="53" t="s">
        <v>2966</v>
      </c>
      <c r="I505" s="53" t="e">
        <f>VLOOKUP(H505,合同高级查询数据!$A$2:$A$51,1,FALSE)</f>
        <v>#N/A</v>
      </c>
      <c r="J505" s="51" t="s">
        <v>36</v>
      </c>
      <c r="K505" s="86" t="s">
        <v>2012</v>
      </c>
      <c r="L505" s="175" t="s">
        <v>2972</v>
      </c>
      <c r="M505" s="65" t="s">
        <v>2968</v>
      </c>
      <c r="N505" s="64">
        <v>45078</v>
      </c>
      <c r="O505" s="65" t="s">
        <v>542</v>
      </c>
      <c r="P505" s="58">
        <v>6200</v>
      </c>
      <c r="Q505" s="99">
        <v>3</v>
      </c>
      <c r="R505" s="58">
        <f t="shared" si="30"/>
        <v>18600</v>
      </c>
      <c r="S505" s="59">
        <v>202306</v>
      </c>
      <c r="T505" s="185" t="s">
        <v>2973</v>
      </c>
      <c r="U505" s="185"/>
      <c r="V505" s="196">
        <v>2.6020269389999999</v>
      </c>
      <c r="W505" s="103"/>
      <c r="X505" s="64"/>
      <c r="Y505" s="64"/>
      <c r="Z505" s="65" t="s">
        <v>2974</v>
      </c>
      <c r="AA505" s="200">
        <v>0.3</v>
      </c>
      <c r="AB505" s="104">
        <v>10</v>
      </c>
      <c r="AC505" s="104">
        <f t="shared" si="29"/>
        <v>3</v>
      </c>
    </row>
    <row r="506" spans="1:29" s="2" customFormat="1" ht="15" customHeight="1">
      <c r="A506" s="7" t="s">
        <v>878</v>
      </c>
      <c r="B506" s="5" t="s">
        <v>1732</v>
      </c>
      <c r="C506" s="5" t="s">
        <v>214</v>
      </c>
      <c r="D506" s="5" t="s">
        <v>31</v>
      </c>
      <c r="E506" s="7" t="s">
        <v>2975</v>
      </c>
      <c r="F506" s="7" t="s">
        <v>2976</v>
      </c>
      <c r="G506" s="7" t="s">
        <v>34</v>
      </c>
      <c r="H506" s="11" t="s">
        <v>2977</v>
      </c>
      <c r="I506" s="11" t="e">
        <f>VLOOKUP(H506,合同高级查询数据!$A$2:$A$51,1,FALSE)</f>
        <v>#N/A</v>
      </c>
      <c r="J506" s="12" t="s">
        <v>36</v>
      </c>
      <c r="K506" s="7" t="s">
        <v>767</v>
      </c>
      <c r="L506" s="178" t="s">
        <v>2978</v>
      </c>
      <c r="M506" s="16" t="s">
        <v>2979</v>
      </c>
      <c r="N506" s="36">
        <v>44835</v>
      </c>
      <c r="O506" s="5" t="s">
        <v>277</v>
      </c>
      <c r="P506" s="27">
        <v>4850</v>
      </c>
      <c r="Q506" s="140">
        <v>40.1</v>
      </c>
      <c r="R506" s="27">
        <f t="shared" si="30"/>
        <v>194485</v>
      </c>
      <c r="S506" s="28">
        <v>202306</v>
      </c>
      <c r="T506" s="184" t="s">
        <v>2980</v>
      </c>
      <c r="U506" s="184"/>
      <c r="V506" s="178">
        <v>40.101051331000001</v>
      </c>
      <c r="W506" s="35"/>
      <c r="X506" s="36">
        <v>44835</v>
      </c>
      <c r="Y506" s="36">
        <v>45199</v>
      </c>
      <c r="Z506" s="5" t="s">
        <v>2981</v>
      </c>
      <c r="AA506" s="45">
        <v>0.4</v>
      </c>
      <c r="AB506" s="34">
        <v>100</v>
      </c>
      <c r="AC506" s="178">
        <f t="shared" si="29"/>
        <v>40</v>
      </c>
    </row>
    <row r="507" spans="1:29" s="2" customFormat="1" ht="15" customHeight="1">
      <c r="A507" s="203" t="s">
        <v>878</v>
      </c>
      <c r="B507" s="5" t="s">
        <v>1732</v>
      </c>
      <c r="C507" s="5" t="s">
        <v>417</v>
      </c>
      <c r="D507" s="5" t="s">
        <v>1748</v>
      </c>
      <c r="E507" s="7" t="s">
        <v>2982</v>
      </c>
      <c r="F507" s="7" t="s">
        <v>2983</v>
      </c>
      <c r="G507" s="7" t="s">
        <v>34</v>
      </c>
      <c r="H507" s="11" t="s">
        <v>2984</v>
      </c>
      <c r="I507" s="11" t="str">
        <f>VLOOKUP(H507,合同高级查询数据!$A$2:$A$51,1,FALSE)</f>
        <v>182315IDC00257</v>
      </c>
      <c r="J507" s="12" t="s">
        <v>36</v>
      </c>
      <c r="K507" s="7" t="s">
        <v>575</v>
      </c>
      <c r="L507" s="178" t="s">
        <v>2985</v>
      </c>
      <c r="M507" s="16" t="s">
        <v>2986</v>
      </c>
      <c r="N507" s="36">
        <v>44927</v>
      </c>
      <c r="O507" s="5" t="s">
        <v>2987</v>
      </c>
      <c r="P507" s="27">
        <v>8100</v>
      </c>
      <c r="Q507" s="140">
        <v>0.03</v>
      </c>
      <c r="R507" s="27">
        <f t="shared" si="30"/>
        <v>243</v>
      </c>
      <c r="S507" s="28">
        <v>202306</v>
      </c>
      <c r="T507" s="184" t="s">
        <v>2988</v>
      </c>
      <c r="U507" s="184"/>
      <c r="V507" s="178">
        <v>1.4008414E-2</v>
      </c>
      <c r="W507" s="35"/>
      <c r="X507" s="192">
        <v>44927</v>
      </c>
      <c r="Y507" s="192">
        <v>45291</v>
      </c>
      <c r="Z507" s="5" t="s">
        <v>2989</v>
      </c>
      <c r="AA507" s="45">
        <v>0.1</v>
      </c>
      <c r="AB507" s="34">
        <v>0.3</v>
      </c>
      <c r="AC507" s="178">
        <f t="shared" si="29"/>
        <v>0.03</v>
      </c>
    </row>
    <row r="508" spans="1:29" s="2" customFormat="1" ht="15" customHeight="1">
      <c r="A508" s="203" t="s">
        <v>859</v>
      </c>
      <c r="B508" s="5" t="s">
        <v>1732</v>
      </c>
      <c r="C508" s="5" t="s">
        <v>860</v>
      </c>
      <c r="D508" s="5" t="s">
        <v>31</v>
      </c>
      <c r="E508" s="7" t="s">
        <v>2990</v>
      </c>
      <c r="F508" s="7" t="s">
        <v>2991</v>
      </c>
      <c r="G508" s="7" t="s">
        <v>34</v>
      </c>
      <c r="H508" s="11" t="s">
        <v>2992</v>
      </c>
      <c r="I508" s="11" t="str">
        <f>VLOOKUP(H508,合同高级查询数据!$A$2:$A$51,1,FALSE)</f>
        <v>182315IDC00231</v>
      </c>
      <c r="J508" s="12" t="s">
        <v>36</v>
      </c>
      <c r="K508" s="7" t="s">
        <v>2182</v>
      </c>
      <c r="L508" s="174" t="s">
        <v>2993</v>
      </c>
      <c r="M508" s="16" t="s">
        <v>2994</v>
      </c>
      <c r="N508" s="36">
        <v>44623</v>
      </c>
      <c r="O508" s="5" t="s">
        <v>458</v>
      </c>
      <c r="P508" s="27">
        <v>4166</v>
      </c>
      <c r="Q508" s="140">
        <v>0</v>
      </c>
      <c r="R508" s="27">
        <f t="shared" si="30"/>
        <v>0</v>
      </c>
      <c r="S508" s="28">
        <v>202306</v>
      </c>
      <c r="T508" s="184" t="s">
        <v>2995</v>
      </c>
      <c r="U508" s="184"/>
      <c r="V508" s="178">
        <v>0</v>
      </c>
      <c r="W508" s="191"/>
      <c r="X508" s="192">
        <v>44986</v>
      </c>
      <c r="Y508" s="192">
        <v>45351</v>
      </c>
      <c r="Z508" s="5" t="s">
        <v>2996</v>
      </c>
      <c r="AA508" s="45">
        <v>1</v>
      </c>
      <c r="AB508" s="34">
        <v>140</v>
      </c>
      <c r="AC508" s="34">
        <v>140</v>
      </c>
    </row>
    <row r="509" spans="1:29" s="2" customFormat="1" ht="15" customHeight="1">
      <c r="A509" s="203" t="s">
        <v>859</v>
      </c>
      <c r="B509" s="5" t="s">
        <v>1732</v>
      </c>
      <c r="C509" s="5" t="s">
        <v>860</v>
      </c>
      <c r="D509" s="5" t="s">
        <v>31</v>
      </c>
      <c r="E509" s="7" t="s">
        <v>2990</v>
      </c>
      <c r="F509" s="7" t="s">
        <v>2991</v>
      </c>
      <c r="G509" s="7" t="s">
        <v>34</v>
      </c>
      <c r="H509" s="11" t="s">
        <v>2997</v>
      </c>
      <c r="I509" s="11" t="e">
        <f>VLOOKUP(H509,合同高级查询数据!$A$2:$A$51,1,FALSE)</f>
        <v>#N/A</v>
      </c>
      <c r="J509" s="12" t="s">
        <v>36</v>
      </c>
      <c r="K509" s="7" t="s">
        <v>2182</v>
      </c>
      <c r="L509" s="174" t="s">
        <v>2998</v>
      </c>
      <c r="M509" s="16" t="s">
        <v>2999</v>
      </c>
      <c r="N509" s="36">
        <v>44448</v>
      </c>
      <c r="O509" s="5" t="s">
        <v>1941</v>
      </c>
      <c r="P509" s="27">
        <v>4000</v>
      </c>
      <c r="Q509" s="140">
        <v>80</v>
      </c>
      <c r="R509" s="27">
        <f t="shared" si="30"/>
        <v>320000</v>
      </c>
      <c r="S509" s="28">
        <v>202306</v>
      </c>
      <c r="T509" s="184" t="s">
        <v>3000</v>
      </c>
      <c r="U509" s="184"/>
      <c r="V509" s="178">
        <v>64.576850891000007</v>
      </c>
      <c r="W509" s="191"/>
      <c r="X509" s="36">
        <v>44805</v>
      </c>
      <c r="Y509" s="36">
        <v>45169</v>
      </c>
      <c r="Z509" s="5" t="s">
        <v>3001</v>
      </c>
      <c r="AA509" s="45">
        <v>1</v>
      </c>
      <c r="AB509" s="34">
        <v>80</v>
      </c>
      <c r="AC509" s="34">
        <v>80</v>
      </c>
    </row>
    <row r="510" spans="1:29" s="3" customFormat="1" ht="15" customHeight="1">
      <c r="A510" s="215" t="s">
        <v>859</v>
      </c>
      <c r="B510" s="65" t="s">
        <v>1732</v>
      </c>
      <c r="C510" s="65" t="s">
        <v>1747</v>
      </c>
      <c r="D510" s="65" t="s">
        <v>1748</v>
      </c>
      <c r="E510" s="86" t="s">
        <v>3002</v>
      </c>
      <c r="F510" s="86" t="s">
        <v>3003</v>
      </c>
      <c r="G510" s="86" t="s">
        <v>34</v>
      </c>
      <c r="H510" s="53" t="s">
        <v>3004</v>
      </c>
      <c r="I510" s="53" t="e">
        <f>VLOOKUP(H510,合同高级查询数据!$A$2:$A$51,1,FALSE)</f>
        <v>#N/A</v>
      </c>
      <c r="J510" s="51" t="s">
        <v>36</v>
      </c>
      <c r="K510" s="53" t="s">
        <v>3005</v>
      </c>
      <c r="L510" s="53" t="s">
        <v>3006</v>
      </c>
      <c r="M510" s="53" t="s">
        <v>3007</v>
      </c>
      <c r="N510" s="64">
        <v>45017</v>
      </c>
      <c r="O510" s="65" t="s">
        <v>2422</v>
      </c>
      <c r="P510" s="58">
        <v>4100</v>
      </c>
      <c r="Q510" s="99">
        <v>60</v>
      </c>
      <c r="R510" s="58">
        <f t="shared" si="30"/>
        <v>246000</v>
      </c>
      <c r="S510" s="59">
        <v>202306</v>
      </c>
      <c r="T510" s="185" t="s">
        <v>3008</v>
      </c>
      <c r="U510" s="185"/>
      <c r="V510" s="196">
        <v>58.304653168000002</v>
      </c>
      <c r="W510" s="103"/>
      <c r="X510" s="65"/>
      <c r="Y510" s="65"/>
      <c r="Z510" s="196" t="s">
        <v>3009</v>
      </c>
      <c r="AA510" s="201">
        <v>0.4</v>
      </c>
      <c r="AB510" s="196">
        <v>150</v>
      </c>
      <c r="AC510" s="196">
        <f t="shared" ref="AC510:AC573" si="31">AA510*AB510</f>
        <v>60</v>
      </c>
    </row>
    <row r="511" spans="1:29" s="3" customFormat="1" ht="15" customHeight="1">
      <c r="A511" s="215" t="s">
        <v>859</v>
      </c>
      <c r="B511" s="65" t="s">
        <v>1732</v>
      </c>
      <c r="C511" s="65" t="s">
        <v>1747</v>
      </c>
      <c r="D511" s="65" t="s">
        <v>1748</v>
      </c>
      <c r="E511" s="86" t="s">
        <v>3002</v>
      </c>
      <c r="F511" s="86" t="s">
        <v>3003</v>
      </c>
      <c r="G511" s="86" t="s">
        <v>34</v>
      </c>
      <c r="H511" s="53" t="s">
        <v>3004</v>
      </c>
      <c r="I511" s="53" t="e">
        <f>VLOOKUP(H511,合同高级查询数据!$A$2:$A$51,1,FALSE)</f>
        <v>#N/A</v>
      </c>
      <c r="J511" s="51" t="s">
        <v>36</v>
      </c>
      <c r="K511" s="53" t="s">
        <v>3005</v>
      </c>
      <c r="L511" s="53" t="s">
        <v>3010</v>
      </c>
      <c r="M511" s="53" t="s">
        <v>3007</v>
      </c>
      <c r="N511" s="64">
        <v>45017</v>
      </c>
      <c r="O511" s="65" t="s">
        <v>2422</v>
      </c>
      <c r="P511" s="58">
        <v>4100</v>
      </c>
      <c r="Q511" s="99">
        <v>60</v>
      </c>
      <c r="R511" s="58">
        <f t="shared" si="30"/>
        <v>246000</v>
      </c>
      <c r="S511" s="59">
        <v>202306</v>
      </c>
      <c r="T511" s="185" t="s">
        <v>3008</v>
      </c>
      <c r="U511" s="185"/>
      <c r="V511" s="196">
        <v>57.797382355000003</v>
      </c>
      <c r="W511" s="103"/>
      <c r="X511" s="65"/>
      <c r="Y511" s="65"/>
      <c r="Z511" s="196" t="s">
        <v>3011</v>
      </c>
      <c r="AA511" s="201">
        <v>0.4</v>
      </c>
      <c r="AB511" s="196">
        <v>150</v>
      </c>
      <c r="AC511" s="196">
        <f t="shared" si="31"/>
        <v>60</v>
      </c>
    </row>
    <row r="512" spans="1:29" s="3" customFormat="1" ht="15" customHeight="1">
      <c r="A512" s="215" t="s">
        <v>859</v>
      </c>
      <c r="B512" s="65" t="s">
        <v>1732</v>
      </c>
      <c r="C512" s="65" t="s">
        <v>417</v>
      </c>
      <c r="D512" s="65" t="s">
        <v>1748</v>
      </c>
      <c r="E512" s="86" t="s">
        <v>3012</v>
      </c>
      <c r="F512" s="86" t="s">
        <v>3013</v>
      </c>
      <c r="G512" s="86" t="s">
        <v>34</v>
      </c>
      <c r="H512" s="53" t="s">
        <v>3014</v>
      </c>
      <c r="I512" s="53" t="e">
        <f>VLOOKUP(H512,合同高级查询数据!$A$2:$A$51,1,FALSE)</f>
        <v>#N/A</v>
      </c>
      <c r="J512" s="51" t="s">
        <v>36</v>
      </c>
      <c r="K512" s="86" t="s">
        <v>839</v>
      </c>
      <c r="L512" s="175" t="s">
        <v>3015</v>
      </c>
      <c r="M512" s="54" t="s">
        <v>841</v>
      </c>
      <c r="N512" s="64">
        <v>45022</v>
      </c>
      <c r="O512" s="65" t="s">
        <v>434</v>
      </c>
      <c r="P512" s="58">
        <v>5416</v>
      </c>
      <c r="Q512" s="99">
        <v>80.400000000000006</v>
      </c>
      <c r="R512" s="58">
        <f t="shared" si="30"/>
        <v>435446.4</v>
      </c>
      <c r="S512" s="59">
        <v>202306</v>
      </c>
      <c r="T512" s="185" t="s">
        <v>3016</v>
      </c>
      <c r="U512" s="185"/>
      <c r="V512" s="196">
        <v>80.365737914999997</v>
      </c>
      <c r="W512" s="103"/>
      <c r="X512" s="64"/>
      <c r="Y512" s="64"/>
      <c r="Z512" s="196" t="s">
        <v>3017</v>
      </c>
      <c r="AA512" s="201">
        <v>0.4</v>
      </c>
      <c r="AB512" s="196">
        <v>200</v>
      </c>
      <c r="AC512" s="196">
        <f t="shared" si="31"/>
        <v>80</v>
      </c>
    </row>
    <row r="513" spans="1:29" s="3" customFormat="1" ht="15" customHeight="1">
      <c r="A513" s="215" t="s">
        <v>871</v>
      </c>
      <c r="B513" s="65" t="s">
        <v>1732</v>
      </c>
      <c r="C513" s="65" t="s">
        <v>417</v>
      </c>
      <c r="D513" s="65" t="s">
        <v>1748</v>
      </c>
      <c r="E513" s="86" t="s">
        <v>3012</v>
      </c>
      <c r="F513" s="86" t="s">
        <v>3013</v>
      </c>
      <c r="G513" s="86" t="s">
        <v>34</v>
      </c>
      <c r="H513" s="53" t="s">
        <v>3014</v>
      </c>
      <c r="I513" s="53" t="e">
        <f>VLOOKUP(H513,合同高级查询数据!$A$2:$A$51,1,FALSE)</f>
        <v>#N/A</v>
      </c>
      <c r="J513" s="51" t="s">
        <v>36</v>
      </c>
      <c r="K513" s="86" t="s">
        <v>839</v>
      </c>
      <c r="L513" s="175" t="s">
        <v>3018</v>
      </c>
      <c r="M513" s="54" t="s">
        <v>841</v>
      </c>
      <c r="N513" s="64">
        <v>45022</v>
      </c>
      <c r="O513" s="65" t="s">
        <v>670</v>
      </c>
      <c r="P513" s="58">
        <v>5416</v>
      </c>
      <c r="Q513" s="99">
        <v>50</v>
      </c>
      <c r="R513" s="58">
        <f t="shared" si="30"/>
        <v>270800</v>
      </c>
      <c r="S513" s="59">
        <v>202306</v>
      </c>
      <c r="T513" s="185" t="s">
        <v>3019</v>
      </c>
      <c r="U513" s="185"/>
      <c r="V513" s="196">
        <v>49.913734435999999</v>
      </c>
      <c r="W513" s="103"/>
      <c r="X513" s="64"/>
      <c r="Y513" s="64"/>
      <c r="Z513" s="196" t="s">
        <v>3020</v>
      </c>
      <c r="AA513" s="201">
        <v>0.4</v>
      </c>
      <c r="AB513" s="196">
        <v>120</v>
      </c>
      <c r="AC513" s="196">
        <f t="shared" si="31"/>
        <v>48</v>
      </c>
    </row>
    <row r="514" spans="1:29" s="3" customFormat="1" ht="15" customHeight="1">
      <c r="A514" s="215" t="s">
        <v>871</v>
      </c>
      <c r="B514" s="65" t="s">
        <v>1732</v>
      </c>
      <c r="C514" s="65" t="s">
        <v>417</v>
      </c>
      <c r="D514" s="65" t="s">
        <v>1748</v>
      </c>
      <c r="E514" s="86" t="s">
        <v>3021</v>
      </c>
      <c r="F514" s="86" t="s">
        <v>3022</v>
      </c>
      <c r="G514" s="86" t="s">
        <v>34</v>
      </c>
      <c r="H514" s="53" t="s">
        <v>3023</v>
      </c>
      <c r="I514" s="53" t="e">
        <f>VLOOKUP(H514,合同高级查询数据!$A$2:$A$51,1,FALSE)</f>
        <v>#N/A</v>
      </c>
      <c r="J514" s="51" t="s">
        <v>36</v>
      </c>
      <c r="K514" s="86" t="s">
        <v>575</v>
      </c>
      <c r="L514" s="196" t="s">
        <v>3024</v>
      </c>
      <c r="M514" s="54" t="s">
        <v>3025</v>
      </c>
      <c r="N514" s="64" t="s">
        <v>3026</v>
      </c>
      <c r="O514" s="65" t="s">
        <v>969</v>
      </c>
      <c r="P514" s="58">
        <v>5530</v>
      </c>
      <c r="Q514" s="99">
        <v>86.2</v>
      </c>
      <c r="R514" s="58">
        <f t="shared" si="30"/>
        <v>476686</v>
      </c>
      <c r="S514" s="59">
        <v>202306</v>
      </c>
      <c r="T514" s="185" t="s">
        <v>3027</v>
      </c>
      <c r="U514" s="185"/>
      <c r="V514" s="196">
        <v>86.142532349000007</v>
      </c>
      <c r="W514" s="103"/>
      <c r="X514" s="65"/>
      <c r="Y514" s="65"/>
      <c r="Z514" s="65" t="s">
        <v>3028</v>
      </c>
      <c r="AA514" s="200">
        <v>0.3</v>
      </c>
      <c r="AB514" s="104">
        <v>200</v>
      </c>
      <c r="AC514" s="196">
        <f t="shared" si="31"/>
        <v>60</v>
      </c>
    </row>
    <row r="515" spans="1:29" s="2" customFormat="1" ht="15" customHeight="1">
      <c r="A515" s="203" t="s">
        <v>878</v>
      </c>
      <c r="B515" s="5" t="s">
        <v>1732</v>
      </c>
      <c r="C515" s="5" t="s">
        <v>417</v>
      </c>
      <c r="D515" s="5" t="s">
        <v>1748</v>
      </c>
      <c r="E515" s="7" t="s">
        <v>3021</v>
      </c>
      <c r="F515" s="7" t="s">
        <v>3022</v>
      </c>
      <c r="G515" s="7" t="s">
        <v>34</v>
      </c>
      <c r="H515" s="11" t="s">
        <v>3029</v>
      </c>
      <c r="I515" s="11" t="str">
        <f>VLOOKUP(H515,合同高级查询数据!$A$2:$A$51,1,FALSE)</f>
        <v>182315IDC00261</v>
      </c>
      <c r="J515" s="12" t="s">
        <v>36</v>
      </c>
      <c r="K515" s="7" t="s">
        <v>575</v>
      </c>
      <c r="L515" s="178" t="s">
        <v>3030</v>
      </c>
      <c r="M515" s="16" t="s">
        <v>3031</v>
      </c>
      <c r="N515" s="36" t="s">
        <v>3026</v>
      </c>
      <c r="O515" s="5" t="s">
        <v>969</v>
      </c>
      <c r="P515" s="27">
        <v>4810</v>
      </c>
      <c r="Q515" s="140">
        <v>112.2</v>
      </c>
      <c r="R515" s="27">
        <f t="shared" si="30"/>
        <v>539682</v>
      </c>
      <c r="S515" s="28">
        <v>202306</v>
      </c>
      <c r="T515" s="184" t="s">
        <v>3027</v>
      </c>
      <c r="U515" s="184"/>
      <c r="V515" s="178">
        <v>112.132553101</v>
      </c>
      <c r="W515" s="35"/>
      <c r="X515" s="192">
        <v>45017</v>
      </c>
      <c r="Y515" s="192">
        <v>45382</v>
      </c>
      <c r="Z515" s="178" t="s">
        <v>3032</v>
      </c>
      <c r="AA515" s="45">
        <v>0.3</v>
      </c>
      <c r="AB515" s="34">
        <v>200</v>
      </c>
      <c r="AC515" s="178">
        <f t="shared" si="31"/>
        <v>60</v>
      </c>
    </row>
    <row r="516" spans="1:29" s="3" customFormat="1" ht="15" customHeight="1">
      <c r="A516" s="86" t="s">
        <v>878</v>
      </c>
      <c r="B516" s="65" t="s">
        <v>1732</v>
      </c>
      <c r="C516" s="65" t="s">
        <v>1790</v>
      </c>
      <c r="D516" s="65" t="s">
        <v>1791</v>
      </c>
      <c r="E516" s="86" t="s">
        <v>3033</v>
      </c>
      <c r="F516" s="86" t="s">
        <v>3034</v>
      </c>
      <c r="G516" s="85" t="s">
        <v>34</v>
      </c>
      <c r="H516" s="53" t="s">
        <v>3035</v>
      </c>
      <c r="I516" s="53" t="e">
        <f>VLOOKUP(H516,合同高级查询数据!$A$2:$A$51,1,FALSE)</f>
        <v>#N/A</v>
      </c>
      <c r="J516" s="51" t="s">
        <v>1359</v>
      </c>
      <c r="K516" s="85" t="s">
        <v>2865</v>
      </c>
      <c r="L516" s="227" t="s">
        <v>3036</v>
      </c>
      <c r="M516" s="54" t="s">
        <v>3037</v>
      </c>
      <c r="N516" s="64" t="s">
        <v>3038</v>
      </c>
      <c r="O516" s="228" t="s">
        <v>3039</v>
      </c>
      <c r="P516" s="58">
        <v>6700</v>
      </c>
      <c r="Q516" s="99">
        <v>22.4</v>
      </c>
      <c r="R516" s="58">
        <f t="shared" si="30"/>
        <v>150080</v>
      </c>
      <c r="S516" s="59">
        <v>202306</v>
      </c>
      <c r="T516" s="229" t="s">
        <v>3040</v>
      </c>
      <c r="U516" s="185"/>
      <c r="V516" s="196">
        <v>15.915361495000001</v>
      </c>
      <c r="W516" s="103"/>
      <c r="X516" s="64"/>
      <c r="Y516" s="64"/>
      <c r="Z516" s="65" t="s">
        <v>3041</v>
      </c>
      <c r="AA516" s="200">
        <v>0.4</v>
      </c>
      <c r="AB516" s="104">
        <v>60</v>
      </c>
      <c r="AC516" s="104">
        <f t="shared" si="31"/>
        <v>24</v>
      </c>
    </row>
    <row r="517" spans="1:29" s="3" customFormat="1" ht="15" customHeight="1">
      <c r="A517" s="215" t="s">
        <v>878</v>
      </c>
      <c r="B517" s="65" t="s">
        <v>1732</v>
      </c>
      <c r="C517" s="65" t="s">
        <v>1308</v>
      </c>
      <c r="D517" s="65" t="s">
        <v>31</v>
      </c>
      <c r="E517" s="86" t="s">
        <v>3042</v>
      </c>
      <c r="F517" s="86" t="s">
        <v>3043</v>
      </c>
      <c r="G517" s="86" t="s">
        <v>34</v>
      </c>
      <c r="H517" s="53" t="s">
        <v>3044</v>
      </c>
      <c r="I517" s="53" t="e">
        <f>VLOOKUP(H517,合同高级查询数据!$A$2:$A$51,1,FALSE)</f>
        <v>#N/A</v>
      </c>
      <c r="J517" s="51" t="s">
        <v>36</v>
      </c>
      <c r="K517" s="53" t="s">
        <v>1727</v>
      </c>
      <c r="L517" s="53" t="s">
        <v>3045</v>
      </c>
      <c r="M517" s="53" t="s">
        <v>3046</v>
      </c>
      <c r="N517" s="64">
        <v>45017</v>
      </c>
      <c r="O517" s="65" t="s">
        <v>434</v>
      </c>
      <c r="P517" s="58">
        <v>4500</v>
      </c>
      <c r="Q517" s="99">
        <v>85.9</v>
      </c>
      <c r="R517" s="58">
        <f t="shared" si="30"/>
        <v>386550</v>
      </c>
      <c r="S517" s="59">
        <v>202306</v>
      </c>
      <c r="T517" s="185" t="s">
        <v>3047</v>
      </c>
      <c r="U517" s="185"/>
      <c r="V517" s="196">
        <v>85.822067261000001</v>
      </c>
      <c r="W517" s="103"/>
      <c r="X517" s="65"/>
      <c r="Y517" s="65"/>
      <c r="Z517" s="196" t="s">
        <v>3048</v>
      </c>
      <c r="AA517" s="201">
        <v>0.4</v>
      </c>
      <c r="AB517" s="196">
        <v>200</v>
      </c>
      <c r="AC517" s="196">
        <f t="shared" si="31"/>
        <v>80</v>
      </c>
    </row>
    <row r="518" spans="1:29" s="3" customFormat="1" ht="15" customHeight="1">
      <c r="A518" s="215" t="s">
        <v>878</v>
      </c>
      <c r="B518" s="85" t="s">
        <v>1732</v>
      </c>
      <c r="C518" s="65" t="s">
        <v>2374</v>
      </c>
      <c r="D518" s="226" t="s">
        <v>1791</v>
      </c>
      <c r="E518" s="86" t="s">
        <v>3042</v>
      </c>
      <c r="F518" s="86" t="s">
        <v>3043</v>
      </c>
      <c r="G518" s="86" t="s">
        <v>34</v>
      </c>
      <c r="H518" s="65" t="s">
        <v>3049</v>
      </c>
      <c r="I518" s="53" t="e">
        <f>VLOOKUP(H518,合同高级查询数据!$A$2:$A$51,1,FALSE)</f>
        <v>#N/A</v>
      </c>
      <c r="J518" s="51" t="s">
        <v>36</v>
      </c>
      <c r="K518" s="65" t="s">
        <v>2376</v>
      </c>
      <c r="L518" s="65" t="s">
        <v>3050</v>
      </c>
      <c r="M518" s="65" t="s">
        <v>3051</v>
      </c>
      <c r="N518" s="64">
        <v>45078</v>
      </c>
      <c r="O518" s="65" t="s">
        <v>277</v>
      </c>
      <c r="P518" s="98">
        <v>4800</v>
      </c>
      <c r="Q518" s="98">
        <v>43.9</v>
      </c>
      <c r="R518" s="58">
        <f t="shared" si="30"/>
        <v>210720</v>
      </c>
      <c r="S518" s="59">
        <v>202306</v>
      </c>
      <c r="T518" s="185" t="s">
        <v>3052</v>
      </c>
      <c r="U518" s="185"/>
      <c r="V518" s="196">
        <v>43.835735321000001</v>
      </c>
      <c r="W518" s="212"/>
      <c r="X518" s="64"/>
      <c r="Y518" s="64"/>
      <c r="Z518" s="65" t="s">
        <v>3053</v>
      </c>
      <c r="AA518" s="200">
        <v>0.4</v>
      </c>
      <c r="AB518" s="104">
        <v>100</v>
      </c>
      <c r="AC518" s="240">
        <f t="shared" si="31"/>
        <v>40</v>
      </c>
    </row>
    <row r="519" spans="1:29" s="3" customFormat="1" ht="15" customHeight="1">
      <c r="A519" s="65" t="s">
        <v>859</v>
      </c>
      <c r="B519" s="85" t="s">
        <v>1732</v>
      </c>
      <c r="C519" s="86" t="s">
        <v>2017</v>
      </c>
      <c r="D519" s="226" t="s">
        <v>1748</v>
      </c>
      <c r="E519" s="65" t="s">
        <v>32</v>
      </c>
      <c r="F519" s="65" t="s">
        <v>33</v>
      </c>
      <c r="G519" s="65" t="s">
        <v>34</v>
      </c>
      <c r="H519" s="53" t="s">
        <v>3054</v>
      </c>
      <c r="I519" s="53" t="e">
        <f>VLOOKUP(H519,合同高级查询数据!$A$2:$A$51,1,FALSE)</f>
        <v>#N/A</v>
      </c>
      <c r="J519" s="88" t="s">
        <v>36</v>
      </c>
      <c r="K519" s="65" t="s">
        <v>2019</v>
      </c>
      <c r="L519" s="53" t="s">
        <v>3055</v>
      </c>
      <c r="M519" s="65" t="s">
        <v>3056</v>
      </c>
      <c r="N519" s="89">
        <v>44682</v>
      </c>
      <c r="O519" s="65" t="s">
        <v>277</v>
      </c>
      <c r="P519" s="98">
        <v>5700</v>
      </c>
      <c r="Q519" s="99">
        <v>30</v>
      </c>
      <c r="R519" s="58">
        <f t="shared" si="30"/>
        <v>171000</v>
      </c>
      <c r="S519" s="59">
        <v>202306</v>
      </c>
      <c r="T519" s="231" t="s">
        <v>3057</v>
      </c>
      <c r="U519" s="97"/>
      <c r="V519" s="196">
        <v>29.815294265999999</v>
      </c>
      <c r="W519" s="103"/>
      <c r="X519" s="64"/>
      <c r="Y519" s="64"/>
      <c r="Z519" s="107" t="s">
        <v>3058</v>
      </c>
      <c r="AA519" s="236">
        <v>0.3</v>
      </c>
      <c r="AB519" s="237">
        <v>100</v>
      </c>
      <c r="AC519" s="196">
        <f t="shared" si="31"/>
        <v>30</v>
      </c>
    </row>
    <row r="520" spans="1:29" s="3" customFormat="1" ht="15" customHeight="1">
      <c r="A520" s="65" t="s">
        <v>859</v>
      </c>
      <c r="B520" s="85" t="s">
        <v>1732</v>
      </c>
      <c r="C520" s="86" t="s">
        <v>860</v>
      </c>
      <c r="D520" s="226" t="s">
        <v>1748</v>
      </c>
      <c r="E520" s="65" t="s">
        <v>32</v>
      </c>
      <c r="F520" s="65" t="s">
        <v>33</v>
      </c>
      <c r="G520" s="65" t="s">
        <v>34</v>
      </c>
      <c r="H520" s="53" t="s">
        <v>3054</v>
      </c>
      <c r="I520" s="53" t="e">
        <f>VLOOKUP(H520,合同高级查询数据!$A$2:$A$51,1,FALSE)</f>
        <v>#N/A</v>
      </c>
      <c r="J520" s="88" t="s">
        <v>36</v>
      </c>
      <c r="K520" s="65" t="s">
        <v>1099</v>
      </c>
      <c r="L520" s="53" t="s">
        <v>3059</v>
      </c>
      <c r="M520" s="65" t="s">
        <v>3060</v>
      </c>
      <c r="N520" s="89" t="s">
        <v>3061</v>
      </c>
      <c r="O520" s="65" t="s">
        <v>1880</v>
      </c>
      <c r="P520" s="98">
        <v>5000</v>
      </c>
      <c r="Q520" s="99">
        <v>0</v>
      </c>
      <c r="R520" s="58">
        <f t="shared" si="30"/>
        <v>0</v>
      </c>
      <c r="S520" s="59">
        <v>202306</v>
      </c>
      <c r="T520" s="231" t="s">
        <v>3062</v>
      </c>
      <c r="U520" s="97"/>
      <c r="V520" s="196">
        <v>0</v>
      </c>
      <c r="W520" s="103"/>
      <c r="X520" s="64"/>
      <c r="Y520" s="64"/>
      <c r="Z520" s="196">
        <v>0</v>
      </c>
      <c r="AA520" s="236">
        <v>0</v>
      </c>
      <c r="AB520" s="237">
        <v>0</v>
      </c>
      <c r="AC520" s="196">
        <f t="shared" si="31"/>
        <v>0</v>
      </c>
    </row>
    <row r="521" spans="1:29" s="3" customFormat="1" ht="15" customHeight="1">
      <c r="A521" s="65" t="s">
        <v>859</v>
      </c>
      <c r="B521" s="85" t="s">
        <v>1732</v>
      </c>
      <c r="C521" s="86" t="s">
        <v>2374</v>
      </c>
      <c r="D521" s="226" t="s">
        <v>1748</v>
      </c>
      <c r="E521" s="65" t="s">
        <v>32</v>
      </c>
      <c r="F521" s="65" t="s">
        <v>33</v>
      </c>
      <c r="G521" s="65" t="s">
        <v>34</v>
      </c>
      <c r="H521" s="53" t="s">
        <v>3063</v>
      </c>
      <c r="I521" s="53" t="e">
        <f>VLOOKUP(H521,合同高级查询数据!$A$2:$A$51,1,FALSE)</f>
        <v>#N/A</v>
      </c>
      <c r="J521" s="88" t="s">
        <v>36</v>
      </c>
      <c r="K521" s="65" t="s">
        <v>2376</v>
      </c>
      <c r="L521" s="53" t="s">
        <v>3064</v>
      </c>
      <c r="M521" s="65" t="s">
        <v>3065</v>
      </c>
      <c r="N521" s="89">
        <v>44682</v>
      </c>
      <c r="O521" s="65" t="s">
        <v>277</v>
      </c>
      <c r="P521" s="98">
        <v>5500</v>
      </c>
      <c r="Q521" s="99">
        <v>31.9</v>
      </c>
      <c r="R521" s="58">
        <f t="shared" si="30"/>
        <v>175450</v>
      </c>
      <c r="S521" s="59">
        <v>202306</v>
      </c>
      <c r="T521" s="231" t="s">
        <v>3066</v>
      </c>
      <c r="U521" s="97"/>
      <c r="V521" s="196">
        <v>31.904666900999999</v>
      </c>
      <c r="W521" s="103"/>
      <c r="X521" s="64"/>
      <c r="Y521" s="64"/>
      <c r="Z521" s="107" t="s">
        <v>3067</v>
      </c>
      <c r="AA521" s="236">
        <v>0.3</v>
      </c>
      <c r="AB521" s="237">
        <v>100</v>
      </c>
      <c r="AC521" s="196">
        <f t="shared" si="31"/>
        <v>30</v>
      </c>
    </row>
    <row r="522" spans="1:29" s="3" customFormat="1" ht="15" customHeight="1">
      <c r="A522" s="65" t="s">
        <v>859</v>
      </c>
      <c r="B522" s="85" t="s">
        <v>1732</v>
      </c>
      <c r="C522" s="86" t="s">
        <v>1790</v>
      </c>
      <c r="D522" s="226" t="s">
        <v>1748</v>
      </c>
      <c r="E522" s="65" t="s">
        <v>32</v>
      </c>
      <c r="F522" s="65" t="s">
        <v>33</v>
      </c>
      <c r="G522" s="65" t="s">
        <v>34</v>
      </c>
      <c r="H522" s="53" t="s">
        <v>3063</v>
      </c>
      <c r="I522" s="53" t="e">
        <f>VLOOKUP(H522,合同高级查询数据!$A$2:$A$51,1,FALSE)</f>
        <v>#N/A</v>
      </c>
      <c r="J522" s="88" t="s">
        <v>36</v>
      </c>
      <c r="K522" s="65" t="s">
        <v>2865</v>
      </c>
      <c r="L522" s="53" t="s">
        <v>3068</v>
      </c>
      <c r="M522" s="65" t="s">
        <v>3069</v>
      </c>
      <c r="N522" s="89" t="s">
        <v>3061</v>
      </c>
      <c r="O522" s="65" t="s">
        <v>1880</v>
      </c>
      <c r="P522" s="98">
        <v>5000</v>
      </c>
      <c r="Q522" s="99">
        <v>0</v>
      </c>
      <c r="R522" s="58">
        <f t="shared" si="30"/>
        <v>0</v>
      </c>
      <c r="S522" s="59">
        <v>202306</v>
      </c>
      <c r="T522" s="231" t="s">
        <v>3062</v>
      </c>
      <c r="U522" s="97"/>
      <c r="V522" s="196">
        <v>0</v>
      </c>
      <c r="W522" s="103"/>
      <c r="X522" s="64"/>
      <c r="Y522" s="64"/>
      <c r="Z522" s="196">
        <v>0</v>
      </c>
      <c r="AA522" s="236">
        <v>0</v>
      </c>
      <c r="AB522" s="237">
        <v>0</v>
      </c>
      <c r="AC522" s="196">
        <f t="shared" si="31"/>
        <v>0</v>
      </c>
    </row>
    <row r="523" spans="1:29" s="3" customFormat="1" ht="15" customHeight="1">
      <c r="A523" s="65" t="s">
        <v>859</v>
      </c>
      <c r="B523" s="85" t="s">
        <v>1732</v>
      </c>
      <c r="C523" s="86" t="s">
        <v>2017</v>
      </c>
      <c r="D523" s="226" t="s">
        <v>1748</v>
      </c>
      <c r="E523" s="65" t="s">
        <v>32</v>
      </c>
      <c r="F523" s="65" t="s">
        <v>33</v>
      </c>
      <c r="G523" s="65" t="s">
        <v>34</v>
      </c>
      <c r="H523" s="53" t="s">
        <v>3070</v>
      </c>
      <c r="I523" s="53" t="e">
        <f>VLOOKUP(H523,合同高级查询数据!$A$2:$A$51,1,FALSE)</f>
        <v>#N/A</v>
      </c>
      <c r="J523" s="88" t="s">
        <v>36</v>
      </c>
      <c r="K523" s="65" t="s">
        <v>2019</v>
      </c>
      <c r="L523" s="53" t="s">
        <v>3071</v>
      </c>
      <c r="M523" s="65" t="s">
        <v>3056</v>
      </c>
      <c r="N523" s="89">
        <v>44835</v>
      </c>
      <c r="O523" s="65" t="s">
        <v>434</v>
      </c>
      <c r="P523" s="98">
        <v>5700</v>
      </c>
      <c r="Q523" s="99">
        <v>61</v>
      </c>
      <c r="R523" s="58">
        <f t="shared" si="30"/>
        <v>347700</v>
      </c>
      <c r="S523" s="59">
        <v>202306</v>
      </c>
      <c r="T523" s="231" t="s">
        <v>3072</v>
      </c>
      <c r="U523" s="97"/>
      <c r="V523" s="196">
        <v>61.039207458</v>
      </c>
      <c r="W523" s="103"/>
      <c r="X523" s="64"/>
      <c r="Y523" s="64"/>
      <c r="Z523" s="107" t="s">
        <v>3073</v>
      </c>
      <c r="AA523" s="236">
        <v>0.3</v>
      </c>
      <c r="AB523" s="237">
        <v>200</v>
      </c>
      <c r="AC523" s="196">
        <f t="shared" si="31"/>
        <v>60</v>
      </c>
    </row>
    <row r="524" spans="1:29" s="3" customFormat="1" ht="15" customHeight="1">
      <c r="A524" s="65" t="s">
        <v>859</v>
      </c>
      <c r="B524" s="85" t="s">
        <v>1732</v>
      </c>
      <c r="C524" s="86" t="s">
        <v>860</v>
      </c>
      <c r="D524" s="226" t="s">
        <v>1748</v>
      </c>
      <c r="E524" s="65" t="s">
        <v>32</v>
      </c>
      <c r="F524" s="65" t="s">
        <v>33</v>
      </c>
      <c r="G524" s="65" t="s">
        <v>34</v>
      </c>
      <c r="H524" s="53" t="s">
        <v>3070</v>
      </c>
      <c r="I524" s="53" t="e">
        <f>VLOOKUP(H524,合同高级查询数据!$A$2:$A$51,1,FALSE)</f>
        <v>#N/A</v>
      </c>
      <c r="J524" s="88" t="s">
        <v>36</v>
      </c>
      <c r="K524" s="65" t="s">
        <v>1099</v>
      </c>
      <c r="L524" s="53" t="s">
        <v>3074</v>
      </c>
      <c r="M524" s="65" t="s">
        <v>3075</v>
      </c>
      <c r="N524" s="89" t="s">
        <v>3076</v>
      </c>
      <c r="O524" s="65" t="s">
        <v>1329</v>
      </c>
      <c r="P524" s="98">
        <v>5000</v>
      </c>
      <c r="Q524" s="99">
        <v>0</v>
      </c>
      <c r="R524" s="58">
        <f t="shared" si="30"/>
        <v>0</v>
      </c>
      <c r="S524" s="59">
        <v>202306</v>
      </c>
      <c r="T524" s="231" t="s">
        <v>3077</v>
      </c>
      <c r="U524" s="97"/>
      <c r="V524" s="196">
        <v>0</v>
      </c>
      <c r="W524" s="103"/>
      <c r="X524" s="64"/>
      <c r="Y524" s="64"/>
      <c r="Z524" s="196">
        <v>0</v>
      </c>
      <c r="AA524" s="236">
        <v>0</v>
      </c>
      <c r="AB524" s="237">
        <v>0</v>
      </c>
      <c r="AC524" s="196">
        <f t="shared" si="31"/>
        <v>0</v>
      </c>
    </row>
    <row r="525" spans="1:29" s="2" customFormat="1" ht="15" customHeight="1">
      <c r="A525" s="5" t="s">
        <v>878</v>
      </c>
      <c r="B525" s="6" t="s">
        <v>1732</v>
      </c>
      <c r="C525" s="7" t="s">
        <v>1790</v>
      </c>
      <c r="D525" s="216" t="s">
        <v>1748</v>
      </c>
      <c r="E525" s="5" t="s">
        <v>82</v>
      </c>
      <c r="F525" s="5" t="s">
        <v>83</v>
      </c>
      <c r="G525" s="5" t="s">
        <v>34</v>
      </c>
      <c r="H525" s="11" t="s">
        <v>3078</v>
      </c>
      <c r="I525" s="11" t="e">
        <f>VLOOKUP(H525,合同高级查询数据!$A$2:$A$51,1,FALSE)</f>
        <v>#N/A</v>
      </c>
      <c r="J525" s="14" t="s">
        <v>36</v>
      </c>
      <c r="K525" s="5" t="s">
        <v>2865</v>
      </c>
      <c r="L525" s="11" t="s">
        <v>3079</v>
      </c>
      <c r="M525" s="5" t="s">
        <v>3080</v>
      </c>
      <c r="N525" s="19">
        <v>44927</v>
      </c>
      <c r="O525" s="5" t="s">
        <v>277</v>
      </c>
      <c r="P525" s="26">
        <v>5000</v>
      </c>
      <c r="Q525" s="140">
        <v>30.22</v>
      </c>
      <c r="R525" s="27">
        <f t="shared" si="30"/>
        <v>151100</v>
      </c>
      <c r="S525" s="28">
        <v>202306</v>
      </c>
      <c r="T525" s="29" t="s">
        <v>3081</v>
      </c>
      <c r="U525" s="29"/>
      <c r="V525" s="178">
        <v>30.221233368</v>
      </c>
      <c r="W525" s="35"/>
      <c r="X525" s="36">
        <v>44927</v>
      </c>
      <c r="Y525" s="36">
        <v>46022</v>
      </c>
      <c r="Z525" s="42" t="s">
        <v>3082</v>
      </c>
      <c r="AA525" s="238">
        <v>0</v>
      </c>
      <c r="AB525" s="239">
        <v>100</v>
      </c>
      <c r="AC525" s="178">
        <f t="shared" si="31"/>
        <v>0</v>
      </c>
    </row>
    <row r="526" spans="1:29" s="2" customFormat="1" ht="15" customHeight="1">
      <c r="A526" s="5" t="s">
        <v>878</v>
      </c>
      <c r="B526" s="6" t="s">
        <v>1732</v>
      </c>
      <c r="C526" s="7" t="s">
        <v>2757</v>
      </c>
      <c r="D526" s="216" t="s">
        <v>1748</v>
      </c>
      <c r="E526" s="5" t="s">
        <v>82</v>
      </c>
      <c r="F526" s="5" t="s">
        <v>83</v>
      </c>
      <c r="G526" s="5" t="s">
        <v>34</v>
      </c>
      <c r="H526" s="11" t="s">
        <v>3078</v>
      </c>
      <c r="I526" s="11" t="e">
        <f>VLOOKUP(H526,合同高级查询数据!$A$2:$A$51,1,FALSE)</f>
        <v>#N/A</v>
      </c>
      <c r="J526" s="14" t="s">
        <v>36</v>
      </c>
      <c r="K526" s="5" t="s">
        <v>3083</v>
      </c>
      <c r="L526" s="11" t="s">
        <v>3084</v>
      </c>
      <c r="M526" s="5" t="s">
        <v>3085</v>
      </c>
      <c r="N526" s="19" t="s">
        <v>3086</v>
      </c>
      <c r="O526" s="5" t="s">
        <v>3087</v>
      </c>
      <c r="P526" s="26">
        <v>5000</v>
      </c>
      <c r="Q526" s="140">
        <v>33.659999999999997</v>
      </c>
      <c r="R526" s="27">
        <f t="shared" si="30"/>
        <v>168300</v>
      </c>
      <c r="S526" s="28">
        <v>202306</v>
      </c>
      <c r="T526" s="29" t="s">
        <v>3088</v>
      </c>
      <c r="U526" s="29"/>
      <c r="V526" s="178">
        <v>33.657619476000001</v>
      </c>
      <c r="W526" s="35"/>
      <c r="X526" s="36">
        <v>44927</v>
      </c>
      <c r="Y526" s="36">
        <v>46022</v>
      </c>
      <c r="Z526" s="42" t="s">
        <v>3089</v>
      </c>
      <c r="AA526" s="238">
        <v>0</v>
      </c>
      <c r="AB526" s="239">
        <v>120</v>
      </c>
      <c r="AC526" s="178">
        <f t="shared" si="31"/>
        <v>0</v>
      </c>
    </row>
    <row r="527" spans="1:29" s="2" customFormat="1" ht="15" customHeight="1">
      <c r="A527" s="203" t="s">
        <v>878</v>
      </c>
      <c r="B527" s="6" t="s">
        <v>1732</v>
      </c>
      <c r="C527" s="5" t="s">
        <v>1278</v>
      </c>
      <c r="D527" s="216" t="s">
        <v>1748</v>
      </c>
      <c r="E527" s="7" t="s">
        <v>82</v>
      </c>
      <c r="F527" s="7" t="s">
        <v>83</v>
      </c>
      <c r="G527" s="7" t="s">
        <v>34</v>
      </c>
      <c r="H527" s="11" t="s">
        <v>3078</v>
      </c>
      <c r="I527" s="11" t="e">
        <f>VLOOKUP(H527,合同高级查询数据!$A$2:$A$51,1,FALSE)</f>
        <v>#N/A</v>
      </c>
      <c r="J527" s="12" t="s">
        <v>36</v>
      </c>
      <c r="K527" s="7" t="s">
        <v>1300</v>
      </c>
      <c r="L527" s="174" t="s">
        <v>3090</v>
      </c>
      <c r="M527" s="16" t="s">
        <v>3091</v>
      </c>
      <c r="N527" s="36">
        <v>44927</v>
      </c>
      <c r="O527" s="36" t="s">
        <v>670</v>
      </c>
      <c r="P527" s="26">
        <v>5000</v>
      </c>
      <c r="Q527" s="140">
        <v>34.42</v>
      </c>
      <c r="R527" s="27">
        <f t="shared" si="30"/>
        <v>172100</v>
      </c>
      <c r="S527" s="28">
        <v>202306</v>
      </c>
      <c r="T527" s="184" t="s">
        <v>3081</v>
      </c>
      <c r="U527" s="235"/>
      <c r="V527" s="178">
        <v>34.420494079999997</v>
      </c>
      <c r="W527" s="168"/>
      <c r="X527" s="36">
        <v>44927</v>
      </c>
      <c r="Y527" s="36">
        <v>46022</v>
      </c>
      <c r="Z527" s="42" t="s">
        <v>3092</v>
      </c>
      <c r="AA527" s="238">
        <v>0</v>
      </c>
      <c r="AB527" s="239">
        <v>120</v>
      </c>
      <c r="AC527" s="178">
        <f t="shared" si="31"/>
        <v>0</v>
      </c>
    </row>
    <row r="528" spans="1:29" s="2" customFormat="1" ht="15" customHeight="1">
      <c r="A528" s="5" t="s">
        <v>878</v>
      </c>
      <c r="B528" s="6" t="s">
        <v>1732</v>
      </c>
      <c r="C528" s="7" t="s">
        <v>2017</v>
      </c>
      <c r="D528" s="216" t="s">
        <v>1748</v>
      </c>
      <c r="E528" s="5" t="s">
        <v>82</v>
      </c>
      <c r="F528" s="5" t="s">
        <v>83</v>
      </c>
      <c r="G528" s="5" t="s">
        <v>34</v>
      </c>
      <c r="H528" s="11" t="s">
        <v>3078</v>
      </c>
      <c r="I528" s="11" t="e">
        <f>VLOOKUP(H528,合同高级查询数据!$A$2:$A$51,1,FALSE)</f>
        <v>#N/A</v>
      </c>
      <c r="J528" s="14" t="s">
        <v>36</v>
      </c>
      <c r="K528" s="5" t="s">
        <v>2017</v>
      </c>
      <c r="L528" s="11" t="s">
        <v>3093</v>
      </c>
      <c r="M528" s="5" t="s">
        <v>3094</v>
      </c>
      <c r="N528" s="19">
        <v>44958</v>
      </c>
      <c r="O528" s="5" t="s">
        <v>458</v>
      </c>
      <c r="P528" s="26">
        <v>5000</v>
      </c>
      <c r="Q528" s="140">
        <v>44.9</v>
      </c>
      <c r="R528" s="27">
        <f t="shared" si="30"/>
        <v>224500</v>
      </c>
      <c r="S528" s="28">
        <v>202306</v>
      </c>
      <c r="T528" s="29" t="s">
        <v>3095</v>
      </c>
      <c r="U528" s="29"/>
      <c r="V528" s="178">
        <v>44.895648956000002</v>
      </c>
      <c r="W528" s="35"/>
      <c r="X528" s="36">
        <v>44927</v>
      </c>
      <c r="Y528" s="36">
        <v>46022</v>
      </c>
      <c r="Z528" s="42" t="s">
        <v>3096</v>
      </c>
      <c r="AA528" s="238">
        <v>0</v>
      </c>
      <c r="AB528" s="239">
        <v>140</v>
      </c>
      <c r="AC528" s="178">
        <f t="shared" si="31"/>
        <v>0</v>
      </c>
    </row>
    <row r="529" spans="1:29" s="3" customFormat="1" ht="15" customHeight="1">
      <c r="A529" s="65" t="s">
        <v>878</v>
      </c>
      <c r="B529" s="85" t="s">
        <v>1732</v>
      </c>
      <c r="C529" s="86" t="s">
        <v>1445</v>
      </c>
      <c r="D529" s="226" t="s">
        <v>1748</v>
      </c>
      <c r="E529" s="65" t="s">
        <v>82</v>
      </c>
      <c r="F529" s="65" t="s">
        <v>83</v>
      </c>
      <c r="G529" s="65" t="s">
        <v>34</v>
      </c>
      <c r="H529" s="53" t="s">
        <v>3097</v>
      </c>
      <c r="I529" s="53" t="e">
        <f>VLOOKUP(H529,合同高级查询数据!$A$2:$A$51,1,FALSE)</f>
        <v>#N/A</v>
      </c>
      <c r="J529" s="88" t="s">
        <v>36</v>
      </c>
      <c r="K529" s="65" t="s">
        <v>1445</v>
      </c>
      <c r="L529" s="53" t="s">
        <v>3098</v>
      </c>
      <c r="M529" s="65" t="s">
        <v>3099</v>
      </c>
      <c r="N529" s="89" t="s">
        <v>3100</v>
      </c>
      <c r="O529" s="65" t="s">
        <v>1807</v>
      </c>
      <c r="P529" s="98">
        <v>5000</v>
      </c>
      <c r="Q529" s="99">
        <v>39.85</v>
      </c>
      <c r="R529" s="58">
        <f t="shared" si="30"/>
        <v>199250</v>
      </c>
      <c r="S529" s="59">
        <v>202306</v>
      </c>
      <c r="T529" s="185" t="s">
        <v>3101</v>
      </c>
      <c r="U529" s="97"/>
      <c r="V529" s="196">
        <v>39.854919434000003</v>
      </c>
      <c r="W529" s="103"/>
      <c r="X529" s="64"/>
      <c r="Y529" s="64"/>
      <c r="Z529" s="107" t="s">
        <v>3102</v>
      </c>
      <c r="AA529" s="236">
        <v>0</v>
      </c>
      <c r="AB529" s="237">
        <v>120</v>
      </c>
      <c r="AC529" s="196">
        <f t="shared" si="31"/>
        <v>0</v>
      </c>
    </row>
    <row r="530" spans="1:29" s="2" customFormat="1" ht="15" customHeight="1">
      <c r="A530" s="5" t="s">
        <v>878</v>
      </c>
      <c r="B530" s="6" t="s">
        <v>1732</v>
      </c>
      <c r="C530" s="7" t="s">
        <v>1838</v>
      </c>
      <c r="D530" s="216" t="s">
        <v>1748</v>
      </c>
      <c r="E530" s="5" t="s">
        <v>3103</v>
      </c>
      <c r="F530" s="5" t="s">
        <v>3104</v>
      </c>
      <c r="G530" s="5" t="s">
        <v>34</v>
      </c>
      <c r="H530" s="11" t="s">
        <v>3105</v>
      </c>
      <c r="I530" s="11" t="e">
        <f>VLOOKUP(H530,合同高级查询数据!$A$2:$A$51,1,FALSE)</f>
        <v>#N/A</v>
      </c>
      <c r="J530" s="14" t="s">
        <v>36</v>
      </c>
      <c r="K530" s="5" t="s">
        <v>3106</v>
      </c>
      <c r="L530" s="11" t="s">
        <v>3107</v>
      </c>
      <c r="M530" s="5" t="s">
        <v>3108</v>
      </c>
      <c r="N530" s="19" t="s">
        <v>3109</v>
      </c>
      <c r="O530" s="5" t="s">
        <v>1880</v>
      </c>
      <c r="P530" s="26">
        <v>5200</v>
      </c>
      <c r="Q530" s="140">
        <v>0</v>
      </c>
      <c r="R530" s="27">
        <f t="shared" si="30"/>
        <v>0</v>
      </c>
      <c r="S530" s="28">
        <v>202306</v>
      </c>
      <c r="T530" s="29" t="s">
        <v>3110</v>
      </c>
      <c r="U530" s="29"/>
      <c r="V530" s="178">
        <v>0</v>
      </c>
      <c r="W530" s="35"/>
      <c r="X530" s="36">
        <v>44805</v>
      </c>
      <c r="Y530" s="36">
        <v>45169</v>
      </c>
      <c r="Z530" s="178">
        <v>0</v>
      </c>
      <c r="AA530" s="238">
        <v>0</v>
      </c>
      <c r="AB530" s="239">
        <v>0</v>
      </c>
      <c r="AC530" s="178">
        <f t="shared" si="31"/>
        <v>0</v>
      </c>
    </row>
    <row r="531" spans="1:29" s="3" customFormat="1" ht="15" customHeight="1">
      <c r="A531" s="65" t="s">
        <v>878</v>
      </c>
      <c r="B531" s="85" t="s">
        <v>1732</v>
      </c>
      <c r="C531" s="86" t="s">
        <v>2204</v>
      </c>
      <c r="D531" s="226" t="s">
        <v>1748</v>
      </c>
      <c r="E531" s="65" t="s">
        <v>118</v>
      </c>
      <c r="F531" s="65" t="s">
        <v>2713</v>
      </c>
      <c r="G531" s="65" t="s">
        <v>34</v>
      </c>
      <c r="H531" s="53" t="s">
        <v>3111</v>
      </c>
      <c r="I531" s="53" t="e">
        <f>VLOOKUP(H531,合同高级查询数据!$A$2:$A$51,1,FALSE)</f>
        <v>#N/A</v>
      </c>
      <c r="J531" s="88" t="s">
        <v>36</v>
      </c>
      <c r="K531" s="65" t="s">
        <v>2359</v>
      </c>
      <c r="L531" s="53" t="s">
        <v>3112</v>
      </c>
      <c r="M531" s="65" t="s">
        <v>3113</v>
      </c>
      <c r="N531" s="89">
        <v>44622</v>
      </c>
      <c r="O531" s="65" t="s">
        <v>511</v>
      </c>
      <c r="P531" s="98">
        <v>4500</v>
      </c>
      <c r="Q531" s="99">
        <v>10.1</v>
      </c>
      <c r="R531" s="58">
        <f t="shared" si="30"/>
        <v>45450</v>
      </c>
      <c r="S531" s="59">
        <v>202306</v>
      </c>
      <c r="T531" s="97" t="s">
        <v>3114</v>
      </c>
      <c r="U531" s="97"/>
      <c r="V531" s="196">
        <v>10.006932258999999</v>
      </c>
      <c r="W531" s="103"/>
      <c r="X531" s="64"/>
      <c r="Y531" s="64"/>
      <c r="Z531" s="107" t="s">
        <v>3115</v>
      </c>
      <c r="AA531" s="200">
        <v>0</v>
      </c>
      <c r="AB531" s="237">
        <v>50</v>
      </c>
      <c r="AC531" s="196">
        <f t="shared" si="31"/>
        <v>0</v>
      </c>
    </row>
    <row r="532" spans="1:29" s="3" customFormat="1" ht="15" customHeight="1">
      <c r="A532" s="65" t="s">
        <v>859</v>
      </c>
      <c r="B532" s="85" t="s">
        <v>1732</v>
      </c>
      <c r="C532" s="86" t="s">
        <v>417</v>
      </c>
      <c r="D532" s="226" t="s">
        <v>1748</v>
      </c>
      <c r="E532" s="65" t="s">
        <v>118</v>
      </c>
      <c r="F532" s="65" t="s">
        <v>2713</v>
      </c>
      <c r="G532" s="65" t="s">
        <v>34</v>
      </c>
      <c r="H532" s="53" t="s">
        <v>3116</v>
      </c>
      <c r="I532" s="53" t="e">
        <f>VLOOKUP(H532,合同高级查询数据!$A$2:$A$51,1,FALSE)</f>
        <v>#N/A</v>
      </c>
      <c r="J532" s="88" t="s">
        <v>36</v>
      </c>
      <c r="K532" s="65" t="s">
        <v>575</v>
      </c>
      <c r="L532" s="53" t="s">
        <v>3117</v>
      </c>
      <c r="M532" s="65" t="s">
        <v>3118</v>
      </c>
      <c r="N532" s="89" t="s">
        <v>3119</v>
      </c>
      <c r="O532" s="65" t="s">
        <v>1880</v>
      </c>
      <c r="P532" s="98">
        <v>6000</v>
      </c>
      <c r="Q532" s="99">
        <v>0</v>
      </c>
      <c r="R532" s="58">
        <f t="shared" si="30"/>
        <v>0</v>
      </c>
      <c r="S532" s="59">
        <v>202306</v>
      </c>
      <c r="T532" s="232" t="s">
        <v>3120</v>
      </c>
      <c r="U532" s="97"/>
      <c r="V532" s="196">
        <v>0</v>
      </c>
      <c r="W532" s="103"/>
      <c r="X532" s="64"/>
      <c r="Y532" s="64"/>
      <c r="Z532" s="196">
        <v>0</v>
      </c>
      <c r="AA532" s="200">
        <v>0.3</v>
      </c>
      <c r="AB532" s="237">
        <v>0</v>
      </c>
      <c r="AC532" s="196">
        <f t="shared" si="31"/>
        <v>0</v>
      </c>
    </row>
    <row r="533" spans="1:29" s="2" customFormat="1" ht="15" customHeight="1">
      <c r="A533" s="5" t="s">
        <v>878</v>
      </c>
      <c r="B533" s="6" t="s">
        <v>1732</v>
      </c>
      <c r="C533" s="7" t="s">
        <v>860</v>
      </c>
      <c r="D533" s="216" t="s">
        <v>1748</v>
      </c>
      <c r="E533" s="5" t="s">
        <v>118</v>
      </c>
      <c r="F533" s="5" t="s">
        <v>2713</v>
      </c>
      <c r="G533" s="5" t="s">
        <v>34</v>
      </c>
      <c r="H533" s="11" t="s">
        <v>3121</v>
      </c>
      <c r="I533" s="11" t="e">
        <f>VLOOKUP(H533,合同高级查询数据!$A$2:$A$51,1,FALSE)</f>
        <v>#N/A</v>
      </c>
      <c r="J533" s="14" t="s">
        <v>36</v>
      </c>
      <c r="K533" s="5" t="s">
        <v>2182</v>
      </c>
      <c r="L533" s="11" t="s">
        <v>3122</v>
      </c>
      <c r="M533" s="5" t="s">
        <v>3123</v>
      </c>
      <c r="N533" s="19" t="s">
        <v>3124</v>
      </c>
      <c r="O533" s="5" t="s">
        <v>645</v>
      </c>
      <c r="P533" s="26">
        <v>4400</v>
      </c>
      <c r="Q533" s="140">
        <v>0</v>
      </c>
      <c r="R533" s="27">
        <f t="shared" si="30"/>
        <v>0</v>
      </c>
      <c r="S533" s="28">
        <v>202306</v>
      </c>
      <c r="T533" s="29" t="s">
        <v>3125</v>
      </c>
      <c r="U533" s="29"/>
      <c r="V533" s="178">
        <v>0</v>
      </c>
      <c r="W533" s="35"/>
      <c r="X533" s="36">
        <v>44652</v>
      </c>
      <c r="Y533" s="36">
        <v>45016</v>
      </c>
      <c r="Z533" s="178">
        <v>0</v>
      </c>
      <c r="AA533" s="45">
        <v>0</v>
      </c>
      <c r="AB533" s="239">
        <v>0</v>
      </c>
      <c r="AC533" s="178">
        <f t="shared" si="31"/>
        <v>0</v>
      </c>
    </row>
    <row r="534" spans="1:29" s="2" customFormat="1" ht="15" customHeight="1">
      <c r="A534" s="5" t="s">
        <v>878</v>
      </c>
      <c r="B534" s="6" t="s">
        <v>1732</v>
      </c>
      <c r="C534" s="7" t="s">
        <v>860</v>
      </c>
      <c r="D534" s="216" t="s">
        <v>1748</v>
      </c>
      <c r="E534" s="5" t="s">
        <v>118</v>
      </c>
      <c r="F534" s="5" t="s">
        <v>2713</v>
      </c>
      <c r="G534" s="5" t="s">
        <v>34</v>
      </c>
      <c r="H534" s="11" t="s">
        <v>3126</v>
      </c>
      <c r="I534" s="11" t="e">
        <f>VLOOKUP(H534,合同高级查询数据!$A$2:$A$51,1,FALSE)</f>
        <v>#N/A</v>
      </c>
      <c r="J534" s="14" t="s">
        <v>36</v>
      </c>
      <c r="K534" s="5" t="s">
        <v>2182</v>
      </c>
      <c r="L534" s="11" t="s">
        <v>3127</v>
      </c>
      <c r="M534" s="5" t="s">
        <v>3123</v>
      </c>
      <c r="N534" s="19" t="s">
        <v>3128</v>
      </c>
      <c r="O534" s="5" t="s">
        <v>956</v>
      </c>
      <c r="P534" s="26">
        <v>4400</v>
      </c>
      <c r="Q534" s="140">
        <v>0</v>
      </c>
      <c r="R534" s="27">
        <f t="shared" si="30"/>
        <v>0</v>
      </c>
      <c r="S534" s="28">
        <v>202306</v>
      </c>
      <c r="T534" s="29" t="s">
        <v>3129</v>
      </c>
      <c r="U534" s="29"/>
      <c r="V534" s="178">
        <v>0</v>
      </c>
      <c r="W534" s="35"/>
      <c r="X534" s="36">
        <v>44652</v>
      </c>
      <c r="Y534" s="36">
        <v>45016</v>
      </c>
      <c r="Z534" s="178">
        <v>0</v>
      </c>
      <c r="AA534" s="45">
        <v>0</v>
      </c>
      <c r="AB534" s="239">
        <v>0</v>
      </c>
      <c r="AC534" s="178">
        <f t="shared" si="31"/>
        <v>0</v>
      </c>
    </row>
    <row r="535" spans="1:29" s="3" customFormat="1" ht="15" customHeight="1">
      <c r="A535" s="65" t="s">
        <v>859</v>
      </c>
      <c r="B535" s="85" t="s">
        <v>1732</v>
      </c>
      <c r="C535" s="86" t="s">
        <v>417</v>
      </c>
      <c r="D535" s="226" t="s">
        <v>1748</v>
      </c>
      <c r="E535" s="65" t="s">
        <v>118</v>
      </c>
      <c r="F535" s="65" t="s">
        <v>2713</v>
      </c>
      <c r="G535" s="65" t="s">
        <v>34</v>
      </c>
      <c r="H535" s="53" t="s">
        <v>3130</v>
      </c>
      <c r="I535" s="53" t="e">
        <f>VLOOKUP(H535,合同高级查询数据!$A$2:$A$51,1,FALSE)</f>
        <v>#N/A</v>
      </c>
      <c r="J535" s="88" t="s">
        <v>36</v>
      </c>
      <c r="K535" s="65" t="s">
        <v>575</v>
      </c>
      <c r="L535" s="53" t="s">
        <v>3131</v>
      </c>
      <c r="M535" s="65" t="s">
        <v>3118</v>
      </c>
      <c r="N535" s="89" t="s">
        <v>3132</v>
      </c>
      <c r="O535" s="65" t="s">
        <v>3133</v>
      </c>
      <c r="P535" s="98">
        <v>4900</v>
      </c>
      <c r="Q535" s="99">
        <v>0</v>
      </c>
      <c r="R535" s="58">
        <f t="shared" si="30"/>
        <v>0</v>
      </c>
      <c r="S535" s="59">
        <v>202306</v>
      </c>
      <c r="T535" s="97" t="s">
        <v>3134</v>
      </c>
      <c r="U535" s="97"/>
      <c r="V535" s="196">
        <v>0</v>
      </c>
      <c r="W535" s="103"/>
      <c r="X535" s="64"/>
      <c r="Y535" s="64"/>
      <c r="Z535" s="196">
        <v>0</v>
      </c>
      <c r="AA535" s="200">
        <v>0</v>
      </c>
      <c r="AB535" s="237">
        <v>0</v>
      </c>
      <c r="AC535" s="196">
        <f t="shared" si="31"/>
        <v>0</v>
      </c>
    </row>
    <row r="536" spans="1:29" s="3" customFormat="1" ht="15" customHeight="1">
      <c r="A536" s="65" t="s">
        <v>859</v>
      </c>
      <c r="B536" s="85" t="s">
        <v>1732</v>
      </c>
      <c r="C536" s="86" t="s">
        <v>417</v>
      </c>
      <c r="D536" s="226" t="s">
        <v>1748</v>
      </c>
      <c r="E536" s="65" t="s">
        <v>118</v>
      </c>
      <c r="F536" s="65" t="s">
        <v>2713</v>
      </c>
      <c r="G536" s="65" t="s">
        <v>34</v>
      </c>
      <c r="H536" s="53" t="s">
        <v>3135</v>
      </c>
      <c r="I536" s="53" t="e">
        <f>VLOOKUP(H536,合同高级查询数据!$A$2:$A$51,1,FALSE)</f>
        <v>#N/A</v>
      </c>
      <c r="J536" s="88" t="s">
        <v>36</v>
      </c>
      <c r="K536" s="65" t="s">
        <v>575</v>
      </c>
      <c r="L536" s="53" t="s">
        <v>3136</v>
      </c>
      <c r="M536" s="65" t="s">
        <v>3137</v>
      </c>
      <c r="N536" s="89" t="s">
        <v>3138</v>
      </c>
      <c r="O536" s="65" t="s">
        <v>1329</v>
      </c>
      <c r="P536" s="98">
        <v>6000</v>
      </c>
      <c r="Q536" s="99">
        <v>0</v>
      </c>
      <c r="R536" s="58">
        <f t="shared" si="30"/>
        <v>0</v>
      </c>
      <c r="S536" s="59">
        <v>202306</v>
      </c>
      <c r="T536" s="97" t="s">
        <v>3139</v>
      </c>
      <c r="U536" s="97"/>
      <c r="V536" s="196">
        <v>0</v>
      </c>
      <c r="W536" s="103"/>
      <c r="X536" s="64"/>
      <c r="Y536" s="64"/>
      <c r="Z536" s="196">
        <v>0</v>
      </c>
      <c r="AA536" s="200">
        <v>0.3</v>
      </c>
      <c r="AB536" s="237">
        <v>0</v>
      </c>
      <c r="AC536" s="196">
        <f t="shared" si="31"/>
        <v>0</v>
      </c>
    </row>
    <row r="537" spans="1:29" s="2" customFormat="1" ht="15" customHeight="1">
      <c r="A537" s="5" t="s">
        <v>871</v>
      </c>
      <c r="B537" s="6" t="s">
        <v>1732</v>
      </c>
      <c r="C537" s="7" t="s">
        <v>417</v>
      </c>
      <c r="D537" s="216" t="s">
        <v>1748</v>
      </c>
      <c r="E537" s="5" t="s">
        <v>118</v>
      </c>
      <c r="F537" s="5" t="s">
        <v>2713</v>
      </c>
      <c r="G537" s="5" t="s">
        <v>34</v>
      </c>
      <c r="H537" s="11" t="s">
        <v>3140</v>
      </c>
      <c r="I537" s="11" t="e">
        <f>VLOOKUP(H537,合同高级查询数据!$A$2:$A$51,1,FALSE)</f>
        <v>#N/A</v>
      </c>
      <c r="J537" s="14" t="s">
        <v>36</v>
      </c>
      <c r="K537" s="5" t="s">
        <v>575</v>
      </c>
      <c r="L537" s="11" t="s">
        <v>3141</v>
      </c>
      <c r="M537" s="5" t="s">
        <v>3142</v>
      </c>
      <c r="N537" s="19" t="s">
        <v>3143</v>
      </c>
      <c r="O537" s="5" t="s">
        <v>1880</v>
      </c>
      <c r="P537" s="26">
        <v>5800</v>
      </c>
      <c r="Q537" s="140">
        <v>0</v>
      </c>
      <c r="R537" s="27">
        <f t="shared" si="30"/>
        <v>0</v>
      </c>
      <c r="S537" s="28">
        <v>202306</v>
      </c>
      <c r="T537" s="29" t="s">
        <v>3144</v>
      </c>
      <c r="U537" s="29"/>
      <c r="V537" s="178">
        <v>0</v>
      </c>
      <c r="W537" s="35"/>
      <c r="X537" s="36">
        <v>44660</v>
      </c>
      <c r="Y537" s="36">
        <v>44712</v>
      </c>
      <c r="Z537" s="178">
        <v>0</v>
      </c>
      <c r="AA537" s="45">
        <v>0</v>
      </c>
      <c r="AB537" s="239">
        <v>0</v>
      </c>
      <c r="AC537" s="178">
        <f t="shared" si="31"/>
        <v>0</v>
      </c>
    </row>
    <row r="538" spans="1:29" s="2" customFormat="1" ht="15" customHeight="1">
      <c r="A538" s="5" t="s">
        <v>871</v>
      </c>
      <c r="B538" s="6" t="s">
        <v>1732</v>
      </c>
      <c r="C538" s="7" t="s">
        <v>417</v>
      </c>
      <c r="D538" s="216" t="s">
        <v>1748</v>
      </c>
      <c r="E538" s="5" t="s">
        <v>118</v>
      </c>
      <c r="F538" s="5" t="s">
        <v>2713</v>
      </c>
      <c r="G538" s="5" t="s">
        <v>34</v>
      </c>
      <c r="H538" s="11" t="s">
        <v>3145</v>
      </c>
      <c r="I538" s="11" t="e">
        <f>VLOOKUP(H538,合同高级查询数据!$A$2:$A$51,1,FALSE)</f>
        <v>#N/A</v>
      </c>
      <c r="J538" s="14" t="s">
        <v>36</v>
      </c>
      <c r="K538" s="5" t="s">
        <v>3146</v>
      </c>
      <c r="L538" s="11" t="s">
        <v>3147</v>
      </c>
      <c r="M538" s="5" t="s">
        <v>3148</v>
      </c>
      <c r="N538" s="19" t="s">
        <v>3149</v>
      </c>
      <c r="O538" s="5" t="s">
        <v>956</v>
      </c>
      <c r="P538" s="26">
        <v>4700</v>
      </c>
      <c r="Q538" s="140">
        <v>0</v>
      </c>
      <c r="R538" s="27">
        <f t="shared" si="30"/>
        <v>0</v>
      </c>
      <c r="S538" s="28">
        <v>202306</v>
      </c>
      <c r="T538" s="29" t="s">
        <v>3150</v>
      </c>
      <c r="U538" s="29"/>
      <c r="V538" s="178">
        <v>0</v>
      </c>
      <c r="W538" s="35"/>
      <c r="X538" s="36">
        <v>44682</v>
      </c>
      <c r="Y538" s="36">
        <v>45016</v>
      </c>
      <c r="Z538" s="178">
        <v>0</v>
      </c>
      <c r="AA538" s="45">
        <v>0</v>
      </c>
      <c r="AB538" s="239">
        <v>0</v>
      </c>
      <c r="AC538" s="178">
        <f t="shared" si="31"/>
        <v>0</v>
      </c>
    </row>
    <row r="539" spans="1:29" s="3" customFormat="1" ht="15" customHeight="1">
      <c r="A539" s="65" t="s">
        <v>859</v>
      </c>
      <c r="B539" s="85" t="s">
        <v>1732</v>
      </c>
      <c r="C539" s="86" t="s">
        <v>1747</v>
      </c>
      <c r="D539" s="226" t="s">
        <v>1748</v>
      </c>
      <c r="E539" s="65" t="s">
        <v>118</v>
      </c>
      <c r="F539" s="65" t="s">
        <v>2713</v>
      </c>
      <c r="G539" s="65" t="s">
        <v>34</v>
      </c>
      <c r="H539" s="53" t="s">
        <v>3151</v>
      </c>
      <c r="I539" s="53" t="e">
        <f>VLOOKUP(H539,合同高级查询数据!$A$2:$A$51,1,FALSE)</f>
        <v>#N/A</v>
      </c>
      <c r="J539" s="88" t="s">
        <v>36</v>
      </c>
      <c r="K539" s="65" t="s">
        <v>2699</v>
      </c>
      <c r="L539" s="53" t="s">
        <v>3152</v>
      </c>
      <c r="M539" s="65" t="s">
        <v>3153</v>
      </c>
      <c r="N539" s="89" t="s">
        <v>3061</v>
      </c>
      <c r="O539" s="65" t="s">
        <v>956</v>
      </c>
      <c r="P539" s="98">
        <v>4600</v>
      </c>
      <c r="Q539" s="99">
        <v>0</v>
      </c>
      <c r="R539" s="58">
        <f t="shared" si="30"/>
        <v>0</v>
      </c>
      <c r="S539" s="59">
        <v>202306</v>
      </c>
      <c r="T539" s="97" t="s">
        <v>3154</v>
      </c>
      <c r="U539" s="97"/>
      <c r="V539" s="196">
        <v>0</v>
      </c>
      <c r="W539" s="103"/>
      <c r="X539" s="64"/>
      <c r="Y539" s="64"/>
      <c r="Z539" s="107" t="s">
        <v>3155</v>
      </c>
      <c r="AA539" s="200">
        <v>0</v>
      </c>
      <c r="AB539" s="237">
        <v>10</v>
      </c>
      <c r="AC539" s="196">
        <f t="shared" si="31"/>
        <v>0</v>
      </c>
    </row>
    <row r="540" spans="1:29" s="3" customFormat="1" ht="15" customHeight="1">
      <c r="A540" s="65" t="s">
        <v>859</v>
      </c>
      <c r="B540" s="85" t="s">
        <v>1732</v>
      </c>
      <c r="C540" s="86" t="s">
        <v>1747</v>
      </c>
      <c r="D540" s="226" t="s">
        <v>1748</v>
      </c>
      <c r="E540" s="65" t="s">
        <v>118</v>
      </c>
      <c r="F540" s="65" t="s">
        <v>2713</v>
      </c>
      <c r="G540" s="65" t="s">
        <v>34</v>
      </c>
      <c r="H540" s="53" t="s">
        <v>3151</v>
      </c>
      <c r="I540" s="53" t="e">
        <f>VLOOKUP(H540,合同高级查询数据!$A$2:$A$51,1,FALSE)</f>
        <v>#N/A</v>
      </c>
      <c r="J540" s="88" t="s">
        <v>36</v>
      </c>
      <c r="K540" s="65" t="s">
        <v>2699</v>
      </c>
      <c r="L540" s="53" t="s">
        <v>3156</v>
      </c>
      <c r="M540" s="65" t="s">
        <v>3153</v>
      </c>
      <c r="N540" s="89" t="s">
        <v>3061</v>
      </c>
      <c r="O540" s="65" t="s">
        <v>956</v>
      </c>
      <c r="P540" s="98">
        <v>4600</v>
      </c>
      <c r="Q540" s="99">
        <v>0</v>
      </c>
      <c r="R540" s="58">
        <f t="shared" si="30"/>
        <v>0</v>
      </c>
      <c r="S540" s="59">
        <v>202306</v>
      </c>
      <c r="T540" s="97" t="s">
        <v>3154</v>
      </c>
      <c r="U540" s="97"/>
      <c r="V540" s="196">
        <v>0</v>
      </c>
      <c r="W540" s="103"/>
      <c r="X540" s="64"/>
      <c r="Y540" s="64"/>
      <c r="Z540" s="107" t="s">
        <v>3157</v>
      </c>
      <c r="AA540" s="200">
        <v>0</v>
      </c>
      <c r="AB540" s="237">
        <v>10</v>
      </c>
      <c r="AC540" s="196">
        <f t="shared" si="31"/>
        <v>0</v>
      </c>
    </row>
    <row r="541" spans="1:29" s="3" customFormat="1" ht="15" customHeight="1">
      <c r="A541" s="65" t="s">
        <v>859</v>
      </c>
      <c r="B541" s="85" t="s">
        <v>1732</v>
      </c>
      <c r="C541" s="86" t="s">
        <v>2519</v>
      </c>
      <c r="D541" s="226" t="s">
        <v>1748</v>
      </c>
      <c r="E541" s="65" t="s">
        <v>118</v>
      </c>
      <c r="F541" s="65" t="s">
        <v>2713</v>
      </c>
      <c r="G541" s="65" t="s">
        <v>34</v>
      </c>
      <c r="H541" s="53" t="s">
        <v>3158</v>
      </c>
      <c r="I541" s="53" t="e">
        <f>VLOOKUP(H541,合同高级查询数据!$A$2:$A$51,1,FALSE)</f>
        <v>#N/A</v>
      </c>
      <c r="J541" s="88" t="s">
        <v>36</v>
      </c>
      <c r="K541" s="65" t="s">
        <v>2521</v>
      </c>
      <c r="L541" s="53" t="s">
        <v>3159</v>
      </c>
      <c r="M541" s="65" t="s">
        <v>3160</v>
      </c>
      <c r="N541" s="89" t="s">
        <v>3161</v>
      </c>
      <c r="O541" s="65" t="s">
        <v>956</v>
      </c>
      <c r="P541" s="98">
        <v>4800</v>
      </c>
      <c r="Q541" s="99">
        <v>0</v>
      </c>
      <c r="R541" s="58">
        <f t="shared" si="30"/>
        <v>0</v>
      </c>
      <c r="S541" s="59">
        <v>202306</v>
      </c>
      <c r="T541" s="97" t="s">
        <v>3162</v>
      </c>
      <c r="U541" s="97"/>
      <c r="V541" s="196">
        <v>0</v>
      </c>
      <c r="W541" s="103"/>
      <c r="X541" s="64"/>
      <c r="Y541" s="64"/>
      <c r="Z541" s="107" t="s">
        <v>3163</v>
      </c>
      <c r="AA541" s="200">
        <v>0</v>
      </c>
      <c r="AB541" s="237">
        <v>10</v>
      </c>
      <c r="AC541" s="196">
        <f t="shared" si="31"/>
        <v>0</v>
      </c>
    </row>
    <row r="542" spans="1:29" s="3" customFormat="1" ht="15" customHeight="1">
      <c r="A542" s="65" t="s">
        <v>878</v>
      </c>
      <c r="B542" s="85" t="s">
        <v>1732</v>
      </c>
      <c r="C542" s="86" t="s">
        <v>214</v>
      </c>
      <c r="D542" s="226" t="s">
        <v>1748</v>
      </c>
      <c r="E542" s="65" t="s">
        <v>118</v>
      </c>
      <c r="F542" s="65" t="s">
        <v>2713</v>
      </c>
      <c r="G542" s="65" t="s">
        <v>34</v>
      </c>
      <c r="H542" s="53" t="s">
        <v>3164</v>
      </c>
      <c r="I542" s="53" t="e">
        <f>VLOOKUP(H542,合同高级查询数据!$A$2:$A$51,1,FALSE)</f>
        <v>#N/A</v>
      </c>
      <c r="J542" s="88" t="s">
        <v>36</v>
      </c>
      <c r="K542" s="65" t="s">
        <v>281</v>
      </c>
      <c r="L542" s="53" t="s">
        <v>3165</v>
      </c>
      <c r="M542" s="65" t="s">
        <v>3166</v>
      </c>
      <c r="N542" s="89" t="s">
        <v>3167</v>
      </c>
      <c r="O542" s="65" t="s">
        <v>956</v>
      </c>
      <c r="P542" s="98">
        <v>4500</v>
      </c>
      <c r="Q542" s="99">
        <v>1.9</v>
      </c>
      <c r="R542" s="58">
        <f t="shared" si="30"/>
        <v>8550</v>
      </c>
      <c r="S542" s="59">
        <v>202306</v>
      </c>
      <c r="T542" s="231" t="s">
        <v>3168</v>
      </c>
      <c r="U542" s="97"/>
      <c r="V542" s="196">
        <v>1.825851917</v>
      </c>
      <c r="W542" s="103"/>
      <c r="X542" s="64"/>
      <c r="Y542" s="64"/>
      <c r="Z542" s="107" t="s">
        <v>3169</v>
      </c>
      <c r="AA542" s="200">
        <v>0</v>
      </c>
      <c r="AB542" s="237">
        <v>10</v>
      </c>
      <c r="AC542" s="196">
        <f t="shared" si="31"/>
        <v>0</v>
      </c>
    </row>
    <row r="543" spans="1:29" s="3" customFormat="1" ht="15" customHeight="1">
      <c r="A543" s="65" t="s">
        <v>878</v>
      </c>
      <c r="B543" s="85" t="s">
        <v>1732</v>
      </c>
      <c r="C543" s="86" t="s">
        <v>214</v>
      </c>
      <c r="D543" s="226" t="s">
        <v>1748</v>
      </c>
      <c r="E543" s="65" t="s">
        <v>118</v>
      </c>
      <c r="F543" s="65" t="s">
        <v>2713</v>
      </c>
      <c r="G543" s="65" t="s">
        <v>34</v>
      </c>
      <c r="H543" s="53" t="s">
        <v>3164</v>
      </c>
      <c r="I543" s="53" t="e">
        <f>VLOOKUP(H543,合同高级查询数据!$A$2:$A$51,1,FALSE)</f>
        <v>#N/A</v>
      </c>
      <c r="J543" s="88" t="s">
        <v>36</v>
      </c>
      <c r="K543" s="65" t="s">
        <v>281</v>
      </c>
      <c r="L543" s="53" t="s">
        <v>3170</v>
      </c>
      <c r="M543" s="65" t="s">
        <v>3166</v>
      </c>
      <c r="N543" s="89" t="s">
        <v>3167</v>
      </c>
      <c r="O543" s="65" t="s">
        <v>956</v>
      </c>
      <c r="P543" s="98">
        <v>4500</v>
      </c>
      <c r="Q543" s="99">
        <v>0.6</v>
      </c>
      <c r="R543" s="58">
        <f t="shared" si="30"/>
        <v>2700</v>
      </c>
      <c r="S543" s="59">
        <v>202306</v>
      </c>
      <c r="T543" s="231" t="s">
        <v>3168</v>
      </c>
      <c r="U543" s="97"/>
      <c r="V543" s="196">
        <v>0.59025335300000004</v>
      </c>
      <c r="W543" s="103"/>
      <c r="X543" s="64"/>
      <c r="Y543" s="64"/>
      <c r="Z543" s="107" t="s">
        <v>3171</v>
      </c>
      <c r="AA543" s="200">
        <v>0</v>
      </c>
      <c r="AB543" s="237">
        <v>10</v>
      </c>
      <c r="AC543" s="196">
        <f t="shared" si="31"/>
        <v>0</v>
      </c>
    </row>
    <row r="544" spans="1:29" s="2" customFormat="1" ht="15" customHeight="1">
      <c r="A544" s="5" t="s">
        <v>871</v>
      </c>
      <c r="B544" s="6" t="s">
        <v>1732</v>
      </c>
      <c r="C544" s="7" t="s">
        <v>417</v>
      </c>
      <c r="D544" s="216" t="s">
        <v>1748</v>
      </c>
      <c r="E544" s="5" t="s">
        <v>118</v>
      </c>
      <c r="F544" s="5" t="s">
        <v>2713</v>
      </c>
      <c r="G544" s="5" t="s">
        <v>34</v>
      </c>
      <c r="H544" s="11" t="s">
        <v>3172</v>
      </c>
      <c r="I544" s="11" t="e">
        <f>VLOOKUP(H544,合同高级查询数据!$A$2:$A$51,1,FALSE)</f>
        <v>#N/A</v>
      </c>
      <c r="J544" s="14" t="s">
        <v>36</v>
      </c>
      <c r="K544" s="5" t="s">
        <v>1864</v>
      </c>
      <c r="L544" s="11" t="s">
        <v>3173</v>
      </c>
      <c r="M544" s="5" t="s">
        <v>3174</v>
      </c>
      <c r="N544" s="19" t="s">
        <v>3175</v>
      </c>
      <c r="O544" s="5" t="s">
        <v>645</v>
      </c>
      <c r="P544" s="26">
        <v>4700</v>
      </c>
      <c r="Q544" s="140">
        <v>0</v>
      </c>
      <c r="R544" s="27">
        <f t="shared" si="30"/>
        <v>0</v>
      </c>
      <c r="S544" s="28">
        <v>202306</v>
      </c>
      <c r="T544" s="233" t="s">
        <v>3176</v>
      </c>
      <c r="U544" s="29"/>
      <c r="V544" s="178">
        <v>0</v>
      </c>
      <c r="W544" s="35"/>
      <c r="X544" s="36">
        <v>44774</v>
      </c>
      <c r="Y544" s="36">
        <v>45016</v>
      </c>
      <c r="Z544" s="178">
        <v>0</v>
      </c>
      <c r="AA544" s="45">
        <v>0</v>
      </c>
      <c r="AB544" s="239">
        <v>0</v>
      </c>
      <c r="AC544" s="178">
        <f t="shared" si="31"/>
        <v>0</v>
      </c>
    </row>
    <row r="545" spans="1:29" s="2" customFormat="1" ht="15" customHeight="1">
      <c r="A545" s="5" t="s">
        <v>878</v>
      </c>
      <c r="B545" s="6" t="s">
        <v>1732</v>
      </c>
      <c r="C545" s="7" t="s">
        <v>860</v>
      </c>
      <c r="D545" s="216" t="s">
        <v>1748</v>
      </c>
      <c r="E545" s="5" t="s">
        <v>118</v>
      </c>
      <c r="F545" s="5" t="s">
        <v>2713</v>
      </c>
      <c r="G545" s="5" t="s">
        <v>34</v>
      </c>
      <c r="H545" s="11" t="s">
        <v>3177</v>
      </c>
      <c r="I545" s="11" t="e">
        <f>VLOOKUP(H545,合同高级查询数据!$A$2:$A$51,1,FALSE)</f>
        <v>#N/A</v>
      </c>
      <c r="J545" s="14" t="s">
        <v>36</v>
      </c>
      <c r="K545" s="5" t="s">
        <v>2182</v>
      </c>
      <c r="L545" s="11" t="s">
        <v>3178</v>
      </c>
      <c r="M545" s="5" t="s">
        <v>3179</v>
      </c>
      <c r="N545" s="19" t="s">
        <v>3180</v>
      </c>
      <c r="O545" s="5" t="s">
        <v>645</v>
      </c>
      <c r="P545" s="26">
        <v>4600</v>
      </c>
      <c r="Q545" s="140">
        <v>0</v>
      </c>
      <c r="R545" s="27">
        <f t="shared" si="30"/>
        <v>0</v>
      </c>
      <c r="S545" s="28">
        <v>202306</v>
      </c>
      <c r="T545" s="233" t="s">
        <v>3181</v>
      </c>
      <c r="U545" s="29"/>
      <c r="V545" s="178">
        <v>0</v>
      </c>
      <c r="W545" s="35"/>
      <c r="X545" s="36">
        <v>44774</v>
      </c>
      <c r="Y545" s="36">
        <v>45016</v>
      </c>
      <c r="Z545" s="178">
        <v>0</v>
      </c>
      <c r="AA545" s="45">
        <v>0</v>
      </c>
      <c r="AB545" s="239">
        <v>0</v>
      </c>
      <c r="AC545" s="178">
        <f t="shared" si="31"/>
        <v>0</v>
      </c>
    </row>
    <row r="546" spans="1:29" s="2" customFormat="1" ht="15" customHeight="1">
      <c r="A546" s="5" t="s">
        <v>878</v>
      </c>
      <c r="B546" s="6" t="s">
        <v>1732</v>
      </c>
      <c r="C546" s="7" t="s">
        <v>2246</v>
      </c>
      <c r="D546" s="216" t="s">
        <v>1748</v>
      </c>
      <c r="E546" s="5" t="s">
        <v>118</v>
      </c>
      <c r="F546" s="5" t="s">
        <v>2713</v>
      </c>
      <c r="G546" s="5" t="s">
        <v>34</v>
      </c>
      <c r="H546" s="11" t="s">
        <v>3182</v>
      </c>
      <c r="I546" s="11" t="e">
        <f>VLOOKUP(H546,合同高级查询数据!$A$2:$A$51,1,FALSE)</f>
        <v>#N/A</v>
      </c>
      <c r="J546" s="14" t="s">
        <v>36</v>
      </c>
      <c r="K546" s="5" t="s">
        <v>3183</v>
      </c>
      <c r="L546" s="11" t="s">
        <v>3184</v>
      </c>
      <c r="M546" s="5" t="s">
        <v>3185</v>
      </c>
      <c r="N546" s="19" t="s">
        <v>3186</v>
      </c>
      <c r="O546" s="5" t="s">
        <v>645</v>
      </c>
      <c r="P546" s="26">
        <v>4500</v>
      </c>
      <c r="Q546" s="140">
        <v>0</v>
      </c>
      <c r="R546" s="27">
        <f t="shared" si="30"/>
        <v>0</v>
      </c>
      <c r="S546" s="28">
        <v>202306</v>
      </c>
      <c r="T546" s="233" t="s">
        <v>3187</v>
      </c>
      <c r="U546" s="29"/>
      <c r="V546" s="178">
        <v>0</v>
      </c>
      <c r="W546" s="35"/>
      <c r="X546" s="36">
        <v>44774</v>
      </c>
      <c r="Y546" s="36">
        <v>45016</v>
      </c>
      <c r="Z546" s="178">
        <v>0</v>
      </c>
      <c r="AA546" s="45">
        <v>0</v>
      </c>
      <c r="AB546" s="239">
        <v>0</v>
      </c>
      <c r="AC546" s="178">
        <f t="shared" si="31"/>
        <v>0</v>
      </c>
    </row>
    <row r="547" spans="1:29" s="3" customFormat="1" ht="15" customHeight="1">
      <c r="A547" s="65" t="s">
        <v>871</v>
      </c>
      <c r="B547" s="85" t="s">
        <v>1732</v>
      </c>
      <c r="C547" s="86" t="s">
        <v>1790</v>
      </c>
      <c r="D547" s="226" t="s">
        <v>1748</v>
      </c>
      <c r="E547" s="65" t="s">
        <v>118</v>
      </c>
      <c r="F547" s="65" t="s">
        <v>2713</v>
      </c>
      <c r="G547" s="65" t="s">
        <v>34</v>
      </c>
      <c r="H547" s="53" t="s">
        <v>3188</v>
      </c>
      <c r="I547" s="53" t="e">
        <f>VLOOKUP(H547,合同高级查询数据!$A$2:$A$51,1,FALSE)</f>
        <v>#N/A</v>
      </c>
      <c r="J547" s="88" t="s">
        <v>36</v>
      </c>
      <c r="K547" s="65" t="s">
        <v>3189</v>
      </c>
      <c r="L547" s="53" t="s">
        <v>3190</v>
      </c>
      <c r="M547" s="65" t="s">
        <v>3191</v>
      </c>
      <c r="N547" s="89">
        <v>44774</v>
      </c>
      <c r="O547" s="65" t="s">
        <v>542</v>
      </c>
      <c r="P547" s="98">
        <v>4600</v>
      </c>
      <c r="Q547" s="99">
        <v>4.4000000000000004</v>
      </c>
      <c r="R547" s="58">
        <f t="shared" si="30"/>
        <v>20240</v>
      </c>
      <c r="S547" s="59">
        <v>202306</v>
      </c>
      <c r="T547" s="231" t="s">
        <v>3192</v>
      </c>
      <c r="U547" s="97"/>
      <c r="V547" s="196">
        <v>4.3829889299999998</v>
      </c>
      <c r="W547" s="103"/>
      <c r="X547" s="64"/>
      <c r="Y547" s="64"/>
      <c r="Z547" s="107" t="s">
        <v>3193</v>
      </c>
      <c r="AA547" s="200">
        <v>0</v>
      </c>
      <c r="AB547" s="237">
        <v>10</v>
      </c>
      <c r="AC547" s="196">
        <f t="shared" si="31"/>
        <v>0</v>
      </c>
    </row>
    <row r="548" spans="1:29" s="3" customFormat="1" ht="15" customHeight="1">
      <c r="A548" s="65" t="s">
        <v>878</v>
      </c>
      <c r="B548" s="85" t="s">
        <v>1732</v>
      </c>
      <c r="C548" s="86" t="s">
        <v>1758</v>
      </c>
      <c r="D548" s="226" t="s">
        <v>1748</v>
      </c>
      <c r="E548" s="65" t="s">
        <v>118</v>
      </c>
      <c r="F548" s="65" t="s">
        <v>2713</v>
      </c>
      <c r="G548" s="65" t="s">
        <v>34</v>
      </c>
      <c r="H548" s="53" t="s">
        <v>3194</v>
      </c>
      <c r="I548" s="53" t="e">
        <f>VLOOKUP(H548,合同高级查询数据!$A$2:$A$51,1,FALSE)</f>
        <v>#N/A</v>
      </c>
      <c r="J548" s="88" t="s">
        <v>36</v>
      </c>
      <c r="K548" s="65" t="s">
        <v>2622</v>
      </c>
      <c r="L548" s="53" t="s">
        <v>3195</v>
      </c>
      <c r="M548" s="65" t="s">
        <v>3196</v>
      </c>
      <c r="N548" s="89">
        <v>44774</v>
      </c>
      <c r="O548" s="65" t="s">
        <v>542</v>
      </c>
      <c r="P548" s="98">
        <v>4500</v>
      </c>
      <c r="Q548" s="99">
        <v>3.9</v>
      </c>
      <c r="R548" s="58">
        <f t="shared" si="30"/>
        <v>17550</v>
      </c>
      <c r="S548" s="59">
        <v>202306</v>
      </c>
      <c r="T548" s="231" t="s">
        <v>3192</v>
      </c>
      <c r="U548" s="97"/>
      <c r="V548" s="196">
        <v>3.8258545399999999</v>
      </c>
      <c r="W548" s="103"/>
      <c r="X548" s="64"/>
      <c r="Y548" s="64"/>
      <c r="Z548" s="107" t="s">
        <v>3197</v>
      </c>
      <c r="AA548" s="200">
        <v>0</v>
      </c>
      <c r="AB548" s="237">
        <v>10</v>
      </c>
      <c r="AC548" s="196">
        <f t="shared" si="31"/>
        <v>0</v>
      </c>
    </row>
    <row r="549" spans="1:29" s="2" customFormat="1" ht="15" customHeight="1">
      <c r="A549" s="5" t="s">
        <v>871</v>
      </c>
      <c r="B549" s="6" t="s">
        <v>1732</v>
      </c>
      <c r="C549" s="7" t="s">
        <v>417</v>
      </c>
      <c r="D549" s="216" t="s">
        <v>1748</v>
      </c>
      <c r="E549" s="5" t="s">
        <v>118</v>
      </c>
      <c r="F549" s="5" t="s">
        <v>2713</v>
      </c>
      <c r="G549" s="5" t="s">
        <v>34</v>
      </c>
      <c r="H549" s="11" t="s">
        <v>3198</v>
      </c>
      <c r="I549" s="11" t="e">
        <f>VLOOKUP(H549,合同高级查询数据!$A$2:$A$51,1,FALSE)</f>
        <v>#N/A</v>
      </c>
      <c r="J549" s="14" t="s">
        <v>36</v>
      </c>
      <c r="K549" s="5" t="s">
        <v>1864</v>
      </c>
      <c r="L549" s="11" t="s">
        <v>3199</v>
      </c>
      <c r="M549" s="5" t="s">
        <v>3200</v>
      </c>
      <c r="N549" s="19" t="s">
        <v>3201</v>
      </c>
      <c r="O549" s="5" t="s">
        <v>645</v>
      </c>
      <c r="P549" s="26">
        <v>4700</v>
      </c>
      <c r="Q549" s="140">
        <v>0</v>
      </c>
      <c r="R549" s="27">
        <f t="shared" si="30"/>
        <v>0</v>
      </c>
      <c r="S549" s="28">
        <v>202306</v>
      </c>
      <c r="T549" s="233" t="s">
        <v>3202</v>
      </c>
      <c r="U549" s="29"/>
      <c r="V549" s="178">
        <v>0</v>
      </c>
      <c r="W549" s="35"/>
      <c r="X549" s="36">
        <v>44775</v>
      </c>
      <c r="Y549" s="36">
        <v>45016</v>
      </c>
      <c r="Z549" s="178">
        <v>0</v>
      </c>
      <c r="AA549" s="45">
        <v>0</v>
      </c>
      <c r="AB549" s="239">
        <v>0</v>
      </c>
      <c r="AC549" s="178">
        <f t="shared" si="31"/>
        <v>0</v>
      </c>
    </row>
    <row r="550" spans="1:29" s="3" customFormat="1" ht="15" customHeight="1">
      <c r="A550" s="65" t="s">
        <v>878</v>
      </c>
      <c r="B550" s="85" t="s">
        <v>1732</v>
      </c>
      <c r="C550" s="86" t="s">
        <v>214</v>
      </c>
      <c r="D550" s="226" t="s">
        <v>1748</v>
      </c>
      <c r="E550" s="65" t="s">
        <v>118</v>
      </c>
      <c r="F550" s="65" t="s">
        <v>2713</v>
      </c>
      <c r="G550" s="65" t="s">
        <v>34</v>
      </c>
      <c r="H550" s="53" t="s">
        <v>3203</v>
      </c>
      <c r="I550" s="53" t="e">
        <f>VLOOKUP(H550,合同高级查询数据!$A$2:$A$51,1,FALSE)</f>
        <v>#N/A</v>
      </c>
      <c r="J550" s="88" t="s">
        <v>36</v>
      </c>
      <c r="K550" s="65" t="s">
        <v>281</v>
      </c>
      <c r="L550" s="53" t="s">
        <v>3204</v>
      </c>
      <c r="M550" s="65" t="s">
        <v>3166</v>
      </c>
      <c r="N550" s="89" t="s">
        <v>3205</v>
      </c>
      <c r="O550" s="65" t="s">
        <v>956</v>
      </c>
      <c r="P550" s="98">
        <v>4500</v>
      </c>
      <c r="Q550" s="99">
        <v>0.1</v>
      </c>
      <c r="R550" s="58">
        <f t="shared" si="30"/>
        <v>450</v>
      </c>
      <c r="S550" s="59">
        <v>202306</v>
      </c>
      <c r="T550" s="231" t="s">
        <v>3206</v>
      </c>
      <c r="U550" s="97"/>
      <c r="V550" s="196">
        <v>4.3760846999999999E-2</v>
      </c>
      <c r="W550" s="103"/>
      <c r="X550" s="64"/>
      <c r="Y550" s="64"/>
      <c r="Z550" s="107" t="s">
        <v>3207</v>
      </c>
      <c r="AA550" s="200">
        <v>0</v>
      </c>
      <c r="AB550" s="237">
        <v>10</v>
      </c>
      <c r="AC550" s="196">
        <f t="shared" si="31"/>
        <v>0</v>
      </c>
    </row>
    <row r="551" spans="1:29" s="3" customFormat="1" ht="15" customHeight="1">
      <c r="A551" s="65" t="s">
        <v>859</v>
      </c>
      <c r="B551" s="85" t="s">
        <v>1732</v>
      </c>
      <c r="C551" s="86" t="s">
        <v>2519</v>
      </c>
      <c r="D551" s="226" t="s">
        <v>1748</v>
      </c>
      <c r="E551" s="65" t="s">
        <v>118</v>
      </c>
      <c r="F551" s="65" t="s">
        <v>2713</v>
      </c>
      <c r="G551" s="65" t="s">
        <v>34</v>
      </c>
      <c r="H551" s="53" t="s">
        <v>3208</v>
      </c>
      <c r="I551" s="53" t="e">
        <f>VLOOKUP(H551,合同高级查询数据!$A$2:$A$51,1,FALSE)</f>
        <v>#N/A</v>
      </c>
      <c r="J551" s="88" t="s">
        <v>36</v>
      </c>
      <c r="K551" s="65" t="s">
        <v>2521</v>
      </c>
      <c r="L551" s="53" t="s">
        <v>3209</v>
      </c>
      <c r="M551" s="65" t="s">
        <v>3210</v>
      </c>
      <c r="N551" s="89" t="s">
        <v>3211</v>
      </c>
      <c r="O551" s="65" t="s">
        <v>956</v>
      </c>
      <c r="P551" s="98">
        <v>4800</v>
      </c>
      <c r="Q551" s="99">
        <v>0</v>
      </c>
      <c r="R551" s="58">
        <f t="shared" si="30"/>
        <v>0</v>
      </c>
      <c r="S551" s="59">
        <v>202306</v>
      </c>
      <c r="T551" s="231" t="s">
        <v>3212</v>
      </c>
      <c r="U551" s="97"/>
      <c r="V551" s="196">
        <v>0</v>
      </c>
      <c r="W551" s="103"/>
      <c r="X551" s="64"/>
      <c r="Y551" s="64"/>
      <c r="Z551" s="107" t="s">
        <v>3213</v>
      </c>
      <c r="AA551" s="200">
        <v>0</v>
      </c>
      <c r="AB551" s="237">
        <v>10</v>
      </c>
      <c r="AC551" s="196">
        <f t="shared" si="31"/>
        <v>0</v>
      </c>
    </row>
    <row r="552" spans="1:29" s="3" customFormat="1" ht="15" customHeight="1">
      <c r="A552" s="65" t="s">
        <v>859</v>
      </c>
      <c r="B552" s="85" t="s">
        <v>1732</v>
      </c>
      <c r="C552" s="86" t="s">
        <v>2519</v>
      </c>
      <c r="D552" s="226" t="s">
        <v>1748</v>
      </c>
      <c r="E552" s="65" t="s">
        <v>118</v>
      </c>
      <c r="F552" s="65" t="s">
        <v>2713</v>
      </c>
      <c r="G552" s="65" t="s">
        <v>34</v>
      </c>
      <c r="H552" s="53" t="s">
        <v>3208</v>
      </c>
      <c r="I552" s="53" t="e">
        <f>VLOOKUP(H552,合同高级查询数据!$A$2:$A$51,1,FALSE)</f>
        <v>#N/A</v>
      </c>
      <c r="J552" s="88" t="s">
        <v>36</v>
      </c>
      <c r="K552" s="65" t="s">
        <v>2521</v>
      </c>
      <c r="L552" s="53" t="s">
        <v>3214</v>
      </c>
      <c r="M552" s="65" t="s">
        <v>3210</v>
      </c>
      <c r="N552" s="89" t="s">
        <v>3211</v>
      </c>
      <c r="O552" s="65" t="s">
        <v>956</v>
      </c>
      <c r="P552" s="98">
        <v>4800</v>
      </c>
      <c r="Q552" s="99">
        <v>0</v>
      </c>
      <c r="R552" s="58">
        <f t="shared" si="30"/>
        <v>0</v>
      </c>
      <c r="S552" s="59">
        <v>202306</v>
      </c>
      <c r="T552" s="231" t="s">
        <v>3212</v>
      </c>
      <c r="U552" s="97"/>
      <c r="V552" s="196">
        <v>0</v>
      </c>
      <c r="W552" s="103"/>
      <c r="X552" s="64"/>
      <c r="Y552" s="64"/>
      <c r="Z552" s="107" t="s">
        <v>3215</v>
      </c>
      <c r="AA552" s="200">
        <v>0</v>
      </c>
      <c r="AB552" s="237">
        <v>10</v>
      </c>
      <c r="AC552" s="196">
        <f t="shared" si="31"/>
        <v>0</v>
      </c>
    </row>
    <row r="553" spans="1:29" s="3" customFormat="1" ht="15" customHeight="1">
      <c r="A553" s="65" t="s">
        <v>878</v>
      </c>
      <c r="B553" s="85" t="s">
        <v>1732</v>
      </c>
      <c r="C553" s="86" t="s">
        <v>1882</v>
      </c>
      <c r="D553" s="226" t="s">
        <v>1748</v>
      </c>
      <c r="E553" s="65" t="s">
        <v>118</v>
      </c>
      <c r="F553" s="65" t="s">
        <v>2713</v>
      </c>
      <c r="G553" s="65" t="s">
        <v>34</v>
      </c>
      <c r="H553" s="53" t="s">
        <v>3216</v>
      </c>
      <c r="I553" s="53" t="e">
        <f>VLOOKUP(H553,合同高级查询数据!$A$2:$A$51,1,FALSE)</f>
        <v>#N/A</v>
      </c>
      <c r="J553" s="88" t="s">
        <v>36</v>
      </c>
      <c r="K553" s="65" t="s">
        <v>3217</v>
      </c>
      <c r="L553" s="53" t="s">
        <v>3218</v>
      </c>
      <c r="M553" s="65" t="s">
        <v>3219</v>
      </c>
      <c r="N553" s="89">
        <v>44805</v>
      </c>
      <c r="O553" s="65" t="s">
        <v>542</v>
      </c>
      <c r="P553" s="98">
        <v>4500</v>
      </c>
      <c r="Q553" s="99">
        <v>0</v>
      </c>
      <c r="R553" s="58">
        <f t="shared" si="30"/>
        <v>0</v>
      </c>
      <c r="S553" s="59">
        <v>202306</v>
      </c>
      <c r="T553" s="231" t="s">
        <v>3220</v>
      </c>
      <c r="U553" s="97"/>
      <c r="V553" s="196">
        <v>0</v>
      </c>
      <c r="W553" s="103"/>
      <c r="X553" s="64"/>
      <c r="Y553" s="64"/>
      <c r="Z553" s="107" t="s">
        <v>3221</v>
      </c>
      <c r="AA553" s="200">
        <v>0</v>
      </c>
      <c r="AB553" s="237">
        <v>10</v>
      </c>
      <c r="AC553" s="196">
        <f t="shared" si="31"/>
        <v>0</v>
      </c>
    </row>
    <row r="554" spans="1:29" s="3" customFormat="1" ht="15" customHeight="1">
      <c r="A554" s="65" t="s">
        <v>878</v>
      </c>
      <c r="B554" s="85" t="s">
        <v>1732</v>
      </c>
      <c r="C554" s="86" t="s">
        <v>1758</v>
      </c>
      <c r="D554" s="226" t="s">
        <v>1748</v>
      </c>
      <c r="E554" s="65" t="s">
        <v>118</v>
      </c>
      <c r="F554" s="65" t="s">
        <v>2713</v>
      </c>
      <c r="G554" s="65" t="s">
        <v>34</v>
      </c>
      <c r="H554" s="53" t="s">
        <v>3222</v>
      </c>
      <c r="I554" s="53" t="e">
        <f>VLOOKUP(H554,合同高级查询数据!$A$2:$A$51,1,FALSE)</f>
        <v>#N/A</v>
      </c>
      <c r="J554" s="88" t="s">
        <v>36</v>
      </c>
      <c r="K554" s="65" t="s">
        <v>2622</v>
      </c>
      <c r="L554" s="53" t="s">
        <v>3223</v>
      </c>
      <c r="M554" s="65" t="s">
        <v>3224</v>
      </c>
      <c r="N554" s="89">
        <v>44805</v>
      </c>
      <c r="O554" s="65" t="s">
        <v>542</v>
      </c>
      <c r="P554" s="98">
        <v>4500</v>
      </c>
      <c r="Q554" s="99">
        <v>2.8</v>
      </c>
      <c r="R554" s="58">
        <f t="shared" si="30"/>
        <v>12600</v>
      </c>
      <c r="S554" s="59">
        <v>202306</v>
      </c>
      <c r="T554" s="231" t="s">
        <v>3225</v>
      </c>
      <c r="U554" s="97"/>
      <c r="V554" s="196">
        <v>2.7249357700000001</v>
      </c>
      <c r="W554" s="103"/>
      <c r="X554" s="64"/>
      <c r="Y554" s="64"/>
      <c r="Z554" s="107" t="s">
        <v>3226</v>
      </c>
      <c r="AA554" s="200">
        <v>0</v>
      </c>
      <c r="AB554" s="237">
        <v>10</v>
      </c>
      <c r="AC554" s="196">
        <f t="shared" si="31"/>
        <v>0</v>
      </c>
    </row>
    <row r="555" spans="1:29" s="2" customFormat="1" ht="15" customHeight="1">
      <c r="A555" s="5" t="s">
        <v>878</v>
      </c>
      <c r="B555" s="6" t="s">
        <v>1732</v>
      </c>
      <c r="C555" s="7" t="s">
        <v>860</v>
      </c>
      <c r="D555" s="216" t="s">
        <v>1748</v>
      </c>
      <c r="E555" s="5" t="s">
        <v>118</v>
      </c>
      <c r="F555" s="5" t="s">
        <v>2713</v>
      </c>
      <c r="G555" s="5" t="s">
        <v>34</v>
      </c>
      <c r="H555" s="11" t="s">
        <v>3227</v>
      </c>
      <c r="I555" s="11" t="e">
        <f>VLOOKUP(H555,合同高级查询数据!$A$2:$A$51,1,FALSE)</f>
        <v>#N/A</v>
      </c>
      <c r="J555" s="14" t="s">
        <v>36</v>
      </c>
      <c r="K555" s="5" t="s">
        <v>2182</v>
      </c>
      <c r="L555" s="11" t="s">
        <v>3228</v>
      </c>
      <c r="M555" s="5" t="s">
        <v>3123</v>
      </c>
      <c r="N555" s="19" t="s">
        <v>656</v>
      </c>
      <c r="O555" s="5" t="s">
        <v>645</v>
      </c>
      <c r="P555" s="26">
        <v>4600</v>
      </c>
      <c r="Q555" s="140">
        <v>0</v>
      </c>
      <c r="R555" s="27">
        <f t="shared" si="30"/>
        <v>0</v>
      </c>
      <c r="S555" s="28">
        <v>202306</v>
      </c>
      <c r="T555" s="29" t="s">
        <v>3229</v>
      </c>
      <c r="U555" s="29"/>
      <c r="V555" s="178">
        <v>0</v>
      </c>
      <c r="W555" s="35"/>
      <c r="X555" s="36">
        <v>44805</v>
      </c>
      <c r="Y555" s="36">
        <v>45016</v>
      </c>
      <c r="Z555" s="178">
        <v>0</v>
      </c>
      <c r="AA555" s="45">
        <v>0</v>
      </c>
      <c r="AB555" s="239">
        <v>0</v>
      </c>
      <c r="AC555" s="178">
        <f t="shared" si="31"/>
        <v>0</v>
      </c>
    </row>
    <row r="556" spans="1:29" s="2" customFormat="1" ht="15" customHeight="1">
      <c r="A556" s="5" t="s">
        <v>878</v>
      </c>
      <c r="B556" s="6" t="s">
        <v>1732</v>
      </c>
      <c r="C556" s="7" t="s">
        <v>860</v>
      </c>
      <c r="D556" s="216" t="s">
        <v>1748</v>
      </c>
      <c r="E556" s="5" t="s">
        <v>118</v>
      </c>
      <c r="F556" s="5" t="s">
        <v>2713</v>
      </c>
      <c r="G556" s="5" t="s">
        <v>34</v>
      </c>
      <c r="H556" s="11" t="s">
        <v>3227</v>
      </c>
      <c r="I556" s="11" t="e">
        <f>VLOOKUP(H556,合同高级查询数据!$A$2:$A$51,1,FALSE)</f>
        <v>#N/A</v>
      </c>
      <c r="J556" s="14" t="s">
        <v>36</v>
      </c>
      <c r="K556" s="5" t="s">
        <v>2182</v>
      </c>
      <c r="L556" s="11" t="s">
        <v>3230</v>
      </c>
      <c r="M556" s="5" t="s">
        <v>3123</v>
      </c>
      <c r="N556" s="19" t="s">
        <v>3231</v>
      </c>
      <c r="O556" s="5" t="s">
        <v>645</v>
      </c>
      <c r="P556" s="26">
        <v>4600</v>
      </c>
      <c r="Q556" s="140">
        <v>0</v>
      </c>
      <c r="R556" s="27">
        <f t="shared" si="30"/>
        <v>0</v>
      </c>
      <c r="S556" s="28">
        <v>202306</v>
      </c>
      <c r="T556" s="29" t="s">
        <v>3232</v>
      </c>
      <c r="U556" s="29"/>
      <c r="V556" s="178">
        <v>0</v>
      </c>
      <c r="W556" s="35"/>
      <c r="X556" s="36">
        <v>44805</v>
      </c>
      <c r="Y556" s="36">
        <v>45016</v>
      </c>
      <c r="Z556" s="178">
        <v>0</v>
      </c>
      <c r="AA556" s="45">
        <v>0</v>
      </c>
      <c r="AB556" s="239">
        <v>0</v>
      </c>
      <c r="AC556" s="178">
        <f t="shared" si="31"/>
        <v>0</v>
      </c>
    </row>
    <row r="557" spans="1:29" s="2" customFormat="1" ht="15" customHeight="1">
      <c r="A557" s="5" t="s">
        <v>878</v>
      </c>
      <c r="B557" s="6" t="s">
        <v>1732</v>
      </c>
      <c r="C557" s="7" t="s">
        <v>860</v>
      </c>
      <c r="D557" s="216" t="s">
        <v>1748</v>
      </c>
      <c r="E557" s="5" t="s">
        <v>118</v>
      </c>
      <c r="F557" s="5" t="s">
        <v>2713</v>
      </c>
      <c r="G557" s="5" t="s">
        <v>34</v>
      </c>
      <c r="H557" s="11" t="s">
        <v>3227</v>
      </c>
      <c r="I557" s="11" t="e">
        <f>VLOOKUP(H557,合同高级查询数据!$A$2:$A$51,1,FALSE)</f>
        <v>#N/A</v>
      </c>
      <c r="J557" s="14" t="s">
        <v>36</v>
      </c>
      <c r="K557" s="5" t="s">
        <v>2182</v>
      </c>
      <c r="L557" s="11" t="s">
        <v>3233</v>
      </c>
      <c r="M557" s="5" t="s">
        <v>3123</v>
      </c>
      <c r="N557" s="19" t="s">
        <v>656</v>
      </c>
      <c r="O557" s="5" t="s">
        <v>645</v>
      </c>
      <c r="P557" s="26">
        <v>4600</v>
      </c>
      <c r="Q557" s="140">
        <v>0</v>
      </c>
      <c r="R557" s="27">
        <f t="shared" si="30"/>
        <v>0</v>
      </c>
      <c r="S557" s="28">
        <v>202306</v>
      </c>
      <c r="T557" s="29" t="s">
        <v>3229</v>
      </c>
      <c r="U557" s="29"/>
      <c r="V557" s="178">
        <v>0</v>
      </c>
      <c r="W557" s="35"/>
      <c r="X557" s="36">
        <v>44805</v>
      </c>
      <c r="Y557" s="36">
        <v>45016</v>
      </c>
      <c r="Z557" s="178">
        <v>0</v>
      </c>
      <c r="AA557" s="45">
        <v>0</v>
      </c>
      <c r="AB557" s="239">
        <v>0</v>
      </c>
      <c r="AC557" s="178">
        <f t="shared" si="31"/>
        <v>0</v>
      </c>
    </row>
    <row r="558" spans="1:29" s="2" customFormat="1" ht="15" customHeight="1">
      <c r="A558" s="5" t="s">
        <v>871</v>
      </c>
      <c r="B558" s="6" t="s">
        <v>1732</v>
      </c>
      <c r="C558" s="7" t="s">
        <v>417</v>
      </c>
      <c r="D558" s="216" t="s">
        <v>1748</v>
      </c>
      <c r="E558" s="5" t="s">
        <v>118</v>
      </c>
      <c r="F558" s="5" t="s">
        <v>2713</v>
      </c>
      <c r="G558" s="5" t="s">
        <v>34</v>
      </c>
      <c r="H558" s="11" t="s">
        <v>3234</v>
      </c>
      <c r="I558" s="11" t="e">
        <f>VLOOKUP(H558,合同高级查询数据!$A$2:$A$51,1,FALSE)</f>
        <v>#N/A</v>
      </c>
      <c r="J558" s="14" t="s">
        <v>36</v>
      </c>
      <c r="K558" s="5" t="s">
        <v>575</v>
      </c>
      <c r="L558" s="11" t="s">
        <v>3235</v>
      </c>
      <c r="M558" s="5" t="s">
        <v>3236</v>
      </c>
      <c r="N558" s="19" t="s">
        <v>3237</v>
      </c>
      <c r="O558" s="5" t="s">
        <v>645</v>
      </c>
      <c r="P558" s="26">
        <v>4700</v>
      </c>
      <c r="Q558" s="140">
        <v>0</v>
      </c>
      <c r="R558" s="27">
        <f t="shared" si="30"/>
        <v>0</v>
      </c>
      <c r="S558" s="28">
        <v>202306</v>
      </c>
      <c r="T558" s="29" t="s">
        <v>3238</v>
      </c>
      <c r="U558" s="29"/>
      <c r="V558" s="178">
        <v>0</v>
      </c>
      <c r="W558" s="35"/>
      <c r="X558" s="36">
        <v>44805</v>
      </c>
      <c r="Y558" s="36">
        <v>45016</v>
      </c>
      <c r="Z558" s="178">
        <v>0</v>
      </c>
      <c r="AA558" s="45">
        <v>0</v>
      </c>
      <c r="AB558" s="239">
        <v>0</v>
      </c>
      <c r="AC558" s="178">
        <f t="shared" si="31"/>
        <v>0</v>
      </c>
    </row>
    <row r="559" spans="1:29" s="2" customFormat="1" ht="15" customHeight="1">
      <c r="A559" s="5" t="s">
        <v>871</v>
      </c>
      <c r="B559" s="6" t="s">
        <v>1732</v>
      </c>
      <c r="C559" s="7" t="s">
        <v>417</v>
      </c>
      <c r="D559" s="216" t="s">
        <v>1748</v>
      </c>
      <c r="E559" s="5" t="s">
        <v>118</v>
      </c>
      <c r="F559" s="5" t="s">
        <v>2713</v>
      </c>
      <c r="G559" s="5" t="s">
        <v>34</v>
      </c>
      <c r="H559" s="11" t="s">
        <v>3234</v>
      </c>
      <c r="I559" s="11" t="e">
        <f>VLOOKUP(H559,合同高级查询数据!$A$2:$A$51,1,FALSE)</f>
        <v>#N/A</v>
      </c>
      <c r="J559" s="14" t="s">
        <v>36</v>
      </c>
      <c r="K559" s="5" t="s">
        <v>575</v>
      </c>
      <c r="L559" s="11" t="s">
        <v>3239</v>
      </c>
      <c r="M559" s="5" t="s">
        <v>3236</v>
      </c>
      <c r="N559" s="19" t="s">
        <v>3237</v>
      </c>
      <c r="O559" s="5" t="s">
        <v>645</v>
      </c>
      <c r="P559" s="26">
        <v>4700</v>
      </c>
      <c r="Q559" s="140">
        <v>0</v>
      </c>
      <c r="R559" s="27">
        <f t="shared" si="30"/>
        <v>0</v>
      </c>
      <c r="S559" s="28">
        <v>202306</v>
      </c>
      <c r="T559" s="29" t="s">
        <v>3238</v>
      </c>
      <c r="U559" s="29"/>
      <c r="V559" s="178">
        <v>0</v>
      </c>
      <c r="W559" s="35"/>
      <c r="X559" s="36">
        <v>44805</v>
      </c>
      <c r="Y559" s="36">
        <v>45016</v>
      </c>
      <c r="Z559" s="178">
        <v>0</v>
      </c>
      <c r="AA559" s="45">
        <v>0</v>
      </c>
      <c r="AB559" s="239">
        <v>0</v>
      </c>
      <c r="AC559" s="178">
        <f t="shared" si="31"/>
        <v>0</v>
      </c>
    </row>
    <row r="560" spans="1:29" s="2" customFormat="1" ht="15" customHeight="1">
      <c r="A560" s="5" t="s">
        <v>871</v>
      </c>
      <c r="B560" s="6" t="s">
        <v>1732</v>
      </c>
      <c r="C560" s="7" t="s">
        <v>417</v>
      </c>
      <c r="D560" s="216" t="s">
        <v>1748</v>
      </c>
      <c r="E560" s="5" t="s">
        <v>118</v>
      </c>
      <c r="F560" s="5" t="s">
        <v>2713</v>
      </c>
      <c r="G560" s="5" t="s">
        <v>34</v>
      </c>
      <c r="H560" s="11" t="s">
        <v>3240</v>
      </c>
      <c r="I560" s="11" t="e">
        <f>VLOOKUP(H560,合同高级查询数据!$A$2:$A$51,1,FALSE)</f>
        <v>#N/A</v>
      </c>
      <c r="J560" s="14" t="s">
        <v>36</v>
      </c>
      <c r="K560" s="5" t="s">
        <v>575</v>
      </c>
      <c r="L560" s="11" t="s">
        <v>3241</v>
      </c>
      <c r="M560" s="5" t="s">
        <v>3236</v>
      </c>
      <c r="N560" s="19" t="s">
        <v>3237</v>
      </c>
      <c r="O560" s="5" t="s">
        <v>645</v>
      </c>
      <c r="P560" s="26">
        <v>4700</v>
      </c>
      <c r="Q560" s="140">
        <v>0</v>
      </c>
      <c r="R560" s="27">
        <f t="shared" si="30"/>
        <v>0</v>
      </c>
      <c r="S560" s="28">
        <v>202306</v>
      </c>
      <c r="T560" s="29" t="s">
        <v>3242</v>
      </c>
      <c r="U560" s="29"/>
      <c r="V560" s="178">
        <v>0</v>
      </c>
      <c r="W560" s="35"/>
      <c r="X560" s="36">
        <v>44835</v>
      </c>
      <c r="Y560" s="36">
        <v>45016</v>
      </c>
      <c r="Z560" s="178">
        <v>0</v>
      </c>
      <c r="AA560" s="45">
        <v>0</v>
      </c>
      <c r="AB560" s="239">
        <v>0</v>
      </c>
      <c r="AC560" s="178">
        <f t="shared" si="31"/>
        <v>0</v>
      </c>
    </row>
    <row r="561" spans="1:29" s="2" customFormat="1" ht="15" customHeight="1">
      <c r="A561" s="5" t="s">
        <v>878</v>
      </c>
      <c r="B561" s="6" t="s">
        <v>1732</v>
      </c>
      <c r="C561" s="7" t="s">
        <v>860</v>
      </c>
      <c r="D561" s="216" t="s">
        <v>1748</v>
      </c>
      <c r="E561" s="5" t="s">
        <v>118</v>
      </c>
      <c r="F561" s="5" t="s">
        <v>2713</v>
      </c>
      <c r="G561" s="5" t="s">
        <v>34</v>
      </c>
      <c r="H561" s="11" t="s">
        <v>3243</v>
      </c>
      <c r="I561" s="11" t="e">
        <f>VLOOKUP(H561,合同高级查询数据!$A$2:$A$51,1,FALSE)</f>
        <v>#N/A</v>
      </c>
      <c r="J561" s="14" t="s">
        <v>36</v>
      </c>
      <c r="K561" s="5" t="s">
        <v>2100</v>
      </c>
      <c r="L561" s="11" t="s">
        <v>3244</v>
      </c>
      <c r="M561" s="5" t="s">
        <v>3245</v>
      </c>
      <c r="N561" s="19" t="s">
        <v>3109</v>
      </c>
      <c r="O561" s="5" t="s">
        <v>645</v>
      </c>
      <c r="P561" s="26">
        <v>4600</v>
      </c>
      <c r="Q561" s="140">
        <v>0</v>
      </c>
      <c r="R561" s="27">
        <f t="shared" si="30"/>
        <v>0</v>
      </c>
      <c r="S561" s="28">
        <v>202306</v>
      </c>
      <c r="T561" s="29" t="s">
        <v>3246</v>
      </c>
      <c r="U561" s="29"/>
      <c r="V561" s="178">
        <v>0</v>
      </c>
      <c r="W561" s="35"/>
      <c r="X561" s="36">
        <v>44805</v>
      </c>
      <c r="Y561" s="36">
        <v>45016</v>
      </c>
      <c r="Z561" s="178">
        <v>0</v>
      </c>
      <c r="AA561" s="45">
        <v>0</v>
      </c>
      <c r="AB561" s="34">
        <v>0</v>
      </c>
      <c r="AC561" s="178">
        <f t="shared" si="31"/>
        <v>0</v>
      </c>
    </row>
    <row r="562" spans="1:29" s="3" customFormat="1" ht="15" customHeight="1">
      <c r="A562" s="65" t="s">
        <v>871</v>
      </c>
      <c r="B562" s="85" t="s">
        <v>1732</v>
      </c>
      <c r="C562" s="86" t="s">
        <v>1790</v>
      </c>
      <c r="D562" s="226" t="s">
        <v>1748</v>
      </c>
      <c r="E562" s="65" t="s">
        <v>118</v>
      </c>
      <c r="F562" s="65" t="s">
        <v>2713</v>
      </c>
      <c r="G562" s="65" t="s">
        <v>34</v>
      </c>
      <c r="H562" s="53" t="s">
        <v>3247</v>
      </c>
      <c r="I562" s="53" t="e">
        <f>VLOOKUP(H562,合同高级查询数据!$A$2:$A$51,1,FALSE)</f>
        <v>#N/A</v>
      </c>
      <c r="J562" s="88" t="s">
        <v>36</v>
      </c>
      <c r="K562" s="65" t="s">
        <v>3189</v>
      </c>
      <c r="L562" s="53" t="s">
        <v>3248</v>
      </c>
      <c r="M562" s="65" t="s">
        <v>3249</v>
      </c>
      <c r="N562" s="89">
        <v>44805</v>
      </c>
      <c r="O562" s="65" t="s">
        <v>542</v>
      </c>
      <c r="P562" s="98">
        <v>4600</v>
      </c>
      <c r="Q562" s="99">
        <v>2.9</v>
      </c>
      <c r="R562" s="58">
        <f t="shared" si="30"/>
        <v>13340</v>
      </c>
      <c r="S562" s="59">
        <v>202306</v>
      </c>
      <c r="T562" s="234" t="s">
        <v>3225</v>
      </c>
      <c r="U562" s="97"/>
      <c r="V562" s="196">
        <v>2.8697187899999999</v>
      </c>
      <c r="W562" s="103"/>
      <c r="X562" s="64"/>
      <c r="Y562" s="64"/>
      <c r="Z562" s="107" t="s">
        <v>3250</v>
      </c>
      <c r="AA562" s="200">
        <v>0</v>
      </c>
      <c r="AB562" s="237">
        <v>10</v>
      </c>
      <c r="AC562" s="196">
        <f t="shared" si="31"/>
        <v>0</v>
      </c>
    </row>
    <row r="563" spans="1:29" s="3" customFormat="1" ht="15" customHeight="1">
      <c r="A563" s="65" t="s">
        <v>859</v>
      </c>
      <c r="B563" s="85" t="s">
        <v>1732</v>
      </c>
      <c r="C563" s="86" t="s">
        <v>2519</v>
      </c>
      <c r="D563" s="226" t="s">
        <v>1748</v>
      </c>
      <c r="E563" s="65" t="s">
        <v>118</v>
      </c>
      <c r="F563" s="65" t="s">
        <v>2713</v>
      </c>
      <c r="G563" s="65" t="s">
        <v>34</v>
      </c>
      <c r="H563" s="53" t="s">
        <v>3251</v>
      </c>
      <c r="I563" s="53" t="e">
        <f>VLOOKUP(H563,合同高级查询数据!$A$2:$A$51,1,FALSE)</f>
        <v>#N/A</v>
      </c>
      <c r="J563" s="88" t="s">
        <v>36</v>
      </c>
      <c r="K563" s="65" t="s">
        <v>3252</v>
      </c>
      <c r="L563" s="53" t="s">
        <v>3253</v>
      </c>
      <c r="M563" s="65" t="s">
        <v>3254</v>
      </c>
      <c r="N563" s="89" t="s">
        <v>3255</v>
      </c>
      <c r="O563" s="65" t="s">
        <v>956</v>
      </c>
      <c r="P563" s="98">
        <v>4800</v>
      </c>
      <c r="Q563" s="99">
        <v>0</v>
      </c>
      <c r="R563" s="58">
        <f t="shared" si="30"/>
        <v>0</v>
      </c>
      <c r="S563" s="59">
        <v>202306</v>
      </c>
      <c r="T563" s="231" t="s">
        <v>3256</v>
      </c>
      <c r="U563" s="97"/>
      <c r="V563" s="196">
        <v>0</v>
      </c>
      <c r="W563" s="103"/>
      <c r="X563" s="64"/>
      <c r="Y563" s="64"/>
      <c r="Z563" s="107" t="s">
        <v>3257</v>
      </c>
      <c r="AA563" s="200">
        <v>0</v>
      </c>
      <c r="AB563" s="237">
        <v>10</v>
      </c>
      <c r="AC563" s="196">
        <f t="shared" si="31"/>
        <v>0</v>
      </c>
    </row>
    <row r="564" spans="1:29" s="2" customFormat="1" ht="15" customHeight="1">
      <c r="A564" s="5" t="s">
        <v>878</v>
      </c>
      <c r="B564" s="6" t="s">
        <v>1732</v>
      </c>
      <c r="C564" s="7" t="s">
        <v>2246</v>
      </c>
      <c r="D564" s="216" t="s">
        <v>1748</v>
      </c>
      <c r="E564" s="5" t="s">
        <v>118</v>
      </c>
      <c r="F564" s="5" t="s">
        <v>2713</v>
      </c>
      <c r="G564" s="5" t="s">
        <v>34</v>
      </c>
      <c r="H564" s="5" t="s">
        <v>3258</v>
      </c>
      <c r="I564" s="11" t="e">
        <f>VLOOKUP(H564,合同高级查询数据!$A$2:$A$51,1,FALSE)</f>
        <v>#N/A</v>
      </c>
      <c r="J564" s="14" t="s">
        <v>36</v>
      </c>
      <c r="K564" s="5" t="s">
        <v>3259</v>
      </c>
      <c r="L564" s="11" t="s">
        <v>3260</v>
      </c>
      <c r="M564" s="5" t="s">
        <v>3261</v>
      </c>
      <c r="N564" s="19" t="s">
        <v>3262</v>
      </c>
      <c r="O564" s="5" t="s">
        <v>3263</v>
      </c>
      <c r="P564" s="26">
        <v>4600</v>
      </c>
      <c r="Q564" s="140">
        <v>0</v>
      </c>
      <c r="R564" s="27">
        <f t="shared" si="30"/>
        <v>0</v>
      </c>
      <c r="S564" s="28">
        <v>202306</v>
      </c>
      <c r="T564" s="29" t="s">
        <v>3264</v>
      </c>
      <c r="U564" s="29"/>
      <c r="V564" s="178">
        <v>0</v>
      </c>
      <c r="W564" s="35"/>
      <c r="X564" s="36">
        <v>44807</v>
      </c>
      <c r="Y564" s="36">
        <v>45016</v>
      </c>
      <c r="Z564" s="178">
        <v>0</v>
      </c>
      <c r="AA564" s="45">
        <v>0</v>
      </c>
      <c r="AB564" s="239">
        <v>0</v>
      </c>
      <c r="AC564" s="178">
        <f t="shared" si="31"/>
        <v>0</v>
      </c>
    </row>
    <row r="565" spans="1:29" s="3" customFormat="1" ht="15" customHeight="1">
      <c r="A565" s="65" t="s">
        <v>859</v>
      </c>
      <c r="B565" s="85" t="s">
        <v>1732</v>
      </c>
      <c r="C565" s="86" t="s">
        <v>2519</v>
      </c>
      <c r="D565" s="226" t="s">
        <v>1748</v>
      </c>
      <c r="E565" s="65" t="s">
        <v>118</v>
      </c>
      <c r="F565" s="65" t="s">
        <v>2713</v>
      </c>
      <c r="G565" s="65" t="s">
        <v>34</v>
      </c>
      <c r="H565" s="53" t="s">
        <v>3265</v>
      </c>
      <c r="I565" s="53" t="e">
        <f>VLOOKUP(H565,合同高级查询数据!$A$2:$A$51,1,FALSE)</f>
        <v>#N/A</v>
      </c>
      <c r="J565" s="88" t="s">
        <v>36</v>
      </c>
      <c r="K565" s="65" t="s">
        <v>2521</v>
      </c>
      <c r="L565" s="53" t="s">
        <v>3266</v>
      </c>
      <c r="M565" s="65" t="s">
        <v>3210</v>
      </c>
      <c r="N565" s="89">
        <v>44807</v>
      </c>
      <c r="O565" s="65" t="s">
        <v>511</v>
      </c>
      <c r="P565" s="98">
        <v>5600</v>
      </c>
      <c r="Q565" s="99">
        <v>15</v>
      </c>
      <c r="R565" s="58">
        <f t="shared" si="30"/>
        <v>84000</v>
      </c>
      <c r="S565" s="59">
        <v>202306</v>
      </c>
      <c r="T565" s="231" t="s">
        <v>3267</v>
      </c>
      <c r="U565" s="97"/>
      <c r="V565" s="196">
        <v>14.692083359</v>
      </c>
      <c r="W565" s="103"/>
      <c r="X565" s="64"/>
      <c r="Y565" s="64"/>
      <c r="Z565" s="107" t="s">
        <v>3268</v>
      </c>
      <c r="AA565" s="200">
        <v>0.3</v>
      </c>
      <c r="AB565" s="237">
        <v>50</v>
      </c>
      <c r="AC565" s="196">
        <f t="shared" si="31"/>
        <v>15</v>
      </c>
    </row>
    <row r="566" spans="1:29" s="3" customFormat="1" ht="15" customHeight="1">
      <c r="A566" s="65" t="s">
        <v>871</v>
      </c>
      <c r="B566" s="85" t="s">
        <v>1732</v>
      </c>
      <c r="C566" s="86" t="s">
        <v>1902</v>
      </c>
      <c r="D566" s="226" t="s">
        <v>1748</v>
      </c>
      <c r="E566" s="65" t="s">
        <v>118</v>
      </c>
      <c r="F566" s="65" t="s">
        <v>2713</v>
      </c>
      <c r="G566" s="65" t="s">
        <v>34</v>
      </c>
      <c r="H566" s="53" t="s">
        <v>3269</v>
      </c>
      <c r="I566" s="53" t="e">
        <f>VLOOKUP(H566,合同高级查询数据!$A$2:$A$51,1,FALSE)</f>
        <v>#N/A</v>
      </c>
      <c r="J566" s="88" t="s">
        <v>36</v>
      </c>
      <c r="K566" s="65" t="s">
        <v>3270</v>
      </c>
      <c r="L566" s="53" t="s">
        <v>3271</v>
      </c>
      <c r="M566" s="65" t="s">
        <v>3272</v>
      </c>
      <c r="N566" s="89" t="s">
        <v>3273</v>
      </c>
      <c r="O566" s="65" t="s">
        <v>1498</v>
      </c>
      <c r="P566" s="98">
        <v>5600</v>
      </c>
      <c r="Q566" s="99">
        <v>0</v>
      </c>
      <c r="R566" s="58">
        <f t="shared" si="30"/>
        <v>0</v>
      </c>
      <c r="S566" s="59">
        <v>202306</v>
      </c>
      <c r="T566" s="97" t="s">
        <v>3274</v>
      </c>
      <c r="U566" s="97"/>
      <c r="V566" s="196">
        <v>0</v>
      </c>
      <c r="W566" s="103"/>
      <c r="X566" s="64"/>
      <c r="Y566" s="64"/>
      <c r="Z566" s="196">
        <v>0</v>
      </c>
      <c r="AA566" s="200">
        <v>0</v>
      </c>
      <c r="AB566" s="237">
        <v>0</v>
      </c>
      <c r="AC566" s="196">
        <f t="shared" si="31"/>
        <v>0</v>
      </c>
    </row>
    <row r="567" spans="1:29" s="2" customFormat="1" ht="15" customHeight="1">
      <c r="A567" s="5" t="s">
        <v>878</v>
      </c>
      <c r="B567" s="6" t="s">
        <v>1732</v>
      </c>
      <c r="C567" s="7" t="s">
        <v>860</v>
      </c>
      <c r="D567" s="216" t="s">
        <v>1748</v>
      </c>
      <c r="E567" s="5" t="s">
        <v>118</v>
      </c>
      <c r="F567" s="5" t="s">
        <v>2713</v>
      </c>
      <c r="G567" s="5" t="s">
        <v>34</v>
      </c>
      <c r="H567" s="11" t="s">
        <v>3126</v>
      </c>
      <c r="I567" s="11" t="e">
        <f>VLOOKUP(H567,合同高级查询数据!$A$2:$A$51,1,FALSE)</f>
        <v>#N/A</v>
      </c>
      <c r="J567" s="14" t="s">
        <v>36</v>
      </c>
      <c r="K567" s="5" t="s">
        <v>2182</v>
      </c>
      <c r="L567" s="11" t="s">
        <v>3275</v>
      </c>
      <c r="M567" s="5" t="s">
        <v>3123</v>
      </c>
      <c r="N567" s="19" t="s">
        <v>3276</v>
      </c>
      <c r="O567" s="5" t="s">
        <v>645</v>
      </c>
      <c r="P567" s="26">
        <v>4400</v>
      </c>
      <c r="Q567" s="140">
        <v>0</v>
      </c>
      <c r="R567" s="27">
        <f t="shared" ref="R567:R579" si="32">ROUND(P567*Q567,2)</f>
        <v>0</v>
      </c>
      <c r="S567" s="28">
        <v>202306</v>
      </c>
      <c r="T567" s="29" t="s">
        <v>3277</v>
      </c>
      <c r="U567" s="29"/>
      <c r="V567" s="178">
        <v>0</v>
      </c>
      <c r="W567" s="35"/>
      <c r="X567" s="36">
        <v>44652</v>
      </c>
      <c r="Y567" s="36">
        <v>45016</v>
      </c>
      <c r="Z567" s="178">
        <v>0</v>
      </c>
      <c r="AA567" s="45">
        <v>0</v>
      </c>
      <c r="AB567" s="239">
        <v>0</v>
      </c>
      <c r="AC567" s="178">
        <f t="shared" si="31"/>
        <v>0</v>
      </c>
    </row>
    <row r="568" spans="1:29" s="3" customFormat="1" ht="15" customHeight="1">
      <c r="A568" s="65" t="s">
        <v>871</v>
      </c>
      <c r="B568" s="85" t="s">
        <v>1732</v>
      </c>
      <c r="C568" s="86" t="s">
        <v>417</v>
      </c>
      <c r="D568" s="226" t="s">
        <v>1748</v>
      </c>
      <c r="E568" s="65" t="s">
        <v>118</v>
      </c>
      <c r="F568" s="65" t="s">
        <v>2713</v>
      </c>
      <c r="G568" s="65" t="s">
        <v>34</v>
      </c>
      <c r="H568" s="53" t="s">
        <v>3278</v>
      </c>
      <c r="I568" s="53" t="e">
        <f>VLOOKUP(H568,合同高级查询数据!$A$2:$A$51,1,FALSE)</f>
        <v>#N/A</v>
      </c>
      <c r="J568" s="88" t="s">
        <v>36</v>
      </c>
      <c r="K568" s="65" t="s">
        <v>575</v>
      </c>
      <c r="L568" s="65" t="s">
        <v>3279</v>
      </c>
      <c r="M568" s="65" t="s">
        <v>3280</v>
      </c>
      <c r="N568" s="64" t="s">
        <v>3281</v>
      </c>
      <c r="O568" s="65" t="s">
        <v>645</v>
      </c>
      <c r="P568" s="98">
        <v>4600</v>
      </c>
      <c r="Q568" s="99">
        <v>0</v>
      </c>
      <c r="R568" s="58">
        <f t="shared" si="32"/>
        <v>0</v>
      </c>
      <c r="S568" s="59">
        <v>202306</v>
      </c>
      <c r="T568" s="97" t="s">
        <v>3282</v>
      </c>
      <c r="U568" s="97"/>
      <c r="V568" s="196">
        <v>0</v>
      </c>
      <c r="W568" s="103"/>
      <c r="X568" s="64"/>
      <c r="Y568" s="64"/>
      <c r="Z568" s="196">
        <v>0</v>
      </c>
      <c r="AA568" s="200">
        <v>0</v>
      </c>
      <c r="AB568" s="237">
        <v>0</v>
      </c>
      <c r="AC568" s="196">
        <f t="shared" si="31"/>
        <v>0</v>
      </c>
    </row>
    <row r="569" spans="1:29" s="3" customFormat="1" ht="15" customHeight="1">
      <c r="A569" s="65" t="s">
        <v>871</v>
      </c>
      <c r="B569" s="85" t="s">
        <v>1732</v>
      </c>
      <c r="C569" s="86" t="s">
        <v>417</v>
      </c>
      <c r="D569" s="226" t="s">
        <v>1748</v>
      </c>
      <c r="E569" s="65" t="s">
        <v>118</v>
      </c>
      <c r="F569" s="65" t="s">
        <v>2713</v>
      </c>
      <c r="G569" s="65" t="s">
        <v>34</v>
      </c>
      <c r="H569" s="53" t="s">
        <v>3278</v>
      </c>
      <c r="I569" s="53" t="e">
        <f>VLOOKUP(H569,合同高级查询数据!$A$2:$A$51,1,FALSE)</f>
        <v>#N/A</v>
      </c>
      <c r="J569" s="88" t="s">
        <v>36</v>
      </c>
      <c r="K569" s="65" t="s">
        <v>575</v>
      </c>
      <c r="L569" s="65" t="s">
        <v>3283</v>
      </c>
      <c r="M569" s="65" t="s">
        <v>3280</v>
      </c>
      <c r="N569" s="64" t="s">
        <v>3281</v>
      </c>
      <c r="O569" s="65" t="s">
        <v>645</v>
      </c>
      <c r="P569" s="98">
        <v>4600</v>
      </c>
      <c r="Q569" s="99">
        <v>0</v>
      </c>
      <c r="R569" s="58">
        <f t="shared" si="32"/>
        <v>0</v>
      </c>
      <c r="S569" s="59">
        <v>202306</v>
      </c>
      <c r="T569" s="97" t="s">
        <v>3282</v>
      </c>
      <c r="U569" s="97"/>
      <c r="V569" s="196">
        <v>0</v>
      </c>
      <c r="W569" s="103"/>
      <c r="X569" s="64"/>
      <c r="Y569" s="64"/>
      <c r="Z569" s="196">
        <v>0</v>
      </c>
      <c r="AA569" s="200">
        <v>0</v>
      </c>
      <c r="AB569" s="237">
        <v>0</v>
      </c>
      <c r="AC569" s="196">
        <f t="shared" si="31"/>
        <v>0</v>
      </c>
    </row>
    <row r="570" spans="1:29" s="3" customFormat="1" ht="15" customHeight="1">
      <c r="A570" s="65" t="s">
        <v>871</v>
      </c>
      <c r="B570" s="85" t="s">
        <v>1732</v>
      </c>
      <c r="C570" s="86" t="s">
        <v>417</v>
      </c>
      <c r="D570" s="226" t="s">
        <v>1748</v>
      </c>
      <c r="E570" s="65" t="s">
        <v>118</v>
      </c>
      <c r="F570" s="65" t="s">
        <v>2713</v>
      </c>
      <c r="G570" s="65" t="s">
        <v>34</v>
      </c>
      <c r="H570" s="65" t="s">
        <v>3284</v>
      </c>
      <c r="I570" s="53" t="e">
        <f>VLOOKUP(H570,合同高级查询数据!$A$2:$A$51,1,FALSE)</f>
        <v>#N/A</v>
      </c>
      <c r="J570" s="88" t="s">
        <v>36</v>
      </c>
      <c r="K570" s="65" t="s">
        <v>575</v>
      </c>
      <c r="L570" s="65" t="s">
        <v>3285</v>
      </c>
      <c r="M570" s="65" t="s">
        <v>3280</v>
      </c>
      <c r="N570" s="64" t="s">
        <v>3281</v>
      </c>
      <c r="O570" s="65" t="s">
        <v>645</v>
      </c>
      <c r="P570" s="98">
        <v>4600</v>
      </c>
      <c r="Q570" s="99">
        <v>0</v>
      </c>
      <c r="R570" s="58">
        <f t="shared" si="32"/>
        <v>0</v>
      </c>
      <c r="S570" s="59">
        <v>202306</v>
      </c>
      <c r="T570" s="97" t="s">
        <v>3282</v>
      </c>
      <c r="U570" s="97"/>
      <c r="V570" s="196">
        <v>0</v>
      </c>
      <c r="W570" s="103"/>
      <c r="X570" s="64"/>
      <c r="Y570" s="64"/>
      <c r="Z570" s="196">
        <v>0</v>
      </c>
      <c r="AA570" s="200">
        <v>0</v>
      </c>
      <c r="AB570" s="237">
        <v>0</v>
      </c>
      <c r="AC570" s="196">
        <f t="shared" si="31"/>
        <v>0</v>
      </c>
    </row>
    <row r="571" spans="1:29" s="3" customFormat="1" ht="15" customHeight="1">
      <c r="A571" s="86" t="s">
        <v>871</v>
      </c>
      <c r="B571" s="85" t="s">
        <v>1732</v>
      </c>
      <c r="C571" s="65" t="s">
        <v>417</v>
      </c>
      <c r="D571" s="226" t="s">
        <v>1748</v>
      </c>
      <c r="E571" s="65" t="s">
        <v>118</v>
      </c>
      <c r="F571" s="65" t="s">
        <v>2713</v>
      </c>
      <c r="G571" s="86" t="s">
        <v>34</v>
      </c>
      <c r="H571" s="65" t="s">
        <v>3286</v>
      </c>
      <c r="I571" s="53" t="e">
        <f>VLOOKUP(H571,合同高级查询数据!$A$2:$A$51,1,FALSE)</f>
        <v>#N/A</v>
      </c>
      <c r="J571" s="88" t="s">
        <v>36</v>
      </c>
      <c r="K571" s="65" t="s">
        <v>1864</v>
      </c>
      <c r="L571" s="65" t="s">
        <v>3287</v>
      </c>
      <c r="M571" s="65" t="s">
        <v>3200</v>
      </c>
      <c r="N571" s="64">
        <v>45023</v>
      </c>
      <c r="O571" s="65" t="s">
        <v>542</v>
      </c>
      <c r="P571" s="98">
        <v>4600</v>
      </c>
      <c r="Q571" s="99">
        <v>3</v>
      </c>
      <c r="R571" s="58">
        <f t="shared" si="32"/>
        <v>13800</v>
      </c>
      <c r="S571" s="59">
        <v>202306</v>
      </c>
      <c r="T571" s="185" t="s">
        <v>3288</v>
      </c>
      <c r="U571" s="185"/>
      <c r="V571" s="196">
        <v>2.9482479100000001</v>
      </c>
      <c r="W571" s="212"/>
      <c r="X571" s="64"/>
      <c r="Y571" s="64"/>
      <c r="Z571" s="65" t="s">
        <v>3289</v>
      </c>
      <c r="AA571" s="200">
        <v>0</v>
      </c>
      <c r="AB571" s="104">
        <v>10</v>
      </c>
      <c r="AC571" s="196">
        <f t="shared" si="31"/>
        <v>0</v>
      </c>
    </row>
    <row r="572" spans="1:29" s="3" customFormat="1" ht="15" customHeight="1">
      <c r="A572" s="86" t="s">
        <v>871</v>
      </c>
      <c r="B572" s="85" t="s">
        <v>1732</v>
      </c>
      <c r="C572" s="65" t="s">
        <v>417</v>
      </c>
      <c r="D572" s="226" t="s">
        <v>1748</v>
      </c>
      <c r="E572" s="65" t="s">
        <v>118</v>
      </c>
      <c r="F572" s="65" t="s">
        <v>2713</v>
      </c>
      <c r="G572" s="86" t="s">
        <v>34</v>
      </c>
      <c r="H572" s="65" t="s">
        <v>3286</v>
      </c>
      <c r="I572" s="53" t="e">
        <f>VLOOKUP(H572,合同高级查询数据!$A$2:$A$51,1,FALSE)</f>
        <v>#N/A</v>
      </c>
      <c r="J572" s="88" t="s">
        <v>36</v>
      </c>
      <c r="K572" s="65" t="s">
        <v>1864</v>
      </c>
      <c r="L572" s="65" t="s">
        <v>3290</v>
      </c>
      <c r="M572" s="65" t="s">
        <v>3200</v>
      </c>
      <c r="N572" s="64">
        <v>45023</v>
      </c>
      <c r="O572" s="65" t="s">
        <v>542</v>
      </c>
      <c r="P572" s="98">
        <v>4600</v>
      </c>
      <c r="Q572" s="99">
        <v>2.1</v>
      </c>
      <c r="R572" s="58">
        <f t="shared" si="32"/>
        <v>9660</v>
      </c>
      <c r="S572" s="59">
        <v>202306</v>
      </c>
      <c r="T572" s="185" t="s">
        <v>3288</v>
      </c>
      <c r="U572" s="185"/>
      <c r="V572" s="196">
        <v>2.086034298</v>
      </c>
      <c r="W572" s="212"/>
      <c r="X572" s="64"/>
      <c r="Y572" s="64"/>
      <c r="Z572" s="65" t="s">
        <v>3291</v>
      </c>
      <c r="AA572" s="200">
        <v>0</v>
      </c>
      <c r="AB572" s="104">
        <v>10</v>
      </c>
      <c r="AC572" s="196">
        <f t="shared" si="31"/>
        <v>0</v>
      </c>
    </row>
    <row r="573" spans="1:29" s="3" customFormat="1" ht="15" customHeight="1">
      <c r="A573" s="86" t="s">
        <v>871</v>
      </c>
      <c r="B573" s="85" t="s">
        <v>1732</v>
      </c>
      <c r="C573" s="65" t="s">
        <v>417</v>
      </c>
      <c r="D573" s="226" t="s">
        <v>1748</v>
      </c>
      <c r="E573" s="65" t="s">
        <v>118</v>
      </c>
      <c r="F573" s="65" t="s">
        <v>2713</v>
      </c>
      <c r="G573" s="86" t="s">
        <v>34</v>
      </c>
      <c r="H573" s="65" t="s">
        <v>3286</v>
      </c>
      <c r="I573" s="53" t="e">
        <f>VLOOKUP(H573,合同高级查询数据!$A$2:$A$51,1,FALSE)</f>
        <v>#N/A</v>
      </c>
      <c r="J573" s="88" t="s">
        <v>36</v>
      </c>
      <c r="K573" s="65" t="s">
        <v>1864</v>
      </c>
      <c r="L573" s="65" t="s">
        <v>3292</v>
      </c>
      <c r="M573" s="65" t="s">
        <v>3200</v>
      </c>
      <c r="N573" s="64">
        <v>45023</v>
      </c>
      <c r="O573" s="65" t="s">
        <v>542</v>
      </c>
      <c r="P573" s="98">
        <v>4600</v>
      </c>
      <c r="Q573" s="99">
        <v>2.1</v>
      </c>
      <c r="R573" s="58">
        <f t="shared" si="32"/>
        <v>9660</v>
      </c>
      <c r="S573" s="59">
        <v>202306</v>
      </c>
      <c r="T573" s="185" t="s">
        <v>3288</v>
      </c>
      <c r="U573" s="185"/>
      <c r="V573" s="196">
        <v>2.0934648509999998</v>
      </c>
      <c r="W573" s="212"/>
      <c r="X573" s="64"/>
      <c r="Y573" s="64"/>
      <c r="Z573" s="65" t="s">
        <v>3293</v>
      </c>
      <c r="AA573" s="200">
        <v>0</v>
      </c>
      <c r="AB573" s="104">
        <v>10</v>
      </c>
      <c r="AC573" s="196">
        <f t="shared" si="31"/>
        <v>0</v>
      </c>
    </row>
    <row r="574" spans="1:29" s="2" customFormat="1" ht="15" customHeight="1">
      <c r="A574" s="203" t="s">
        <v>878</v>
      </c>
      <c r="B574" s="6" t="s">
        <v>1732</v>
      </c>
      <c r="C574" s="5" t="s">
        <v>2204</v>
      </c>
      <c r="D574" s="216" t="s">
        <v>1748</v>
      </c>
      <c r="E574" s="7" t="s">
        <v>199</v>
      </c>
      <c r="F574" s="7" t="s">
        <v>200</v>
      </c>
      <c r="G574" s="7" t="s">
        <v>34</v>
      </c>
      <c r="H574" s="5" t="s">
        <v>3294</v>
      </c>
      <c r="I574" s="11" t="e">
        <f>VLOOKUP(H574,合同高级查询数据!$A$2:$A$51,1,FALSE)</f>
        <v>#N/A</v>
      </c>
      <c r="J574" s="12" t="s">
        <v>36</v>
      </c>
      <c r="K574" s="5" t="s">
        <v>2359</v>
      </c>
      <c r="L574" s="5" t="s">
        <v>3295</v>
      </c>
      <c r="M574" s="5" t="s">
        <v>3296</v>
      </c>
      <c r="N574" s="36" t="s">
        <v>3297</v>
      </c>
      <c r="O574" s="5" t="s">
        <v>1745</v>
      </c>
      <c r="P574" s="230">
        <v>3700</v>
      </c>
      <c r="Q574" s="140">
        <v>0</v>
      </c>
      <c r="R574" s="27">
        <f t="shared" si="32"/>
        <v>0</v>
      </c>
      <c r="S574" s="28">
        <v>202306</v>
      </c>
      <c r="T574" s="184" t="s">
        <v>3298</v>
      </c>
      <c r="U574" s="235"/>
      <c r="V574" s="178">
        <v>0</v>
      </c>
      <c r="W574" s="168"/>
      <c r="X574" s="36">
        <v>44682</v>
      </c>
      <c r="Y574" s="36">
        <v>44926</v>
      </c>
      <c r="Z574" s="178">
        <v>0</v>
      </c>
      <c r="AA574" s="238">
        <v>0</v>
      </c>
      <c r="AB574" s="239">
        <v>0</v>
      </c>
      <c r="AC574" s="178">
        <f t="shared" ref="AC574:AC635" si="33">AA574*AB574</f>
        <v>0</v>
      </c>
    </row>
    <row r="575" spans="1:29" s="2" customFormat="1" ht="15" customHeight="1">
      <c r="A575" s="203" t="s">
        <v>878</v>
      </c>
      <c r="B575" s="6" t="s">
        <v>1732</v>
      </c>
      <c r="C575" s="5" t="s">
        <v>2374</v>
      </c>
      <c r="D575" s="216" t="s">
        <v>1748</v>
      </c>
      <c r="E575" s="7" t="s">
        <v>199</v>
      </c>
      <c r="F575" s="7" t="s">
        <v>200</v>
      </c>
      <c r="G575" s="7" t="s">
        <v>34</v>
      </c>
      <c r="H575" s="5" t="s">
        <v>3294</v>
      </c>
      <c r="I575" s="11" t="e">
        <f>VLOOKUP(H575,合同高级查询数据!$A$2:$A$51,1,FALSE)</f>
        <v>#N/A</v>
      </c>
      <c r="J575" s="12" t="s">
        <v>36</v>
      </c>
      <c r="K575" s="5" t="s">
        <v>2672</v>
      </c>
      <c r="L575" s="5" t="s">
        <v>2673</v>
      </c>
      <c r="M575" s="5" t="s">
        <v>2674</v>
      </c>
      <c r="N575" s="36" t="s">
        <v>3297</v>
      </c>
      <c r="O575" s="5" t="s">
        <v>1880</v>
      </c>
      <c r="P575" s="26">
        <v>5600</v>
      </c>
      <c r="Q575" s="140">
        <v>0</v>
      </c>
      <c r="R575" s="26">
        <f t="shared" si="32"/>
        <v>0</v>
      </c>
      <c r="S575" s="28">
        <v>202306</v>
      </c>
      <c r="T575" s="184" t="s">
        <v>3299</v>
      </c>
      <c r="U575" s="184"/>
      <c r="V575" s="178">
        <v>0</v>
      </c>
      <c r="W575" s="188"/>
      <c r="X575" s="36">
        <v>44682</v>
      </c>
      <c r="Y575" s="36">
        <v>44926</v>
      </c>
      <c r="Z575" s="178">
        <v>0</v>
      </c>
      <c r="AA575" s="45">
        <v>0</v>
      </c>
      <c r="AB575" s="239">
        <v>0</v>
      </c>
      <c r="AC575" s="178">
        <f t="shared" si="33"/>
        <v>0</v>
      </c>
    </row>
    <row r="576" spans="1:29" s="3" customFormat="1" ht="15" customHeight="1">
      <c r="A576" s="215" t="s">
        <v>878</v>
      </c>
      <c r="B576" s="85" t="s">
        <v>1732</v>
      </c>
      <c r="C576" s="65" t="s">
        <v>1308</v>
      </c>
      <c r="D576" s="226" t="s">
        <v>31</v>
      </c>
      <c r="E576" s="86" t="s">
        <v>3300</v>
      </c>
      <c r="F576" s="86" t="s">
        <v>3301</v>
      </c>
      <c r="G576" s="86" t="s">
        <v>34</v>
      </c>
      <c r="H576" s="65" t="s">
        <v>3302</v>
      </c>
      <c r="I576" s="53" t="e">
        <f>VLOOKUP(H576,合同高级查询数据!$A$2:$A$51,1,FALSE)</f>
        <v>#N/A</v>
      </c>
      <c r="J576" s="51" t="s">
        <v>36</v>
      </c>
      <c r="K576" s="65" t="s">
        <v>1342</v>
      </c>
      <c r="L576" s="65" t="s">
        <v>3303</v>
      </c>
      <c r="M576" s="65" t="s">
        <v>3304</v>
      </c>
      <c r="N576" s="64">
        <v>45078</v>
      </c>
      <c r="O576" s="65" t="s">
        <v>434</v>
      </c>
      <c r="P576" s="98">
        <v>4300</v>
      </c>
      <c r="Q576" s="99">
        <v>90</v>
      </c>
      <c r="R576" s="98">
        <f t="shared" si="32"/>
        <v>387000</v>
      </c>
      <c r="S576" s="59">
        <v>202306</v>
      </c>
      <c r="T576" s="185" t="s">
        <v>3047</v>
      </c>
      <c r="U576" s="185"/>
      <c r="V576" s="196">
        <v>89.987586974999999</v>
      </c>
      <c r="W576" s="212"/>
      <c r="X576" s="64"/>
      <c r="Y576" s="64"/>
      <c r="Z576" s="65" t="s">
        <v>3305</v>
      </c>
      <c r="AA576" s="200">
        <v>0.4</v>
      </c>
      <c r="AB576" s="104">
        <v>200</v>
      </c>
      <c r="AC576" s="240">
        <f t="shared" si="33"/>
        <v>80</v>
      </c>
    </row>
    <row r="577" spans="1:29" s="3" customFormat="1" ht="15" customHeight="1">
      <c r="A577" s="215" t="s">
        <v>859</v>
      </c>
      <c r="B577" s="85" t="s">
        <v>1732</v>
      </c>
      <c r="C577" s="65" t="s">
        <v>1747</v>
      </c>
      <c r="D577" s="226" t="s">
        <v>1748</v>
      </c>
      <c r="E577" s="86" t="s">
        <v>3306</v>
      </c>
      <c r="F577" s="86" t="s">
        <v>3307</v>
      </c>
      <c r="G577" s="86" t="s">
        <v>34</v>
      </c>
      <c r="H577" s="65" t="s">
        <v>3308</v>
      </c>
      <c r="I577" s="53" t="e">
        <f>VLOOKUP(H577,合同高级查询数据!$A$2:$A$51,1,FALSE)</f>
        <v>#N/A</v>
      </c>
      <c r="J577" s="51" t="s">
        <v>36</v>
      </c>
      <c r="K577" s="65" t="s">
        <v>2268</v>
      </c>
      <c r="L577" s="65" t="s">
        <v>3309</v>
      </c>
      <c r="M577" s="65" t="s">
        <v>3310</v>
      </c>
      <c r="N577" s="64">
        <v>45078</v>
      </c>
      <c r="O577" s="65" t="s">
        <v>1941</v>
      </c>
      <c r="P577" s="98">
        <v>4167</v>
      </c>
      <c r="Q577" s="99">
        <v>24</v>
      </c>
      <c r="R577" s="98">
        <f t="shared" si="32"/>
        <v>100008</v>
      </c>
      <c r="S577" s="59">
        <v>202306</v>
      </c>
      <c r="T577" s="185" t="s">
        <v>3311</v>
      </c>
      <c r="U577" s="185"/>
      <c r="V577" s="196">
        <v>22.558887481999999</v>
      </c>
      <c r="W577" s="212"/>
      <c r="X577" s="64"/>
      <c r="Y577" s="64"/>
      <c r="Z577" s="65" t="s">
        <v>3312</v>
      </c>
      <c r="AA577" s="200">
        <v>0.3</v>
      </c>
      <c r="AB577" s="237">
        <v>80</v>
      </c>
      <c r="AC577" s="240">
        <f t="shared" si="33"/>
        <v>24</v>
      </c>
    </row>
    <row r="578" spans="1:29" s="3" customFormat="1" ht="15" customHeight="1">
      <c r="A578" s="215" t="s">
        <v>878</v>
      </c>
      <c r="B578" s="85" t="s">
        <v>1732</v>
      </c>
      <c r="C578" s="65" t="s">
        <v>860</v>
      </c>
      <c r="D578" s="226" t="s">
        <v>31</v>
      </c>
      <c r="E578" s="86" t="s">
        <v>3313</v>
      </c>
      <c r="F578" s="86" t="s">
        <v>3314</v>
      </c>
      <c r="G578" s="86" t="s">
        <v>34</v>
      </c>
      <c r="H578" s="65" t="s">
        <v>3315</v>
      </c>
      <c r="I578" s="53" t="e">
        <f>VLOOKUP(H578,合同高级查询数据!$A$2:$A$51,1,FALSE)</f>
        <v>#N/A</v>
      </c>
      <c r="J578" s="51" t="s">
        <v>36</v>
      </c>
      <c r="K578" s="65" t="s">
        <v>1267</v>
      </c>
      <c r="L578" s="65" t="s">
        <v>3316</v>
      </c>
      <c r="M578" s="65" t="s">
        <v>3317</v>
      </c>
      <c r="N578" s="64">
        <v>45078</v>
      </c>
      <c r="O578" s="65" t="s">
        <v>277</v>
      </c>
      <c r="P578" s="98">
        <v>3900</v>
      </c>
      <c r="Q578" s="99">
        <v>30.3</v>
      </c>
      <c r="R578" s="98">
        <f t="shared" si="32"/>
        <v>118170</v>
      </c>
      <c r="S578" s="59">
        <v>202306</v>
      </c>
      <c r="T578" s="185" t="s">
        <v>3318</v>
      </c>
      <c r="U578" s="185"/>
      <c r="V578" s="196">
        <v>30.237222672000001</v>
      </c>
      <c r="W578" s="212"/>
      <c r="X578" s="64"/>
      <c r="Y578" s="64"/>
      <c r="Z578" s="65" t="s">
        <v>3319</v>
      </c>
      <c r="AA578" s="200">
        <v>0.3</v>
      </c>
      <c r="AB578" s="237">
        <v>100</v>
      </c>
      <c r="AC578" s="240">
        <f t="shared" si="33"/>
        <v>30</v>
      </c>
    </row>
    <row r="579" spans="1:29" s="3" customFormat="1" ht="15" customHeight="1">
      <c r="A579" s="215" t="s">
        <v>878</v>
      </c>
      <c r="B579" s="85" t="s">
        <v>1732</v>
      </c>
      <c r="C579" s="65" t="s">
        <v>1123</v>
      </c>
      <c r="D579" s="226" t="s">
        <v>31</v>
      </c>
      <c r="E579" s="86" t="s">
        <v>3320</v>
      </c>
      <c r="F579" s="86" t="s">
        <v>345</v>
      </c>
      <c r="G579" s="86" t="s">
        <v>34</v>
      </c>
      <c r="H579" s="65" t="s">
        <v>3321</v>
      </c>
      <c r="I579" s="53" t="e">
        <f>VLOOKUP(H579,合同高级查询数据!$A$2:$A$51,1,FALSE)</f>
        <v>#N/A</v>
      </c>
      <c r="J579" s="51" t="s">
        <v>36</v>
      </c>
      <c r="K579" s="65" t="s">
        <v>1998</v>
      </c>
      <c r="L579" s="65" t="s">
        <v>3322</v>
      </c>
      <c r="M579" s="65" t="s">
        <v>3323</v>
      </c>
      <c r="N579" s="64">
        <v>45078</v>
      </c>
      <c r="O579" s="65" t="s">
        <v>434</v>
      </c>
      <c r="P579" s="98">
        <v>4300</v>
      </c>
      <c r="Q579" s="99">
        <v>83.1</v>
      </c>
      <c r="R579" s="98">
        <f t="shared" si="32"/>
        <v>357330</v>
      </c>
      <c r="S579" s="59">
        <v>202306</v>
      </c>
      <c r="T579" s="185" t="s">
        <v>3047</v>
      </c>
      <c r="U579" s="185"/>
      <c r="V579" s="196">
        <v>83.014457703000005</v>
      </c>
      <c r="W579" s="212"/>
      <c r="X579" s="64"/>
      <c r="Y579" s="64"/>
      <c r="Z579" s="65" t="s">
        <v>3324</v>
      </c>
      <c r="AA579" s="200">
        <v>0.4</v>
      </c>
      <c r="AB579" s="237">
        <v>200</v>
      </c>
      <c r="AC579" s="240">
        <f t="shared" si="33"/>
        <v>80</v>
      </c>
    </row>
    <row r="580" spans="1:29" s="3" customFormat="1" ht="15" customHeight="1">
      <c r="A580" s="65" t="s">
        <v>28</v>
      </c>
      <c r="B580" s="85" t="s">
        <v>1732</v>
      </c>
      <c r="C580" s="86" t="s">
        <v>30</v>
      </c>
      <c r="D580" s="86" t="s">
        <v>1748</v>
      </c>
      <c r="E580" s="65" t="s">
        <v>2767</v>
      </c>
      <c r="F580" s="65" t="s">
        <v>3325</v>
      </c>
      <c r="G580" s="65" t="s">
        <v>34</v>
      </c>
      <c r="H580" s="53" t="s">
        <v>3326</v>
      </c>
      <c r="I580" s="53" t="e">
        <f>VLOOKUP(H580,合同高级查询数据!$A$2:$A$51,1,FALSE)</f>
        <v>#N/A</v>
      </c>
      <c r="J580" s="88" t="s">
        <v>3327</v>
      </c>
      <c r="K580" s="65"/>
      <c r="L580" s="53" t="s">
        <v>3328</v>
      </c>
      <c r="M580" s="65"/>
      <c r="N580" s="89">
        <v>44348</v>
      </c>
      <c r="O580" s="65"/>
      <c r="P580" s="98">
        <v>3300</v>
      </c>
      <c r="Q580" s="99">
        <v>0</v>
      </c>
      <c r="R580" s="58">
        <f t="shared" ref="R580:R586" si="34">ROUND(Q580*P580,2)</f>
        <v>0</v>
      </c>
      <c r="S580" s="59">
        <v>202306</v>
      </c>
      <c r="T580" s="97" t="s">
        <v>3329</v>
      </c>
      <c r="U580" s="97"/>
      <c r="V580" s="196">
        <v>0</v>
      </c>
      <c r="W580" s="103"/>
      <c r="X580" s="64"/>
      <c r="Y580" s="64"/>
      <c r="Z580" s="107" t="s">
        <v>3330</v>
      </c>
      <c r="AA580" s="236">
        <v>0</v>
      </c>
      <c r="AB580" s="237">
        <v>0</v>
      </c>
      <c r="AC580" s="196">
        <f t="shared" si="33"/>
        <v>0</v>
      </c>
    </row>
    <row r="581" spans="1:29" s="3" customFormat="1" ht="15" customHeight="1">
      <c r="A581" s="65" t="s">
        <v>28</v>
      </c>
      <c r="B581" s="85" t="s">
        <v>1732</v>
      </c>
      <c r="C581" s="86" t="s">
        <v>30</v>
      </c>
      <c r="D581" s="86" t="s">
        <v>1748</v>
      </c>
      <c r="E581" s="65" t="s">
        <v>2767</v>
      </c>
      <c r="F581" s="65" t="s">
        <v>3325</v>
      </c>
      <c r="G581" s="65" t="s">
        <v>34</v>
      </c>
      <c r="H581" s="53" t="s">
        <v>3326</v>
      </c>
      <c r="I581" s="53" t="e">
        <f>VLOOKUP(H581,合同高级查询数据!$A$2:$A$51,1,FALSE)</f>
        <v>#N/A</v>
      </c>
      <c r="J581" s="88" t="s">
        <v>3327</v>
      </c>
      <c r="K581" s="65" t="s">
        <v>3331</v>
      </c>
      <c r="L581" s="53" t="s">
        <v>3332</v>
      </c>
      <c r="M581" s="65"/>
      <c r="N581" s="89">
        <v>44197</v>
      </c>
      <c r="O581" s="65"/>
      <c r="P581" s="98">
        <v>2300</v>
      </c>
      <c r="Q581" s="99">
        <v>156.63300000000001</v>
      </c>
      <c r="R581" s="58">
        <f t="shared" si="34"/>
        <v>360255.9</v>
      </c>
      <c r="S581" s="59">
        <v>202306</v>
      </c>
      <c r="T581" s="97" t="s">
        <v>3333</v>
      </c>
      <c r="U581" s="97"/>
      <c r="V581" s="241">
        <v>156.63230895999999</v>
      </c>
      <c r="W581" s="103"/>
      <c r="X581" s="64"/>
      <c r="Y581" s="64"/>
      <c r="Z581" s="107" t="s">
        <v>3334</v>
      </c>
      <c r="AA581" s="236">
        <v>0</v>
      </c>
      <c r="AB581" s="237">
        <v>0</v>
      </c>
      <c r="AC581" s="196">
        <f t="shared" si="33"/>
        <v>0</v>
      </c>
    </row>
    <row r="582" spans="1:29" s="3" customFormat="1" ht="15" customHeight="1">
      <c r="A582" s="65" t="s">
        <v>28</v>
      </c>
      <c r="B582" s="85" t="s">
        <v>1732</v>
      </c>
      <c r="C582" s="86" t="s">
        <v>30</v>
      </c>
      <c r="D582" s="86" t="s">
        <v>1748</v>
      </c>
      <c r="E582" s="65" t="s">
        <v>2767</v>
      </c>
      <c r="F582" s="65" t="s">
        <v>3325</v>
      </c>
      <c r="G582" s="65" t="s">
        <v>34</v>
      </c>
      <c r="H582" s="53" t="s">
        <v>3326</v>
      </c>
      <c r="I582" s="53" t="e">
        <f>VLOOKUP(H582,合同高级查询数据!$A$2:$A$51,1,FALSE)</f>
        <v>#N/A</v>
      </c>
      <c r="J582" s="88" t="s">
        <v>3327</v>
      </c>
      <c r="K582" s="65" t="s">
        <v>3331</v>
      </c>
      <c r="L582" s="53" t="s">
        <v>3335</v>
      </c>
      <c r="M582" s="65"/>
      <c r="N582" s="89">
        <v>44197</v>
      </c>
      <c r="O582" s="65"/>
      <c r="P582" s="98">
        <v>3250</v>
      </c>
      <c r="Q582" s="99">
        <v>318.25799999999998</v>
      </c>
      <c r="R582" s="58">
        <f t="shared" si="34"/>
        <v>1034338.5</v>
      </c>
      <c r="S582" s="59">
        <v>202306</v>
      </c>
      <c r="T582" s="97" t="s">
        <v>3333</v>
      </c>
      <c r="U582" s="97"/>
      <c r="V582" s="241">
        <v>318.257080078</v>
      </c>
      <c r="W582" s="103"/>
      <c r="X582" s="64"/>
      <c r="Y582" s="64"/>
      <c r="Z582" s="107" t="s">
        <v>3336</v>
      </c>
      <c r="AA582" s="236">
        <v>0</v>
      </c>
      <c r="AB582" s="237">
        <v>0</v>
      </c>
      <c r="AC582" s="196">
        <f t="shared" si="33"/>
        <v>0</v>
      </c>
    </row>
    <row r="583" spans="1:29" s="3" customFormat="1" ht="15" customHeight="1">
      <c r="A583" s="65" t="s">
        <v>28</v>
      </c>
      <c r="B583" s="85" t="s">
        <v>1732</v>
      </c>
      <c r="C583" s="86" t="s">
        <v>30</v>
      </c>
      <c r="D583" s="86" t="s">
        <v>1748</v>
      </c>
      <c r="E583" s="65" t="s">
        <v>2767</v>
      </c>
      <c r="F583" s="65" t="s">
        <v>3325</v>
      </c>
      <c r="G583" s="65" t="s">
        <v>34</v>
      </c>
      <c r="H583" s="53" t="s">
        <v>3326</v>
      </c>
      <c r="I583" s="53" t="e">
        <f>VLOOKUP(H583,合同高级查询数据!$A$2:$A$51,1,FALSE)</f>
        <v>#N/A</v>
      </c>
      <c r="J583" s="88" t="s">
        <v>3327</v>
      </c>
      <c r="K583" s="65" t="s">
        <v>3337</v>
      </c>
      <c r="L583" s="53" t="s">
        <v>3338</v>
      </c>
      <c r="M583" s="65"/>
      <c r="N583" s="89">
        <v>44197</v>
      </c>
      <c r="O583" s="65"/>
      <c r="P583" s="98">
        <v>2200</v>
      </c>
      <c r="Q583" s="99">
        <v>128.005</v>
      </c>
      <c r="R583" s="58">
        <f t="shared" si="34"/>
        <v>281611</v>
      </c>
      <c r="S583" s="59">
        <v>202306</v>
      </c>
      <c r="T583" s="97" t="s">
        <v>3339</v>
      </c>
      <c r="U583" s="97"/>
      <c r="V583" s="241">
        <v>128.00437914</v>
      </c>
      <c r="W583" s="103"/>
      <c r="X583" s="64"/>
      <c r="Y583" s="64"/>
      <c r="Z583" s="107" t="s">
        <v>3340</v>
      </c>
      <c r="AA583" s="236">
        <v>0</v>
      </c>
      <c r="AB583" s="237">
        <v>0</v>
      </c>
      <c r="AC583" s="196">
        <f t="shared" si="33"/>
        <v>0</v>
      </c>
    </row>
    <row r="584" spans="1:29" s="3" customFormat="1" ht="15" customHeight="1">
      <c r="A584" s="65" t="s">
        <v>28</v>
      </c>
      <c r="B584" s="85" t="s">
        <v>1732</v>
      </c>
      <c r="C584" s="86" t="s">
        <v>30</v>
      </c>
      <c r="D584" s="86" t="s">
        <v>1748</v>
      </c>
      <c r="E584" s="65" t="s">
        <v>2767</v>
      </c>
      <c r="F584" s="65" t="s">
        <v>3325</v>
      </c>
      <c r="G584" s="65" t="s">
        <v>34</v>
      </c>
      <c r="H584" s="53" t="s">
        <v>3326</v>
      </c>
      <c r="I584" s="53" t="e">
        <f>VLOOKUP(H584,合同高级查询数据!$A$2:$A$51,1,FALSE)</f>
        <v>#N/A</v>
      </c>
      <c r="J584" s="88" t="s">
        <v>3327</v>
      </c>
      <c r="K584" s="65" t="s">
        <v>3337</v>
      </c>
      <c r="L584" s="53" t="s">
        <v>3341</v>
      </c>
      <c r="M584" s="65"/>
      <c r="N584" s="89">
        <v>44197</v>
      </c>
      <c r="O584" s="65"/>
      <c r="P584" s="98">
        <v>3150</v>
      </c>
      <c r="Q584" s="99">
        <v>499.62799999999999</v>
      </c>
      <c r="R584" s="58">
        <f t="shared" si="34"/>
        <v>1573828.2</v>
      </c>
      <c r="S584" s="59">
        <v>202306</v>
      </c>
      <c r="T584" s="97" t="s">
        <v>3339</v>
      </c>
      <c r="U584" s="97"/>
      <c r="V584" s="241">
        <v>499.62731077900003</v>
      </c>
      <c r="W584" s="103"/>
      <c r="X584" s="64"/>
      <c r="Y584" s="64"/>
      <c r="Z584" s="107" t="s">
        <v>3342</v>
      </c>
      <c r="AA584" s="236">
        <v>0</v>
      </c>
      <c r="AB584" s="237">
        <v>0</v>
      </c>
      <c r="AC584" s="196">
        <f t="shared" si="33"/>
        <v>0</v>
      </c>
    </row>
    <row r="585" spans="1:29" s="3" customFormat="1" ht="15" customHeight="1">
      <c r="A585" s="65" t="s">
        <v>28</v>
      </c>
      <c r="B585" s="85" t="s">
        <v>1732</v>
      </c>
      <c r="C585" s="86" t="s">
        <v>30</v>
      </c>
      <c r="D585" s="86" t="s">
        <v>1748</v>
      </c>
      <c r="E585" s="65" t="s">
        <v>2767</v>
      </c>
      <c r="F585" s="65" t="s">
        <v>3325</v>
      </c>
      <c r="G585" s="65" t="s">
        <v>34</v>
      </c>
      <c r="H585" s="53" t="s">
        <v>3343</v>
      </c>
      <c r="I585" s="53" t="e">
        <f>VLOOKUP(H585,合同高级查询数据!$A$2:$A$51,1,FALSE)</f>
        <v>#N/A</v>
      </c>
      <c r="J585" s="88" t="s">
        <v>3327</v>
      </c>
      <c r="K585" s="65" t="s">
        <v>3344</v>
      </c>
      <c r="L585" s="53" t="s">
        <v>3345</v>
      </c>
      <c r="M585" s="65"/>
      <c r="N585" s="89">
        <v>45078</v>
      </c>
      <c r="O585" s="65"/>
      <c r="P585" s="98">
        <v>3000</v>
      </c>
      <c r="Q585" s="99">
        <v>4.4909999999999997</v>
      </c>
      <c r="R585" s="58">
        <f t="shared" si="34"/>
        <v>13473</v>
      </c>
      <c r="S585" s="59">
        <v>202306</v>
      </c>
      <c r="T585" s="97" t="s">
        <v>3346</v>
      </c>
      <c r="U585" s="97"/>
      <c r="V585" s="241">
        <v>4.4901560869999999</v>
      </c>
      <c r="W585" s="103"/>
      <c r="X585" s="64"/>
      <c r="Y585" s="64"/>
      <c r="Z585" s="107" t="s">
        <v>3347</v>
      </c>
      <c r="AA585" s="236"/>
      <c r="AB585" s="237"/>
      <c r="AC585" s="196"/>
    </row>
    <row r="586" spans="1:29" s="3" customFormat="1" ht="15" customHeight="1">
      <c r="A586" s="65" t="s">
        <v>28</v>
      </c>
      <c r="B586" s="85" t="s">
        <v>1732</v>
      </c>
      <c r="C586" s="86" t="s">
        <v>30</v>
      </c>
      <c r="D586" s="86" t="s">
        <v>1748</v>
      </c>
      <c r="E586" s="65" t="s">
        <v>2767</v>
      </c>
      <c r="F586" s="65" t="s">
        <v>3325</v>
      </c>
      <c r="G586" s="65" t="s">
        <v>34</v>
      </c>
      <c r="H586" s="53" t="s">
        <v>3343</v>
      </c>
      <c r="I586" s="53" t="e">
        <f>VLOOKUP(H586,合同高级查询数据!$A$2:$A$51,1,FALSE)</f>
        <v>#N/A</v>
      </c>
      <c r="J586" s="88" t="s">
        <v>3327</v>
      </c>
      <c r="K586" s="65" t="s">
        <v>3348</v>
      </c>
      <c r="L586" s="53" t="s">
        <v>3349</v>
      </c>
      <c r="M586" s="65"/>
      <c r="N586" s="89">
        <v>45078</v>
      </c>
      <c r="O586" s="65"/>
      <c r="P586" s="98">
        <v>3900</v>
      </c>
      <c r="Q586" s="99">
        <v>17.783999999999999</v>
      </c>
      <c r="R586" s="58">
        <f t="shared" si="34"/>
        <v>69357.600000000006</v>
      </c>
      <c r="S586" s="59">
        <v>202306</v>
      </c>
      <c r="T586" s="97" t="s">
        <v>3350</v>
      </c>
      <c r="U586" s="97"/>
      <c r="V586" s="241">
        <v>17.783384817999998</v>
      </c>
      <c r="W586" s="103"/>
      <c r="X586" s="64"/>
      <c r="Y586" s="64"/>
      <c r="Z586" s="107" t="s">
        <v>3351</v>
      </c>
      <c r="AA586" s="236"/>
      <c r="AB586" s="237"/>
      <c r="AC586" s="196"/>
    </row>
    <row r="587" spans="1:29" s="3" customFormat="1" ht="15" customHeight="1">
      <c r="A587" s="65" t="s">
        <v>28</v>
      </c>
      <c r="B587" s="85" t="s">
        <v>1732</v>
      </c>
      <c r="C587" s="86" t="s">
        <v>30</v>
      </c>
      <c r="D587" s="86" t="s">
        <v>1748</v>
      </c>
      <c r="E587" s="65" t="s">
        <v>118</v>
      </c>
      <c r="F587" s="65" t="s">
        <v>3352</v>
      </c>
      <c r="G587" s="65" t="s">
        <v>34</v>
      </c>
      <c r="H587" s="53" t="s">
        <v>3353</v>
      </c>
      <c r="I587" s="53" t="e">
        <f>VLOOKUP(H587,合同高级查询数据!$A$2:$A$51,1,FALSE)</f>
        <v>#N/A</v>
      </c>
      <c r="J587" s="88" t="s">
        <v>3327</v>
      </c>
      <c r="K587" s="65" t="s">
        <v>3354</v>
      </c>
      <c r="L587" s="53" t="s">
        <v>3355</v>
      </c>
      <c r="M587" s="65"/>
      <c r="N587" s="89">
        <v>44197</v>
      </c>
      <c r="O587" s="65"/>
      <c r="P587" s="98">
        <v>3600</v>
      </c>
      <c r="Q587" s="99">
        <v>0</v>
      </c>
      <c r="R587" s="58">
        <f t="shared" ref="R587:R649" si="35">ROUND(P587*Q587,2)</f>
        <v>0</v>
      </c>
      <c r="S587" s="59">
        <v>202306</v>
      </c>
      <c r="T587" s="97" t="s">
        <v>3356</v>
      </c>
      <c r="U587" s="97"/>
      <c r="V587" s="196">
        <v>0</v>
      </c>
      <c r="W587" s="103"/>
      <c r="X587" s="64"/>
      <c r="Y587" s="64"/>
      <c r="Z587" s="196">
        <v>0</v>
      </c>
      <c r="AA587" s="236">
        <v>0</v>
      </c>
      <c r="AB587" s="237">
        <v>0</v>
      </c>
      <c r="AC587" s="196">
        <f t="shared" si="33"/>
        <v>0</v>
      </c>
    </row>
    <row r="588" spans="1:29" s="3" customFormat="1" ht="15" customHeight="1">
      <c r="A588" s="65" t="s">
        <v>28</v>
      </c>
      <c r="B588" s="85" t="s">
        <v>1732</v>
      </c>
      <c r="C588" s="86" t="s">
        <v>30</v>
      </c>
      <c r="D588" s="86" t="s">
        <v>1748</v>
      </c>
      <c r="E588" s="65" t="s">
        <v>118</v>
      </c>
      <c r="F588" s="65" t="s">
        <v>3352</v>
      </c>
      <c r="G588" s="65" t="s">
        <v>34</v>
      </c>
      <c r="H588" s="53" t="s">
        <v>3353</v>
      </c>
      <c r="I588" s="53" t="e">
        <f>VLOOKUP(H588,合同高级查询数据!$A$2:$A$51,1,FALSE)</f>
        <v>#N/A</v>
      </c>
      <c r="J588" s="88" t="s">
        <v>3327</v>
      </c>
      <c r="K588" s="65" t="s">
        <v>3357</v>
      </c>
      <c r="L588" s="53" t="s">
        <v>3358</v>
      </c>
      <c r="M588" s="65"/>
      <c r="N588" s="89">
        <v>44197</v>
      </c>
      <c r="O588" s="65"/>
      <c r="P588" s="98">
        <v>2600</v>
      </c>
      <c r="Q588" s="99">
        <v>0</v>
      </c>
      <c r="R588" s="58">
        <f t="shared" si="35"/>
        <v>0</v>
      </c>
      <c r="S588" s="59">
        <v>202306</v>
      </c>
      <c r="T588" s="97" t="s">
        <v>3359</v>
      </c>
      <c r="U588" s="97"/>
      <c r="V588" s="196">
        <v>0</v>
      </c>
      <c r="W588" s="103"/>
      <c r="X588" s="64"/>
      <c r="Y588" s="64"/>
      <c r="Z588" s="196">
        <v>0</v>
      </c>
      <c r="AA588" s="236">
        <v>0</v>
      </c>
      <c r="AB588" s="237">
        <v>0</v>
      </c>
      <c r="AC588" s="196">
        <f t="shared" si="33"/>
        <v>0</v>
      </c>
    </row>
    <row r="589" spans="1:29" s="3" customFormat="1" ht="15" customHeight="1">
      <c r="A589" s="65" t="s">
        <v>28</v>
      </c>
      <c r="B589" s="85" t="s">
        <v>1732</v>
      </c>
      <c r="C589" s="86" t="s">
        <v>30</v>
      </c>
      <c r="D589" s="86" t="s">
        <v>1748</v>
      </c>
      <c r="E589" s="65" t="s">
        <v>118</v>
      </c>
      <c r="F589" s="65" t="s">
        <v>3352</v>
      </c>
      <c r="G589" s="65" t="s">
        <v>34</v>
      </c>
      <c r="H589" s="53" t="s">
        <v>3353</v>
      </c>
      <c r="I589" s="53" t="e">
        <f>VLOOKUP(H589,合同高级查询数据!$A$2:$A$51,1,FALSE)</f>
        <v>#N/A</v>
      </c>
      <c r="J589" s="88" t="s">
        <v>3327</v>
      </c>
      <c r="K589" s="65" t="s">
        <v>3357</v>
      </c>
      <c r="L589" s="53" t="s">
        <v>3360</v>
      </c>
      <c r="M589" s="65"/>
      <c r="N589" s="89">
        <v>44197</v>
      </c>
      <c r="O589" s="65"/>
      <c r="P589" s="98">
        <v>2600</v>
      </c>
      <c r="Q589" s="99">
        <v>0</v>
      </c>
      <c r="R589" s="58">
        <f t="shared" si="35"/>
        <v>0</v>
      </c>
      <c r="S589" s="59">
        <v>202306</v>
      </c>
      <c r="T589" s="97" t="s">
        <v>3359</v>
      </c>
      <c r="U589" s="97"/>
      <c r="V589" s="196">
        <v>0</v>
      </c>
      <c r="W589" s="103"/>
      <c r="X589" s="64"/>
      <c r="Y589" s="64"/>
      <c r="Z589" s="196">
        <v>0</v>
      </c>
      <c r="AA589" s="236">
        <v>0</v>
      </c>
      <c r="AB589" s="237">
        <v>0</v>
      </c>
      <c r="AC589" s="196">
        <f t="shared" si="33"/>
        <v>0</v>
      </c>
    </row>
    <row r="590" spans="1:29" s="2" customFormat="1" ht="15" customHeight="1">
      <c r="A590" s="5" t="s">
        <v>28</v>
      </c>
      <c r="B590" s="6" t="s">
        <v>1732</v>
      </c>
      <c r="C590" s="7" t="s">
        <v>30</v>
      </c>
      <c r="D590" s="7" t="s">
        <v>1748</v>
      </c>
      <c r="E590" s="5" t="s">
        <v>118</v>
      </c>
      <c r="F590" s="5" t="s">
        <v>3361</v>
      </c>
      <c r="G590" s="5" t="s">
        <v>34</v>
      </c>
      <c r="H590" s="11" t="s">
        <v>3362</v>
      </c>
      <c r="I590" s="11" t="e">
        <f>VLOOKUP(H590,合同高级查询数据!$A$2:$A$51,1,FALSE)</f>
        <v>#N/A</v>
      </c>
      <c r="J590" s="14" t="s">
        <v>3363</v>
      </c>
      <c r="K590" s="5" t="s">
        <v>3364</v>
      </c>
      <c r="L590" s="11" t="s">
        <v>3365</v>
      </c>
      <c r="M590" s="5"/>
      <c r="N590" s="19">
        <v>44378</v>
      </c>
      <c r="O590" s="5"/>
      <c r="P590" s="26">
        <v>2450</v>
      </c>
      <c r="Q590" s="140">
        <v>137.51400000000001</v>
      </c>
      <c r="R590" s="27">
        <f t="shared" si="35"/>
        <v>336909.3</v>
      </c>
      <c r="S590" s="28">
        <v>202306</v>
      </c>
      <c r="T590" s="29" t="s">
        <v>3366</v>
      </c>
      <c r="U590" s="29"/>
      <c r="V590" s="242">
        <v>137.51348877000001</v>
      </c>
      <c r="W590" s="35"/>
      <c r="X590" s="36">
        <v>44743</v>
      </c>
      <c r="Y590" s="36">
        <v>45107</v>
      </c>
      <c r="Z590" s="42" t="s">
        <v>3367</v>
      </c>
      <c r="AA590" s="238">
        <v>0</v>
      </c>
      <c r="AB590" s="239">
        <v>0</v>
      </c>
      <c r="AC590" s="178">
        <f t="shared" si="33"/>
        <v>0</v>
      </c>
    </row>
    <row r="591" spans="1:29" s="2" customFormat="1" ht="15" customHeight="1">
      <c r="A591" s="5" t="s">
        <v>28</v>
      </c>
      <c r="B591" s="6" t="s">
        <v>1732</v>
      </c>
      <c r="C591" s="7" t="s">
        <v>30</v>
      </c>
      <c r="D591" s="7" t="s">
        <v>1748</v>
      </c>
      <c r="E591" s="5" t="s">
        <v>118</v>
      </c>
      <c r="F591" s="5" t="s">
        <v>3361</v>
      </c>
      <c r="G591" s="5" t="s">
        <v>34</v>
      </c>
      <c r="H591" s="11" t="s">
        <v>3362</v>
      </c>
      <c r="I591" s="11" t="e">
        <f>VLOOKUP(H591,合同高级查询数据!$A$2:$A$51,1,FALSE)</f>
        <v>#N/A</v>
      </c>
      <c r="J591" s="14" t="s">
        <v>3363</v>
      </c>
      <c r="K591" s="5" t="s">
        <v>3368</v>
      </c>
      <c r="L591" s="11" t="s">
        <v>3369</v>
      </c>
      <c r="M591" s="5"/>
      <c r="N591" s="19">
        <v>44378</v>
      </c>
      <c r="O591" s="5"/>
      <c r="P591" s="26">
        <v>3450</v>
      </c>
      <c r="Q591" s="140">
        <v>232.119</v>
      </c>
      <c r="R591" s="27">
        <f t="shared" si="35"/>
        <v>800810.55</v>
      </c>
      <c r="S591" s="28">
        <v>202306</v>
      </c>
      <c r="T591" s="29" t="s">
        <v>3366</v>
      </c>
      <c r="U591" s="29"/>
      <c r="V591" s="242">
        <v>232.11878967300001</v>
      </c>
      <c r="W591" s="35"/>
      <c r="X591" s="36">
        <v>44743</v>
      </c>
      <c r="Y591" s="36">
        <v>45107</v>
      </c>
      <c r="Z591" s="42" t="s">
        <v>3370</v>
      </c>
      <c r="AA591" s="238">
        <v>0</v>
      </c>
      <c r="AB591" s="239">
        <v>0</v>
      </c>
      <c r="AC591" s="178">
        <f t="shared" si="33"/>
        <v>0</v>
      </c>
    </row>
    <row r="592" spans="1:29" s="2" customFormat="1" ht="15" customHeight="1">
      <c r="A592" s="5" t="s">
        <v>28</v>
      </c>
      <c r="B592" s="6" t="s">
        <v>1732</v>
      </c>
      <c r="C592" s="7" t="s">
        <v>30</v>
      </c>
      <c r="D592" s="7" t="s">
        <v>1748</v>
      </c>
      <c r="E592" s="5" t="s">
        <v>118</v>
      </c>
      <c r="F592" s="5" t="s">
        <v>3361</v>
      </c>
      <c r="G592" s="5" t="s">
        <v>34</v>
      </c>
      <c r="H592" s="11" t="s">
        <v>3362</v>
      </c>
      <c r="I592" s="11" t="e">
        <f>VLOOKUP(H592,合同高级查询数据!$A$2:$A$51,1,FALSE)</f>
        <v>#N/A</v>
      </c>
      <c r="J592" s="14" t="s">
        <v>3363</v>
      </c>
      <c r="K592" s="5" t="s">
        <v>3371</v>
      </c>
      <c r="L592" s="11" t="s">
        <v>3372</v>
      </c>
      <c r="M592" s="5"/>
      <c r="N592" s="19">
        <v>44378</v>
      </c>
      <c r="O592" s="5"/>
      <c r="P592" s="26">
        <v>3200</v>
      </c>
      <c r="Q592" s="140">
        <v>51.25</v>
      </c>
      <c r="R592" s="27">
        <f t="shared" si="35"/>
        <v>164000</v>
      </c>
      <c r="S592" s="28">
        <v>202306</v>
      </c>
      <c r="T592" s="29" t="s">
        <v>3366</v>
      </c>
      <c r="U592" s="29"/>
      <c r="V592" s="242">
        <v>51.249794006000002</v>
      </c>
      <c r="W592" s="35"/>
      <c r="X592" s="36">
        <v>44743</v>
      </c>
      <c r="Y592" s="36">
        <v>45107</v>
      </c>
      <c r="Z592" s="42" t="s">
        <v>3373</v>
      </c>
      <c r="AA592" s="238">
        <v>0</v>
      </c>
      <c r="AB592" s="239">
        <v>0</v>
      </c>
      <c r="AC592" s="178">
        <f t="shared" si="33"/>
        <v>0</v>
      </c>
    </row>
    <row r="593" spans="1:29" s="2" customFormat="1" ht="15" customHeight="1">
      <c r="A593" s="5" t="s">
        <v>28</v>
      </c>
      <c r="B593" s="6" t="s">
        <v>1732</v>
      </c>
      <c r="C593" s="7" t="s">
        <v>30</v>
      </c>
      <c r="D593" s="7" t="s">
        <v>1748</v>
      </c>
      <c r="E593" s="5" t="s">
        <v>118</v>
      </c>
      <c r="F593" s="5" t="s">
        <v>3361</v>
      </c>
      <c r="G593" s="5" t="s">
        <v>34</v>
      </c>
      <c r="H593" s="11" t="s">
        <v>3362</v>
      </c>
      <c r="I593" s="11" t="e">
        <f>VLOOKUP(H593,合同高级查询数据!$A$2:$A$51,1,FALSE)</f>
        <v>#N/A</v>
      </c>
      <c r="J593" s="14" t="s">
        <v>3363</v>
      </c>
      <c r="K593" s="5" t="s">
        <v>3374</v>
      </c>
      <c r="L593" s="11" t="s">
        <v>3375</v>
      </c>
      <c r="M593" s="5"/>
      <c r="N593" s="19">
        <v>44378</v>
      </c>
      <c r="O593" s="5"/>
      <c r="P593" s="26">
        <v>4100</v>
      </c>
      <c r="Q593" s="140">
        <v>33.6</v>
      </c>
      <c r="R593" s="27">
        <f t="shared" si="35"/>
        <v>137760</v>
      </c>
      <c r="S593" s="28">
        <v>202306</v>
      </c>
      <c r="T593" s="29" t="s">
        <v>3366</v>
      </c>
      <c r="U593" s="29"/>
      <c r="V593" s="242">
        <v>33.599441528</v>
      </c>
      <c r="W593" s="35"/>
      <c r="X593" s="36">
        <v>44743</v>
      </c>
      <c r="Y593" s="36">
        <v>45107</v>
      </c>
      <c r="Z593" s="42" t="s">
        <v>3376</v>
      </c>
      <c r="AA593" s="238">
        <v>0</v>
      </c>
      <c r="AB593" s="239">
        <v>0</v>
      </c>
      <c r="AC593" s="178">
        <f t="shared" si="33"/>
        <v>0</v>
      </c>
    </row>
    <row r="594" spans="1:29" s="2" customFormat="1" ht="15" customHeight="1">
      <c r="A594" s="5" t="s">
        <v>28</v>
      </c>
      <c r="B594" s="6" t="s">
        <v>1732</v>
      </c>
      <c r="C594" s="7" t="s">
        <v>30</v>
      </c>
      <c r="D594" s="7" t="s">
        <v>1748</v>
      </c>
      <c r="E594" s="5" t="s">
        <v>118</v>
      </c>
      <c r="F594" s="5" t="s">
        <v>3352</v>
      </c>
      <c r="G594" s="5" t="s">
        <v>34</v>
      </c>
      <c r="H594" s="11" t="s">
        <v>3377</v>
      </c>
      <c r="I594" s="11" t="e">
        <f>VLOOKUP(H594,合同高级查询数据!$A$2:$A$51,1,FALSE)</f>
        <v>#N/A</v>
      </c>
      <c r="J594" s="14" t="s">
        <v>3327</v>
      </c>
      <c r="K594" s="5" t="s">
        <v>3378</v>
      </c>
      <c r="L594" s="11" t="s">
        <v>3379</v>
      </c>
      <c r="M594" s="5"/>
      <c r="N594" s="19">
        <v>44197</v>
      </c>
      <c r="O594" s="5"/>
      <c r="P594" s="26">
        <v>2500</v>
      </c>
      <c r="Q594" s="140">
        <v>87.739000000000004</v>
      </c>
      <c r="R594" s="27">
        <f t="shared" si="35"/>
        <v>219347.5</v>
      </c>
      <c r="S594" s="28">
        <v>202306</v>
      </c>
      <c r="T594" s="29" t="s">
        <v>3380</v>
      </c>
      <c r="U594" s="29"/>
      <c r="V594" s="242">
        <v>87.738594054999993</v>
      </c>
      <c r="W594" s="35"/>
      <c r="X594" s="36">
        <v>44835</v>
      </c>
      <c r="Y594" s="36">
        <v>45199</v>
      </c>
      <c r="Z594" s="42" t="s">
        <v>3381</v>
      </c>
      <c r="AA594" s="238">
        <v>0</v>
      </c>
      <c r="AB594" s="239">
        <v>0</v>
      </c>
      <c r="AC594" s="178">
        <f t="shared" si="33"/>
        <v>0</v>
      </c>
    </row>
    <row r="595" spans="1:29" s="2" customFormat="1" ht="15" customHeight="1">
      <c r="A595" s="5" t="s">
        <v>28</v>
      </c>
      <c r="B595" s="6" t="s">
        <v>1732</v>
      </c>
      <c r="C595" s="7" t="s">
        <v>30</v>
      </c>
      <c r="D595" s="7" t="s">
        <v>1748</v>
      </c>
      <c r="E595" s="5" t="s">
        <v>118</v>
      </c>
      <c r="F595" s="5" t="s">
        <v>3352</v>
      </c>
      <c r="G595" s="5" t="s">
        <v>34</v>
      </c>
      <c r="H595" s="11" t="s">
        <v>3377</v>
      </c>
      <c r="I595" s="11" t="e">
        <f>VLOOKUP(H595,合同高级查询数据!$A$2:$A$51,1,FALSE)</f>
        <v>#N/A</v>
      </c>
      <c r="J595" s="14" t="s">
        <v>3327</v>
      </c>
      <c r="K595" s="5" t="s">
        <v>3382</v>
      </c>
      <c r="L595" s="11" t="s">
        <v>3383</v>
      </c>
      <c r="M595" s="5"/>
      <c r="N595" s="19">
        <v>44197</v>
      </c>
      <c r="O595" s="5"/>
      <c r="P595" s="26">
        <v>2000</v>
      </c>
      <c r="Q595" s="140">
        <v>6.8460000000000001</v>
      </c>
      <c r="R595" s="27">
        <f t="shared" si="35"/>
        <v>13692</v>
      </c>
      <c r="S595" s="28">
        <v>202306</v>
      </c>
      <c r="T595" s="29" t="s">
        <v>3380</v>
      </c>
      <c r="U595" s="29"/>
      <c r="V595" s="242">
        <v>6.8455972669999996</v>
      </c>
      <c r="W595" s="35"/>
      <c r="X595" s="36">
        <v>44835</v>
      </c>
      <c r="Y595" s="36">
        <v>45199</v>
      </c>
      <c r="Z595" s="42" t="s">
        <v>3384</v>
      </c>
      <c r="AA595" s="238">
        <v>0</v>
      </c>
      <c r="AB595" s="239">
        <v>0</v>
      </c>
      <c r="AC595" s="178">
        <f t="shared" si="33"/>
        <v>0</v>
      </c>
    </row>
    <row r="596" spans="1:29" s="2" customFormat="1" ht="15" customHeight="1">
      <c r="A596" s="5" t="s">
        <v>28</v>
      </c>
      <c r="B596" s="6" t="s">
        <v>1732</v>
      </c>
      <c r="C596" s="7" t="s">
        <v>30</v>
      </c>
      <c r="D596" s="7" t="s">
        <v>1748</v>
      </c>
      <c r="E596" s="5" t="s">
        <v>118</v>
      </c>
      <c r="F596" s="5" t="s">
        <v>3352</v>
      </c>
      <c r="G596" s="5" t="s">
        <v>34</v>
      </c>
      <c r="H596" s="11" t="s">
        <v>3377</v>
      </c>
      <c r="I596" s="11" t="e">
        <f>VLOOKUP(H596,合同高级查询数据!$A$2:$A$51,1,FALSE)</f>
        <v>#N/A</v>
      </c>
      <c r="J596" s="14" t="s">
        <v>3327</v>
      </c>
      <c r="K596" s="5" t="s">
        <v>3385</v>
      </c>
      <c r="L596" s="11" t="s">
        <v>3386</v>
      </c>
      <c r="M596" s="5"/>
      <c r="N596" s="19">
        <v>44197</v>
      </c>
      <c r="O596" s="5"/>
      <c r="P596" s="26">
        <v>3450</v>
      </c>
      <c r="Q596" s="140">
        <v>115.988</v>
      </c>
      <c r="R596" s="27">
        <f t="shared" si="35"/>
        <v>400158.6</v>
      </c>
      <c r="S596" s="28">
        <v>202306</v>
      </c>
      <c r="T596" s="29" t="s">
        <v>3380</v>
      </c>
      <c r="U596" s="29"/>
      <c r="V596" s="242">
        <v>115.98765564</v>
      </c>
      <c r="W596" s="35"/>
      <c r="X596" s="36">
        <v>44835</v>
      </c>
      <c r="Y596" s="36">
        <v>45199</v>
      </c>
      <c r="Z596" s="42" t="s">
        <v>3387</v>
      </c>
      <c r="AA596" s="238">
        <v>0</v>
      </c>
      <c r="AB596" s="239">
        <v>0</v>
      </c>
      <c r="AC596" s="178">
        <f t="shared" si="33"/>
        <v>0</v>
      </c>
    </row>
    <row r="597" spans="1:29" s="2" customFormat="1" ht="15" customHeight="1">
      <c r="A597" s="5" t="s">
        <v>28</v>
      </c>
      <c r="B597" s="6" t="s">
        <v>1732</v>
      </c>
      <c r="C597" s="7" t="s">
        <v>30</v>
      </c>
      <c r="D597" s="7" t="s">
        <v>1748</v>
      </c>
      <c r="E597" s="5" t="s">
        <v>118</v>
      </c>
      <c r="F597" s="5" t="s">
        <v>3352</v>
      </c>
      <c r="G597" s="5" t="s">
        <v>34</v>
      </c>
      <c r="H597" s="11" t="s">
        <v>3377</v>
      </c>
      <c r="I597" s="11" t="e">
        <f>VLOOKUP(H597,合同高级查询数据!$A$2:$A$51,1,FALSE)</f>
        <v>#N/A</v>
      </c>
      <c r="J597" s="14" t="s">
        <v>3327</v>
      </c>
      <c r="K597" s="5" t="s">
        <v>3388</v>
      </c>
      <c r="L597" s="11" t="s">
        <v>3389</v>
      </c>
      <c r="M597" s="5"/>
      <c r="N597" s="19">
        <v>44197</v>
      </c>
      <c r="O597" s="5"/>
      <c r="P597" s="26">
        <v>2450</v>
      </c>
      <c r="Q597" s="140">
        <v>135.82499999999999</v>
      </c>
      <c r="R597" s="27">
        <f t="shared" si="35"/>
        <v>332771.25</v>
      </c>
      <c r="S597" s="28">
        <v>202306</v>
      </c>
      <c r="T597" s="29" t="s">
        <v>3380</v>
      </c>
      <c r="U597" s="29"/>
      <c r="V597" s="242">
        <v>135.824386597</v>
      </c>
      <c r="W597" s="35"/>
      <c r="X597" s="36">
        <v>44835</v>
      </c>
      <c r="Y597" s="36">
        <v>45199</v>
      </c>
      <c r="Z597" s="42" t="s">
        <v>3390</v>
      </c>
      <c r="AA597" s="238">
        <v>0</v>
      </c>
      <c r="AB597" s="239">
        <v>0</v>
      </c>
      <c r="AC597" s="178">
        <f t="shared" si="33"/>
        <v>0</v>
      </c>
    </row>
    <row r="598" spans="1:29" s="2" customFormat="1" ht="15" customHeight="1">
      <c r="A598" s="5" t="s">
        <v>28</v>
      </c>
      <c r="B598" s="6" t="s">
        <v>1732</v>
      </c>
      <c r="C598" s="7" t="s">
        <v>30</v>
      </c>
      <c r="D598" s="7" t="s">
        <v>1748</v>
      </c>
      <c r="E598" s="5" t="s">
        <v>3391</v>
      </c>
      <c r="F598" s="5" t="s">
        <v>3392</v>
      </c>
      <c r="G598" s="5" t="s">
        <v>34</v>
      </c>
      <c r="H598" s="11" t="s">
        <v>3393</v>
      </c>
      <c r="I598" s="11" t="e">
        <f>VLOOKUP(H598,合同高级查询数据!$A$2:$A$51,1,FALSE)</f>
        <v>#N/A</v>
      </c>
      <c r="J598" s="14" t="s">
        <v>3327</v>
      </c>
      <c r="K598" s="5" t="s">
        <v>3394</v>
      </c>
      <c r="L598" s="11" t="s">
        <v>3394</v>
      </c>
      <c r="M598" s="5"/>
      <c r="N598" s="19">
        <v>44774</v>
      </c>
      <c r="O598" s="5"/>
      <c r="P598" s="26">
        <v>2400</v>
      </c>
      <c r="Q598" s="140">
        <v>25.491</v>
      </c>
      <c r="R598" s="27">
        <f t="shared" si="35"/>
        <v>61178.400000000001</v>
      </c>
      <c r="S598" s="28">
        <v>202306</v>
      </c>
      <c r="T598" s="29" t="s">
        <v>3395</v>
      </c>
      <c r="U598" s="29"/>
      <c r="V598" s="242">
        <v>25.490828695000001</v>
      </c>
      <c r="W598" s="35"/>
      <c r="X598" s="36">
        <v>44774</v>
      </c>
      <c r="Y598" s="36">
        <v>45138</v>
      </c>
      <c r="Z598" s="42" t="s">
        <v>3396</v>
      </c>
      <c r="AA598" s="238">
        <v>0</v>
      </c>
      <c r="AB598" s="239">
        <v>0</v>
      </c>
      <c r="AC598" s="178">
        <f t="shared" si="33"/>
        <v>0</v>
      </c>
    </row>
    <row r="599" spans="1:29" s="2" customFormat="1" ht="15" customHeight="1">
      <c r="A599" s="5" t="s">
        <v>28</v>
      </c>
      <c r="B599" s="6" t="s">
        <v>1732</v>
      </c>
      <c r="C599" s="7" t="s">
        <v>30</v>
      </c>
      <c r="D599" s="7" t="s">
        <v>1748</v>
      </c>
      <c r="E599" s="5" t="s">
        <v>3391</v>
      </c>
      <c r="F599" s="5" t="s">
        <v>3392</v>
      </c>
      <c r="G599" s="5" t="s">
        <v>34</v>
      </c>
      <c r="H599" s="11" t="s">
        <v>3393</v>
      </c>
      <c r="I599" s="11" t="e">
        <f>VLOOKUP(H599,合同高级查询数据!$A$2:$A$51,1,FALSE)</f>
        <v>#N/A</v>
      </c>
      <c r="J599" s="14" t="s">
        <v>3327</v>
      </c>
      <c r="K599" s="5" t="s">
        <v>3397</v>
      </c>
      <c r="L599" s="11" t="s">
        <v>3397</v>
      </c>
      <c r="M599" s="5"/>
      <c r="N599" s="19">
        <v>44774</v>
      </c>
      <c r="O599" s="5"/>
      <c r="P599" s="26">
        <v>3400</v>
      </c>
      <c r="Q599" s="140">
        <v>80.433000000000007</v>
      </c>
      <c r="R599" s="27">
        <f t="shared" si="35"/>
        <v>273472.2</v>
      </c>
      <c r="S599" s="28">
        <v>202306</v>
      </c>
      <c r="T599" s="29" t="s">
        <v>3395</v>
      </c>
      <c r="U599" s="29"/>
      <c r="V599" s="242">
        <v>80.432430737000004</v>
      </c>
      <c r="W599" s="35"/>
      <c r="X599" s="36">
        <v>44774</v>
      </c>
      <c r="Y599" s="36">
        <v>45138</v>
      </c>
      <c r="Z599" s="42" t="s">
        <v>3398</v>
      </c>
      <c r="AA599" s="238">
        <v>0</v>
      </c>
      <c r="AB599" s="239">
        <v>0</v>
      </c>
      <c r="AC599" s="178">
        <f t="shared" si="33"/>
        <v>0</v>
      </c>
    </row>
    <row r="600" spans="1:29" s="3" customFormat="1" ht="15" customHeight="1">
      <c r="A600" s="65" t="s">
        <v>28</v>
      </c>
      <c r="B600" s="85" t="s">
        <v>1732</v>
      </c>
      <c r="C600" s="86" t="s">
        <v>30</v>
      </c>
      <c r="D600" s="86" t="s">
        <v>1748</v>
      </c>
      <c r="E600" s="65" t="s">
        <v>3391</v>
      </c>
      <c r="F600" s="65" t="s">
        <v>3392</v>
      </c>
      <c r="G600" s="65" t="s">
        <v>34</v>
      </c>
      <c r="H600" s="53" t="s">
        <v>3399</v>
      </c>
      <c r="I600" s="53" t="e">
        <f>VLOOKUP(H600,合同高级查询数据!$A$2:$A$51,1,FALSE)</f>
        <v>#N/A</v>
      </c>
      <c r="J600" s="88" t="s">
        <v>3327</v>
      </c>
      <c r="K600" s="65" t="s">
        <v>3400</v>
      </c>
      <c r="L600" s="53" t="s">
        <v>3401</v>
      </c>
      <c r="M600" s="65"/>
      <c r="N600" s="89">
        <v>45078</v>
      </c>
      <c r="O600" s="65"/>
      <c r="P600" s="98">
        <v>2200</v>
      </c>
      <c r="Q600" s="99">
        <v>18.076000000000001</v>
      </c>
      <c r="R600" s="58">
        <f t="shared" si="35"/>
        <v>39767.199999999997</v>
      </c>
      <c r="S600" s="59">
        <v>202306</v>
      </c>
      <c r="T600" s="97" t="s">
        <v>3402</v>
      </c>
      <c r="U600" s="97"/>
      <c r="V600" s="241">
        <v>18.075073241999998</v>
      </c>
      <c r="W600" s="103"/>
      <c r="X600" s="64"/>
      <c r="Y600" s="64"/>
      <c r="Z600" s="107" t="s">
        <v>3403</v>
      </c>
      <c r="AA600" s="236"/>
      <c r="AB600" s="237"/>
      <c r="AC600" s="196"/>
    </row>
    <row r="601" spans="1:29" s="3" customFormat="1" ht="15" customHeight="1">
      <c r="A601" s="65" t="s">
        <v>28</v>
      </c>
      <c r="B601" s="85" t="s">
        <v>1732</v>
      </c>
      <c r="C601" s="86" t="s">
        <v>30</v>
      </c>
      <c r="D601" s="86" t="s">
        <v>1748</v>
      </c>
      <c r="E601" s="65" t="s">
        <v>3391</v>
      </c>
      <c r="F601" s="65" t="s">
        <v>3392</v>
      </c>
      <c r="G601" s="65" t="s">
        <v>34</v>
      </c>
      <c r="H601" s="53" t="s">
        <v>3399</v>
      </c>
      <c r="I601" s="53" t="e">
        <f>VLOOKUP(H601,合同高级查询数据!$A$2:$A$51,1,FALSE)</f>
        <v>#N/A</v>
      </c>
      <c r="J601" s="88" t="s">
        <v>3327</v>
      </c>
      <c r="K601" s="65" t="s">
        <v>3404</v>
      </c>
      <c r="L601" s="53" t="s">
        <v>3405</v>
      </c>
      <c r="M601" s="65"/>
      <c r="N601" s="89">
        <v>45078</v>
      </c>
      <c r="O601" s="65"/>
      <c r="P601" s="98">
        <v>3200</v>
      </c>
      <c r="Q601" s="99">
        <v>1.3</v>
      </c>
      <c r="R601" s="58">
        <f t="shared" si="35"/>
        <v>4160</v>
      </c>
      <c r="S601" s="59">
        <v>202306</v>
      </c>
      <c r="T601" s="97" t="s">
        <v>3406</v>
      </c>
      <c r="U601" s="97"/>
      <c r="V601" s="241">
        <v>1.299242735</v>
      </c>
      <c r="W601" s="103"/>
      <c r="X601" s="64"/>
      <c r="Y601" s="64"/>
      <c r="Z601" s="107" t="s">
        <v>3407</v>
      </c>
      <c r="AA601" s="236"/>
      <c r="AB601" s="237"/>
      <c r="AC601" s="196"/>
    </row>
    <row r="602" spans="1:29" s="3" customFormat="1" ht="15" customHeight="1">
      <c r="A602" s="65" t="s">
        <v>28</v>
      </c>
      <c r="B602" s="85" t="s">
        <v>1732</v>
      </c>
      <c r="C602" s="86" t="s">
        <v>30</v>
      </c>
      <c r="D602" s="86" t="s">
        <v>1748</v>
      </c>
      <c r="E602" s="65" t="s">
        <v>3391</v>
      </c>
      <c r="F602" s="65" t="s">
        <v>3392</v>
      </c>
      <c r="G602" s="65" t="s">
        <v>34</v>
      </c>
      <c r="H602" s="53" t="s">
        <v>3399</v>
      </c>
      <c r="I602" s="53" t="e">
        <f>VLOOKUP(H602,合同高级查询数据!$A$2:$A$51,1,FALSE)</f>
        <v>#N/A</v>
      </c>
      <c r="J602" s="88" t="s">
        <v>3327</v>
      </c>
      <c r="K602" s="65" t="s">
        <v>3408</v>
      </c>
      <c r="L602" s="53" t="s">
        <v>3409</v>
      </c>
      <c r="M602" s="65"/>
      <c r="N602" s="89">
        <v>45078</v>
      </c>
      <c r="O602" s="65"/>
      <c r="P602" s="98">
        <v>3800</v>
      </c>
      <c r="Q602" s="99">
        <v>0.41499999999999998</v>
      </c>
      <c r="R602" s="58">
        <f t="shared" si="35"/>
        <v>1577</v>
      </c>
      <c r="S602" s="59">
        <v>202306</v>
      </c>
      <c r="T602" s="97" t="s">
        <v>3410</v>
      </c>
      <c r="U602" s="97"/>
      <c r="V602" s="241">
        <v>0.41404929800000001</v>
      </c>
      <c r="W602" s="103"/>
      <c r="X602" s="64"/>
      <c r="Y602" s="64"/>
      <c r="Z602" s="107" t="s">
        <v>3411</v>
      </c>
      <c r="AA602" s="236"/>
      <c r="AB602" s="237"/>
      <c r="AC602" s="196"/>
    </row>
    <row r="603" spans="1:29" s="3" customFormat="1" ht="15" customHeight="1">
      <c r="A603" s="65" t="s">
        <v>28</v>
      </c>
      <c r="B603" s="85" t="s">
        <v>1732</v>
      </c>
      <c r="C603" s="86" t="s">
        <v>30</v>
      </c>
      <c r="D603" s="86" t="s">
        <v>1748</v>
      </c>
      <c r="E603" s="65" t="s">
        <v>3391</v>
      </c>
      <c r="F603" s="65" t="s">
        <v>3392</v>
      </c>
      <c r="G603" s="65" t="s">
        <v>34</v>
      </c>
      <c r="H603" s="53" t="s">
        <v>3399</v>
      </c>
      <c r="I603" s="53" t="e">
        <f>VLOOKUP(H603,合同高级查询数据!$A$2:$A$51,1,FALSE)</f>
        <v>#N/A</v>
      </c>
      <c r="J603" s="88" t="s">
        <v>3327</v>
      </c>
      <c r="K603" s="65" t="s">
        <v>3412</v>
      </c>
      <c r="L603" s="53" t="s">
        <v>3413</v>
      </c>
      <c r="M603" s="65"/>
      <c r="N603" s="89">
        <v>45078</v>
      </c>
      <c r="O603" s="65"/>
      <c r="P603" s="98">
        <v>3000</v>
      </c>
      <c r="Q603" s="99">
        <v>8.032</v>
      </c>
      <c r="R603" s="58">
        <f t="shared" si="35"/>
        <v>24096</v>
      </c>
      <c r="S603" s="59">
        <v>202306</v>
      </c>
      <c r="T603" s="97" t="s">
        <v>3414</v>
      </c>
      <c r="U603" s="97"/>
      <c r="V603" s="241">
        <v>8.0314464569999995</v>
      </c>
      <c r="W603" s="103"/>
      <c r="X603" s="64"/>
      <c r="Y603" s="64"/>
      <c r="Z603" s="107" t="s">
        <v>3415</v>
      </c>
      <c r="AA603" s="236"/>
      <c r="AB603" s="237"/>
      <c r="AC603" s="196"/>
    </row>
    <row r="604" spans="1:29" s="2" customFormat="1" ht="15" customHeight="1">
      <c r="A604" s="5" t="s">
        <v>28</v>
      </c>
      <c r="B604" s="6" t="s">
        <v>1732</v>
      </c>
      <c r="C604" s="7" t="s">
        <v>30</v>
      </c>
      <c r="D604" s="7" t="s">
        <v>1748</v>
      </c>
      <c r="E604" s="5" t="s">
        <v>3391</v>
      </c>
      <c r="F604" s="5" t="s">
        <v>3392</v>
      </c>
      <c r="G604" s="5" t="s">
        <v>34</v>
      </c>
      <c r="H604" s="11" t="s">
        <v>3393</v>
      </c>
      <c r="I604" s="11" t="e">
        <f>VLOOKUP(H604,合同高级查询数据!$A$2:$A$51,1,FALSE)</f>
        <v>#N/A</v>
      </c>
      <c r="J604" s="14" t="s">
        <v>3327</v>
      </c>
      <c r="K604" s="5" t="s">
        <v>3394</v>
      </c>
      <c r="L604" s="11" t="s">
        <v>3394</v>
      </c>
      <c r="M604" s="5"/>
      <c r="N604" s="19">
        <v>44774</v>
      </c>
      <c r="O604" s="5"/>
      <c r="P604" s="26">
        <v>2400</v>
      </c>
      <c r="Q604" s="140">
        <v>5.8280000000000003</v>
      </c>
      <c r="R604" s="27">
        <f t="shared" si="35"/>
        <v>13987.2</v>
      </c>
      <c r="S604" s="28">
        <v>202305</v>
      </c>
      <c r="T604" s="29" t="s">
        <v>3416</v>
      </c>
      <c r="U604" s="29"/>
      <c r="V604" s="243"/>
      <c r="W604" s="35"/>
      <c r="X604" s="36"/>
      <c r="Y604" s="36"/>
      <c r="Z604" s="42"/>
      <c r="AA604" s="238"/>
      <c r="AB604" s="239"/>
      <c r="AC604" s="178"/>
    </row>
    <row r="605" spans="1:29" s="2" customFormat="1" ht="15" customHeight="1">
      <c r="A605" s="5" t="s">
        <v>28</v>
      </c>
      <c r="B605" s="6" t="s">
        <v>1732</v>
      </c>
      <c r="C605" s="7" t="s">
        <v>30</v>
      </c>
      <c r="D605" s="7" t="s">
        <v>1748</v>
      </c>
      <c r="E605" s="5" t="s">
        <v>3417</v>
      </c>
      <c r="F605" s="5" t="s">
        <v>3418</v>
      </c>
      <c r="G605" s="5" t="s">
        <v>34</v>
      </c>
      <c r="H605" s="11" t="s">
        <v>3419</v>
      </c>
      <c r="I605" s="11" t="e">
        <f>VLOOKUP(H605,合同高级查询数据!$A$2:$A$51,1,FALSE)</f>
        <v>#N/A</v>
      </c>
      <c r="J605" s="14" t="s">
        <v>3327</v>
      </c>
      <c r="K605" s="5" t="s">
        <v>3420</v>
      </c>
      <c r="L605" s="11" t="s">
        <v>3420</v>
      </c>
      <c r="M605" s="5"/>
      <c r="N605" s="19">
        <v>44228</v>
      </c>
      <c r="O605" s="5"/>
      <c r="P605" s="26">
        <v>3100</v>
      </c>
      <c r="Q605" s="140">
        <v>330.98</v>
      </c>
      <c r="R605" s="27">
        <f t="shared" si="35"/>
        <v>1026038</v>
      </c>
      <c r="S605" s="28">
        <v>202306</v>
      </c>
      <c r="T605" s="29" t="s">
        <v>3421</v>
      </c>
      <c r="U605" s="29"/>
      <c r="V605" s="242">
        <v>330.97903442400002</v>
      </c>
      <c r="W605" s="35"/>
      <c r="X605" s="36">
        <v>44866</v>
      </c>
      <c r="Y605" s="36">
        <v>45230</v>
      </c>
      <c r="Z605" s="42" t="s">
        <v>3422</v>
      </c>
      <c r="AA605" s="238">
        <v>0</v>
      </c>
      <c r="AB605" s="239">
        <v>0</v>
      </c>
      <c r="AC605" s="178">
        <f t="shared" si="33"/>
        <v>0</v>
      </c>
    </row>
    <row r="606" spans="1:29" s="3" customFormat="1" ht="15" customHeight="1">
      <c r="A606" s="65" t="s">
        <v>28</v>
      </c>
      <c r="B606" s="85" t="s">
        <v>1732</v>
      </c>
      <c r="C606" s="86" t="s">
        <v>30</v>
      </c>
      <c r="D606" s="86" t="s">
        <v>1748</v>
      </c>
      <c r="E606" s="65" t="s">
        <v>3423</v>
      </c>
      <c r="F606" s="65" t="s">
        <v>3424</v>
      </c>
      <c r="G606" s="65" t="s">
        <v>34</v>
      </c>
      <c r="H606" s="53" t="s">
        <v>3425</v>
      </c>
      <c r="I606" s="53" t="e">
        <f>VLOOKUP(H606,合同高级查询数据!$A$2:$A$51,1,FALSE)</f>
        <v>#N/A</v>
      </c>
      <c r="J606" s="88" t="s">
        <v>3327</v>
      </c>
      <c r="K606" s="65" t="s">
        <v>3426</v>
      </c>
      <c r="L606" s="53" t="s">
        <v>3427</v>
      </c>
      <c r="M606" s="65"/>
      <c r="N606" s="89">
        <v>44531</v>
      </c>
      <c r="O606" s="65"/>
      <c r="P606" s="98">
        <v>3200</v>
      </c>
      <c r="Q606" s="99">
        <v>0</v>
      </c>
      <c r="R606" s="58">
        <f t="shared" si="35"/>
        <v>0</v>
      </c>
      <c r="S606" s="59">
        <v>202306</v>
      </c>
      <c r="T606" s="97" t="s">
        <v>3428</v>
      </c>
      <c r="U606" s="97"/>
      <c r="V606" s="196">
        <v>0</v>
      </c>
      <c r="W606" s="103"/>
      <c r="X606" s="64"/>
      <c r="Y606" s="64"/>
      <c r="Z606" s="107" t="s">
        <v>3429</v>
      </c>
      <c r="AA606" s="236">
        <v>0</v>
      </c>
      <c r="AB606" s="237">
        <v>0</v>
      </c>
      <c r="AC606" s="196">
        <f t="shared" si="33"/>
        <v>0</v>
      </c>
    </row>
    <row r="607" spans="1:29" s="2" customFormat="1" ht="15" customHeight="1">
      <c r="A607" s="5" t="s">
        <v>28</v>
      </c>
      <c r="B607" s="6" t="s">
        <v>1732</v>
      </c>
      <c r="C607" s="7" t="s">
        <v>30</v>
      </c>
      <c r="D607" s="7" t="s">
        <v>1748</v>
      </c>
      <c r="E607" s="5" t="s">
        <v>3423</v>
      </c>
      <c r="F607" s="5" t="s">
        <v>3424</v>
      </c>
      <c r="G607" s="5" t="s">
        <v>34</v>
      </c>
      <c r="H607" s="11" t="s">
        <v>3430</v>
      </c>
      <c r="I607" s="11" t="e">
        <f>VLOOKUP(H607,合同高级查询数据!$A$2:$A$51,1,FALSE)</f>
        <v>#N/A</v>
      </c>
      <c r="J607" s="14" t="s">
        <v>3327</v>
      </c>
      <c r="K607" s="5" t="s">
        <v>3431</v>
      </c>
      <c r="L607" s="11" t="s">
        <v>3432</v>
      </c>
      <c r="M607" s="5"/>
      <c r="N607" s="19">
        <v>44197</v>
      </c>
      <c r="O607" s="5"/>
      <c r="P607" s="26">
        <v>3500</v>
      </c>
      <c r="Q607" s="140">
        <v>0</v>
      </c>
      <c r="R607" s="27">
        <f t="shared" si="35"/>
        <v>0</v>
      </c>
      <c r="S607" s="28">
        <v>202306</v>
      </c>
      <c r="T607" s="29" t="s">
        <v>3433</v>
      </c>
      <c r="U607" s="29"/>
      <c r="V607" s="178">
        <v>0</v>
      </c>
      <c r="W607" s="35"/>
      <c r="X607" s="36">
        <v>44713</v>
      </c>
      <c r="Y607" s="36">
        <v>45077</v>
      </c>
      <c r="Z607" s="42" t="s">
        <v>3434</v>
      </c>
      <c r="AA607" s="238">
        <v>0</v>
      </c>
      <c r="AB607" s="239">
        <v>0</v>
      </c>
      <c r="AC607" s="178">
        <f t="shared" si="33"/>
        <v>0</v>
      </c>
    </row>
    <row r="608" spans="1:29" s="2" customFormat="1" ht="15" customHeight="1">
      <c r="A608" s="5" t="s">
        <v>28</v>
      </c>
      <c r="B608" s="6" t="s">
        <v>1732</v>
      </c>
      <c r="C608" s="7" t="s">
        <v>30</v>
      </c>
      <c r="D608" s="7" t="s">
        <v>1748</v>
      </c>
      <c r="E608" s="5" t="s">
        <v>3423</v>
      </c>
      <c r="F608" s="5" t="s">
        <v>3424</v>
      </c>
      <c r="G608" s="5" t="s">
        <v>34</v>
      </c>
      <c r="H608" s="11" t="s">
        <v>3430</v>
      </c>
      <c r="I608" s="11" t="e">
        <f>VLOOKUP(H608,合同高级查询数据!$A$2:$A$51,1,FALSE)</f>
        <v>#N/A</v>
      </c>
      <c r="J608" s="14" t="s">
        <v>3327</v>
      </c>
      <c r="K608" s="5" t="s">
        <v>3431</v>
      </c>
      <c r="L608" s="11" t="s">
        <v>3435</v>
      </c>
      <c r="M608" s="5"/>
      <c r="N608" s="19">
        <v>44197</v>
      </c>
      <c r="O608" s="5"/>
      <c r="P608" s="26">
        <v>2500</v>
      </c>
      <c r="Q608" s="140">
        <v>0</v>
      </c>
      <c r="R608" s="27">
        <f t="shared" si="35"/>
        <v>0</v>
      </c>
      <c r="S608" s="28">
        <v>202306</v>
      </c>
      <c r="T608" s="29" t="s">
        <v>3436</v>
      </c>
      <c r="U608" s="29"/>
      <c r="V608" s="178">
        <v>0</v>
      </c>
      <c r="W608" s="35"/>
      <c r="X608" s="36">
        <v>44713</v>
      </c>
      <c r="Y608" s="36">
        <v>45077</v>
      </c>
      <c r="Z608" s="42" t="s">
        <v>3437</v>
      </c>
      <c r="AA608" s="238">
        <v>0</v>
      </c>
      <c r="AB608" s="239">
        <v>0</v>
      </c>
      <c r="AC608" s="178">
        <f t="shared" si="33"/>
        <v>0</v>
      </c>
    </row>
    <row r="609" spans="1:29" s="2" customFormat="1" ht="15" customHeight="1">
      <c r="A609" s="5" t="s">
        <v>28</v>
      </c>
      <c r="B609" s="6" t="s">
        <v>1732</v>
      </c>
      <c r="C609" s="7" t="s">
        <v>30</v>
      </c>
      <c r="D609" s="7" t="s">
        <v>1748</v>
      </c>
      <c r="E609" s="5" t="s">
        <v>3423</v>
      </c>
      <c r="F609" s="5" t="s">
        <v>3424</v>
      </c>
      <c r="G609" s="5" t="s">
        <v>34</v>
      </c>
      <c r="H609" s="11" t="s">
        <v>3438</v>
      </c>
      <c r="I609" s="11" t="str">
        <f>VLOOKUP(H609,合同高级查询数据!$A$2:$A$51,1,FALSE)</f>
        <v>182315IDC00238</v>
      </c>
      <c r="J609" s="14" t="s">
        <v>3327</v>
      </c>
      <c r="K609" s="5" t="s">
        <v>3439</v>
      </c>
      <c r="L609" s="11" t="s">
        <v>3440</v>
      </c>
      <c r="M609" s="5"/>
      <c r="N609" s="19">
        <v>44428</v>
      </c>
      <c r="O609" s="5"/>
      <c r="P609" s="26">
        <v>2350</v>
      </c>
      <c r="Q609" s="140">
        <v>25.704000000000001</v>
      </c>
      <c r="R609" s="27">
        <f t="shared" si="35"/>
        <v>60404.4</v>
      </c>
      <c r="S609" s="28">
        <v>202306</v>
      </c>
      <c r="T609" s="29" t="s">
        <v>3433</v>
      </c>
      <c r="U609" s="29"/>
      <c r="V609" s="242">
        <v>25.703863895000001</v>
      </c>
      <c r="W609" s="35"/>
      <c r="X609" s="192">
        <v>45047</v>
      </c>
      <c r="Y609" s="192">
        <v>45412</v>
      </c>
      <c r="Z609" s="42" t="s">
        <v>3441</v>
      </c>
      <c r="AA609" s="238">
        <v>0</v>
      </c>
      <c r="AB609" s="239">
        <v>0</v>
      </c>
      <c r="AC609" s="178">
        <f t="shared" si="33"/>
        <v>0</v>
      </c>
    </row>
    <row r="610" spans="1:29" s="2" customFormat="1" ht="15" customHeight="1">
      <c r="A610" s="5" t="s">
        <v>28</v>
      </c>
      <c r="B610" s="6" t="s">
        <v>1732</v>
      </c>
      <c r="C610" s="7" t="s">
        <v>30</v>
      </c>
      <c r="D610" s="7" t="s">
        <v>1748</v>
      </c>
      <c r="E610" s="5" t="s">
        <v>3423</v>
      </c>
      <c r="F610" s="5" t="s">
        <v>3424</v>
      </c>
      <c r="G610" s="5" t="s">
        <v>34</v>
      </c>
      <c r="H610" s="11" t="s">
        <v>3438</v>
      </c>
      <c r="I610" s="11" t="str">
        <f>VLOOKUP(H610,合同高级查询数据!$A$2:$A$51,1,FALSE)</f>
        <v>182315IDC00238</v>
      </c>
      <c r="J610" s="14" t="s">
        <v>3327</v>
      </c>
      <c r="K610" s="5" t="s">
        <v>3439</v>
      </c>
      <c r="L610" s="11" t="s">
        <v>3442</v>
      </c>
      <c r="M610" s="5"/>
      <c r="N610" s="19">
        <v>44428</v>
      </c>
      <c r="O610" s="5"/>
      <c r="P610" s="26">
        <v>3350</v>
      </c>
      <c r="Q610" s="140">
        <v>96.015000000000001</v>
      </c>
      <c r="R610" s="27">
        <f t="shared" si="35"/>
        <v>321650.25</v>
      </c>
      <c r="S610" s="28">
        <v>202306</v>
      </c>
      <c r="T610" s="29" t="s">
        <v>3433</v>
      </c>
      <c r="U610" s="29"/>
      <c r="V610" s="242">
        <v>96.014716652999994</v>
      </c>
      <c r="W610" s="35"/>
      <c r="X610" s="192">
        <v>45047</v>
      </c>
      <c r="Y610" s="192">
        <v>45412</v>
      </c>
      <c r="Z610" s="42" t="s">
        <v>3443</v>
      </c>
      <c r="AA610" s="238">
        <v>0</v>
      </c>
      <c r="AB610" s="239">
        <v>0</v>
      </c>
      <c r="AC610" s="178">
        <f t="shared" si="33"/>
        <v>0</v>
      </c>
    </row>
    <row r="611" spans="1:29" s="2" customFormat="1" ht="15" customHeight="1">
      <c r="A611" s="5" t="s">
        <v>28</v>
      </c>
      <c r="B611" s="6" t="s">
        <v>1732</v>
      </c>
      <c r="C611" s="7" t="s">
        <v>30</v>
      </c>
      <c r="D611" s="7" t="s">
        <v>1748</v>
      </c>
      <c r="E611" s="5" t="s">
        <v>3423</v>
      </c>
      <c r="F611" s="5" t="s">
        <v>3424</v>
      </c>
      <c r="G611" s="5" t="s">
        <v>34</v>
      </c>
      <c r="H611" s="11" t="s">
        <v>3430</v>
      </c>
      <c r="I611" s="11" t="e">
        <f>VLOOKUP(H611,合同高级查询数据!$A$2:$A$51,1,FALSE)</f>
        <v>#N/A</v>
      </c>
      <c r="J611" s="14" t="s">
        <v>3363</v>
      </c>
      <c r="K611" s="5" t="s">
        <v>3444</v>
      </c>
      <c r="L611" s="11" t="s">
        <v>3445</v>
      </c>
      <c r="M611" s="5"/>
      <c r="N611" s="19">
        <v>44562</v>
      </c>
      <c r="O611" s="5"/>
      <c r="P611" s="26">
        <v>2600</v>
      </c>
      <c r="Q611" s="140">
        <v>0</v>
      </c>
      <c r="R611" s="27">
        <f t="shared" si="35"/>
        <v>0</v>
      </c>
      <c r="S611" s="28">
        <v>202306</v>
      </c>
      <c r="T611" s="29" t="s">
        <v>3446</v>
      </c>
      <c r="U611" s="29"/>
      <c r="V611" s="178">
        <v>0</v>
      </c>
      <c r="W611" s="35"/>
      <c r="X611" s="36">
        <v>44713</v>
      </c>
      <c r="Y611" s="36">
        <v>45077</v>
      </c>
      <c r="Z611" s="42" t="s">
        <v>3447</v>
      </c>
      <c r="AA611" s="238">
        <v>0</v>
      </c>
      <c r="AB611" s="239">
        <v>0</v>
      </c>
      <c r="AC611" s="178">
        <f t="shared" si="33"/>
        <v>0</v>
      </c>
    </row>
    <row r="612" spans="1:29" s="2" customFormat="1" ht="15" customHeight="1">
      <c r="A612" s="5" t="s">
        <v>28</v>
      </c>
      <c r="B612" s="6" t="s">
        <v>1732</v>
      </c>
      <c r="C612" s="7" t="s">
        <v>30</v>
      </c>
      <c r="D612" s="7" t="s">
        <v>1748</v>
      </c>
      <c r="E612" s="5" t="s">
        <v>3423</v>
      </c>
      <c r="F612" s="5" t="s">
        <v>3424</v>
      </c>
      <c r="G612" s="5" t="s">
        <v>34</v>
      </c>
      <c r="H612" s="11" t="s">
        <v>3430</v>
      </c>
      <c r="I612" s="11" t="e">
        <f>VLOOKUP(H612,合同高级查询数据!$A$2:$A$51,1,FALSE)</f>
        <v>#N/A</v>
      </c>
      <c r="J612" s="14" t="s">
        <v>3363</v>
      </c>
      <c r="K612" s="5" t="s">
        <v>3444</v>
      </c>
      <c r="L612" s="11" t="s">
        <v>3448</v>
      </c>
      <c r="M612" s="5"/>
      <c r="N612" s="19">
        <v>44562</v>
      </c>
      <c r="O612" s="5"/>
      <c r="P612" s="26">
        <v>3600</v>
      </c>
      <c r="Q612" s="140">
        <v>0</v>
      </c>
      <c r="R612" s="27">
        <f t="shared" si="35"/>
        <v>0</v>
      </c>
      <c r="S612" s="28">
        <v>202306</v>
      </c>
      <c r="T612" s="29" t="s">
        <v>3446</v>
      </c>
      <c r="U612" s="29"/>
      <c r="V612" s="178">
        <v>0</v>
      </c>
      <c r="W612" s="35"/>
      <c r="X612" s="36">
        <v>44713</v>
      </c>
      <c r="Y612" s="36">
        <v>45077</v>
      </c>
      <c r="Z612" s="42" t="s">
        <v>3449</v>
      </c>
      <c r="AA612" s="238">
        <v>0</v>
      </c>
      <c r="AB612" s="239">
        <v>0</v>
      </c>
      <c r="AC612" s="178">
        <f t="shared" si="33"/>
        <v>0</v>
      </c>
    </row>
    <row r="613" spans="1:29" s="2" customFormat="1" ht="15" customHeight="1">
      <c r="A613" s="5" t="s">
        <v>28</v>
      </c>
      <c r="B613" s="6" t="s">
        <v>1732</v>
      </c>
      <c r="C613" s="7" t="s">
        <v>30</v>
      </c>
      <c r="D613" s="7" t="s">
        <v>1748</v>
      </c>
      <c r="E613" s="5" t="s">
        <v>3423</v>
      </c>
      <c r="F613" s="5" t="s">
        <v>3424</v>
      </c>
      <c r="G613" s="5" t="s">
        <v>34</v>
      </c>
      <c r="H613" s="11" t="s">
        <v>3450</v>
      </c>
      <c r="I613" s="11" t="e">
        <f>VLOOKUP(H613,合同高级查询数据!$A$2:$A$51,1,FALSE)</f>
        <v>#N/A</v>
      </c>
      <c r="J613" s="14" t="s">
        <v>3363</v>
      </c>
      <c r="K613" s="5" t="s">
        <v>3451</v>
      </c>
      <c r="L613" s="11" t="s">
        <v>3452</v>
      </c>
      <c r="M613" s="5"/>
      <c r="N613" s="19">
        <v>44562</v>
      </c>
      <c r="O613" s="5"/>
      <c r="P613" s="26">
        <v>2350</v>
      </c>
      <c r="Q613" s="140">
        <v>66.634</v>
      </c>
      <c r="R613" s="27">
        <f t="shared" si="35"/>
        <v>156589.9</v>
      </c>
      <c r="S613" s="28">
        <v>202306</v>
      </c>
      <c r="T613" s="29" t="s">
        <v>3453</v>
      </c>
      <c r="U613" s="29"/>
      <c r="V613" s="242">
        <v>66.633842467999997</v>
      </c>
      <c r="W613" s="35"/>
      <c r="X613" s="36">
        <v>44986</v>
      </c>
      <c r="Y613" s="36">
        <v>45351</v>
      </c>
      <c r="Z613" s="42" t="s">
        <v>3454</v>
      </c>
      <c r="AA613" s="238">
        <v>0</v>
      </c>
      <c r="AB613" s="239">
        <v>0</v>
      </c>
      <c r="AC613" s="178">
        <f t="shared" si="33"/>
        <v>0</v>
      </c>
    </row>
    <row r="614" spans="1:29" s="2" customFormat="1" ht="15" customHeight="1">
      <c r="A614" s="5" t="s">
        <v>28</v>
      </c>
      <c r="B614" s="6" t="s">
        <v>1732</v>
      </c>
      <c r="C614" s="7" t="s">
        <v>30</v>
      </c>
      <c r="D614" s="7" t="s">
        <v>1748</v>
      </c>
      <c r="E614" s="5" t="s">
        <v>3423</v>
      </c>
      <c r="F614" s="5" t="s">
        <v>3424</v>
      </c>
      <c r="G614" s="5" t="s">
        <v>34</v>
      </c>
      <c r="H614" s="11" t="s">
        <v>3450</v>
      </c>
      <c r="I614" s="11" t="e">
        <f>VLOOKUP(H614,合同高级查询数据!$A$2:$A$51,1,FALSE)</f>
        <v>#N/A</v>
      </c>
      <c r="J614" s="14" t="s">
        <v>3363</v>
      </c>
      <c r="K614" s="5" t="s">
        <v>3455</v>
      </c>
      <c r="L614" s="11" t="s">
        <v>3456</v>
      </c>
      <c r="M614" s="5"/>
      <c r="N614" s="19">
        <v>44562</v>
      </c>
      <c r="O614" s="5"/>
      <c r="P614" s="26">
        <v>3350</v>
      </c>
      <c r="Q614" s="140">
        <v>40.826999999999998</v>
      </c>
      <c r="R614" s="27">
        <f t="shared" si="35"/>
        <v>136770.45000000001</v>
      </c>
      <c r="S614" s="28">
        <v>202306</v>
      </c>
      <c r="T614" s="29" t="s">
        <v>3453</v>
      </c>
      <c r="U614" s="29"/>
      <c r="V614" s="242">
        <v>40.826080322000003</v>
      </c>
      <c r="W614" s="35"/>
      <c r="X614" s="36">
        <v>44986</v>
      </c>
      <c r="Y614" s="36">
        <v>45351</v>
      </c>
      <c r="Z614" s="42" t="s">
        <v>3457</v>
      </c>
      <c r="AA614" s="238">
        <v>0</v>
      </c>
      <c r="AB614" s="239">
        <v>0</v>
      </c>
      <c r="AC614" s="178">
        <f t="shared" si="33"/>
        <v>0</v>
      </c>
    </row>
    <row r="615" spans="1:29" s="3" customFormat="1" ht="15" customHeight="1">
      <c r="A615" s="65" t="s">
        <v>28</v>
      </c>
      <c r="B615" s="85" t="s">
        <v>1732</v>
      </c>
      <c r="C615" s="86" t="s">
        <v>30</v>
      </c>
      <c r="D615" s="86" t="s">
        <v>1748</v>
      </c>
      <c r="E615" s="65" t="s">
        <v>3423</v>
      </c>
      <c r="F615" s="65" t="s">
        <v>3424</v>
      </c>
      <c r="G615" s="65" t="s">
        <v>34</v>
      </c>
      <c r="H615" s="53" t="s">
        <v>3458</v>
      </c>
      <c r="I615" s="53" t="e">
        <f>VLOOKUP(H615,合同高级查询数据!$A$2:$A$51,1,FALSE)</f>
        <v>#N/A</v>
      </c>
      <c r="J615" s="88" t="s">
        <v>3363</v>
      </c>
      <c r="K615" s="65" t="s">
        <v>3459</v>
      </c>
      <c r="L615" s="53" t="s">
        <v>3460</v>
      </c>
      <c r="M615" s="65"/>
      <c r="N615" s="89">
        <v>44562</v>
      </c>
      <c r="O615" s="65"/>
      <c r="P615" s="98">
        <v>3200</v>
      </c>
      <c r="Q615" s="99">
        <v>0</v>
      </c>
      <c r="R615" s="58">
        <f t="shared" si="35"/>
        <v>0</v>
      </c>
      <c r="S615" s="59">
        <v>202306</v>
      </c>
      <c r="T615" s="97" t="s">
        <v>3461</v>
      </c>
      <c r="U615" s="97"/>
      <c r="V615" s="196">
        <v>0</v>
      </c>
      <c r="W615" s="103"/>
      <c r="X615" s="64"/>
      <c r="Y615" s="64"/>
      <c r="Z615" s="107" t="s">
        <v>3462</v>
      </c>
      <c r="AA615" s="236">
        <v>0</v>
      </c>
      <c r="AB615" s="237">
        <v>0</v>
      </c>
      <c r="AC615" s="196">
        <f t="shared" si="33"/>
        <v>0</v>
      </c>
    </row>
    <row r="616" spans="1:29" s="3" customFormat="1" ht="15" customHeight="1">
      <c r="A616" s="65" t="s">
        <v>28</v>
      </c>
      <c r="B616" s="85" t="s">
        <v>1732</v>
      </c>
      <c r="C616" s="86" t="s">
        <v>30</v>
      </c>
      <c r="D616" s="86" t="s">
        <v>1748</v>
      </c>
      <c r="E616" s="65" t="s">
        <v>3423</v>
      </c>
      <c r="F616" s="65" t="s">
        <v>3424</v>
      </c>
      <c r="G616" s="65" t="s">
        <v>34</v>
      </c>
      <c r="H616" s="53" t="s">
        <v>3458</v>
      </c>
      <c r="I616" s="53" t="e">
        <f>VLOOKUP(H616,合同高级查询数据!$A$2:$A$51,1,FALSE)</f>
        <v>#N/A</v>
      </c>
      <c r="J616" s="88" t="s">
        <v>3363</v>
      </c>
      <c r="K616" s="65" t="s">
        <v>3463</v>
      </c>
      <c r="L616" s="53" t="s">
        <v>3464</v>
      </c>
      <c r="M616" s="65"/>
      <c r="N616" s="89">
        <v>44562</v>
      </c>
      <c r="O616" s="65"/>
      <c r="P616" s="98">
        <v>4200</v>
      </c>
      <c r="Q616" s="99">
        <v>0</v>
      </c>
      <c r="R616" s="58">
        <f t="shared" si="35"/>
        <v>0</v>
      </c>
      <c r="S616" s="59">
        <v>202306</v>
      </c>
      <c r="T616" s="97" t="s">
        <v>3461</v>
      </c>
      <c r="U616" s="97"/>
      <c r="V616" s="196">
        <v>0</v>
      </c>
      <c r="W616" s="103"/>
      <c r="X616" s="64"/>
      <c r="Y616" s="64"/>
      <c r="Z616" s="107" t="s">
        <v>3465</v>
      </c>
      <c r="AA616" s="236">
        <v>0</v>
      </c>
      <c r="AB616" s="237">
        <v>0</v>
      </c>
      <c r="AC616" s="196">
        <f t="shared" si="33"/>
        <v>0</v>
      </c>
    </row>
    <row r="617" spans="1:29" s="2" customFormat="1" ht="15" customHeight="1">
      <c r="A617" s="5" t="s">
        <v>28</v>
      </c>
      <c r="B617" s="6" t="s">
        <v>1732</v>
      </c>
      <c r="C617" s="7" t="s">
        <v>30</v>
      </c>
      <c r="D617" s="7" t="s">
        <v>1748</v>
      </c>
      <c r="E617" s="5" t="s">
        <v>3423</v>
      </c>
      <c r="F617" s="5" t="s">
        <v>3424</v>
      </c>
      <c r="G617" s="5" t="s">
        <v>34</v>
      </c>
      <c r="H617" s="11" t="s">
        <v>3430</v>
      </c>
      <c r="I617" s="11" t="e">
        <f>VLOOKUP(H617,合同高级查询数据!$A$2:$A$51,1,FALSE)</f>
        <v>#N/A</v>
      </c>
      <c r="J617" s="14" t="s">
        <v>3466</v>
      </c>
      <c r="K617" s="5" t="s">
        <v>3467</v>
      </c>
      <c r="L617" s="11"/>
      <c r="M617" s="5"/>
      <c r="N617" s="19">
        <v>44428</v>
      </c>
      <c r="O617" s="5"/>
      <c r="P617" s="26">
        <v>0.02</v>
      </c>
      <c r="Q617" s="140">
        <v>0</v>
      </c>
      <c r="R617" s="27">
        <f t="shared" si="35"/>
        <v>0</v>
      </c>
      <c r="S617" s="28">
        <v>202306</v>
      </c>
      <c r="T617" s="29" t="s">
        <v>3468</v>
      </c>
      <c r="U617" s="29"/>
      <c r="V617" s="178">
        <v>0</v>
      </c>
      <c r="W617" s="35"/>
      <c r="X617" s="36">
        <v>44713</v>
      </c>
      <c r="Y617" s="36">
        <v>45077</v>
      </c>
      <c r="Z617" s="178">
        <v>0</v>
      </c>
      <c r="AA617" s="238">
        <v>0</v>
      </c>
      <c r="AB617" s="239">
        <v>0</v>
      </c>
      <c r="AC617" s="178">
        <f t="shared" si="33"/>
        <v>0</v>
      </c>
    </row>
    <row r="618" spans="1:29" s="2" customFormat="1" ht="15" customHeight="1">
      <c r="A618" s="5" t="s">
        <v>28</v>
      </c>
      <c r="B618" s="6" t="s">
        <v>1732</v>
      </c>
      <c r="C618" s="7" t="s">
        <v>30</v>
      </c>
      <c r="D618" s="7" t="s">
        <v>1748</v>
      </c>
      <c r="E618" s="5" t="s">
        <v>3423</v>
      </c>
      <c r="F618" s="5" t="s">
        <v>3424</v>
      </c>
      <c r="G618" s="5" t="s">
        <v>34</v>
      </c>
      <c r="H618" s="11" t="s">
        <v>3469</v>
      </c>
      <c r="I618" s="11" t="e">
        <f>VLOOKUP(H618,合同高级查询数据!$A$2:$A$51,1,FALSE)</f>
        <v>#N/A</v>
      </c>
      <c r="J618" s="14" t="s">
        <v>3327</v>
      </c>
      <c r="K618" s="5" t="s">
        <v>3470</v>
      </c>
      <c r="L618" s="11" t="s">
        <v>3471</v>
      </c>
      <c r="M618" s="5"/>
      <c r="N618" s="19">
        <v>44197</v>
      </c>
      <c r="O618" s="5"/>
      <c r="P618" s="26">
        <v>3200</v>
      </c>
      <c r="Q618" s="140">
        <v>36.966000000000001</v>
      </c>
      <c r="R618" s="27">
        <f t="shared" si="35"/>
        <v>118291.2</v>
      </c>
      <c r="S618" s="28">
        <v>202306</v>
      </c>
      <c r="T618" s="29" t="s">
        <v>3472</v>
      </c>
      <c r="U618" s="29"/>
      <c r="V618" s="242">
        <v>36.965908051</v>
      </c>
      <c r="W618" s="35"/>
      <c r="X618" s="36">
        <v>44835</v>
      </c>
      <c r="Y618" s="36">
        <v>45199</v>
      </c>
      <c r="Z618" s="42" t="s">
        <v>3473</v>
      </c>
      <c r="AA618" s="238">
        <v>0</v>
      </c>
      <c r="AB618" s="239">
        <v>0</v>
      </c>
      <c r="AC618" s="178">
        <f t="shared" si="33"/>
        <v>0</v>
      </c>
    </row>
    <row r="619" spans="1:29" s="2" customFormat="1" ht="15" customHeight="1">
      <c r="A619" s="5" t="s">
        <v>28</v>
      </c>
      <c r="B619" s="6" t="s">
        <v>1732</v>
      </c>
      <c r="C619" s="7" t="s">
        <v>30</v>
      </c>
      <c r="D619" s="7" t="s">
        <v>1748</v>
      </c>
      <c r="E619" s="5" t="s">
        <v>3474</v>
      </c>
      <c r="F619" s="5" t="s">
        <v>3475</v>
      </c>
      <c r="G619" s="5" t="s">
        <v>34</v>
      </c>
      <c r="H619" s="11" t="s">
        <v>3476</v>
      </c>
      <c r="I619" s="11" t="e">
        <f>VLOOKUP(H619,合同高级查询数据!$A$2:$A$51,1,FALSE)</f>
        <v>#N/A</v>
      </c>
      <c r="J619" s="14" t="s">
        <v>3363</v>
      </c>
      <c r="K619" s="5"/>
      <c r="L619" s="11" t="s">
        <v>3477</v>
      </c>
      <c r="M619" s="5"/>
      <c r="N619" s="19">
        <v>44866</v>
      </c>
      <c r="O619" s="5"/>
      <c r="P619" s="26">
        <v>2200</v>
      </c>
      <c r="Q619" s="140">
        <v>82.7</v>
      </c>
      <c r="R619" s="27">
        <f t="shared" si="35"/>
        <v>181940</v>
      </c>
      <c r="S619" s="28">
        <v>202306</v>
      </c>
      <c r="T619" s="29" t="s">
        <v>3478</v>
      </c>
      <c r="U619" s="29"/>
      <c r="V619" s="242">
        <v>82.699562072999996</v>
      </c>
      <c r="W619" s="35"/>
      <c r="X619" s="36">
        <v>44896</v>
      </c>
      <c r="Y619" s="36">
        <v>45260</v>
      </c>
      <c r="Z619" s="42" t="s">
        <v>3479</v>
      </c>
      <c r="AA619" s="238">
        <v>0</v>
      </c>
      <c r="AB619" s="239">
        <v>0</v>
      </c>
      <c r="AC619" s="178">
        <f t="shared" si="33"/>
        <v>0</v>
      </c>
    </row>
    <row r="620" spans="1:29" s="2" customFormat="1" ht="15" customHeight="1">
      <c r="A620" s="5" t="s">
        <v>28</v>
      </c>
      <c r="B620" s="6" t="s">
        <v>1732</v>
      </c>
      <c r="C620" s="7" t="s">
        <v>30</v>
      </c>
      <c r="D620" s="7" t="s">
        <v>1748</v>
      </c>
      <c r="E620" s="5" t="s">
        <v>3474</v>
      </c>
      <c r="F620" s="5" t="s">
        <v>3475</v>
      </c>
      <c r="G620" s="5" t="s">
        <v>34</v>
      </c>
      <c r="H620" s="11" t="s">
        <v>3476</v>
      </c>
      <c r="I620" s="11" t="e">
        <f>VLOOKUP(H620,合同高级查询数据!$A$2:$A$51,1,FALSE)</f>
        <v>#N/A</v>
      </c>
      <c r="J620" s="14" t="s">
        <v>3363</v>
      </c>
      <c r="K620" s="5"/>
      <c r="L620" s="11" t="s">
        <v>3480</v>
      </c>
      <c r="M620" s="5"/>
      <c r="N620" s="19">
        <v>44866</v>
      </c>
      <c r="O620" s="5"/>
      <c r="P620" s="26">
        <v>3200</v>
      </c>
      <c r="Q620" s="140">
        <v>101.914</v>
      </c>
      <c r="R620" s="27">
        <f t="shared" si="35"/>
        <v>326124.79999999999</v>
      </c>
      <c r="S620" s="28">
        <v>202306</v>
      </c>
      <c r="T620" s="29" t="s">
        <v>3478</v>
      </c>
      <c r="U620" s="29"/>
      <c r="V620" s="242">
        <v>101.913536072</v>
      </c>
      <c r="W620" s="35"/>
      <c r="X620" s="36">
        <v>44896</v>
      </c>
      <c r="Y620" s="36">
        <v>45260</v>
      </c>
      <c r="Z620" s="42" t="s">
        <v>3481</v>
      </c>
      <c r="AA620" s="238">
        <v>0</v>
      </c>
      <c r="AB620" s="239">
        <v>0</v>
      </c>
      <c r="AC620" s="178">
        <f t="shared" si="33"/>
        <v>0</v>
      </c>
    </row>
    <row r="621" spans="1:29" s="2" customFormat="1" ht="15" customHeight="1">
      <c r="A621" s="5" t="s">
        <v>28</v>
      </c>
      <c r="B621" s="6" t="s">
        <v>1732</v>
      </c>
      <c r="C621" s="7" t="s">
        <v>30</v>
      </c>
      <c r="D621" s="7" t="s">
        <v>1748</v>
      </c>
      <c r="E621" s="5" t="s">
        <v>293</v>
      </c>
      <c r="F621" s="5" t="s">
        <v>3482</v>
      </c>
      <c r="G621" s="5" t="s">
        <v>34</v>
      </c>
      <c r="H621" s="11" t="s">
        <v>3483</v>
      </c>
      <c r="I621" s="11" t="str">
        <f>VLOOKUP(H621,合同高级查询数据!$A$2:$A$51,1,FALSE)</f>
        <v>182315IDC00206</v>
      </c>
      <c r="J621" s="14" t="s">
        <v>3327</v>
      </c>
      <c r="K621" s="5" t="s">
        <v>3357</v>
      </c>
      <c r="L621" s="11" t="s">
        <v>3484</v>
      </c>
      <c r="M621" s="5"/>
      <c r="N621" s="19">
        <v>44197</v>
      </c>
      <c r="O621" s="5"/>
      <c r="P621" s="26">
        <v>2800</v>
      </c>
      <c r="Q621" s="140">
        <v>0</v>
      </c>
      <c r="R621" s="27">
        <f t="shared" si="35"/>
        <v>0</v>
      </c>
      <c r="S621" s="28">
        <v>202306</v>
      </c>
      <c r="T621" s="29" t="s">
        <v>3485</v>
      </c>
      <c r="U621" s="29"/>
      <c r="V621" s="178">
        <v>0</v>
      </c>
      <c r="W621" s="35"/>
      <c r="X621" s="192">
        <v>44927</v>
      </c>
      <c r="Y621" s="192">
        <v>45291</v>
      </c>
      <c r="Z621" s="42" t="s">
        <v>3486</v>
      </c>
      <c r="AA621" s="238">
        <v>0</v>
      </c>
      <c r="AB621" s="239">
        <v>0</v>
      </c>
      <c r="AC621" s="178">
        <f t="shared" si="33"/>
        <v>0</v>
      </c>
    </row>
    <row r="622" spans="1:29" s="2" customFormat="1" ht="15" customHeight="1">
      <c r="A622" s="5" t="s">
        <v>28</v>
      </c>
      <c r="B622" s="6" t="s">
        <v>1732</v>
      </c>
      <c r="C622" s="7" t="s">
        <v>30</v>
      </c>
      <c r="D622" s="7" t="s">
        <v>1748</v>
      </c>
      <c r="E622" s="5" t="s">
        <v>293</v>
      </c>
      <c r="F622" s="5" t="s">
        <v>3482</v>
      </c>
      <c r="G622" s="5" t="s">
        <v>34</v>
      </c>
      <c r="H622" s="11" t="s">
        <v>3483</v>
      </c>
      <c r="I622" s="11" t="str">
        <f>VLOOKUP(H622,合同高级查询数据!$A$2:$A$51,1,FALSE)</f>
        <v>182315IDC00206</v>
      </c>
      <c r="J622" s="14" t="s">
        <v>3327</v>
      </c>
      <c r="K622" s="5" t="s">
        <v>3357</v>
      </c>
      <c r="L622" s="11" t="s">
        <v>3487</v>
      </c>
      <c r="M622" s="5"/>
      <c r="N622" s="19">
        <v>44197</v>
      </c>
      <c r="O622" s="5"/>
      <c r="P622" s="26">
        <v>2800</v>
      </c>
      <c r="Q622" s="140">
        <v>0</v>
      </c>
      <c r="R622" s="27">
        <f t="shared" si="35"/>
        <v>0</v>
      </c>
      <c r="S622" s="28">
        <v>202306</v>
      </c>
      <c r="T622" s="29" t="s">
        <v>3488</v>
      </c>
      <c r="U622" s="29"/>
      <c r="V622" s="178">
        <v>0</v>
      </c>
      <c r="W622" s="35"/>
      <c r="X622" s="192">
        <v>44927</v>
      </c>
      <c r="Y622" s="192">
        <v>45291</v>
      </c>
      <c r="Z622" s="42" t="s">
        <v>3489</v>
      </c>
      <c r="AA622" s="238">
        <v>0</v>
      </c>
      <c r="AB622" s="239">
        <v>0</v>
      </c>
      <c r="AC622" s="178">
        <f t="shared" si="33"/>
        <v>0</v>
      </c>
    </row>
    <row r="623" spans="1:29" s="2" customFormat="1" ht="15" customHeight="1">
      <c r="A623" s="5" t="s">
        <v>28</v>
      </c>
      <c r="B623" s="6" t="s">
        <v>1732</v>
      </c>
      <c r="C623" s="7" t="s">
        <v>30</v>
      </c>
      <c r="D623" s="7" t="s">
        <v>1748</v>
      </c>
      <c r="E623" s="5" t="s">
        <v>293</v>
      </c>
      <c r="F623" s="5" t="s">
        <v>3482</v>
      </c>
      <c r="G623" s="5" t="s">
        <v>34</v>
      </c>
      <c r="H623" s="11" t="s">
        <v>3483</v>
      </c>
      <c r="I623" s="11" t="str">
        <f>VLOOKUP(H623,合同高级查询数据!$A$2:$A$51,1,FALSE)</f>
        <v>182315IDC00206</v>
      </c>
      <c r="J623" s="14" t="s">
        <v>3327</v>
      </c>
      <c r="K623" s="5" t="s">
        <v>3354</v>
      </c>
      <c r="L623" s="11" t="s">
        <v>3490</v>
      </c>
      <c r="M623" s="5"/>
      <c r="N623" s="19">
        <v>44197</v>
      </c>
      <c r="O623" s="5"/>
      <c r="P623" s="26">
        <v>3400</v>
      </c>
      <c r="Q623" s="140">
        <v>123.108</v>
      </c>
      <c r="R623" s="27">
        <f t="shared" si="35"/>
        <v>418567.2</v>
      </c>
      <c r="S623" s="28">
        <v>202306</v>
      </c>
      <c r="T623" s="29" t="s">
        <v>3491</v>
      </c>
      <c r="U623" s="29"/>
      <c r="V623" s="242">
        <v>123.1073638</v>
      </c>
      <c r="W623" s="35"/>
      <c r="X623" s="192">
        <v>44927</v>
      </c>
      <c r="Y623" s="192">
        <v>45291</v>
      </c>
      <c r="Z623" s="42" t="s">
        <v>3492</v>
      </c>
      <c r="AA623" s="238">
        <v>0</v>
      </c>
      <c r="AB623" s="239">
        <v>0</v>
      </c>
      <c r="AC623" s="178">
        <f t="shared" si="33"/>
        <v>0</v>
      </c>
    </row>
    <row r="624" spans="1:29" s="2" customFormat="1" ht="15" customHeight="1">
      <c r="A624" s="5" t="s">
        <v>28</v>
      </c>
      <c r="B624" s="6" t="s">
        <v>1732</v>
      </c>
      <c r="C624" s="7" t="s">
        <v>30</v>
      </c>
      <c r="D624" s="7" t="s">
        <v>1748</v>
      </c>
      <c r="E624" s="5" t="s">
        <v>293</v>
      </c>
      <c r="F624" s="5" t="s">
        <v>3482</v>
      </c>
      <c r="G624" s="5" t="s">
        <v>34</v>
      </c>
      <c r="H624" s="11" t="s">
        <v>3483</v>
      </c>
      <c r="I624" s="11" t="str">
        <f>VLOOKUP(H624,合同高级查询数据!$A$2:$A$51,1,FALSE)</f>
        <v>182315IDC00206</v>
      </c>
      <c r="J624" s="14" t="s">
        <v>3466</v>
      </c>
      <c r="K624" s="5" t="s">
        <v>3493</v>
      </c>
      <c r="L624" s="11"/>
      <c r="M624" s="5"/>
      <c r="N624" s="19">
        <v>44197</v>
      </c>
      <c r="O624" s="5"/>
      <c r="P624" s="26">
        <v>0.02</v>
      </c>
      <c r="Q624" s="140">
        <v>0</v>
      </c>
      <c r="R624" s="27">
        <f t="shared" si="35"/>
        <v>0</v>
      </c>
      <c r="S624" s="28">
        <v>202306</v>
      </c>
      <c r="T624" s="29" t="s">
        <v>3494</v>
      </c>
      <c r="U624" s="29"/>
      <c r="V624" s="178">
        <v>0</v>
      </c>
      <c r="W624" s="35"/>
      <c r="X624" s="192">
        <v>44927</v>
      </c>
      <c r="Y624" s="192">
        <v>45291</v>
      </c>
      <c r="Z624" s="178">
        <v>0</v>
      </c>
      <c r="AA624" s="238">
        <v>0</v>
      </c>
      <c r="AB624" s="239">
        <v>0</v>
      </c>
      <c r="AC624" s="178">
        <f t="shared" si="33"/>
        <v>0</v>
      </c>
    </row>
    <row r="625" spans="1:29" s="2" customFormat="1" ht="15" customHeight="1">
      <c r="A625" s="5" t="s">
        <v>28</v>
      </c>
      <c r="B625" s="6" t="s">
        <v>1732</v>
      </c>
      <c r="C625" s="7" t="s">
        <v>30</v>
      </c>
      <c r="D625" s="7" t="s">
        <v>1748</v>
      </c>
      <c r="E625" s="5" t="s">
        <v>293</v>
      </c>
      <c r="F625" s="5" t="s">
        <v>3482</v>
      </c>
      <c r="G625" s="5" t="s">
        <v>34</v>
      </c>
      <c r="H625" s="11" t="s">
        <v>3495</v>
      </c>
      <c r="I625" s="11" t="e">
        <f>VLOOKUP(H625,合同高级查询数据!$A$2:$A$51,1,FALSE)</f>
        <v>#N/A</v>
      </c>
      <c r="J625" s="14" t="s">
        <v>3466</v>
      </c>
      <c r="K625" s="5" t="s">
        <v>3493</v>
      </c>
      <c r="L625" s="11"/>
      <c r="M625" s="5"/>
      <c r="N625" s="19">
        <v>44197</v>
      </c>
      <c r="O625" s="5"/>
      <c r="P625" s="26">
        <v>0.02</v>
      </c>
      <c r="Q625" s="140">
        <v>0</v>
      </c>
      <c r="R625" s="27">
        <f t="shared" si="35"/>
        <v>0</v>
      </c>
      <c r="S625" s="28">
        <v>202306</v>
      </c>
      <c r="T625" s="29" t="s">
        <v>3496</v>
      </c>
      <c r="U625" s="29"/>
      <c r="V625" s="178">
        <v>0</v>
      </c>
      <c r="W625" s="35"/>
      <c r="X625" s="36">
        <v>44562</v>
      </c>
      <c r="Y625" s="36">
        <v>44926</v>
      </c>
      <c r="Z625" s="178">
        <v>0</v>
      </c>
      <c r="AA625" s="238">
        <v>0</v>
      </c>
      <c r="AB625" s="239">
        <v>0</v>
      </c>
      <c r="AC625" s="178">
        <f t="shared" si="33"/>
        <v>0</v>
      </c>
    </row>
    <row r="626" spans="1:29" s="3" customFormat="1" ht="15" customHeight="1">
      <c r="A626" s="65" t="s">
        <v>28</v>
      </c>
      <c r="B626" s="85" t="s">
        <v>1732</v>
      </c>
      <c r="C626" s="86" t="s">
        <v>30</v>
      </c>
      <c r="D626" s="86" t="s">
        <v>1748</v>
      </c>
      <c r="E626" s="65" t="s">
        <v>3497</v>
      </c>
      <c r="F626" s="65" t="s">
        <v>3498</v>
      </c>
      <c r="G626" s="65" t="s">
        <v>34</v>
      </c>
      <c r="H626" s="53" t="s">
        <v>3499</v>
      </c>
      <c r="I626" s="53" t="e">
        <f>VLOOKUP(H626,合同高级查询数据!$A$2:$A$51,1,FALSE)</f>
        <v>#N/A</v>
      </c>
      <c r="J626" s="88" t="s">
        <v>3363</v>
      </c>
      <c r="K626" s="65" t="s">
        <v>3500</v>
      </c>
      <c r="L626" s="53" t="s">
        <v>3501</v>
      </c>
      <c r="M626" s="65"/>
      <c r="N626" s="89">
        <v>44706</v>
      </c>
      <c r="O626" s="65"/>
      <c r="P626" s="98">
        <v>2350</v>
      </c>
      <c r="Q626" s="99">
        <v>0</v>
      </c>
      <c r="R626" s="58">
        <f t="shared" si="35"/>
        <v>0</v>
      </c>
      <c r="S626" s="59">
        <v>202306</v>
      </c>
      <c r="T626" s="97" t="s">
        <v>3502</v>
      </c>
      <c r="U626" s="97"/>
      <c r="V626" s="196">
        <v>0</v>
      </c>
      <c r="W626" s="103"/>
      <c r="X626" s="64"/>
      <c r="Y626" s="64"/>
      <c r="Z626" s="107" t="s">
        <v>3503</v>
      </c>
      <c r="AA626" s="236">
        <v>0</v>
      </c>
      <c r="AB626" s="237">
        <v>0</v>
      </c>
      <c r="AC626" s="196">
        <f t="shared" si="33"/>
        <v>0</v>
      </c>
    </row>
    <row r="627" spans="1:29" s="3" customFormat="1" ht="15" customHeight="1">
      <c r="A627" s="65" t="s">
        <v>28</v>
      </c>
      <c r="B627" s="85" t="s">
        <v>1732</v>
      </c>
      <c r="C627" s="86" t="s">
        <v>30</v>
      </c>
      <c r="D627" s="86" t="s">
        <v>1748</v>
      </c>
      <c r="E627" s="65" t="s">
        <v>3497</v>
      </c>
      <c r="F627" s="65" t="s">
        <v>3498</v>
      </c>
      <c r="G627" s="65" t="s">
        <v>34</v>
      </c>
      <c r="H627" s="53" t="s">
        <v>3499</v>
      </c>
      <c r="I627" s="53" t="e">
        <f>VLOOKUP(H627,合同高级查询数据!$A$2:$A$51,1,FALSE)</f>
        <v>#N/A</v>
      </c>
      <c r="J627" s="88" t="s">
        <v>3363</v>
      </c>
      <c r="K627" s="65" t="s">
        <v>3500</v>
      </c>
      <c r="L627" s="53" t="s">
        <v>3504</v>
      </c>
      <c r="M627" s="65"/>
      <c r="N627" s="89">
        <v>44706</v>
      </c>
      <c r="O627" s="65"/>
      <c r="P627" s="98">
        <v>3050</v>
      </c>
      <c r="Q627" s="99">
        <v>0</v>
      </c>
      <c r="R627" s="58">
        <f t="shared" si="35"/>
        <v>0</v>
      </c>
      <c r="S627" s="59">
        <v>202306</v>
      </c>
      <c r="T627" s="97" t="s">
        <v>3502</v>
      </c>
      <c r="U627" s="97"/>
      <c r="V627" s="196">
        <v>0</v>
      </c>
      <c r="W627" s="103"/>
      <c r="X627" s="64"/>
      <c r="Y627" s="64"/>
      <c r="Z627" s="107" t="s">
        <v>3505</v>
      </c>
      <c r="AA627" s="236">
        <v>0</v>
      </c>
      <c r="AB627" s="237">
        <v>0</v>
      </c>
      <c r="AC627" s="196">
        <f t="shared" si="33"/>
        <v>0</v>
      </c>
    </row>
    <row r="628" spans="1:29" s="2" customFormat="1" ht="15" customHeight="1">
      <c r="A628" s="5" t="s">
        <v>28</v>
      </c>
      <c r="B628" s="6" t="s">
        <v>1732</v>
      </c>
      <c r="C628" s="7" t="s">
        <v>30</v>
      </c>
      <c r="D628" s="7" t="s">
        <v>1748</v>
      </c>
      <c r="E628" s="5" t="s">
        <v>3506</v>
      </c>
      <c r="F628" s="5" t="s">
        <v>3507</v>
      </c>
      <c r="G628" s="5" t="s">
        <v>34</v>
      </c>
      <c r="H628" s="11" t="s">
        <v>3508</v>
      </c>
      <c r="I628" s="11" t="e">
        <f>VLOOKUP(H628,合同高级查询数据!$A$2:$A$51,1,FALSE)</f>
        <v>#N/A</v>
      </c>
      <c r="J628" s="14" t="s">
        <v>3327</v>
      </c>
      <c r="K628" s="5" t="s">
        <v>3509</v>
      </c>
      <c r="L628" s="11" t="s">
        <v>3509</v>
      </c>
      <c r="M628" s="5"/>
      <c r="N628" s="19">
        <v>44652</v>
      </c>
      <c r="O628" s="5"/>
      <c r="P628" s="26">
        <v>2300</v>
      </c>
      <c r="Q628" s="140">
        <v>21.111999999999998</v>
      </c>
      <c r="R628" s="27">
        <f t="shared" si="35"/>
        <v>48557.599999999999</v>
      </c>
      <c r="S628" s="28">
        <v>202306</v>
      </c>
      <c r="T628" s="29" t="s">
        <v>3510</v>
      </c>
      <c r="U628" s="29"/>
      <c r="V628" s="242">
        <v>21.111557635</v>
      </c>
      <c r="W628" s="35"/>
      <c r="X628" s="36">
        <v>45017</v>
      </c>
      <c r="Y628" s="36">
        <v>45382</v>
      </c>
      <c r="Z628" s="42" t="s">
        <v>3511</v>
      </c>
      <c r="AA628" s="238">
        <v>0</v>
      </c>
      <c r="AB628" s="239">
        <v>0</v>
      </c>
      <c r="AC628" s="178">
        <f t="shared" si="33"/>
        <v>0</v>
      </c>
    </row>
    <row r="629" spans="1:29" s="2" customFormat="1" ht="15" customHeight="1">
      <c r="A629" s="5" t="s">
        <v>28</v>
      </c>
      <c r="B629" s="6" t="s">
        <v>1732</v>
      </c>
      <c r="C629" s="7" t="s">
        <v>30</v>
      </c>
      <c r="D629" s="7" t="s">
        <v>1748</v>
      </c>
      <c r="E629" s="5" t="s">
        <v>3506</v>
      </c>
      <c r="F629" s="5" t="s">
        <v>3507</v>
      </c>
      <c r="G629" s="5" t="s">
        <v>34</v>
      </c>
      <c r="H629" s="11" t="s">
        <v>3508</v>
      </c>
      <c r="I629" s="11" t="e">
        <f>VLOOKUP(H629,合同高级查询数据!$A$2:$A$51,1,FALSE)</f>
        <v>#N/A</v>
      </c>
      <c r="J629" s="14" t="s">
        <v>3327</v>
      </c>
      <c r="K629" s="5" t="s">
        <v>3512</v>
      </c>
      <c r="L629" s="11" t="s">
        <v>3512</v>
      </c>
      <c r="M629" s="5"/>
      <c r="N629" s="19">
        <v>44652</v>
      </c>
      <c r="O629" s="5"/>
      <c r="P629" s="26">
        <v>3300</v>
      </c>
      <c r="Q629" s="140">
        <v>130.70599999999999</v>
      </c>
      <c r="R629" s="27">
        <f t="shared" si="35"/>
        <v>431329.8</v>
      </c>
      <c r="S629" s="28">
        <v>202306</v>
      </c>
      <c r="T629" s="29" t="s">
        <v>3513</v>
      </c>
      <c r="U629" s="29"/>
      <c r="V629" s="242">
        <v>130.70536582400001</v>
      </c>
      <c r="W629" s="35"/>
      <c r="X629" s="36">
        <v>45017</v>
      </c>
      <c r="Y629" s="36">
        <v>45382</v>
      </c>
      <c r="Z629" s="42" t="s">
        <v>3514</v>
      </c>
      <c r="AA629" s="238">
        <v>0</v>
      </c>
      <c r="AB629" s="239">
        <v>0</v>
      </c>
      <c r="AC629" s="178">
        <f t="shared" si="33"/>
        <v>0</v>
      </c>
    </row>
    <row r="630" spans="1:29" s="3" customFormat="1" ht="15" customHeight="1">
      <c r="A630" s="65" t="s">
        <v>28</v>
      </c>
      <c r="B630" s="85" t="s">
        <v>1732</v>
      </c>
      <c r="C630" s="86" t="s">
        <v>30</v>
      </c>
      <c r="D630" s="86" t="s">
        <v>1748</v>
      </c>
      <c r="E630" s="65" t="s">
        <v>3506</v>
      </c>
      <c r="F630" s="65" t="s">
        <v>3507</v>
      </c>
      <c r="G630" s="65" t="s">
        <v>34</v>
      </c>
      <c r="H630" s="53" t="s">
        <v>3515</v>
      </c>
      <c r="I630" s="53" t="e">
        <f>VLOOKUP(H630,合同高级查询数据!$A$2:$A$51,1,FALSE)</f>
        <v>#N/A</v>
      </c>
      <c r="J630" s="88" t="s">
        <v>3327</v>
      </c>
      <c r="K630" s="65" t="s">
        <v>3344</v>
      </c>
      <c r="L630" s="53" t="s">
        <v>3516</v>
      </c>
      <c r="M630" s="65"/>
      <c r="N630" s="89">
        <v>45078</v>
      </c>
      <c r="O630" s="65"/>
      <c r="P630" s="98">
        <v>3000</v>
      </c>
      <c r="Q630" s="99">
        <v>3.7</v>
      </c>
      <c r="R630" s="58">
        <f t="shared" si="35"/>
        <v>11100</v>
      </c>
      <c r="S630" s="59">
        <v>202306</v>
      </c>
      <c r="T630" s="97" t="s">
        <v>3517</v>
      </c>
      <c r="U630" s="97"/>
      <c r="V630" s="241">
        <v>3.6998251359999998</v>
      </c>
      <c r="W630" s="103"/>
      <c r="X630" s="64"/>
      <c r="Y630" s="64"/>
      <c r="Z630" s="107" t="s">
        <v>3518</v>
      </c>
      <c r="AA630" s="236"/>
      <c r="AB630" s="237"/>
      <c r="AC630" s="196"/>
    </row>
    <row r="631" spans="1:29" s="3" customFormat="1" ht="15" customHeight="1">
      <c r="A631" s="65" t="s">
        <v>28</v>
      </c>
      <c r="B631" s="85" t="s">
        <v>1732</v>
      </c>
      <c r="C631" s="86" t="s">
        <v>30</v>
      </c>
      <c r="D631" s="86" t="s">
        <v>1748</v>
      </c>
      <c r="E631" s="65" t="s">
        <v>3506</v>
      </c>
      <c r="F631" s="65" t="s">
        <v>3507</v>
      </c>
      <c r="G631" s="65" t="s">
        <v>34</v>
      </c>
      <c r="H631" s="53" t="s">
        <v>3515</v>
      </c>
      <c r="I631" s="53" t="e">
        <f>VLOOKUP(H631,合同高级查询数据!$A$2:$A$51,1,FALSE)</f>
        <v>#N/A</v>
      </c>
      <c r="J631" s="88" t="s">
        <v>3327</v>
      </c>
      <c r="K631" s="65" t="s">
        <v>3348</v>
      </c>
      <c r="L631" s="53" t="s">
        <v>3519</v>
      </c>
      <c r="M631" s="65"/>
      <c r="N631" s="89">
        <v>45078</v>
      </c>
      <c r="O631" s="65"/>
      <c r="P631" s="98">
        <v>3800</v>
      </c>
      <c r="Q631" s="99">
        <v>8.7560000000000002</v>
      </c>
      <c r="R631" s="58">
        <f t="shared" si="35"/>
        <v>33272.800000000003</v>
      </c>
      <c r="S631" s="59">
        <v>202306</v>
      </c>
      <c r="T631" s="97" t="s">
        <v>3520</v>
      </c>
      <c r="U631" s="97"/>
      <c r="V631" s="241">
        <v>8.7559149349999998</v>
      </c>
      <c r="W631" s="103"/>
      <c r="X631" s="64"/>
      <c r="Y631" s="64"/>
      <c r="Z631" s="107" t="s">
        <v>3521</v>
      </c>
      <c r="AA631" s="236"/>
      <c r="AB631" s="237"/>
      <c r="AC631" s="196"/>
    </row>
    <row r="632" spans="1:29" s="2" customFormat="1" ht="15" customHeight="1">
      <c r="A632" s="5" t="s">
        <v>28</v>
      </c>
      <c r="B632" s="6" t="s">
        <v>1732</v>
      </c>
      <c r="C632" s="7" t="s">
        <v>30</v>
      </c>
      <c r="D632" s="7" t="s">
        <v>1748</v>
      </c>
      <c r="E632" s="5" t="s">
        <v>317</v>
      </c>
      <c r="F632" s="5" t="s">
        <v>318</v>
      </c>
      <c r="G632" s="5" t="s">
        <v>34</v>
      </c>
      <c r="H632" s="11" t="s">
        <v>3522</v>
      </c>
      <c r="I632" s="11" t="e">
        <f>VLOOKUP(H632,合同高级查询数据!$A$2:$A$51,1,FALSE)</f>
        <v>#N/A</v>
      </c>
      <c r="J632" s="14" t="s">
        <v>3363</v>
      </c>
      <c r="K632" s="5"/>
      <c r="L632" s="11" t="s">
        <v>3523</v>
      </c>
      <c r="M632" s="5"/>
      <c r="N632" s="19">
        <v>44866</v>
      </c>
      <c r="O632" s="5"/>
      <c r="P632" s="26">
        <v>2300</v>
      </c>
      <c r="Q632" s="140">
        <v>192.352</v>
      </c>
      <c r="R632" s="27">
        <f t="shared" si="35"/>
        <v>442409.6</v>
      </c>
      <c r="S632" s="28">
        <v>202306</v>
      </c>
      <c r="T632" s="29" t="s">
        <v>3478</v>
      </c>
      <c r="U632" s="29"/>
      <c r="V632" s="242">
        <v>192.35116577100001</v>
      </c>
      <c r="W632" s="35"/>
      <c r="X632" s="36">
        <v>44896</v>
      </c>
      <c r="Y632" s="36">
        <v>45260</v>
      </c>
      <c r="Z632" s="42" t="s">
        <v>3524</v>
      </c>
      <c r="AA632" s="238">
        <v>0</v>
      </c>
      <c r="AB632" s="239">
        <v>0</v>
      </c>
      <c r="AC632" s="178">
        <f t="shared" si="33"/>
        <v>0</v>
      </c>
    </row>
    <row r="633" spans="1:29" s="2" customFormat="1" ht="15" customHeight="1">
      <c r="A633" s="5" t="s">
        <v>28</v>
      </c>
      <c r="B633" s="6" t="s">
        <v>1732</v>
      </c>
      <c r="C633" s="7" t="s">
        <v>30</v>
      </c>
      <c r="D633" s="7" t="s">
        <v>1748</v>
      </c>
      <c r="E633" s="5" t="s">
        <v>317</v>
      </c>
      <c r="F633" s="5" t="s">
        <v>318</v>
      </c>
      <c r="G633" s="5" t="s">
        <v>34</v>
      </c>
      <c r="H633" s="11" t="s">
        <v>3522</v>
      </c>
      <c r="I633" s="11" t="e">
        <f>VLOOKUP(H633,合同高级查询数据!$A$2:$A$51,1,FALSE)</f>
        <v>#N/A</v>
      </c>
      <c r="J633" s="14" t="s">
        <v>3363</v>
      </c>
      <c r="K633" s="5"/>
      <c r="L633" s="11" t="s">
        <v>3525</v>
      </c>
      <c r="M633" s="5"/>
      <c r="N633" s="19">
        <v>44866</v>
      </c>
      <c r="O633" s="5"/>
      <c r="P633" s="26">
        <v>3300</v>
      </c>
      <c r="Q633" s="140">
        <v>241.23500000000001</v>
      </c>
      <c r="R633" s="27">
        <f t="shared" si="35"/>
        <v>796075.5</v>
      </c>
      <c r="S633" s="28">
        <v>202306</v>
      </c>
      <c r="T633" s="29" t="s">
        <v>3478</v>
      </c>
      <c r="U633" s="29"/>
      <c r="V633" s="242">
        <v>241.23477172899999</v>
      </c>
      <c r="W633" s="35"/>
      <c r="X633" s="36">
        <v>44896</v>
      </c>
      <c r="Y633" s="36">
        <v>45260</v>
      </c>
      <c r="Z633" s="42" t="s">
        <v>3526</v>
      </c>
      <c r="AA633" s="238">
        <v>0</v>
      </c>
      <c r="AB633" s="239">
        <v>0</v>
      </c>
      <c r="AC633" s="178">
        <f t="shared" si="33"/>
        <v>0</v>
      </c>
    </row>
    <row r="634" spans="1:29" s="3" customFormat="1" ht="15" customHeight="1">
      <c r="A634" s="65" t="s">
        <v>28</v>
      </c>
      <c r="B634" s="85" t="s">
        <v>1732</v>
      </c>
      <c r="C634" s="86" t="s">
        <v>30</v>
      </c>
      <c r="D634" s="86" t="s">
        <v>1748</v>
      </c>
      <c r="E634" s="65" t="s">
        <v>317</v>
      </c>
      <c r="F634" s="65" t="s">
        <v>318</v>
      </c>
      <c r="G634" s="65" t="s">
        <v>34</v>
      </c>
      <c r="H634" s="53" t="s">
        <v>3527</v>
      </c>
      <c r="I634" s="53" t="e">
        <f>VLOOKUP(H634,合同高级查询数据!$A$2:$A$51,1,FALSE)</f>
        <v>#N/A</v>
      </c>
      <c r="J634" s="88" t="s">
        <v>3327</v>
      </c>
      <c r="K634" s="65" t="s">
        <v>3528</v>
      </c>
      <c r="L634" s="53" t="s">
        <v>3529</v>
      </c>
      <c r="M634" s="65"/>
      <c r="N634" s="89">
        <v>44986</v>
      </c>
      <c r="O634" s="65"/>
      <c r="P634" s="98">
        <v>2200</v>
      </c>
      <c r="Q634" s="99">
        <v>4.4089999999999998</v>
      </c>
      <c r="R634" s="58">
        <f t="shared" si="35"/>
        <v>9699.7999999999993</v>
      </c>
      <c r="S634" s="59">
        <v>202306</v>
      </c>
      <c r="T634" s="97" t="s">
        <v>3530</v>
      </c>
      <c r="U634" s="97"/>
      <c r="V634" s="241">
        <v>4.4089719369999996</v>
      </c>
      <c r="W634" s="103"/>
      <c r="X634" s="64"/>
      <c r="Y634" s="64"/>
      <c r="Z634" s="107" t="s">
        <v>3531</v>
      </c>
      <c r="AA634" s="236">
        <v>0</v>
      </c>
      <c r="AB634" s="237">
        <v>0</v>
      </c>
      <c r="AC634" s="196">
        <f t="shared" si="33"/>
        <v>0</v>
      </c>
    </row>
    <row r="635" spans="1:29" s="3" customFormat="1" ht="15" customHeight="1">
      <c r="A635" s="65" t="s">
        <v>28</v>
      </c>
      <c r="B635" s="85" t="s">
        <v>1732</v>
      </c>
      <c r="C635" s="86" t="s">
        <v>30</v>
      </c>
      <c r="D635" s="86" t="s">
        <v>1748</v>
      </c>
      <c r="E635" s="65" t="s">
        <v>317</v>
      </c>
      <c r="F635" s="65" t="s">
        <v>318</v>
      </c>
      <c r="G635" s="65" t="s">
        <v>34</v>
      </c>
      <c r="H635" s="53" t="s">
        <v>3527</v>
      </c>
      <c r="I635" s="53" t="e">
        <f>VLOOKUP(H635,合同高级查询数据!$A$2:$A$51,1,FALSE)</f>
        <v>#N/A</v>
      </c>
      <c r="J635" s="88" t="s">
        <v>3327</v>
      </c>
      <c r="K635" s="65" t="s">
        <v>3528</v>
      </c>
      <c r="L635" s="53" t="s">
        <v>3532</v>
      </c>
      <c r="M635" s="65"/>
      <c r="N635" s="89">
        <v>44986</v>
      </c>
      <c r="O635" s="65"/>
      <c r="P635" s="98">
        <v>3200</v>
      </c>
      <c r="Q635" s="99">
        <v>110.69799999999999</v>
      </c>
      <c r="R635" s="58">
        <f t="shared" si="35"/>
        <v>354233.59999999998</v>
      </c>
      <c r="S635" s="59">
        <v>202306</v>
      </c>
      <c r="T635" s="97" t="s">
        <v>3530</v>
      </c>
      <c r="U635" s="97"/>
      <c r="V635" s="241">
        <v>110.69796981899999</v>
      </c>
      <c r="W635" s="103"/>
      <c r="X635" s="64"/>
      <c r="Y635" s="64"/>
      <c r="Z635" s="107" t="s">
        <v>3533</v>
      </c>
      <c r="AA635" s="236">
        <v>0</v>
      </c>
      <c r="AB635" s="237">
        <v>0</v>
      </c>
      <c r="AC635" s="196">
        <f t="shared" si="33"/>
        <v>0</v>
      </c>
    </row>
    <row r="636" spans="1:29" s="3" customFormat="1" ht="15" customHeight="1">
      <c r="A636" s="65" t="s">
        <v>28</v>
      </c>
      <c r="B636" s="85" t="s">
        <v>1732</v>
      </c>
      <c r="C636" s="86" t="s">
        <v>30</v>
      </c>
      <c r="D636" s="86" t="s">
        <v>1748</v>
      </c>
      <c r="E636" s="65" t="s">
        <v>317</v>
      </c>
      <c r="F636" s="65" t="s">
        <v>318</v>
      </c>
      <c r="G636" s="65" t="s">
        <v>34</v>
      </c>
      <c r="H636" s="53" t="s">
        <v>3534</v>
      </c>
      <c r="I636" s="53" t="e">
        <f>VLOOKUP(H636,合同高级查询数据!$A$2:$A$51,1,FALSE)</f>
        <v>#N/A</v>
      </c>
      <c r="J636" s="88" t="s">
        <v>3327</v>
      </c>
      <c r="K636" s="65" t="s">
        <v>3535</v>
      </c>
      <c r="L636" s="53" t="s">
        <v>3536</v>
      </c>
      <c r="M636" s="65"/>
      <c r="N636" s="89">
        <v>45078</v>
      </c>
      <c r="O636" s="65"/>
      <c r="P636" s="98">
        <v>3050</v>
      </c>
      <c r="Q636" s="99">
        <v>39.768999999999998</v>
      </c>
      <c r="R636" s="58">
        <f t="shared" si="35"/>
        <v>121295.45</v>
      </c>
      <c r="S636" s="59">
        <v>202306</v>
      </c>
      <c r="T636" s="97" t="s">
        <v>3537</v>
      </c>
      <c r="U636" s="97"/>
      <c r="V636" s="241">
        <v>39.768310546999999</v>
      </c>
      <c r="W636" s="103"/>
      <c r="X636" s="64"/>
      <c r="Y636" s="64"/>
      <c r="Z636" s="107" t="s">
        <v>3538</v>
      </c>
      <c r="AA636" s="236"/>
      <c r="AB636" s="237"/>
      <c r="AC636" s="196"/>
    </row>
    <row r="637" spans="1:29" s="3" customFormat="1" ht="15" customHeight="1">
      <c r="A637" s="65" t="s">
        <v>28</v>
      </c>
      <c r="B637" s="85" t="s">
        <v>1732</v>
      </c>
      <c r="C637" s="86" t="s">
        <v>30</v>
      </c>
      <c r="D637" s="86" t="s">
        <v>1748</v>
      </c>
      <c r="E637" s="65" t="s">
        <v>317</v>
      </c>
      <c r="F637" s="65" t="s">
        <v>318</v>
      </c>
      <c r="G637" s="65" t="s">
        <v>34</v>
      </c>
      <c r="H637" s="53" t="s">
        <v>3534</v>
      </c>
      <c r="I637" s="53" t="e">
        <f>VLOOKUP(H637,合同高级查询数据!$A$2:$A$51,1,FALSE)</f>
        <v>#N/A</v>
      </c>
      <c r="J637" s="88" t="s">
        <v>3327</v>
      </c>
      <c r="K637" s="65" t="s">
        <v>3539</v>
      </c>
      <c r="L637" s="53" t="s">
        <v>3540</v>
      </c>
      <c r="M637" s="65"/>
      <c r="N637" s="89">
        <v>45078</v>
      </c>
      <c r="O637" s="65"/>
      <c r="P637" s="98">
        <v>4000</v>
      </c>
      <c r="Q637" s="99">
        <v>0.64</v>
      </c>
      <c r="R637" s="58">
        <f t="shared" si="35"/>
        <v>2560</v>
      </c>
      <c r="S637" s="59">
        <v>202306</v>
      </c>
      <c r="T637" s="97" t="s">
        <v>3541</v>
      </c>
      <c r="U637" s="97"/>
      <c r="V637" s="241">
        <v>0.63942062899999996</v>
      </c>
      <c r="W637" s="103"/>
      <c r="X637" s="64"/>
      <c r="Y637" s="64"/>
      <c r="Z637" s="107" t="s">
        <v>3542</v>
      </c>
      <c r="AA637" s="236"/>
      <c r="AB637" s="237"/>
      <c r="AC637" s="196"/>
    </row>
    <row r="638" spans="1:29" s="2" customFormat="1" ht="15" customHeight="1">
      <c r="A638" s="5" t="s">
        <v>28</v>
      </c>
      <c r="B638" s="6" t="s">
        <v>1732</v>
      </c>
      <c r="C638" s="7" t="s">
        <v>30</v>
      </c>
      <c r="D638" s="7" t="s">
        <v>1748</v>
      </c>
      <c r="E638" s="5" t="s">
        <v>3543</v>
      </c>
      <c r="F638" s="5" t="s">
        <v>3544</v>
      </c>
      <c r="G638" s="5" t="s">
        <v>34</v>
      </c>
      <c r="H638" s="11" t="s">
        <v>3545</v>
      </c>
      <c r="I638" s="11" t="str">
        <f>VLOOKUP(H638,合同高级查询数据!$A$2:$A$51,1,FALSE)</f>
        <v>182315IDC00207</v>
      </c>
      <c r="J638" s="14" t="s">
        <v>3327</v>
      </c>
      <c r="K638" s="5" t="s">
        <v>3546</v>
      </c>
      <c r="L638" s="11" t="s">
        <v>3547</v>
      </c>
      <c r="M638" s="5"/>
      <c r="N638" s="19">
        <v>44531</v>
      </c>
      <c r="O638" s="5"/>
      <c r="P638" s="26">
        <v>3300</v>
      </c>
      <c r="Q638" s="140">
        <v>0</v>
      </c>
      <c r="R638" s="27">
        <f t="shared" si="35"/>
        <v>0</v>
      </c>
      <c r="S638" s="28">
        <v>202306</v>
      </c>
      <c r="T638" s="29" t="s">
        <v>3548</v>
      </c>
      <c r="U638" s="29"/>
      <c r="V638" s="178">
        <v>0</v>
      </c>
      <c r="W638" s="35"/>
      <c r="X638" s="192" t="s">
        <v>3549</v>
      </c>
      <c r="Y638" s="192">
        <v>45260</v>
      </c>
      <c r="Z638" s="42" t="s">
        <v>3550</v>
      </c>
      <c r="AA638" s="238">
        <v>0</v>
      </c>
      <c r="AB638" s="239">
        <v>0</v>
      </c>
      <c r="AC638" s="178">
        <f t="shared" ref="AC638:AC666" si="36">AA638*AB638</f>
        <v>0</v>
      </c>
    </row>
    <row r="639" spans="1:29" s="2" customFormat="1" ht="15" customHeight="1">
      <c r="A639" s="5" t="s">
        <v>28</v>
      </c>
      <c r="B639" s="6" t="s">
        <v>1732</v>
      </c>
      <c r="C639" s="7" t="s">
        <v>30</v>
      </c>
      <c r="D639" s="7" t="s">
        <v>1748</v>
      </c>
      <c r="E639" s="5" t="s">
        <v>3543</v>
      </c>
      <c r="F639" s="5" t="s">
        <v>3544</v>
      </c>
      <c r="G639" s="5" t="s">
        <v>34</v>
      </c>
      <c r="H639" s="11" t="s">
        <v>3545</v>
      </c>
      <c r="I639" s="11" t="str">
        <f>VLOOKUP(H639,合同高级查询数据!$A$2:$A$51,1,FALSE)</f>
        <v>182315IDC00207</v>
      </c>
      <c r="J639" s="14" t="s">
        <v>3327</v>
      </c>
      <c r="K639" s="5" t="s">
        <v>3546</v>
      </c>
      <c r="L639" s="11" t="s">
        <v>3551</v>
      </c>
      <c r="M639" s="5"/>
      <c r="N639" s="19">
        <v>44197</v>
      </c>
      <c r="O639" s="5"/>
      <c r="P639" s="26">
        <v>3300</v>
      </c>
      <c r="Q639" s="140">
        <v>162.76300000000001</v>
      </c>
      <c r="R639" s="27">
        <f t="shared" si="35"/>
        <v>537117.9</v>
      </c>
      <c r="S639" s="28">
        <v>202306</v>
      </c>
      <c r="T639" s="29" t="s">
        <v>3552</v>
      </c>
      <c r="U639" s="29"/>
      <c r="V639" s="242">
        <v>162.76260375999999</v>
      </c>
      <c r="W639" s="35"/>
      <c r="X639" s="192" t="s">
        <v>3549</v>
      </c>
      <c r="Y639" s="192">
        <v>45260</v>
      </c>
      <c r="Z639" s="42" t="s">
        <v>3553</v>
      </c>
      <c r="AA639" s="238">
        <v>0</v>
      </c>
      <c r="AB639" s="239">
        <v>0</v>
      </c>
      <c r="AC639" s="178">
        <f t="shared" si="36"/>
        <v>0</v>
      </c>
    </row>
    <row r="640" spans="1:29" s="2" customFormat="1" ht="15" customHeight="1">
      <c r="A640" s="5" t="s">
        <v>28</v>
      </c>
      <c r="B640" s="6" t="s">
        <v>1732</v>
      </c>
      <c r="C640" s="7" t="s">
        <v>30</v>
      </c>
      <c r="D640" s="7" t="s">
        <v>1748</v>
      </c>
      <c r="E640" s="5" t="s">
        <v>3554</v>
      </c>
      <c r="F640" s="5" t="s">
        <v>3544</v>
      </c>
      <c r="G640" s="5" t="s">
        <v>34</v>
      </c>
      <c r="H640" s="11" t="s">
        <v>3555</v>
      </c>
      <c r="I640" s="11" t="e">
        <f>VLOOKUP(H640,合同高级查询数据!$A$2:$A$51,1,FALSE)</f>
        <v>#N/A</v>
      </c>
      <c r="J640" s="14" t="s">
        <v>3327</v>
      </c>
      <c r="K640" s="5" t="s">
        <v>3556</v>
      </c>
      <c r="L640" s="11" t="s">
        <v>3557</v>
      </c>
      <c r="M640" s="5"/>
      <c r="N640" s="19">
        <v>44228</v>
      </c>
      <c r="O640" s="5"/>
      <c r="P640" s="26">
        <v>3100</v>
      </c>
      <c r="Q640" s="140">
        <v>113.96899999999999</v>
      </c>
      <c r="R640" s="27">
        <f t="shared" si="35"/>
        <v>353303.9</v>
      </c>
      <c r="S640" s="28">
        <v>202306</v>
      </c>
      <c r="T640" s="29" t="s">
        <v>3558</v>
      </c>
      <c r="U640" s="29"/>
      <c r="V640" s="242">
        <v>113.968086243</v>
      </c>
      <c r="W640" s="35"/>
      <c r="X640" s="36">
        <v>44927</v>
      </c>
      <c r="Y640" s="36">
        <v>45291</v>
      </c>
      <c r="Z640" s="42" t="s">
        <v>3559</v>
      </c>
      <c r="AA640" s="238">
        <v>0</v>
      </c>
      <c r="AB640" s="239">
        <v>0</v>
      </c>
      <c r="AC640" s="178">
        <f t="shared" si="36"/>
        <v>0</v>
      </c>
    </row>
    <row r="641" spans="1:29" s="2" customFormat="1" ht="15" customHeight="1">
      <c r="A641" s="5" t="s">
        <v>28</v>
      </c>
      <c r="B641" s="6" t="s">
        <v>1732</v>
      </c>
      <c r="C641" s="7" t="s">
        <v>30</v>
      </c>
      <c r="D641" s="7" t="s">
        <v>1748</v>
      </c>
      <c r="E641" s="5" t="s">
        <v>3554</v>
      </c>
      <c r="F641" s="5" t="s">
        <v>3544</v>
      </c>
      <c r="G641" s="5" t="s">
        <v>34</v>
      </c>
      <c r="H641" s="11" t="s">
        <v>3555</v>
      </c>
      <c r="I641" s="11" t="e">
        <f>VLOOKUP(H641,合同高级查询数据!$A$2:$A$51,1,FALSE)</f>
        <v>#N/A</v>
      </c>
      <c r="J641" s="14" t="s">
        <v>3327</v>
      </c>
      <c r="K641" s="5" t="s">
        <v>3560</v>
      </c>
      <c r="L641" s="11" t="s">
        <v>3561</v>
      </c>
      <c r="M641" s="5"/>
      <c r="N641" s="19">
        <v>44228</v>
      </c>
      <c r="O641" s="5"/>
      <c r="P641" s="26">
        <v>2600</v>
      </c>
      <c r="Q641" s="140">
        <v>98.95</v>
      </c>
      <c r="R641" s="27">
        <f t="shared" si="35"/>
        <v>257270</v>
      </c>
      <c r="S641" s="28">
        <v>202306</v>
      </c>
      <c r="T641" s="29" t="s">
        <v>3558</v>
      </c>
      <c r="U641" s="29"/>
      <c r="V641" s="242">
        <v>98.949005127000007</v>
      </c>
      <c r="W641" s="35"/>
      <c r="X641" s="36">
        <v>44927</v>
      </c>
      <c r="Y641" s="36">
        <v>45291</v>
      </c>
      <c r="Z641" s="42" t="s">
        <v>3562</v>
      </c>
      <c r="AA641" s="238">
        <v>0</v>
      </c>
      <c r="AB641" s="239">
        <v>0</v>
      </c>
      <c r="AC641" s="178">
        <f t="shared" si="36"/>
        <v>0</v>
      </c>
    </row>
    <row r="642" spans="1:29" s="2" customFormat="1" ht="15" customHeight="1">
      <c r="A642" s="5" t="s">
        <v>28</v>
      </c>
      <c r="B642" s="6" t="s">
        <v>1732</v>
      </c>
      <c r="C642" s="7" t="s">
        <v>30</v>
      </c>
      <c r="D642" s="7" t="s">
        <v>1748</v>
      </c>
      <c r="E642" s="5" t="s">
        <v>3554</v>
      </c>
      <c r="F642" s="5" t="s">
        <v>3544</v>
      </c>
      <c r="G642" s="5" t="s">
        <v>34</v>
      </c>
      <c r="H642" s="11" t="s">
        <v>3555</v>
      </c>
      <c r="I642" s="11" t="e">
        <f>VLOOKUP(H642,合同高级查询数据!$A$2:$A$51,1,FALSE)</f>
        <v>#N/A</v>
      </c>
      <c r="J642" s="14" t="s">
        <v>3327</v>
      </c>
      <c r="K642" s="5" t="s">
        <v>3563</v>
      </c>
      <c r="L642" s="11" t="s">
        <v>3564</v>
      </c>
      <c r="M642" s="5"/>
      <c r="N642" s="19">
        <v>44197</v>
      </c>
      <c r="O642" s="5"/>
      <c r="P642" s="26">
        <v>2200</v>
      </c>
      <c r="Q642" s="140">
        <v>85.602000000000004</v>
      </c>
      <c r="R642" s="27">
        <f t="shared" si="35"/>
        <v>188324.4</v>
      </c>
      <c r="S642" s="28">
        <v>202306</v>
      </c>
      <c r="T642" s="29" t="s">
        <v>3565</v>
      </c>
      <c r="U642" s="29"/>
      <c r="V642" s="242">
        <v>85.601061873000006</v>
      </c>
      <c r="W642" s="35"/>
      <c r="X642" s="36">
        <v>44927</v>
      </c>
      <c r="Y642" s="36">
        <v>45291</v>
      </c>
      <c r="Z642" s="42" t="s">
        <v>3566</v>
      </c>
      <c r="AA642" s="238">
        <v>0</v>
      </c>
      <c r="AB642" s="239">
        <v>0</v>
      </c>
      <c r="AC642" s="178">
        <f t="shared" si="36"/>
        <v>0</v>
      </c>
    </row>
    <row r="643" spans="1:29" s="2" customFormat="1" ht="15" customHeight="1">
      <c r="A643" s="5" t="s">
        <v>28</v>
      </c>
      <c r="B643" s="6" t="s">
        <v>1732</v>
      </c>
      <c r="C643" s="7" t="s">
        <v>30</v>
      </c>
      <c r="D643" s="7" t="s">
        <v>1748</v>
      </c>
      <c r="E643" s="5" t="s">
        <v>3554</v>
      </c>
      <c r="F643" s="5" t="s">
        <v>3544</v>
      </c>
      <c r="G643" s="5" t="s">
        <v>34</v>
      </c>
      <c r="H643" s="11" t="s">
        <v>3555</v>
      </c>
      <c r="I643" s="11" t="e">
        <f>VLOOKUP(H643,合同高级查询数据!$A$2:$A$51,1,FALSE)</f>
        <v>#N/A</v>
      </c>
      <c r="J643" s="14" t="s">
        <v>3327</v>
      </c>
      <c r="K643" s="5" t="s">
        <v>3563</v>
      </c>
      <c r="L643" s="11" t="s">
        <v>3567</v>
      </c>
      <c r="M643" s="5"/>
      <c r="N643" s="19">
        <v>44197</v>
      </c>
      <c r="O643" s="5"/>
      <c r="P643" s="26">
        <v>2200</v>
      </c>
      <c r="Q643" s="140">
        <v>0</v>
      </c>
      <c r="R643" s="27">
        <f t="shared" si="35"/>
        <v>0</v>
      </c>
      <c r="S643" s="28">
        <v>202306</v>
      </c>
      <c r="T643" s="29" t="s">
        <v>3568</v>
      </c>
      <c r="U643" s="29"/>
      <c r="V643" s="178">
        <v>0</v>
      </c>
      <c r="W643" s="35"/>
      <c r="X643" s="36">
        <v>44927</v>
      </c>
      <c r="Y643" s="36">
        <v>45291</v>
      </c>
      <c r="Z643" s="42" t="s">
        <v>3569</v>
      </c>
      <c r="AA643" s="238">
        <v>0</v>
      </c>
      <c r="AB643" s="239">
        <v>0</v>
      </c>
      <c r="AC643" s="178">
        <f t="shared" si="36"/>
        <v>0</v>
      </c>
    </row>
    <row r="644" spans="1:29" s="2" customFormat="1" ht="15" customHeight="1">
      <c r="A644" s="5" t="s">
        <v>28</v>
      </c>
      <c r="B644" s="6" t="s">
        <v>1732</v>
      </c>
      <c r="C644" s="7" t="s">
        <v>30</v>
      </c>
      <c r="D644" s="7" t="s">
        <v>1748</v>
      </c>
      <c r="E644" s="5" t="s">
        <v>3554</v>
      </c>
      <c r="F644" s="5" t="s">
        <v>3544</v>
      </c>
      <c r="G644" s="5" t="s">
        <v>34</v>
      </c>
      <c r="H644" s="11" t="s">
        <v>3555</v>
      </c>
      <c r="I644" s="11" t="e">
        <f>VLOOKUP(H644,合同高级查询数据!$A$2:$A$51,1,FALSE)</f>
        <v>#N/A</v>
      </c>
      <c r="J644" s="14" t="s">
        <v>3327</v>
      </c>
      <c r="K644" s="5" t="s">
        <v>3570</v>
      </c>
      <c r="L644" s="11" t="s">
        <v>3571</v>
      </c>
      <c r="M644" s="5"/>
      <c r="N644" s="19">
        <v>44197</v>
      </c>
      <c r="O644" s="5"/>
      <c r="P644" s="26">
        <v>3200</v>
      </c>
      <c r="Q644" s="140">
        <v>280.89100000000002</v>
      </c>
      <c r="R644" s="27">
        <f t="shared" si="35"/>
        <v>898851.2</v>
      </c>
      <c r="S644" s="28">
        <v>202306</v>
      </c>
      <c r="T644" s="29" t="s">
        <v>3565</v>
      </c>
      <c r="U644" s="29"/>
      <c r="V644" s="242">
        <v>280.89059150700001</v>
      </c>
      <c r="W644" s="35"/>
      <c r="X644" s="36">
        <v>44927</v>
      </c>
      <c r="Y644" s="36">
        <v>45291</v>
      </c>
      <c r="Z644" s="42" t="s">
        <v>3572</v>
      </c>
      <c r="AA644" s="238">
        <v>0</v>
      </c>
      <c r="AB644" s="239">
        <v>0</v>
      </c>
      <c r="AC644" s="178">
        <f t="shared" si="36"/>
        <v>0</v>
      </c>
    </row>
    <row r="645" spans="1:29" s="3" customFormat="1" ht="15" customHeight="1">
      <c r="A645" s="65" t="s">
        <v>28</v>
      </c>
      <c r="B645" s="85" t="s">
        <v>1732</v>
      </c>
      <c r="C645" s="86" t="s">
        <v>30</v>
      </c>
      <c r="D645" s="86" t="s">
        <v>1748</v>
      </c>
      <c r="E645" s="65" t="s">
        <v>3573</v>
      </c>
      <c r="F645" s="65" t="s">
        <v>3574</v>
      </c>
      <c r="G645" s="65" t="s">
        <v>34</v>
      </c>
      <c r="H645" s="53" t="s">
        <v>3575</v>
      </c>
      <c r="I645" s="53" t="e">
        <f>VLOOKUP(H645,合同高级查询数据!$A$2:$A$51,1,FALSE)</f>
        <v>#N/A</v>
      </c>
      <c r="J645" s="88" t="s">
        <v>3327</v>
      </c>
      <c r="K645" s="65" t="s">
        <v>3576</v>
      </c>
      <c r="L645" s="53" t="s">
        <v>3577</v>
      </c>
      <c r="M645" s="65"/>
      <c r="N645" s="89">
        <v>44713</v>
      </c>
      <c r="O645" s="65"/>
      <c r="P645" s="98">
        <v>2200</v>
      </c>
      <c r="Q645" s="99">
        <v>209.14</v>
      </c>
      <c r="R645" s="58">
        <f t="shared" si="35"/>
        <v>460108</v>
      </c>
      <c r="S645" s="59">
        <v>202306</v>
      </c>
      <c r="T645" s="97" t="s">
        <v>3578</v>
      </c>
      <c r="U645" s="97"/>
      <c r="V645" s="196">
        <v>209.14375305199999</v>
      </c>
      <c r="W645" s="103"/>
      <c r="X645" s="64"/>
      <c r="Y645" s="64"/>
      <c r="Z645" s="107" t="s">
        <v>3579</v>
      </c>
      <c r="AA645" s="236">
        <v>0</v>
      </c>
      <c r="AB645" s="237">
        <v>0</v>
      </c>
      <c r="AC645" s="196">
        <f t="shared" si="36"/>
        <v>0</v>
      </c>
    </row>
    <row r="646" spans="1:29" s="3" customFormat="1" ht="15" customHeight="1">
      <c r="A646" s="65" t="s">
        <v>28</v>
      </c>
      <c r="B646" s="85" t="s">
        <v>1732</v>
      </c>
      <c r="C646" s="86" t="s">
        <v>30</v>
      </c>
      <c r="D646" s="86" t="s">
        <v>1748</v>
      </c>
      <c r="E646" s="65" t="s">
        <v>3573</v>
      </c>
      <c r="F646" s="65" t="s">
        <v>3574</v>
      </c>
      <c r="G646" s="65" t="s">
        <v>34</v>
      </c>
      <c r="H646" s="53" t="s">
        <v>3575</v>
      </c>
      <c r="I646" s="53" t="e">
        <f>VLOOKUP(H646,合同高级查询数据!$A$2:$A$51,1,FALSE)</f>
        <v>#N/A</v>
      </c>
      <c r="J646" s="88" t="s">
        <v>3327</v>
      </c>
      <c r="K646" s="65" t="s">
        <v>3580</v>
      </c>
      <c r="L646" s="53" t="s">
        <v>3581</v>
      </c>
      <c r="M646" s="65"/>
      <c r="N646" s="89">
        <v>44713</v>
      </c>
      <c r="O646" s="65"/>
      <c r="P646" s="98">
        <v>2500</v>
      </c>
      <c r="Q646" s="99">
        <v>404.23</v>
      </c>
      <c r="R646" s="58">
        <f t="shared" si="35"/>
        <v>1010575</v>
      </c>
      <c r="S646" s="59">
        <v>202306</v>
      </c>
      <c r="T646" s="97" t="s">
        <v>3578</v>
      </c>
      <c r="U646" s="97"/>
      <c r="V646" s="196">
        <v>404.22784423799999</v>
      </c>
      <c r="W646" s="103"/>
      <c r="X646" s="64"/>
      <c r="Y646" s="64"/>
      <c r="Z646" s="107" t="s">
        <v>3582</v>
      </c>
      <c r="AA646" s="236">
        <v>0</v>
      </c>
      <c r="AB646" s="237">
        <v>0</v>
      </c>
      <c r="AC646" s="196">
        <f t="shared" si="36"/>
        <v>0</v>
      </c>
    </row>
    <row r="647" spans="1:29" s="2" customFormat="1" ht="15" customHeight="1">
      <c r="A647" s="5" t="s">
        <v>28</v>
      </c>
      <c r="B647" s="6" t="s">
        <v>1732</v>
      </c>
      <c r="C647" s="7" t="s">
        <v>30</v>
      </c>
      <c r="D647" s="7" t="s">
        <v>1748</v>
      </c>
      <c r="E647" s="5" t="s">
        <v>3573</v>
      </c>
      <c r="F647" s="5" t="s">
        <v>3574</v>
      </c>
      <c r="G647" s="5" t="s">
        <v>34</v>
      </c>
      <c r="H647" s="11" t="s">
        <v>3583</v>
      </c>
      <c r="I647" s="11" t="e">
        <f>VLOOKUP(H647,合同高级查询数据!$A$2:$A$51,1,FALSE)</f>
        <v>#N/A</v>
      </c>
      <c r="J647" s="14" t="s">
        <v>3327</v>
      </c>
      <c r="K647" s="5" t="s">
        <v>3584</v>
      </c>
      <c r="L647" s="11" t="s">
        <v>3584</v>
      </c>
      <c r="M647" s="5"/>
      <c r="N647" s="19">
        <v>44743</v>
      </c>
      <c r="O647" s="5"/>
      <c r="P647" s="26">
        <v>0.05</v>
      </c>
      <c r="Q647" s="27">
        <v>3635000</v>
      </c>
      <c r="R647" s="27">
        <f t="shared" si="35"/>
        <v>181750</v>
      </c>
      <c r="S647" s="28">
        <v>202306</v>
      </c>
      <c r="T647" s="29" t="s">
        <v>3585</v>
      </c>
      <c r="U647" s="29"/>
      <c r="V647" s="178">
        <v>3635000</v>
      </c>
      <c r="W647" s="35"/>
      <c r="X647" s="36">
        <v>44743</v>
      </c>
      <c r="Y647" s="36">
        <v>45107</v>
      </c>
      <c r="Z647" s="42" t="s">
        <v>3586</v>
      </c>
      <c r="AA647" s="238">
        <v>0</v>
      </c>
      <c r="AB647" s="239">
        <v>0</v>
      </c>
      <c r="AC647" s="178">
        <f t="shared" si="36"/>
        <v>0</v>
      </c>
    </row>
    <row r="648" spans="1:29" s="3" customFormat="1" ht="15" customHeight="1">
      <c r="A648" s="65" t="s">
        <v>28</v>
      </c>
      <c r="B648" s="85" t="s">
        <v>1732</v>
      </c>
      <c r="C648" s="86" t="s">
        <v>30</v>
      </c>
      <c r="D648" s="86" t="s">
        <v>1748</v>
      </c>
      <c r="E648" s="65" t="s">
        <v>3573</v>
      </c>
      <c r="F648" s="65" t="s">
        <v>3574</v>
      </c>
      <c r="G648" s="65" t="s">
        <v>34</v>
      </c>
      <c r="H648" s="53" t="s">
        <v>3575</v>
      </c>
      <c r="I648" s="53" t="e">
        <f>VLOOKUP(H648,合同高级查询数据!$A$2:$A$51,1,FALSE)</f>
        <v>#N/A</v>
      </c>
      <c r="J648" s="88" t="s">
        <v>3327</v>
      </c>
      <c r="K648" s="65"/>
      <c r="L648" s="53" t="s">
        <v>3587</v>
      </c>
      <c r="M648" s="65"/>
      <c r="N648" s="89">
        <v>44835</v>
      </c>
      <c r="O648" s="65"/>
      <c r="P648" s="98">
        <v>2500</v>
      </c>
      <c r="Q648" s="99">
        <v>80</v>
      </c>
      <c r="R648" s="58">
        <f t="shared" si="35"/>
        <v>200000</v>
      </c>
      <c r="S648" s="59">
        <v>202306</v>
      </c>
      <c r="T648" s="97" t="s">
        <v>3588</v>
      </c>
      <c r="U648" s="97"/>
      <c r="V648" s="196">
        <v>80.002883910999998</v>
      </c>
      <c r="W648" s="103"/>
      <c r="X648" s="64"/>
      <c r="Y648" s="64"/>
      <c r="Z648" s="107" t="s">
        <v>3589</v>
      </c>
      <c r="AA648" s="236"/>
      <c r="AB648" s="237"/>
      <c r="AC648" s="196">
        <f t="shared" si="36"/>
        <v>0</v>
      </c>
    </row>
    <row r="649" spans="1:29" s="3" customFormat="1" ht="15" customHeight="1">
      <c r="A649" s="65" t="s">
        <v>28</v>
      </c>
      <c r="B649" s="85" t="s">
        <v>1732</v>
      </c>
      <c r="C649" s="86" t="s">
        <v>30</v>
      </c>
      <c r="D649" s="86" t="s">
        <v>1748</v>
      </c>
      <c r="E649" s="65" t="s">
        <v>3573</v>
      </c>
      <c r="F649" s="65" t="s">
        <v>3574</v>
      </c>
      <c r="G649" s="65" t="s">
        <v>34</v>
      </c>
      <c r="H649" s="53" t="s">
        <v>3575</v>
      </c>
      <c r="I649" s="53" t="e">
        <f>VLOOKUP(H649,合同高级查询数据!$A$2:$A$51,1,FALSE)</f>
        <v>#N/A</v>
      </c>
      <c r="J649" s="88" t="s">
        <v>3327</v>
      </c>
      <c r="K649" s="65"/>
      <c r="L649" s="53" t="s">
        <v>3590</v>
      </c>
      <c r="M649" s="65"/>
      <c r="N649" s="89">
        <v>44835</v>
      </c>
      <c r="O649" s="65"/>
      <c r="P649" s="98">
        <v>2200</v>
      </c>
      <c r="Q649" s="99">
        <v>39.770000000000003</v>
      </c>
      <c r="R649" s="58">
        <f t="shared" si="35"/>
        <v>87494</v>
      </c>
      <c r="S649" s="59">
        <v>202306</v>
      </c>
      <c r="T649" s="97" t="s">
        <v>3588</v>
      </c>
      <c r="U649" s="97"/>
      <c r="V649" s="196">
        <v>39.766918181999998</v>
      </c>
      <c r="W649" s="103"/>
      <c r="X649" s="64"/>
      <c r="Y649" s="64"/>
      <c r="Z649" s="107" t="s">
        <v>3591</v>
      </c>
      <c r="AA649" s="236"/>
      <c r="AB649" s="237"/>
      <c r="AC649" s="196">
        <f t="shared" si="36"/>
        <v>0</v>
      </c>
    </row>
    <row r="650" spans="1:29" s="3" customFormat="1" ht="15" customHeight="1">
      <c r="A650" s="65" t="s">
        <v>28</v>
      </c>
      <c r="B650" s="85" t="s">
        <v>1732</v>
      </c>
      <c r="C650" s="86" t="s">
        <v>30</v>
      </c>
      <c r="D650" s="86" t="s">
        <v>1748</v>
      </c>
      <c r="E650" s="65" t="s">
        <v>3573</v>
      </c>
      <c r="F650" s="65" t="s">
        <v>3574</v>
      </c>
      <c r="G650" s="65" t="s">
        <v>34</v>
      </c>
      <c r="H650" s="53" t="s">
        <v>3592</v>
      </c>
      <c r="I650" s="53" t="e">
        <f>VLOOKUP(H650,合同高级查询数据!$A$2:$A$51,1,FALSE)</f>
        <v>#N/A</v>
      </c>
      <c r="J650" s="88" t="s">
        <v>3327</v>
      </c>
      <c r="K650" s="65"/>
      <c r="L650" s="53" t="s">
        <v>3593</v>
      </c>
      <c r="M650" s="65"/>
      <c r="N650" s="89">
        <v>44927</v>
      </c>
      <c r="O650" s="65"/>
      <c r="P650" s="98">
        <v>2080</v>
      </c>
      <c r="Q650" s="99">
        <v>5.18</v>
      </c>
      <c r="R650" s="58">
        <f>ROUND(P650*Q650-3978.79,2)</f>
        <v>6795.61</v>
      </c>
      <c r="S650" s="59">
        <v>202306</v>
      </c>
      <c r="T650" s="97" t="s">
        <v>3488</v>
      </c>
      <c r="U650" s="97"/>
      <c r="V650" s="196">
        <v>5.1767480460000002</v>
      </c>
      <c r="W650" s="103"/>
      <c r="X650" s="64"/>
      <c r="Y650" s="64"/>
      <c r="Z650" s="107" t="s">
        <v>3594</v>
      </c>
      <c r="AA650" s="236">
        <v>0</v>
      </c>
      <c r="AB650" s="237">
        <v>0</v>
      </c>
      <c r="AC650" s="196">
        <f t="shared" si="36"/>
        <v>0</v>
      </c>
    </row>
    <row r="651" spans="1:29" s="3" customFormat="1" ht="15" customHeight="1">
      <c r="A651" s="65" t="s">
        <v>28</v>
      </c>
      <c r="B651" s="85" t="s">
        <v>1732</v>
      </c>
      <c r="C651" s="86" t="s">
        <v>30</v>
      </c>
      <c r="D651" s="86" t="s">
        <v>1748</v>
      </c>
      <c r="E651" s="65" t="s">
        <v>3573</v>
      </c>
      <c r="F651" s="65" t="s">
        <v>3574</v>
      </c>
      <c r="G651" s="65" t="s">
        <v>34</v>
      </c>
      <c r="H651" s="53" t="s">
        <v>3595</v>
      </c>
      <c r="I651" s="53" t="e">
        <f>VLOOKUP(H651,合同高级查询数据!$A$2:$A$51,1,FALSE)</f>
        <v>#N/A</v>
      </c>
      <c r="J651" s="88" t="s">
        <v>3327</v>
      </c>
      <c r="K651" s="65"/>
      <c r="L651" s="53" t="s">
        <v>3596</v>
      </c>
      <c r="M651" s="65"/>
      <c r="N651" s="89">
        <v>45078</v>
      </c>
      <c r="O651" s="65"/>
      <c r="P651" s="98">
        <v>2241</v>
      </c>
      <c r="Q651" s="99">
        <v>159.46</v>
      </c>
      <c r="R651" s="58">
        <f t="shared" ref="R651" si="37">ROUND(P651*Q651,2)</f>
        <v>357349.86</v>
      </c>
      <c r="S651" s="59">
        <v>202306</v>
      </c>
      <c r="T651" s="97" t="s">
        <v>3597</v>
      </c>
      <c r="U651" s="97"/>
      <c r="V651" s="196">
        <v>159.46195917899999</v>
      </c>
      <c r="W651" s="103"/>
      <c r="X651" s="64"/>
      <c r="Y651" s="64"/>
      <c r="Z651" s="107" t="s">
        <v>3598</v>
      </c>
      <c r="AA651" s="236">
        <v>0</v>
      </c>
      <c r="AB651" s="237">
        <v>0</v>
      </c>
      <c r="AC651" s="196">
        <f t="shared" si="36"/>
        <v>0</v>
      </c>
    </row>
    <row r="652" spans="1:29" s="3" customFormat="1" ht="15" customHeight="1">
      <c r="A652" s="65" t="s">
        <v>28</v>
      </c>
      <c r="B652" s="85" t="s">
        <v>1732</v>
      </c>
      <c r="C652" s="86" t="s">
        <v>30</v>
      </c>
      <c r="D652" s="86" t="s">
        <v>1748</v>
      </c>
      <c r="E652" s="65" t="s">
        <v>3573</v>
      </c>
      <c r="F652" s="65" t="s">
        <v>3574</v>
      </c>
      <c r="G652" s="65" t="s">
        <v>34</v>
      </c>
      <c r="H652" s="53" t="s">
        <v>3599</v>
      </c>
      <c r="I652" s="53" t="e">
        <f>VLOOKUP(H652,合同高级查询数据!$A$2:$A$51,1,FALSE)</f>
        <v>#N/A</v>
      </c>
      <c r="J652" s="88" t="s">
        <v>3327</v>
      </c>
      <c r="K652" s="65"/>
      <c r="L652" s="53" t="s">
        <v>3600</v>
      </c>
      <c r="M652" s="65"/>
      <c r="N652" s="89">
        <v>45078</v>
      </c>
      <c r="O652" s="65"/>
      <c r="P652" s="98" t="s">
        <v>3601</v>
      </c>
      <c r="Q652" s="99">
        <v>23.63</v>
      </c>
      <c r="R652" s="58">
        <f>ROUND(2520*Q652,2)</f>
        <v>59547.6</v>
      </c>
      <c r="S652" s="59">
        <v>202306</v>
      </c>
      <c r="T652" s="97" t="s">
        <v>3602</v>
      </c>
      <c r="U652" s="97"/>
      <c r="V652" s="196">
        <v>23.630266439</v>
      </c>
      <c r="W652" s="103"/>
      <c r="X652" s="64"/>
      <c r="Y652" s="64"/>
      <c r="Z652" s="107" t="s">
        <v>3603</v>
      </c>
      <c r="AA652" s="236">
        <v>0</v>
      </c>
      <c r="AB652" s="237"/>
      <c r="AC652" s="196"/>
    </row>
    <row r="653" spans="1:29" s="3" customFormat="1" ht="15" customHeight="1">
      <c r="A653" s="65" t="s">
        <v>28</v>
      </c>
      <c r="B653" s="85" t="s">
        <v>1732</v>
      </c>
      <c r="C653" s="86" t="s">
        <v>30</v>
      </c>
      <c r="D653" s="86" t="s">
        <v>1748</v>
      </c>
      <c r="E653" s="65" t="s">
        <v>3604</v>
      </c>
      <c r="F653" s="65" t="s">
        <v>3605</v>
      </c>
      <c r="G653" s="65" t="s">
        <v>34</v>
      </c>
      <c r="H653" s="53" t="s">
        <v>3606</v>
      </c>
      <c r="I653" s="53" t="e">
        <f>VLOOKUP(H653,合同高级查询数据!$A$2:$A$51,1,FALSE)</f>
        <v>#N/A</v>
      </c>
      <c r="J653" s="88" t="s">
        <v>3327</v>
      </c>
      <c r="K653" s="65" t="s">
        <v>3607</v>
      </c>
      <c r="L653" s="53" t="s">
        <v>3608</v>
      </c>
      <c r="M653" s="65"/>
      <c r="N653" s="89">
        <v>44621</v>
      </c>
      <c r="O653" s="65"/>
      <c r="P653" s="98" t="s">
        <v>3609</v>
      </c>
      <c r="Q653" s="99">
        <v>0</v>
      </c>
      <c r="R653" s="58">
        <f>ROUND(Q653*3000,2)</f>
        <v>0</v>
      </c>
      <c r="S653" s="59">
        <v>202306</v>
      </c>
      <c r="T653" s="97" t="s">
        <v>3610</v>
      </c>
      <c r="U653" s="97"/>
      <c r="V653" s="196">
        <v>0</v>
      </c>
      <c r="W653" s="103"/>
      <c r="X653" s="64"/>
      <c r="Y653" s="64"/>
      <c r="Z653" s="107" t="s">
        <v>3611</v>
      </c>
      <c r="AA653" s="236">
        <v>0</v>
      </c>
      <c r="AB653" s="237">
        <v>0</v>
      </c>
      <c r="AC653" s="196">
        <f t="shared" si="36"/>
        <v>0</v>
      </c>
    </row>
    <row r="654" spans="1:29" s="2" customFormat="1" ht="15" customHeight="1">
      <c r="A654" s="5" t="s">
        <v>28</v>
      </c>
      <c r="B654" s="6" t="s">
        <v>1732</v>
      </c>
      <c r="C654" s="7" t="s">
        <v>30</v>
      </c>
      <c r="D654" s="7" t="s">
        <v>1748</v>
      </c>
      <c r="E654" s="5" t="s">
        <v>3612</v>
      </c>
      <c r="F654" s="5" t="s">
        <v>3613</v>
      </c>
      <c r="G654" s="5" t="s">
        <v>34</v>
      </c>
      <c r="H654" s="11" t="s">
        <v>3614</v>
      </c>
      <c r="I654" s="11" t="e">
        <f>VLOOKUP(H654,合同高级查询数据!$A$2:$A$51,1,FALSE)</f>
        <v>#N/A</v>
      </c>
      <c r="J654" s="14" t="s">
        <v>3363</v>
      </c>
      <c r="K654" s="5" t="s">
        <v>3615</v>
      </c>
      <c r="L654" s="11" t="s">
        <v>3615</v>
      </c>
      <c r="M654" s="5"/>
      <c r="N654" s="19">
        <v>44774</v>
      </c>
      <c r="O654" s="5"/>
      <c r="P654" s="26">
        <v>2200</v>
      </c>
      <c r="Q654" s="140">
        <v>27.01</v>
      </c>
      <c r="R654" s="27">
        <f t="shared" ref="R654:R666" si="38">ROUND(P654*Q654,2)</f>
        <v>59422</v>
      </c>
      <c r="S654" s="28">
        <v>202306</v>
      </c>
      <c r="T654" s="29" t="s">
        <v>3616</v>
      </c>
      <c r="U654" s="29"/>
      <c r="V654" s="242">
        <v>27.01</v>
      </c>
      <c r="W654" s="35"/>
      <c r="X654" s="36">
        <v>44774</v>
      </c>
      <c r="Y654" s="36">
        <v>45138</v>
      </c>
      <c r="Z654" s="42" t="s">
        <v>3617</v>
      </c>
      <c r="AA654" s="238">
        <v>0</v>
      </c>
      <c r="AB654" s="239">
        <v>0</v>
      </c>
      <c r="AC654" s="178">
        <f t="shared" si="36"/>
        <v>0</v>
      </c>
    </row>
    <row r="655" spans="1:29" s="2" customFormat="1" ht="15" customHeight="1">
      <c r="A655" s="5" t="s">
        <v>28</v>
      </c>
      <c r="B655" s="6" t="s">
        <v>1732</v>
      </c>
      <c r="C655" s="7" t="s">
        <v>30</v>
      </c>
      <c r="D655" s="7" t="s">
        <v>1748</v>
      </c>
      <c r="E655" s="5" t="s">
        <v>3612</v>
      </c>
      <c r="F655" s="5" t="s">
        <v>3613</v>
      </c>
      <c r="G655" s="5" t="s">
        <v>34</v>
      </c>
      <c r="H655" s="11" t="s">
        <v>3614</v>
      </c>
      <c r="I655" s="11" t="e">
        <f>VLOOKUP(H655,合同高级查询数据!$A$2:$A$51,1,FALSE)</f>
        <v>#N/A</v>
      </c>
      <c r="J655" s="14" t="s">
        <v>3363</v>
      </c>
      <c r="K655" s="5" t="s">
        <v>3618</v>
      </c>
      <c r="L655" s="11" t="s">
        <v>3618</v>
      </c>
      <c r="M655" s="5"/>
      <c r="N655" s="19">
        <v>44774</v>
      </c>
      <c r="O655" s="5"/>
      <c r="P655" s="26">
        <v>3200</v>
      </c>
      <c r="Q655" s="140">
        <v>420.65</v>
      </c>
      <c r="R655" s="27">
        <f t="shared" si="38"/>
        <v>1346080</v>
      </c>
      <c r="S655" s="28">
        <v>202306</v>
      </c>
      <c r="T655" s="29" t="s">
        <v>3619</v>
      </c>
      <c r="U655" s="29"/>
      <c r="V655" s="242">
        <v>420.65</v>
      </c>
      <c r="W655" s="35"/>
      <c r="X655" s="36">
        <v>44774</v>
      </c>
      <c r="Y655" s="36">
        <v>45138</v>
      </c>
      <c r="Z655" s="42" t="s">
        <v>3620</v>
      </c>
      <c r="AA655" s="238">
        <v>0</v>
      </c>
      <c r="AB655" s="239">
        <v>0</v>
      </c>
      <c r="AC655" s="178">
        <f t="shared" si="36"/>
        <v>0</v>
      </c>
    </row>
    <row r="656" spans="1:29" s="3" customFormat="1" ht="15" customHeight="1">
      <c r="A656" s="65" t="s">
        <v>28</v>
      </c>
      <c r="B656" s="85" t="s">
        <v>1732</v>
      </c>
      <c r="C656" s="86" t="s">
        <v>30</v>
      </c>
      <c r="D656" s="86" t="s">
        <v>1748</v>
      </c>
      <c r="E656" s="65" t="s">
        <v>3612</v>
      </c>
      <c r="F656" s="65" t="s">
        <v>3613</v>
      </c>
      <c r="G656" s="65" t="s">
        <v>34</v>
      </c>
      <c r="H656" s="53" t="s">
        <v>3621</v>
      </c>
      <c r="I656" s="53" t="e">
        <f>VLOOKUP(H656,合同高级查询数据!$A$2:$A$51,1,FALSE)</f>
        <v>#N/A</v>
      </c>
      <c r="J656" s="88" t="s">
        <v>3363</v>
      </c>
      <c r="K656" s="65"/>
      <c r="L656" s="53" t="s">
        <v>3622</v>
      </c>
      <c r="M656" s="65"/>
      <c r="N656" s="89">
        <v>44866</v>
      </c>
      <c r="O656" s="65"/>
      <c r="P656" s="98">
        <v>2850</v>
      </c>
      <c r="Q656" s="99">
        <v>0</v>
      </c>
      <c r="R656" s="58">
        <f t="shared" si="38"/>
        <v>0</v>
      </c>
      <c r="S656" s="59">
        <v>202306</v>
      </c>
      <c r="T656" s="97" t="s">
        <v>3623</v>
      </c>
      <c r="U656" s="97"/>
      <c r="V656" s="196">
        <v>0</v>
      </c>
      <c r="W656" s="103"/>
      <c r="X656" s="64"/>
      <c r="Y656" s="64"/>
      <c r="Z656" s="107" t="s">
        <v>3624</v>
      </c>
      <c r="AA656" s="236">
        <v>0</v>
      </c>
      <c r="AB656" s="237">
        <v>0</v>
      </c>
      <c r="AC656" s="196">
        <f t="shared" si="36"/>
        <v>0</v>
      </c>
    </row>
    <row r="657" spans="1:29" s="2" customFormat="1" ht="15" customHeight="1">
      <c r="A657" s="5" t="s">
        <v>28</v>
      </c>
      <c r="B657" s="6" t="s">
        <v>1732</v>
      </c>
      <c r="C657" s="7" t="s">
        <v>30</v>
      </c>
      <c r="D657" s="7" t="s">
        <v>1748</v>
      </c>
      <c r="E657" s="5" t="s">
        <v>3612</v>
      </c>
      <c r="F657" s="5" t="s">
        <v>3613</v>
      </c>
      <c r="G657" s="5" t="s">
        <v>34</v>
      </c>
      <c r="H657" s="11" t="s">
        <v>3625</v>
      </c>
      <c r="I657" s="11" t="e">
        <f>VLOOKUP(H657,合同高级查询数据!$A$2:$A$51,1,FALSE)</f>
        <v>#N/A</v>
      </c>
      <c r="J657" s="14" t="s">
        <v>3327</v>
      </c>
      <c r="K657" s="5" t="s">
        <v>3626</v>
      </c>
      <c r="L657" s="11" t="s">
        <v>3627</v>
      </c>
      <c r="M657" s="5"/>
      <c r="N657" s="19">
        <v>44958</v>
      </c>
      <c r="O657" s="5"/>
      <c r="P657" s="26">
        <v>3100</v>
      </c>
      <c r="Q657" s="140">
        <v>252.43700000000001</v>
      </c>
      <c r="R657" s="27">
        <f t="shared" si="38"/>
        <v>782554.7</v>
      </c>
      <c r="S657" s="28">
        <v>202306</v>
      </c>
      <c r="T657" s="29" t="s">
        <v>3628</v>
      </c>
      <c r="U657" s="29"/>
      <c r="V657" s="242">
        <v>252.43688350400001</v>
      </c>
      <c r="W657" s="35"/>
      <c r="X657" s="36">
        <v>44958</v>
      </c>
      <c r="Y657" s="36">
        <v>45322</v>
      </c>
      <c r="Z657" s="42" t="s">
        <v>3629</v>
      </c>
      <c r="AA657" s="238">
        <v>0</v>
      </c>
      <c r="AB657" s="239">
        <v>0</v>
      </c>
      <c r="AC657" s="178">
        <f t="shared" si="36"/>
        <v>0</v>
      </c>
    </row>
    <row r="658" spans="1:29" s="2" customFormat="1" ht="15" customHeight="1">
      <c r="A658" s="5" t="s">
        <v>28</v>
      </c>
      <c r="B658" s="6" t="s">
        <v>1732</v>
      </c>
      <c r="C658" s="7" t="s">
        <v>30</v>
      </c>
      <c r="D658" s="7" t="s">
        <v>1748</v>
      </c>
      <c r="E658" s="5" t="s">
        <v>3612</v>
      </c>
      <c r="F658" s="5" t="s">
        <v>3613</v>
      </c>
      <c r="G658" s="5" t="s">
        <v>34</v>
      </c>
      <c r="H658" s="11" t="s">
        <v>3625</v>
      </c>
      <c r="I658" s="11" t="e">
        <f>VLOOKUP(H658,合同高级查询数据!$A$2:$A$51,1,FALSE)</f>
        <v>#N/A</v>
      </c>
      <c r="J658" s="14" t="s">
        <v>3327</v>
      </c>
      <c r="K658" s="5" t="s">
        <v>3630</v>
      </c>
      <c r="L658" s="11" t="s">
        <v>3631</v>
      </c>
      <c r="M658" s="5"/>
      <c r="N658" s="19">
        <v>44958</v>
      </c>
      <c r="O658" s="5"/>
      <c r="P658" s="26">
        <v>2100</v>
      </c>
      <c r="Q658" s="140">
        <v>2.7010000000000001</v>
      </c>
      <c r="R658" s="27">
        <f t="shared" si="38"/>
        <v>5672.1</v>
      </c>
      <c r="S658" s="28">
        <v>202306</v>
      </c>
      <c r="T658" s="29" t="s">
        <v>3632</v>
      </c>
      <c r="U658" s="29"/>
      <c r="V658" s="242">
        <v>2.7004081499999999</v>
      </c>
      <c r="W658" s="35"/>
      <c r="X658" s="36">
        <v>44958</v>
      </c>
      <c r="Y658" s="36">
        <v>45322</v>
      </c>
      <c r="Z658" s="42" t="s">
        <v>3633</v>
      </c>
      <c r="AA658" s="238">
        <v>0</v>
      </c>
      <c r="AB658" s="239">
        <v>0</v>
      </c>
      <c r="AC658" s="178">
        <f t="shared" si="36"/>
        <v>0</v>
      </c>
    </row>
    <row r="659" spans="1:29" s="2" customFormat="1" ht="15" customHeight="1">
      <c r="A659" s="5" t="s">
        <v>28</v>
      </c>
      <c r="B659" s="6" t="s">
        <v>1732</v>
      </c>
      <c r="C659" s="7" t="s">
        <v>30</v>
      </c>
      <c r="D659" s="7" t="s">
        <v>1748</v>
      </c>
      <c r="E659" s="5" t="s">
        <v>3612</v>
      </c>
      <c r="F659" s="5" t="s">
        <v>3613</v>
      </c>
      <c r="G659" s="5" t="s">
        <v>34</v>
      </c>
      <c r="H659" s="11" t="s">
        <v>3614</v>
      </c>
      <c r="I659" s="11" t="e">
        <f>VLOOKUP(H659,合同高级查询数据!$A$2:$A$51,1,FALSE)</f>
        <v>#N/A</v>
      </c>
      <c r="J659" s="14" t="s">
        <v>3363</v>
      </c>
      <c r="K659" s="5" t="s">
        <v>3618</v>
      </c>
      <c r="L659" s="11" t="s">
        <v>3618</v>
      </c>
      <c r="M659" s="5"/>
      <c r="N659" s="19">
        <v>44774</v>
      </c>
      <c r="O659" s="5"/>
      <c r="P659" s="26">
        <v>3200</v>
      </c>
      <c r="Q659" s="140">
        <v>27.175000000000001</v>
      </c>
      <c r="R659" s="27">
        <f t="shared" si="38"/>
        <v>86960</v>
      </c>
      <c r="S659" s="28">
        <v>202305</v>
      </c>
      <c r="T659" s="29" t="s">
        <v>3634</v>
      </c>
      <c r="U659" s="29"/>
      <c r="V659" s="243"/>
      <c r="W659" s="35"/>
      <c r="X659" s="36"/>
      <c r="Y659" s="36"/>
      <c r="Z659" s="42"/>
      <c r="AA659" s="238"/>
      <c r="AB659" s="239"/>
      <c r="AC659" s="178"/>
    </row>
    <row r="660" spans="1:29" s="2" customFormat="1" ht="15" customHeight="1">
      <c r="A660" s="5" t="s">
        <v>28</v>
      </c>
      <c r="B660" s="6" t="s">
        <v>1732</v>
      </c>
      <c r="C660" s="7" t="s">
        <v>30</v>
      </c>
      <c r="D660" s="7" t="s">
        <v>1748</v>
      </c>
      <c r="E660" s="5" t="s">
        <v>2990</v>
      </c>
      <c r="F660" s="5" t="s">
        <v>3635</v>
      </c>
      <c r="G660" s="5" t="s">
        <v>34</v>
      </c>
      <c r="H660" s="11" t="s">
        <v>3636</v>
      </c>
      <c r="I660" s="11" t="e">
        <f>VLOOKUP(H660,合同高级查询数据!$A$2:$A$51,1,FALSE)</f>
        <v>#N/A</v>
      </c>
      <c r="J660" s="14" t="s">
        <v>3327</v>
      </c>
      <c r="K660" s="5" t="s">
        <v>3637</v>
      </c>
      <c r="L660" s="11" t="s">
        <v>3638</v>
      </c>
      <c r="M660" s="5"/>
      <c r="N660" s="19">
        <v>44593</v>
      </c>
      <c r="O660" s="5"/>
      <c r="P660" s="26">
        <v>2100</v>
      </c>
      <c r="Q660" s="140">
        <v>201.37700000000001</v>
      </c>
      <c r="R660" s="27">
        <f t="shared" si="38"/>
        <v>422891.7</v>
      </c>
      <c r="S660" s="28">
        <v>202306</v>
      </c>
      <c r="T660" s="29" t="s">
        <v>3639</v>
      </c>
      <c r="U660" s="29"/>
      <c r="V660" s="242">
        <v>201.37683093199999</v>
      </c>
      <c r="W660" s="35"/>
      <c r="X660" s="36">
        <v>44958</v>
      </c>
      <c r="Y660" s="36">
        <v>45322</v>
      </c>
      <c r="Z660" s="42" t="s">
        <v>3640</v>
      </c>
      <c r="AA660" s="238">
        <v>0</v>
      </c>
      <c r="AB660" s="239">
        <v>0</v>
      </c>
      <c r="AC660" s="178">
        <f t="shared" si="36"/>
        <v>0</v>
      </c>
    </row>
    <row r="661" spans="1:29" s="2" customFormat="1" ht="15" customHeight="1">
      <c r="A661" s="5" t="s">
        <v>28</v>
      </c>
      <c r="B661" s="6" t="s">
        <v>1732</v>
      </c>
      <c r="C661" s="7" t="s">
        <v>30</v>
      </c>
      <c r="D661" s="7" t="s">
        <v>1748</v>
      </c>
      <c r="E661" s="5" t="s">
        <v>2990</v>
      </c>
      <c r="F661" s="5" t="s">
        <v>3635</v>
      </c>
      <c r="G661" s="5" t="s">
        <v>34</v>
      </c>
      <c r="H661" s="11" t="s">
        <v>3636</v>
      </c>
      <c r="I661" s="11" t="e">
        <f>VLOOKUP(H661,合同高级查询数据!$A$2:$A$51,1,FALSE)</f>
        <v>#N/A</v>
      </c>
      <c r="J661" s="14" t="s">
        <v>3327</v>
      </c>
      <c r="K661" s="5" t="s">
        <v>3637</v>
      </c>
      <c r="L661" s="11" t="s">
        <v>3641</v>
      </c>
      <c r="M661" s="5"/>
      <c r="N661" s="19">
        <v>44593</v>
      </c>
      <c r="O661" s="5"/>
      <c r="P661" s="26">
        <v>2100</v>
      </c>
      <c r="Q661" s="140">
        <v>0</v>
      </c>
      <c r="R661" s="27">
        <f t="shared" si="38"/>
        <v>0</v>
      </c>
      <c r="S661" s="28">
        <v>202306</v>
      </c>
      <c r="T661" s="29" t="s">
        <v>3642</v>
      </c>
      <c r="U661" s="29"/>
      <c r="V661" s="178">
        <v>0</v>
      </c>
      <c r="W661" s="35"/>
      <c r="X661" s="36">
        <v>44958</v>
      </c>
      <c r="Y661" s="36">
        <v>45322</v>
      </c>
      <c r="Z661" s="42" t="s">
        <v>3643</v>
      </c>
      <c r="AA661" s="238">
        <v>0</v>
      </c>
      <c r="AB661" s="239">
        <v>0</v>
      </c>
      <c r="AC661" s="178">
        <f t="shared" si="36"/>
        <v>0</v>
      </c>
    </row>
    <row r="662" spans="1:29" s="2" customFormat="1" ht="15" customHeight="1">
      <c r="A662" s="5" t="s">
        <v>28</v>
      </c>
      <c r="B662" s="6" t="s">
        <v>1732</v>
      </c>
      <c r="C662" s="7" t="s">
        <v>30</v>
      </c>
      <c r="D662" s="7" t="s">
        <v>1748</v>
      </c>
      <c r="E662" s="5" t="s">
        <v>2990</v>
      </c>
      <c r="F662" s="5" t="s">
        <v>3635</v>
      </c>
      <c r="G662" s="5" t="s">
        <v>34</v>
      </c>
      <c r="H662" s="11" t="s">
        <v>3636</v>
      </c>
      <c r="I662" s="11" t="e">
        <f>VLOOKUP(H662,合同高级查询数据!$A$2:$A$51,1,FALSE)</f>
        <v>#N/A</v>
      </c>
      <c r="J662" s="14" t="s">
        <v>3327</v>
      </c>
      <c r="K662" s="5" t="s">
        <v>3644</v>
      </c>
      <c r="L662" s="11" t="s">
        <v>3645</v>
      </c>
      <c r="M662" s="5"/>
      <c r="N662" s="19">
        <v>44593</v>
      </c>
      <c r="O662" s="5"/>
      <c r="P662" s="26">
        <v>3100</v>
      </c>
      <c r="Q662" s="140">
        <v>662.75099999999998</v>
      </c>
      <c r="R662" s="27">
        <f t="shared" si="38"/>
        <v>2054528.1</v>
      </c>
      <c r="S662" s="28">
        <v>202306</v>
      </c>
      <c r="T662" s="29" t="s">
        <v>3646</v>
      </c>
      <c r="U662" s="29"/>
      <c r="V662" s="242">
        <v>662.75001849199998</v>
      </c>
      <c r="W662" s="35"/>
      <c r="X662" s="36">
        <v>44958</v>
      </c>
      <c r="Y662" s="36">
        <v>45322</v>
      </c>
      <c r="Z662" s="42" t="s">
        <v>3647</v>
      </c>
      <c r="AA662" s="238">
        <v>0</v>
      </c>
      <c r="AB662" s="239">
        <v>0</v>
      </c>
      <c r="AC662" s="178">
        <f t="shared" si="36"/>
        <v>0</v>
      </c>
    </row>
    <row r="663" spans="1:29" s="3" customFormat="1" ht="15" customHeight="1">
      <c r="A663" s="65" t="s">
        <v>28</v>
      </c>
      <c r="B663" s="85" t="s">
        <v>1732</v>
      </c>
      <c r="C663" s="86" t="s">
        <v>30</v>
      </c>
      <c r="D663" s="86" t="s">
        <v>1748</v>
      </c>
      <c r="E663" s="65" t="s">
        <v>2990</v>
      </c>
      <c r="F663" s="65" t="s">
        <v>2991</v>
      </c>
      <c r="G663" s="65" t="s">
        <v>34</v>
      </c>
      <c r="H663" s="53" t="s">
        <v>3648</v>
      </c>
      <c r="I663" s="53" t="e">
        <f>VLOOKUP(H663,合同高级查询数据!$A$2:$A$51,1,FALSE)</f>
        <v>#N/A</v>
      </c>
      <c r="J663" s="88" t="s">
        <v>3363</v>
      </c>
      <c r="K663" s="65" t="s">
        <v>3649</v>
      </c>
      <c r="L663" s="53" t="s">
        <v>3650</v>
      </c>
      <c r="M663" s="65"/>
      <c r="N663" s="89">
        <v>44774</v>
      </c>
      <c r="O663" s="65"/>
      <c r="P663" s="98">
        <v>2400</v>
      </c>
      <c r="Q663" s="99">
        <v>0</v>
      </c>
      <c r="R663" s="58">
        <f t="shared" si="38"/>
        <v>0</v>
      </c>
      <c r="S663" s="59">
        <v>202306</v>
      </c>
      <c r="T663" s="97" t="s">
        <v>3651</v>
      </c>
      <c r="U663" s="97"/>
      <c r="V663" s="196">
        <v>0</v>
      </c>
      <c r="W663" s="103"/>
      <c r="X663" s="64"/>
      <c r="Y663" s="64"/>
      <c r="Z663" s="107" t="s">
        <v>3652</v>
      </c>
      <c r="AA663" s="236">
        <v>0</v>
      </c>
      <c r="AB663" s="237">
        <v>0</v>
      </c>
      <c r="AC663" s="196">
        <f t="shared" si="36"/>
        <v>0</v>
      </c>
    </row>
    <row r="664" spans="1:29" s="3" customFormat="1" ht="15" customHeight="1">
      <c r="A664" s="65" t="s">
        <v>28</v>
      </c>
      <c r="B664" s="85" t="s">
        <v>1732</v>
      </c>
      <c r="C664" s="86" t="s">
        <v>30</v>
      </c>
      <c r="D664" s="86" t="s">
        <v>1748</v>
      </c>
      <c r="E664" s="65" t="s">
        <v>2990</v>
      </c>
      <c r="F664" s="65" t="s">
        <v>2991</v>
      </c>
      <c r="G664" s="65" t="s">
        <v>34</v>
      </c>
      <c r="H664" s="53" t="s">
        <v>3648</v>
      </c>
      <c r="I664" s="53" t="e">
        <f>VLOOKUP(H664,合同高级查询数据!$A$2:$A$51,1,FALSE)</f>
        <v>#N/A</v>
      </c>
      <c r="J664" s="88" t="s">
        <v>3363</v>
      </c>
      <c r="K664" s="65" t="s">
        <v>3653</v>
      </c>
      <c r="L664" s="53" t="s">
        <v>3654</v>
      </c>
      <c r="M664" s="65"/>
      <c r="N664" s="89">
        <v>44774</v>
      </c>
      <c r="O664" s="65"/>
      <c r="P664" s="98">
        <v>3100</v>
      </c>
      <c r="Q664" s="99">
        <v>0</v>
      </c>
      <c r="R664" s="58">
        <f t="shared" si="38"/>
        <v>0</v>
      </c>
      <c r="S664" s="59">
        <v>202306</v>
      </c>
      <c r="T664" s="97" t="s">
        <v>3651</v>
      </c>
      <c r="U664" s="97"/>
      <c r="V664" s="196">
        <v>0</v>
      </c>
      <c r="W664" s="103"/>
      <c r="X664" s="64"/>
      <c r="Y664" s="64"/>
      <c r="Z664" s="107" t="s">
        <v>3655</v>
      </c>
      <c r="AA664" s="236">
        <v>0</v>
      </c>
      <c r="AB664" s="237">
        <v>0</v>
      </c>
      <c r="AC664" s="196">
        <f t="shared" si="36"/>
        <v>0</v>
      </c>
    </row>
    <row r="665" spans="1:29" s="2" customFormat="1" ht="15" customHeight="1">
      <c r="A665" s="5" t="s">
        <v>28</v>
      </c>
      <c r="B665" s="6" t="s">
        <v>1732</v>
      </c>
      <c r="C665" s="7" t="s">
        <v>30</v>
      </c>
      <c r="D665" s="7" t="s">
        <v>1748</v>
      </c>
      <c r="E665" s="5" t="s">
        <v>3656</v>
      </c>
      <c r="F665" s="5" t="s">
        <v>3657</v>
      </c>
      <c r="G665" s="5" t="s">
        <v>34</v>
      </c>
      <c r="H665" s="11" t="s">
        <v>3658</v>
      </c>
      <c r="I665" s="11" t="e">
        <f>VLOOKUP(H665,合同高级查询数据!$A$2:$A$51,1,FALSE)</f>
        <v>#N/A</v>
      </c>
      <c r="J665" s="14" t="s">
        <v>3327</v>
      </c>
      <c r="K665" s="5" t="s">
        <v>3659</v>
      </c>
      <c r="L665" s="11" t="s">
        <v>3660</v>
      </c>
      <c r="M665" s="5"/>
      <c r="N665" s="19">
        <v>44593</v>
      </c>
      <c r="O665" s="5"/>
      <c r="P665" s="26">
        <v>2300</v>
      </c>
      <c r="Q665" s="140">
        <v>6.4059999999999997</v>
      </c>
      <c r="R665" s="27">
        <f t="shared" si="38"/>
        <v>14733.8</v>
      </c>
      <c r="S665" s="28">
        <v>202306</v>
      </c>
      <c r="T665" s="29" t="s">
        <v>3661</v>
      </c>
      <c r="U665" s="29"/>
      <c r="V665" s="242">
        <v>6.4058804509999998</v>
      </c>
      <c r="W665" s="35"/>
      <c r="X665" s="36">
        <v>44958</v>
      </c>
      <c r="Y665" s="36">
        <v>45322</v>
      </c>
      <c r="Z665" s="42" t="s">
        <v>3662</v>
      </c>
      <c r="AA665" s="238">
        <v>0</v>
      </c>
      <c r="AB665" s="239">
        <v>0</v>
      </c>
      <c r="AC665" s="178">
        <f t="shared" si="36"/>
        <v>0</v>
      </c>
    </row>
    <row r="666" spans="1:29" s="2" customFormat="1" ht="15" customHeight="1">
      <c r="A666" s="5" t="s">
        <v>28</v>
      </c>
      <c r="B666" s="6" t="s">
        <v>1732</v>
      </c>
      <c r="C666" s="7" t="s">
        <v>30</v>
      </c>
      <c r="D666" s="7" t="s">
        <v>1748</v>
      </c>
      <c r="E666" s="5" t="s">
        <v>3656</v>
      </c>
      <c r="F666" s="5" t="s">
        <v>3657</v>
      </c>
      <c r="G666" s="5" t="s">
        <v>34</v>
      </c>
      <c r="H666" s="11" t="s">
        <v>3658</v>
      </c>
      <c r="I666" s="11" t="e">
        <f>VLOOKUP(H666,合同高级查询数据!$A$2:$A$51,1,FALSE)</f>
        <v>#N/A</v>
      </c>
      <c r="J666" s="14" t="s">
        <v>3327</v>
      </c>
      <c r="K666" s="5" t="s">
        <v>3663</v>
      </c>
      <c r="L666" s="11" t="s">
        <v>3664</v>
      </c>
      <c r="M666" s="5"/>
      <c r="N666" s="19">
        <v>44593</v>
      </c>
      <c r="O666" s="5"/>
      <c r="P666" s="26">
        <v>3300</v>
      </c>
      <c r="Q666" s="140">
        <v>40.860999999999997</v>
      </c>
      <c r="R666" s="27">
        <f t="shared" si="38"/>
        <v>134841.29999999999</v>
      </c>
      <c r="S666" s="28">
        <v>202306</v>
      </c>
      <c r="T666" s="29" t="s">
        <v>3661</v>
      </c>
      <c r="U666" s="29"/>
      <c r="V666" s="242">
        <v>40.860851287999999</v>
      </c>
      <c r="W666" s="35"/>
      <c r="X666" s="36">
        <v>44958</v>
      </c>
      <c r="Y666" s="36">
        <v>45322</v>
      </c>
      <c r="Z666" s="42" t="s">
        <v>3665</v>
      </c>
      <c r="AA666" s="238">
        <v>0</v>
      </c>
      <c r="AB666" s="239">
        <v>0</v>
      </c>
      <c r="AC666" s="178">
        <f t="shared" si="36"/>
        <v>0</v>
      </c>
    </row>
    <row r="667" spans="1:29" s="2" customFormat="1" ht="15" customHeight="1">
      <c r="A667" s="7" t="s">
        <v>212</v>
      </c>
      <c r="B667" s="8" t="s">
        <v>3666</v>
      </c>
      <c r="C667" s="5" t="s">
        <v>70</v>
      </c>
      <c r="D667" s="8" t="s">
        <v>3667</v>
      </c>
      <c r="E667" s="7" t="s">
        <v>3668</v>
      </c>
      <c r="F667" s="7" t="s">
        <v>3669</v>
      </c>
      <c r="G667" s="7" t="s">
        <v>34</v>
      </c>
      <c r="H667" s="11" t="s">
        <v>3670</v>
      </c>
      <c r="I667" s="11" t="e">
        <f>VLOOKUP(H667,合同高级查询数据!$A$2:$A$51,1,FALSE)</f>
        <v>#N/A</v>
      </c>
      <c r="J667" s="12" t="s">
        <v>36</v>
      </c>
      <c r="K667" s="7" t="s">
        <v>3671</v>
      </c>
      <c r="L667" s="174" t="s">
        <v>3672</v>
      </c>
      <c r="M667" s="16"/>
      <c r="N667" s="21" t="s">
        <v>3673</v>
      </c>
      <c r="O667" s="21" t="s">
        <v>3674</v>
      </c>
      <c r="P667" s="30">
        <v>10000</v>
      </c>
      <c r="Q667" s="23">
        <v>0</v>
      </c>
      <c r="R667" s="30">
        <f t="shared" ref="R667:R718" si="39">ROUND(P667*Q667,2)</f>
        <v>0</v>
      </c>
      <c r="S667" s="28">
        <v>202306</v>
      </c>
      <c r="T667" s="29" t="s">
        <v>3675</v>
      </c>
      <c r="U667" s="31"/>
      <c r="V667" s="38">
        <v>0</v>
      </c>
      <c r="W667" s="249"/>
      <c r="X667" s="250">
        <v>44593</v>
      </c>
      <c r="Y667" s="257">
        <v>44834</v>
      </c>
      <c r="Z667" s="8" t="s">
        <v>3676</v>
      </c>
      <c r="AA667" s="45">
        <v>0</v>
      </c>
      <c r="AB667" s="258">
        <v>0</v>
      </c>
      <c r="AC667" s="258">
        <f t="shared" ref="AC667:AC672" si="40">AA667*AB667</f>
        <v>0</v>
      </c>
    </row>
    <row r="668" spans="1:29" s="2" customFormat="1" ht="15" customHeight="1">
      <c r="A668" s="7" t="s">
        <v>212</v>
      </c>
      <c r="B668" s="8" t="s">
        <v>3666</v>
      </c>
      <c r="C668" s="5" t="s">
        <v>70</v>
      </c>
      <c r="D668" s="8" t="s">
        <v>3667</v>
      </c>
      <c r="E668" s="7" t="s">
        <v>3668</v>
      </c>
      <c r="F668" s="7" t="s">
        <v>3669</v>
      </c>
      <c r="G668" s="7" t="s">
        <v>34</v>
      </c>
      <c r="H668" s="11" t="s">
        <v>3677</v>
      </c>
      <c r="I668" s="11" t="e">
        <f>VLOOKUP(H668,合同高级查询数据!$A$2:$A$51,1,FALSE)</f>
        <v>#N/A</v>
      </c>
      <c r="J668" s="12" t="s">
        <v>75</v>
      </c>
      <c r="K668" s="7" t="s">
        <v>3671</v>
      </c>
      <c r="L668" s="174" t="s">
        <v>3678</v>
      </c>
      <c r="M668" s="16"/>
      <c r="N668" s="21"/>
      <c r="O668" s="21" t="s">
        <v>1249</v>
      </c>
      <c r="P668" s="146">
        <v>189000</v>
      </c>
      <c r="Q668" s="23">
        <v>0</v>
      </c>
      <c r="R668" s="146">
        <f t="shared" si="39"/>
        <v>0</v>
      </c>
      <c r="S668" s="28">
        <v>202306</v>
      </c>
      <c r="T668" s="29" t="s">
        <v>3679</v>
      </c>
      <c r="U668" s="31"/>
      <c r="V668" s="38"/>
      <c r="W668" s="251"/>
      <c r="X668" s="250">
        <v>44197</v>
      </c>
      <c r="Y668" s="257">
        <v>44561</v>
      </c>
      <c r="Z668" s="8" t="s">
        <v>3680</v>
      </c>
      <c r="AA668" s="45"/>
      <c r="AB668" s="258">
        <v>0</v>
      </c>
      <c r="AC668" s="258">
        <f t="shared" si="40"/>
        <v>0</v>
      </c>
    </row>
    <row r="669" spans="1:29" s="2" customFormat="1" ht="15" customHeight="1">
      <c r="A669" s="7" t="s">
        <v>212</v>
      </c>
      <c r="B669" s="8" t="s">
        <v>3666</v>
      </c>
      <c r="C669" s="5" t="s">
        <v>70</v>
      </c>
      <c r="D669" s="8" t="s">
        <v>3667</v>
      </c>
      <c r="E669" s="7" t="s">
        <v>3668</v>
      </c>
      <c r="F669" s="7" t="s">
        <v>3669</v>
      </c>
      <c r="G669" s="7" t="s">
        <v>34</v>
      </c>
      <c r="H669" s="11" t="s">
        <v>3677</v>
      </c>
      <c r="I669" s="11" t="e">
        <f>VLOOKUP(H669,合同高级查询数据!$A$2:$A$51,1,FALSE)</f>
        <v>#N/A</v>
      </c>
      <c r="J669" s="12" t="s">
        <v>75</v>
      </c>
      <c r="K669" s="7" t="s">
        <v>3671</v>
      </c>
      <c r="L669" s="174" t="s">
        <v>3678</v>
      </c>
      <c r="M669" s="16"/>
      <c r="N669" s="21">
        <v>44232</v>
      </c>
      <c r="O669" s="244">
        <v>-60</v>
      </c>
      <c r="P669" s="146">
        <v>189000</v>
      </c>
      <c r="Q669" s="23">
        <v>0</v>
      </c>
      <c r="R669" s="146">
        <f t="shared" si="39"/>
        <v>0</v>
      </c>
      <c r="S669" s="28">
        <v>202306</v>
      </c>
      <c r="T669" s="29" t="s">
        <v>3681</v>
      </c>
      <c r="U669" s="31"/>
      <c r="V669" s="38"/>
      <c r="W669" s="251"/>
      <c r="X669" s="250">
        <v>44197</v>
      </c>
      <c r="Y669" s="257">
        <v>44561</v>
      </c>
      <c r="Z669" s="8" t="s">
        <v>3680</v>
      </c>
      <c r="AA669" s="45"/>
      <c r="AB669" s="258">
        <v>0</v>
      </c>
      <c r="AC669" s="258">
        <f t="shared" si="40"/>
        <v>0</v>
      </c>
    </row>
    <row r="670" spans="1:29" s="2" customFormat="1" ht="15" customHeight="1">
      <c r="A670" s="7" t="s">
        <v>212</v>
      </c>
      <c r="B670" s="8" t="s">
        <v>3666</v>
      </c>
      <c r="C670" s="5" t="s">
        <v>70</v>
      </c>
      <c r="D670" s="8" t="s">
        <v>3667</v>
      </c>
      <c r="E670" s="7" t="s">
        <v>3668</v>
      </c>
      <c r="F670" s="7" t="s">
        <v>3669</v>
      </c>
      <c r="G670" s="7" t="s">
        <v>34</v>
      </c>
      <c r="H670" s="11" t="s">
        <v>3682</v>
      </c>
      <c r="I670" s="11" t="e">
        <f>VLOOKUP(H670,合同高级查询数据!$A$2:$A$51,1,FALSE)</f>
        <v>#N/A</v>
      </c>
      <c r="J670" s="12" t="s">
        <v>75</v>
      </c>
      <c r="K670" s="7" t="s">
        <v>3683</v>
      </c>
      <c r="L670" s="174" t="s">
        <v>3678</v>
      </c>
      <c r="M670" s="16"/>
      <c r="N670" s="21">
        <v>44232</v>
      </c>
      <c r="O670" s="21" t="s">
        <v>1798</v>
      </c>
      <c r="P670" s="146">
        <v>189000</v>
      </c>
      <c r="Q670" s="23">
        <v>5.5</v>
      </c>
      <c r="R670" s="146">
        <f t="shared" si="39"/>
        <v>1039500</v>
      </c>
      <c r="S670" s="28">
        <v>202306</v>
      </c>
      <c r="T670" s="29" t="s">
        <v>3684</v>
      </c>
      <c r="U670" s="31"/>
      <c r="V670" s="38">
        <v>5.3018824950000001</v>
      </c>
      <c r="W670" s="251">
        <v>5.6</v>
      </c>
      <c r="X670" s="250">
        <v>44256</v>
      </c>
      <c r="Y670" s="257">
        <v>45291</v>
      </c>
      <c r="Z670" s="8" t="s">
        <v>3685</v>
      </c>
      <c r="AA670" s="45">
        <v>0.1</v>
      </c>
      <c r="AB670" s="258">
        <v>40</v>
      </c>
      <c r="AC670" s="258">
        <f t="shared" si="40"/>
        <v>4</v>
      </c>
    </row>
    <row r="671" spans="1:29" s="2" customFormat="1" ht="15" customHeight="1">
      <c r="A671" s="9" t="s">
        <v>212</v>
      </c>
      <c r="B671" s="8" t="s">
        <v>3666</v>
      </c>
      <c r="C671" s="8" t="s">
        <v>70</v>
      </c>
      <c r="D671" s="8" t="s">
        <v>3667</v>
      </c>
      <c r="E671" s="9" t="s">
        <v>3668</v>
      </c>
      <c r="F671" s="9" t="s">
        <v>3669</v>
      </c>
      <c r="G671" s="9" t="s">
        <v>34</v>
      </c>
      <c r="H671" s="11" t="s">
        <v>3686</v>
      </c>
      <c r="I671" s="11" t="e">
        <f>VLOOKUP(H671,合同高级查询数据!$A$2:$A$51,1,FALSE)</f>
        <v>#N/A</v>
      </c>
      <c r="J671" s="12" t="s">
        <v>1359</v>
      </c>
      <c r="K671" s="9" t="s">
        <v>3687</v>
      </c>
      <c r="L671" s="15" t="s">
        <v>3688</v>
      </c>
      <c r="M671" s="16"/>
      <c r="N671" s="21" t="s">
        <v>3689</v>
      </c>
      <c r="O671" s="21" t="s">
        <v>3690</v>
      </c>
      <c r="P671" s="146">
        <v>30000</v>
      </c>
      <c r="Q671" s="23">
        <v>61.4</v>
      </c>
      <c r="R671" s="146">
        <f t="shared" si="39"/>
        <v>1842000</v>
      </c>
      <c r="S671" s="28">
        <v>202306</v>
      </c>
      <c r="T671" s="246" t="s">
        <v>3691</v>
      </c>
      <c r="U671" s="31"/>
      <c r="V671" s="38">
        <v>61.321563984999997</v>
      </c>
      <c r="W671" s="251">
        <v>61.4</v>
      </c>
      <c r="X671" s="250">
        <v>44652</v>
      </c>
      <c r="Y671" s="257">
        <v>45107</v>
      </c>
      <c r="Z671" s="8" t="s">
        <v>3692</v>
      </c>
      <c r="AA671" s="45">
        <v>0.16666666666666699</v>
      </c>
      <c r="AB671" s="258">
        <v>300</v>
      </c>
      <c r="AC671" s="258">
        <f t="shared" si="40"/>
        <v>50.000000000000099</v>
      </c>
    </row>
    <row r="672" spans="1:29" s="3" customFormat="1" ht="15" customHeight="1">
      <c r="A672" s="86" t="s">
        <v>267</v>
      </c>
      <c r="B672" s="49" t="s">
        <v>3666</v>
      </c>
      <c r="C672" s="65" t="s">
        <v>70</v>
      </c>
      <c r="D672" s="49" t="s">
        <v>3667</v>
      </c>
      <c r="E672" s="86" t="s">
        <v>3693</v>
      </c>
      <c r="F672" s="86" t="s">
        <v>3694</v>
      </c>
      <c r="G672" s="86" t="s">
        <v>34</v>
      </c>
      <c r="H672" s="53" t="s">
        <v>3695</v>
      </c>
      <c r="I672" s="53" t="e">
        <f>VLOOKUP(H672,合同高级查询数据!$A$2:$A$51,1,FALSE)</f>
        <v>#N/A</v>
      </c>
      <c r="J672" s="51" t="s">
        <v>36</v>
      </c>
      <c r="K672" s="86" t="s">
        <v>3696</v>
      </c>
      <c r="L672" s="175" t="s">
        <v>3697</v>
      </c>
      <c r="M672" s="65" t="s">
        <v>3698</v>
      </c>
      <c r="N672" s="55" t="s">
        <v>3699</v>
      </c>
      <c r="O672" s="55" t="s">
        <v>3700</v>
      </c>
      <c r="P672" s="150">
        <v>15000</v>
      </c>
      <c r="Q672" s="142">
        <v>8</v>
      </c>
      <c r="R672" s="150">
        <f t="shared" si="39"/>
        <v>120000</v>
      </c>
      <c r="S672" s="59">
        <v>202306</v>
      </c>
      <c r="T672" s="97" t="s">
        <v>3701</v>
      </c>
      <c r="U672" s="60"/>
      <c r="V672" s="62">
        <v>7.7977471349999998</v>
      </c>
      <c r="W672" s="252"/>
      <c r="X672" s="253"/>
      <c r="Y672" s="253"/>
      <c r="Z672" s="49" t="s">
        <v>3702</v>
      </c>
      <c r="AA672" s="200">
        <v>0.4</v>
      </c>
      <c r="AB672" s="259">
        <v>20</v>
      </c>
      <c r="AC672" s="259">
        <f t="shared" si="40"/>
        <v>8</v>
      </c>
    </row>
    <row r="673" spans="1:29" s="2" customFormat="1" ht="15" customHeight="1">
      <c r="A673" s="7" t="s">
        <v>267</v>
      </c>
      <c r="B673" s="8" t="s">
        <v>3666</v>
      </c>
      <c r="C673" s="5" t="s">
        <v>70</v>
      </c>
      <c r="D673" s="8" t="s">
        <v>3667</v>
      </c>
      <c r="E673" s="7" t="s">
        <v>3693</v>
      </c>
      <c r="F673" s="7" t="s">
        <v>3694</v>
      </c>
      <c r="G673" s="7" t="s">
        <v>34</v>
      </c>
      <c r="H673" s="11" t="s">
        <v>3703</v>
      </c>
      <c r="I673" s="11" t="e">
        <f>VLOOKUP(H673,合同高级查询数据!$A$2:$A$51,1,FALSE)</f>
        <v>#N/A</v>
      </c>
      <c r="J673" s="12" t="s">
        <v>1359</v>
      </c>
      <c r="K673" s="7" t="s">
        <v>3704</v>
      </c>
      <c r="L673" s="174" t="s">
        <v>3705</v>
      </c>
      <c r="M673" s="16"/>
      <c r="N673" s="21" t="s">
        <v>3706</v>
      </c>
      <c r="O673" s="21" t="s">
        <v>237</v>
      </c>
      <c r="P673" s="146">
        <v>35000</v>
      </c>
      <c r="Q673" s="23">
        <v>2.84</v>
      </c>
      <c r="R673" s="146">
        <f t="shared" si="39"/>
        <v>99400</v>
      </c>
      <c r="S673" s="28">
        <v>202305</v>
      </c>
      <c r="T673" s="246" t="s">
        <v>3707</v>
      </c>
      <c r="U673" s="31"/>
      <c r="V673" s="38"/>
      <c r="W673" s="39"/>
      <c r="X673" s="250">
        <v>43466</v>
      </c>
      <c r="Y673" s="250">
        <v>45657</v>
      </c>
      <c r="Z673" s="8"/>
      <c r="AA673" s="260"/>
      <c r="AB673" s="8"/>
      <c r="AC673" s="8"/>
    </row>
    <row r="674" spans="1:29" s="2" customFormat="1" ht="15" customHeight="1">
      <c r="A674" s="7" t="s">
        <v>267</v>
      </c>
      <c r="B674" s="8" t="s">
        <v>3666</v>
      </c>
      <c r="C674" s="5" t="s">
        <v>70</v>
      </c>
      <c r="D674" s="8" t="s">
        <v>3667</v>
      </c>
      <c r="E674" s="7" t="s">
        <v>3693</v>
      </c>
      <c r="F674" s="7" t="s">
        <v>3694</v>
      </c>
      <c r="G674" s="7" t="s">
        <v>34</v>
      </c>
      <c r="H674" s="11" t="s">
        <v>3703</v>
      </c>
      <c r="I674" s="11" t="e">
        <f>VLOOKUP(H674,合同高级查询数据!$A$2:$A$51,1,FALSE)</f>
        <v>#N/A</v>
      </c>
      <c r="J674" s="12" t="s">
        <v>1359</v>
      </c>
      <c r="K674" s="7" t="s">
        <v>3704</v>
      </c>
      <c r="L674" s="174" t="s">
        <v>3705</v>
      </c>
      <c r="M674" s="16"/>
      <c r="N674" s="21" t="s">
        <v>3706</v>
      </c>
      <c r="O674" s="21" t="s">
        <v>237</v>
      </c>
      <c r="P674" s="146">
        <v>35000</v>
      </c>
      <c r="Q674" s="23">
        <v>79</v>
      </c>
      <c r="R674" s="146">
        <f t="shared" si="39"/>
        <v>2765000</v>
      </c>
      <c r="S674" s="28">
        <v>202306</v>
      </c>
      <c r="T674" s="29" t="s">
        <v>3708</v>
      </c>
      <c r="U674" s="31"/>
      <c r="V674" s="38">
        <v>78.188626972958005</v>
      </c>
      <c r="W674" s="251"/>
      <c r="X674" s="250">
        <v>43466</v>
      </c>
      <c r="Y674" s="257">
        <v>45657</v>
      </c>
      <c r="Z674" s="8" t="s">
        <v>3709</v>
      </c>
      <c r="AA674" s="45">
        <v>0.3</v>
      </c>
      <c r="AB674" s="258">
        <v>240</v>
      </c>
      <c r="AC674" s="258">
        <f>AA674*AB674</f>
        <v>72</v>
      </c>
    </row>
    <row r="675" spans="1:29" s="3" customFormat="1" ht="15" customHeight="1">
      <c r="A675" s="86" t="s">
        <v>267</v>
      </c>
      <c r="B675" s="49" t="s">
        <v>3666</v>
      </c>
      <c r="C675" s="65" t="s">
        <v>70</v>
      </c>
      <c r="D675" s="49" t="s">
        <v>3667</v>
      </c>
      <c r="E675" s="86" t="s">
        <v>3693</v>
      </c>
      <c r="F675" s="86" t="s">
        <v>3694</v>
      </c>
      <c r="G675" s="86" t="s">
        <v>34</v>
      </c>
      <c r="H675" s="53" t="s">
        <v>3710</v>
      </c>
      <c r="I675" s="53" t="e">
        <f>VLOOKUP(H675,合同高级查询数据!$A$2:$A$51,1,FALSE)</f>
        <v>#N/A</v>
      </c>
      <c r="J675" s="51" t="s">
        <v>75</v>
      </c>
      <c r="K675" s="86" t="s">
        <v>3711</v>
      </c>
      <c r="L675" s="175" t="s">
        <v>3712</v>
      </c>
      <c r="M675" s="54"/>
      <c r="N675" s="55">
        <v>40330</v>
      </c>
      <c r="O675" s="55" t="s">
        <v>1798</v>
      </c>
      <c r="P675" s="150">
        <v>120000</v>
      </c>
      <c r="Q675" s="142">
        <v>8</v>
      </c>
      <c r="R675" s="150">
        <f t="shared" si="39"/>
        <v>960000</v>
      </c>
      <c r="S675" s="59">
        <v>202306</v>
      </c>
      <c r="T675" s="97" t="s">
        <v>3713</v>
      </c>
      <c r="U675" s="60"/>
      <c r="V675" s="62">
        <v>5.169839531</v>
      </c>
      <c r="W675" s="252"/>
      <c r="X675" s="253"/>
      <c r="Y675" s="261"/>
      <c r="Z675" s="49" t="s">
        <v>3714</v>
      </c>
      <c r="AA675" s="200">
        <v>0.2</v>
      </c>
      <c r="AB675" s="259">
        <v>40</v>
      </c>
      <c r="AC675" s="259">
        <f>AA675*AB675</f>
        <v>8</v>
      </c>
    </row>
    <row r="676" spans="1:29" s="2" customFormat="1" ht="15" customHeight="1">
      <c r="A676" s="7" t="s">
        <v>267</v>
      </c>
      <c r="B676" s="8" t="s">
        <v>3666</v>
      </c>
      <c r="C676" s="5" t="s">
        <v>70</v>
      </c>
      <c r="D676" s="8" t="s">
        <v>3667</v>
      </c>
      <c r="E676" s="9" t="s">
        <v>3693</v>
      </c>
      <c r="F676" s="7" t="s">
        <v>3715</v>
      </c>
      <c r="G676" s="7" t="s">
        <v>34</v>
      </c>
      <c r="H676" s="11" t="s">
        <v>3716</v>
      </c>
      <c r="I676" s="11" t="e">
        <f>VLOOKUP(H676,合同高级查询数据!$A$2:$A$51,1,FALSE)</f>
        <v>#N/A</v>
      </c>
      <c r="J676" s="12" t="s">
        <v>1359</v>
      </c>
      <c r="K676" s="7" t="s">
        <v>3717</v>
      </c>
      <c r="L676" s="174" t="s">
        <v>3715</v>
      </c>
      <c r="M676" s="16"/>
      <c r="N676" s="21">
        <v>42735</v>
      </c>
      <c r="O676" s="21" t="s">
        <v>1664</v>
      </c>
      <c r="P676" s="146">
        <v>50000</v>
      </c>
      <c r="Q676" s="23">
        <v>50</v>
      </c>
      <c r="R676" s="146">
        <f t="shared" si="39"/>
        <v>2500000</v>
      </c>
      <c r="S676" s="28">
        <v>202306</v>
      </c>
      <c r="T676" s="29" t="s">
        <v>3718</v>
      </c>
      <c r="U676" s="31"/>
      <c r="V676" s="38">
        <v>46.441663311794002</v>
      </c>
      <c r="W676" s="254"/>
      <c r="X676" s="250">
        <v>44470</v>
      </c>
      <c r="Y676" s="257">
        <v>46234</v>
      </c>
      <c r="Z676" s="8" t="s">
        <v>3719</v>
      </c>
      <c r="AA676" s="45">
        <v>0.3125</v>
      </c>
      <c r="AB676" s="258">
        <v>160</v>
      </c>
      <c r="AC676" s="258">
        <f>AA676*AB676</f>
        <v>50</v>
      </c>
    </row>
    <row r="677" spans="1:29" s="2" customFormat="1" ht="15" customHeight="1">
      <c r="A677" s="7" t="s">
        <v>267</v>
      </c>
      <c r="B677" s="8" t="s">
        <v>3666</v>
      </c>
      <c r="C677" s="5" t="s">
        <v>70</v>
      </c>
      <c r="D677" s="8" t="s">
        <v>3667</v>
      </c>
      <c r="E677" s="9" t="s">
        <v>3693</v>
      </c>
      <c r="F677" s="7" t="s">
        <v>3715</v>
      </c>
      <c r="G677" s="7" t="s">
        <v>34</v>
      </c>
      <c r="H677" s="11" t="s">
        <v>3716</v>
      </c>
      <c r="I677" s="11" t="e">
        <f>VLOOKUP(H677,合同高级查询数据!$A$2:$A$51,1,FALSE)</f>
        <v>#N/A</v>
      </c>
      <c r="J677" s="12" t="s">
        <v>1359</v>
      </c>
      <c r="K677" s="7" t="s">
        <v>3717</v>
      </c>
      <c r="L677" s="174" t="s">
        <v>3715</v>
      </c>
      <c r="M677" s="16"/>
      <c r="N677" s="21">
        <v>42735</v>
      </c>
      <c r="O677" s="21" t="s">
        <v>1664</v>
      </c>
      <c r="P677" s="146">
        <v>30000</v>
      </c>
      <c r="Q677" s="23">
        <v>0</v>
      </c>
      <c r="R677" s="146">
        <f t="shared" si="39"/>
        <v>0</v>
      </c>
      <c r="S677" s="28">
        <v>202306</v>
      </c>
      <c r="T677" s="29" t="s">
        <v>3720</v>
      </c>
      <c r="U677" s="31"/>
      <c r="V677" s="38">
        <v>46.441663311794002</v>
      </c>
      <c r="W677" s="254"/>
      <c r="X677" s="250">
        <v>44470</v>
      </c>
      <c r="Y677" s="257">
        <v>46234</v>
      </c>
      <c r="Z677" s="8" t="s">
        <v>3719</v>
      </c>
      <c r="AA677" s="45">
        <v>0.3125</v>
      </c>
      <c r="AB677" s="258">
        <v>160</v>
      </c>
      <c r="AC677" s="258">
        <f>AA677*AB677</f>
        <v>50</v>
      </c>
    </row>
    <row r="678" spans="1:29" s="2" customFormat="1" ht="15" customHeight="1">
      <c r="A678" s="7" t="s">
        <v>267</v>
      </c>
      <c r="B678" s="8" t="s">
        <v>3666</v>
      </c>
      <c r="C678" s="5" t="s">
        <v>70</v>
      </c>
      <c r="D678" s="8" t="s">
        <v>3667</v>
      </c>
      <c r="E678" s="7" t="s">
        <v>3721</v>
      </c>
      <c r="F678" s="7" t="s">
        <v>3722</v>
      </c>
      <c r="G678" s="7" t="s">
        <v>34</v>
      </c>
      <c r="H678" s="11" t="s">
        <v>3723</v>
      </c>
      <c r="I678" s="11" t="e">
        <f>VLOOKUP(H678,合同高级查询数据!$A$2:$A$51,1,FALSE)</f>
        <v>#N/A</v>
      </c>
      <c r="J678" s="12" t="s">
        <v>75</v>
      </c>
      <c r="K678" s="7" t="s">
        <v>3724</v>
      </c>
      <c r="L678" s="174" t="s">
        <v>3725</v>
      </c>
      <c r="M678" s="16"/>
      <c r="N678" s="21">
        <v>43343</v>
      </c>
      <c r="O678" s="21" t="s">
        <v>3726</v>
      </c>
      <c r="P678" s="146">
        <v>3500</v>
      </c>
      <c r="Q678" s="23">
        <v>20</v>
      </c>
      <c r="R678" s="146">
        <f t="shared" si="39"/>
        <v>70000</v>
      </c>
      <c r="S678" s="28">
        <v>202306</v>
      </c>
      <c r="T678" s="29" t="s">
        <v>3727</v>
      </c>
      <c r="U678" s="31"/>
      <c r="V678" s="38">
        <v>2.131501326</v>
      </c>
      <c r="W678" s="254"/>
      <c r="X678" s="250">
        <v>44550</v>
      </c>
      <c r="Y678" s="257">
        <v>45279</v>
      </c>
      <c r="Z678" s="8" t="s">
        <v>3728</v>
      </c>
      <c r="AA678" s="45">
        <v>1</v>
      </c>
      <c r="AB678" s="258">
        <v>20</v>
      </c>
      <c r="AC678" s="258">
        <v>20</v>
      </c>
    </row>
    <row r="679" spans="1:29" s="2" customFormat="1" ht="15" customHeight="1">
      <c r="A679" s="7" t="s">
        <v>267</v>
      </c>
      <c r="B679" s="8" t="s">
        <v>3666</v>
      </c>
      <c r="C679" s="5" t="s">
        <v>70</v>
      </c>
      <c r="D679" s="8" t="s">
        <v>3667</v>
      </c>
      <c r="E679" s="7" t="s">
        <v>3721</v>
      </c>
      <c r="F679" s="7" t="s">
        <v>3722</v>
      </c>
      <c r="G679" s="7" t="s">
        <v>34</v>
      </c>
      <c r="H679" s="11" t="s">
        <v>3723</v>
      </c>
      <c r="I679" s="11" t="e">
        <f>VLOOKUP(H679,合同高级查询数据!$A$2:$A$51,1,FALSE)</f>
        <v>#N/A</v>
      </c>
      <c r="J679" s="12" t="s">
        <v>36</v>
      </c>
      <c r="K679" s="7" t="s">
        <v>3722</v>
      </c>
      <c r="L679" s="174" t="s">
        <v>3729</v>
      </c>
      <c r="M679" s="16"/>
      <c r="N679" s="21">
        <v>43343</v>
      </c>
      <c r="O679" s="21" t="s">
        <v>1664</v>
      </c>
      <c r="P679" s="146">
        <v>4500</v>
      </c>
      <c r="Q679" s="23">
        <v>64</v>
      </c>
      <c r="R679" s="146">
        <f t="shared" si="39"/>
        <v>288000</v>
      </c>
      <c r="S679" s="28">
        <v>202306</v>
      </c>
      <c r="T679" s="29" t="s">
        <v>3730</v>
      </c>
      <c r="U679" s="31"/>
      <c r="V679" s="38">
        <v>63.659992217999999</v>
      </c>
      <c r="W679" s="251"/>
      <c r="X679" s="250">
        <v>44550</v>
      </c>
      <c r="Y679" s="257">
        <v>45279</v>
      </c>
      <c r="Z679" s="8" t="s">
        <v>3731</v>
      </c>
      <c r="AA679" s="45">
        <v>0.4</v>
      </c>
      <c r="AB679" s="258">
        <v>160</v>
      </c>
      <c r="AC679" s="258">
        <f t="shared" ref="AC679:AC696" si="41">AA679*AB679</f>
        <v>64</v>
      </c>
    </row>
    <row r="680" spans="1:29" s="3" customFormat="1" ht="15" customHeight="1">
      <c r="A680" s="86" t="s">
        <v>267</v>
      </c>
      <c r="B680" s="49" t="s">
        <v>3666</v>
      </c>
      <c r="C680" s="65" t="s">
        <v>70</v>
      </c>
      <c r="D680" s="49" t="s">
        <v>3667</v>
      </c>
      <c r="E680" s="86" t="s">
        <v>3721</v>
      </c>
      <c r="F680" s="86" t="s">
        <v>3722</v>
      </c>
      <c r="G680" s="86" t="s">
        <v>34</v>
      </c>
      <c r="H680" s="53" t="s">
        <v>3732</v>
      </c>
      <c r="I680" s="53" t="e">
        <f>VLOOKUP(H680,合同高级查询数据!$A$2:$A$51,1,FALSE)</f>
        <v>#N/A</v>
      </c>
      <c r="J680" s="51" t="s">
        <v>36</v>
      </c>
      <c r="K680" s="86" t="s">
        <v>3722</v>
      </c>
      <c r="L680" s="175" t="s">
        <v>3733</v>
      </c>
      <c r="M680" s="54" t="s">
        <v>3734</v>
      </c>
      <c r="N680" s="55">
        <v>45079</v>
      </c>
      <c r="O680" s="55" t="s">
        <v>277</v>
      </c>
      <c r="P680" s="150">
        <v>4500</v>
      </c>
      <c r="Q680" s="142">
        <v>38.67</v>
      </c>
      <c r="R680" s="150">
        <f t="shared" si="39"/>
        <v>174015</v>
      </c>
      <c r="S680" s="59">
        <v>202306</v>
      </c>
      <c r="T680" s="97" t="s">
        <v>3735</v>
      </c>
      <c r="U680" s="60"/>
      <c r="V680" s="62">
        <v>36.060794829999999</v>
      </c>
      <c r="W680" s="252"/>
      <c r="X680" s="253"/>
      <c r="Y680" s="261"/>
      <c r="Z680" s="49" t="s">
        <v>3736</v>
      </c>
      <c r="AA680" s="200">
        <v>0.4</v>
      </c>
      <c r="AB680" s="262">
        <v>100</v>
      </c>
      <c r="AC680" s="259">
        <f t="shared" si="41"/>
        <v>40</v>
      </c>
    </row>
    <row r="681" spans="1:29" s="3" customFormat="1" ht="15" customHeight="1">
      <c r="A681" s="50" t="s">
        <v>260</v>
      </c>
      <c r="B681" s="49" t="s">
        <v>3666</v>
      </c>
      <c r="C681" s="49" t="s">
        <v>2519</v>
      </c>
      <c r="D681" s="49" t="s">
        <v>3737</v>
      </c>
      <c r="E681" s="50" t="s">
        <v>3738</v>
      </c>
      <c r="F681" s="50" t="s">
        <v>3739</v>
      </c>
      <c r="G681" s="50" t="s">
        <v>34</v>
      </c>
      <c r="H681" s="53" t="s">
        <v>3740</v>
      </c>
      <c r="I681" s="53" t="e">
        <f>VLOOKUP(H681,合同高级查询数据!$A$2:$A$51,1,FALSE)</f>
        <v>#N/A</v>
      </c>
      <c r="J681" s="51" t="s">
        <v>36</v>
      </c>
      <c r="K681" s="50" t="s">
        <v>2521</v>
      </c>
      <c r="L681" s="52" t="s">
        <v>3741</v>
      </c>
      <c r="M681" s="54"/>
      <c r="N681" s="55" t="s">
        <v>3742</v>
      </c>
      <c r="O681" s="55" t="s">
        <v>1498</v>
      </c>
      <c r="P681" s="57">
        <v>9500</v>
      </c>
      <c r="Q681" s="142"/>
      <c r="R681" s="57">
        <f t="shared" si="39"/>
        <v>0</v>
      </c>
      <c r="S681" s="59">
        <v>202306</v>
      </c>
      <c r="T681" s="100" t="s">
        <v>3743</v>
      </c>
      <c r="U681" s="60"/>
      <c r="V681" s="62">
        <v>0</v>
      </c>
      <c r="W681" s="255"/>
      <c r="X681" s="55"/>
      <c r="Y681" s="55"/>
      <c r="Z681" s="245" t="s">
        <v>3744</v>
      </c>
      <c r="AA681" s="201">
        <v>0.3</v>
      </c>
      <c r="AB681" s="263">
        <v>0</v>
      </c>
      <c r="AC681" s="263">
        <f t="shared" si="41"/>
        <v>0</v>
      </c>
    </row>
    <row r="682" spans="1:29" s="3" customFormat="1" ht="15" customHeight="1">
      <c r="A682" s="50" t="s">
        <v>260</v>
      </c>
      <c r="B682" s="49" t="s">
        <v>3666</v>
      </c>
      <c r="C682" s="49" t="s">
        <v>2519</v>
      </c>
      <c r="D682" s="49" t="s">
        <v>3737</v>
      </c>
      <c r="E682" s="50" t="s">
        <v>3738</v>
      </c>
      <c r="F682" s="50" t="s">
        <v>3739</v>
      </c>
      <c r="G682" s="50" t="s">
        <v>34</v>
      </c>
      <c r="H682" s="53" t="s">
        <v>3740</v>
      </c>
      <c r="I682" s="53" t="e">
        <f>VLOOKUP(H682,合同高级查询数据!$A$2:$A$51,1,FALSE)</f>
        <v>#N/A</v>
      </c>
      <c r="J682" s="51" t="s">
        <v>36</v>
      </c>
      <c r="K682" s="50" t="s">
        <v>2521</v>
      </c>
      <c r="L682" s="52" t="s">
        <v>3745</v>
      </c>
      <c r="M682" s="54"/>
      <c r="N682" s="94" t="s">
        <v>3746</v>
      </c>
      <c r="O682" s="55" t="s">
        <v>3747</v>
      </c>
      <c r="P682" s="57">
        <v>9500</v>
      </c>
      <c r="Q682" s="142">
        <v>60.8</v>
      </c>
      <c r="R682" s="57">
        <f t="shared" si="39"/>
        <v>577600</v>
      </c>
      <c r="S682" s="59">
        <v>202306</v>
      </c>
      <c r="T682" s="247" t="s">
        <v>3748</v>
      </c>
      <c r="U682" s="60"/>
      <c r="V682" s="62">
        <v>60.731430054</v>
      </c>
      <c r="W682" s="255"/>
      <c r="X682" s="55"/>
      <c r="Y682" s="55"/>
      <c r="Z682" s="245" t="s">
        <v>3749</v>
      </c>
      <c r="AA682" s="201">
        <v>0.3</v>
      </c>
      <c r="AB682" s="263">
        <v>200</v>
      </c>
      <c r="AC682" s="263">
        <f t="shared" si="41"/>
        <v>60</v>
      </c>
    </row>
    <row r="683" spans="1:29" s="3" customFormat="1" ht="15" customHeight="1">
      <c r="A683" s="50" t="s">
        <v>260</v>
      </c>
      <c r="B683" s="49" t="s">
        <v>3666</v>
      </c>
      <c r="C683" s="49" t="s">
        <v>2519</v>
      </c>
      <c r="D683" s="49" t="s">
        <v>3737</v>
      </c>
      <c r="E683" s="50" t="s">
        <v>3738</v>
      </c>
      <c r="F683" s="50" t="s">
        <v>3739</v>
      </c>
      <c r="G683" s="50" t="s">
        <v>34</v>
      </c>
      <c r="H683" s="53" t="s">
        <v>3740</v>
      </c>
      <c r="I683" s="53" t="e">
        <f>VLOOKUP(H683,合同高级查询数据!$A$2:$A$51,1,FALSE)</f>
        <v>#N/A</v>
      </c>
      <c r="J683" s="51" t="s">
        <v>36</v>
      </c>
      <c r="K683" s="50" t="s">
        <v>2521</v>
      </c>
      <c r="L683" s="52" t="s">
        <v>3750</v>
      </c>
      <c r="M683" s="54"/>
      <c r="N683" s="55" t="s">
        <v>3751</v>
      </c>
      <c r="O683" s="55" t="s">
        <v>1664</v>
      </c>
      <c r="P683" s="57">
        <v>9500</v>
      </c>
      <c r="Q683" s="142">
        <v>48.4</v>
      </c>
      <c r="R683" s="57">
        <f t="shared" si="39"/>
        <v>459800</v>
      </c>
      <c r="S683" s="59">
        <v>202306</v>
      </c>
      <c r="T683" s="247" t="s">
        <v>3752</v>
      </c>
      <c r="U683" s="60"/>
      <c r="V683" s="62">
        <v>48.402576447000001</v>
      </c>
      <c r="W683" s="255"/>
      <c r="X683" s="55"/>
      <c r="Y683" s="55"/>
      <c r="Z683" s="245" t="s">
        <v>3753</v>
      </c>
      <c r="AA683" s="201">
        <v>0.3</v>
      </c>
      <c r="AB683" s="263">
        <v>160</v>
      </c>
      <c r="AC683" s="263">
        <f t="shared" si="41"/>
        <v>48</v>
      </c>
    </row>
    <row r="684" spans="1:29" s="3" customFormat="1" ht="15" customHeight="1">
      <c r="A684" s="50" t="s">
        <v>260</v>
      </c>
      <c r="B684" s="49" t="s">
        <v>3666</v>
      </c>
      <c r="C684" s="49" t="s">
        <v>2519</v>
      </c>
      <c r="D684" s="49" t="s">
        <v>3737</v>
      </c>
      <c r="E684" s="50" t="s">
        <v>3738</v>
      </c>
      <c r="F684" s="50" t="s">
        <v>3739</v>
      </c>
      <c r="G684" s="50" t="s">
        <v>34</v>
      </c>
      <c r="H684" s="53" t="s">
        <v>3740</v>
      </c>
      <c r="I684" s="53" t="e">
        <f>VLOOKUP(H684,合同高级查询数据!$A$2:$A$51,1,FALSE)</f>
        <v>#N/A</v>
      </c>
      <c r="J684" s="51" t="s">
        <v>36</v>
      </c>
      <c r="K684" s="50" t="s">
        <v>2521</v>
      </c>
      <c r="L684" s="52" t="s">
        <v>3754</v>
      </c>
      <c r="M684" s="54"/>
      <c r="N684" s="55" t="s">
        <v>3751</v>
      </c>
      <c r="O684" s="55" t="s">
        <v>1664</v>
      </c>
      <c r="P684" s="57">
        <v>9500</v>
      </c>
      <c r="Q684" s="142">
        <v>48</v>
      </c>
      <c r="R684" s="57">
        <f t="shared" si="39"/>
        <v>456000</v>
      </c>
      <c r="S684" s="59">
        <v>202306</v>
      </c>
      <c r="T684" s="247" t="s">
        <v>3755</v>
      </c>
      <c r="U684" s="60"/>
      <c r="V684" s="62">
        <v>47.970268249999997</v>
      </c>
      <c r="W684" s="255"/>
      <c r="X684" s="55"/>
      <c r="Y684" s="55"/>
      <c r="Z684" s="245" t="s">
        <v>3756</v>
      </c>
      <c r="AA684" s="201">
        <v>0.3</v>
      </c>
      <c r="AB684" s="263">
        <v>160</v>
      </c>
      <c r="AC684" s="263">
        <f t="shared" si="41"/>
        <v>48</v>
      </c>
    </row>
    <row r="685" spans="1:29" s="3" customFormat="1" ht="15" customHeight="1">
      <c r="A685" s="50" t="s">
        <v>260</v>
      </c>
      <c r="B685" s="49" t="s">
        <v>3666</v>
      </c>
      <c r="C685" s="49" t="s">
        <v>2519</v>
      </c>
      <c r="D685" s="49" t="s">
        <v>3737</v>
      </c>
      <c r="E685" s="50" t="s">
        <v>3738</v>
      </c>
      <c r="F685" s="50" t="s">
        <v>3739</v>
      </c>
      <c r="G685" s="50" t="s">
        <v>34</v>
      </c>
      <c r="H685" s="53" t="s">
        <v>3740</v>
      </c>
      <c r="I685" s="53" t="e">
        <f>VLOOKUP(H685,合同高级查询数据!$A$2:$A$51,1,FALSE)</f>
        <v>#N/A</v>
      </c>
      <c r="J685" s="51" t="s">
        <v>36</v>
      </c>
      <c r="K685" s="50" t="s">
        <v>3757</v>
      </c>
      <c r="L685" s="52" t="s">
        <v>3758</v>
      </c>
      <c r="M685" s="54"/>
      <c r="N685" s="55" t="s">
        <v>3759</v>
      </c>
      <c r="O685" s="55" t="s">
        <v>1779</v>
      </c>
      <c r="P685" s="57">
        <v>9500</v>
      </c>
      <c r="Q685" s="142"/>
      <c r="R685" s="57">
        <f t="shared" si="39"/>
        <v>0</v>
      </c>
      <c r="S685" s="59">
        <v>202306</v>
      </c>
      <c r="T685" s="100" t="s">
        <v>3760</v>
      </c>
      <c r="U685" s="60"/>
      <c r="V685" s="62">
        <v>0</v>
      </c>
      <c r="W685" s="255"/>
      <c r="X685" s="55"/>
      <c r="Y685" s="55"/>
      <c r="Z685" s="245" t="s">
        <v>3761</v>
      </c>
      <c r="AA685" s="201">
        <v>0.3</v>
      </c>
      <c r="AB685" s="263">
        <v>0</v>
      </c>
      <c r="AC685" s="263">
        <f t="shared" si="41"/>
        <v>0</v>
      </c>
    </row>
    <row r="686" spans="1:29" s="3" customFormat="1" ht="15" customHeight="1">
      <c r="A686" s="65" t="s">
        <v>260</v>
      </c>
      <c r="B686" s="49" t="s">
        <v>3762</v>
      </c>
      <c r="C686" s="86" t="s">
        <v>1758</v>
      </c>
      <c r="D686" s="86" t="s">
        <v>3737</v>
      </c>
      <c r="E686" s="65" t="s">
        <v>3763</v>
      </c>
      <c r="F686" s="65" t="s">
        <v>3764</v>
      </c>
      <c r="G686" s="87" t="s">
        <v>34</v>
      </c>
      <c r="H686" s="88" t="s">
        <v>3765</v>
      </c>
      <c r="I686" s="53" t="e">
        <f>VLOOKUP(H686,合同高级查询数据!$A$2:$A$51,1,FALSE)</f>
        <v>#N/A</v>
      </c>
      <c r="J686" s="88" t="s">
        <v>36</v>
      </c>
      <c r="K686" s="65" t="s">
        <v>3766</v>
      </c>
      <c r="L686" s="87" t="s">
        <v>3767</v>
      </c>
      <c r="M686" s="54"/>
      <c r="N686" s="55" t="s">
        <v>3768</v>
      </c>
      <c r="O686" s="87" t="s">
        <v>3769</v>
      </c>
      <c r="P686" s="57">
        <v>9500</v>
      </c>
      <c r="Q686" s="142">
        <v>7.2</v>
      </c>
      <c r="R686" s="57">
        <f t="shared" si="39"/>
        <v>68400</v>
      </c>
      <c r="S686" s="59">
        <v>202306</v>
      </c>
      <c r="T686" s="97" t="s">
        <v>3770</v>
      </c>
      <c r="U686" s="97"/>
      <c r="V686" s="62">
        <v>7.1713047889999997</v>
      </c>
      <c r="W686" s="106"/>
      <c r="X686" s="55"/>
      <c r="Y686" s="55"/>
      <c r="Z686" s="245" t="s">
        <v>3771</v>
      </c>
      <c r="AA686" s="201">
        <v>0.3</v>
      </c>
      <c r="AB686" s="263">
        <v>20</v>
      </c>
      <c r="AC686" s="263">
        <f t="shared" si="41"/>
        <v>6</v>
      </c>
    </row>
    <row r="687" spans="1:29" s="3" customFormat="1" ht="15" customHeight="1">
      <c r="A687" s="50" t="s">
        <v>260</v>
      </c>
      <c r="B687" s="49" t="s">
        <v>3666</v>
      </c>
      <c r="C687" s="49" t="s">
        <v>3772</v>
      </c>
      <c r="D687" s="49" t="s">
        <v>3737</v>
      </c>
      <c r="E687" s="50" t="s">
        <v>3773</v>
      </c>
      <c r="F687" s="50" t="s">
        <v>3774</v>
      </c>
      <c r="G687" s="50" t="s">
        <v>34</v>
      </c>
      <c r="H687" s="53" t="s">
        <v>3775</v>
      </c>
      <c r="I687" s="53" t="e">
        <f>VLOOKUP(H687,合同高级查询数据!$A$2:$A$51,1,FALSE)</f>
        <v>#N/A</v>
      </c>
      <c r="J687" s="51" t="s">
        <v>36</v>
      </c>
      <c r="K687" s="50" t="s">
        <v>3776</v>
      </c>
      <c r="L687" s="52" t="s">
        <v>3777</v>
      </c>
      <c r="M687" s="54"/>
      <c r="N687" s="55" t="s">
        <v>3778</v>
      </c>
      <c r="O687" s="55" t="s">
        <v>1498</v>
      </c>
      <c r="P687" s="57">
        <v>9500</v>
      </c>
      <c r="Q687" s="142"/>
      <c r="R687" s="57">
        <f t="shared" si="39"/>
        <v>0</v>
      </c>
      <c r="S687" s="59">
        <v>202306</v>
      </c>
      <c r="T687" s="100" t="s">
        <v>3779</v>
      </c>
      <c r="U687" s="60"/>
      <c r="V687" s="62">
        <v>0</v>
      </c>
      <c r="W687" s="255"/>
      <c r="X687" s="55"/>
      <c r="Y687" s="55"/>
      <c r="Z687" s="245" t="s">
        <v>3780</v>
      </c>
      <c r="AA687" s="201"/>
      <c r="AB687" s="263">
        <v>0</v>
      </c>
      <c r="AC687" s="263">
        <f t="shared" si="41"/>
        <v>0</v>
      </c>
    </row>
    <row r="688" spans="1:29" s="3" customFormat="1" ht="15" customHeight="1">
      <c r="A688" s="50" t="s">
        <v>260</v>
      </c>
      <c r="B688" s="49" t="s">
        <v>3666</v>
      </c>
      <c r="C688" s="49" t="s">
        <v>3772</v>
      </c>
      <c r="D688" s="49" t="s">
        <v>3737</v>
      </c>
      <c r="E688" s="50" t="s">
        <v>3773</v>
      </c>
      <c r="F688" s="50" t="s">
        <v>3774</v>
      </c>
      <c r="G688" s="50" t="s">
        <v>34</v>
      </c>
      <c r="H688" s="53" t="s">
        <v>3775</v>
      </c>
      <c r="I688" s="53" t="e">
        <f>VLOOKUP(H688,合同高级查询数据!$A$2:$A$51,1,FALSE)</f>
        <v>#N/A</v>
      </c>
      <c r="J688" s="51" t="s">
        <v>36</v>
      </c>
      <c r="K688" s="50" t="s">
        <v>3781</v>
      </c>
      <c r="L688" s="52" t="s">
        <v>3782</v>
      </c>
      <c r="M688" s="54"/>
      <c r="N688" s="55" t="s">
        <v>3778</v>
      </c>
      <c r="O688" s="55" t="s">
        <v>3783</v>
      </c>
      <c r="P688" s="57">
        <v>9500</v>
      </c>
      <c r="Q688" s="142">
        <v>9</v>
      </c>
      <c r="R688" s="57">
        <f t="shared" si="39"/>
        <v>85500</v>
      </c>
      <c r="S688" s="59">
        <v>202306</v>
      </c>
      <c r="T688" s="100" t="s">
        <v>3784</v>
      </c>
      <c r="U688" s="60"/>
      <c r="V688" s="62">
        <v>8.5480775829999995</v>
      </c>
      <c r="W688" s="255"/>
      <c r="X688" s="55"/>
      <c r="Y688" s="55"/>
      <c r="Z688" s="245" t="s">
        <v>3785</v>
      </c>
      <c r="AA688" s="201">
        <v>0.3</v>
      </c>
      <c r="AB688" s="263">
        <v>30</v>
      </c>
      <c r="AC688" s="263">
        <f t="shared" si="41"/>
        <v>9</v>
      </c>
    </row>
    <row r="689" spans="1:29" s="3" customFormat="1" ht="15" customHeight="1">
      <c r="A689" s="50" t="s">
        <v>260</v>
      </c>
      <c r="B689" s="49" t="s">
        <v>3666</v>
      </c>
      <c r="C689" s="49" t="s">
        <v>3772</v>
      </c>
      <c r="D689" s="49" t="s">
        <v>3737</v>
      </c>
      <c r="E689" s="50" t="s">
        <v>3773</v>
      </c>
      <c r="F689" s="50" t="s">
        <v>3774</v>
      </c>
      <c r="G689" s="50" t="s">
        <v>34</v>
      </c>
      <c r="H689" s="53" t="s">
        <v>3775</v>
      </c>
      <c r="I689" s="53" t="e">
        <f>VLOOKUP(H689,合同高级查询数据!$A$2:$A$51,1,FALSE)</f>
        <v>#N/A</v>
      </c>
      <c r="J689" s="51" t="s">
        <v>36</v>
      </c>
      <c r="K689" s="50" t="s">
        <v>3786</v>
      </c>
      <c r="L689" s="52" t="s">
        <v>3787</v>
      </c>
      <c r="M689" s="54"/>
      <c r="N689" s="55" t="s">
        <v>3788</v>
      </c>
      <c r="O689" s="55" t="s">
        <v>3789</v>
      </c>
      <c r="P689" s="57">
        <v>9500</v>
      </c>
      <c r="Q689" s="142"/>
      <c r="R689" s="57">
        <f t="shared" si="39"/>
        <v>0</v>
      </c>
      <c r="S689" s="59">
        <v>202306</v>
      </c>
      <c r="T689" s="100" t="s">
        <v>3790</v>
      </c>
      <c r="U689" s="60"/>
      <c r="V689" s="62">
        <v>0</v>
      </c>
      <c r="W689" s="255"/>
      <c r="X689" s="55"/>
      <c r="Y689" s="55"/>
      <c r="Z689" s="245" t="s">
        <v>3791</v>
      </c>
      <c r="AA689" s="201">
        <v>0</v>
      </c>
      <c r="AB689" s="263">
        <v>0</v>
      </c>
      <c r="AC689" s="263">
        <f t="shared" si="41"/>
        <v>0</v>
      </c>
    </row>
    <row r="690" spans="1:29" s="3" customFormat="1" ht="15" customHeight="1">
      <c r="A690" s="86" t="s">
        <v>260</v>
      </c>
      <c r="B690" s="50" t="s">
        <v>3792</v>
      </c>
      <c r="C690" s="86" t="s">
        <v>1801</v>
      </c>
      <c r="D690" s="65" t="s">
        <v>3737</v>
      </c>
      <c r="E690" s="86" t="s">
        <v>3793</v>
      </c>
      <c r="F690" s="86" t="s">
        <v>3794</v>
      </c>
      <c r="G690" s="86" t="s">
        <v>34</v>
      </c>
      <c r="H690" s="53" t="s">
        <v>3795</v>
      </c>
      <c r="I690" s="53" t="e">
        <f>VLOOKUP(H690,合同高级查询数据!$A$2:$A$51,1,FALSE)</f>
        <v>#N/A</v>
      </c>
      <c r="J690" s="51" t="s">
        <v>36</v>
      </c>
      <c r="K690" s="86" t="s">
        <v>3796</v>
      </c>
      <c r="L690" s="175" t="s">
        <v>3794</v>
      </c>
      <c r="M690" s="54" t="s">
        <v>3797</v>
      </c>
      <c r="N690" s="180">
        <v>43344</v>
      </c>
      <c r="O690" s="245">
        <v>0</v>
      </c>
      <c r="P690" s="57">
        <v>9500</v>
      </c>
      <c r="Q690" s="142"/>
      <c r="R690" s="57">
        <f t="shared" si="39"/>
        <v>0</v>
      </c>
      <c r="S690" s="59">
        <v>202306</v>
      </c>
      <c r="T690" s="185" t="s">
        <v>3798</v>
      </c>
      <c r="U690" s="185"/>
      <c r="V690" s="62">
        <v>0</v>
      </c>
      <c r="W690" s="256"/>
      <c r="X690" s="55"/>
      <c r="Y690" s="55"/>
      <c r="Z690" s="245" t="s">
        <v>3799</v>
      </c>
      <c r="AA690" s="201"/>
      <c r="AB690" s="263">
        <v>0</v>
      </c>
      <c r="AC690" s="263">
        <f t="shared" si="41"/>
        <v>0</v>
      </c>
    </row>
    <row r="691" spans="1:29" s="3" customFormat="1" ht="15" customHeight="1">
      <c r="A691" s="86" t="s">
        <v>260</v>
      </c>
      <c r="B691" s="50" t="s">
        <v>3792</v>
      </c>
      <c r="C691" s="86" t="s">
        <v>1801</v>
      </c>
      <c r="D691" s="65" t="s">
        <v>3737</v>
      </c>
      <c r="E691" s="86" t="s">
        <v>3793</v>
      </c>
      <c r="F691" s="86" t="s">
        <v>3794</v>
      </c>
      <c r="G691" s="86" t="s">
        <v>34</v>
      </c>
      <c r="H691" s="53" t="s">
        <v>3795</v>
      </c>
      <c r="I691" s="53" t="e">
        <f>VLOOKUP(H691,合同高级查询数据!$A$2:$A$51,1,FALSE)</f>
        <v>#N/A</v>
      </c>
      <c r="J691" s="51" t="s">
        <v>36</v>
      </c>
      <c r="K691" s="86" t="s">
        <v>3800</v>
      </c>
      <c r="L691" s="175" t="s">
        <v>3800</v>
      </c>
      <c r="M691" s="54" t="s">
        <v>3797</v>
      </c>
      <c r="N691" s="180" t="s">
        <v>3801</v>
      </c>
      <c r="O691" s="86" t="s">
        <v>3802</v>
      </c>
      <c r="P691" s="57">
        <v>9500</v>
      </c>
      <c r="Q691" s="142">
        <v>6.3</v>
      </c>
      <c r="R691" s="57">
        <f t="shared" si="39"/>
        <v>59850</v>
      </c>
      <c r="S691" s="59">
        <v>202306</v>
      </c>
      <c r="T691" s="185" t="s">
        <v>3803</v>
      </c>
      <c r="U691" s="185"/>
      <c r="V691" s="62">
        <v>6.2807092669999998</v>
      </c>
      <c r="W691" s="256"/>
      <c r="X691" s="55"/>
      <c r="Y691" s="55"/>
      <c r="Z691" s="245" t="s">
        <v>3804</v>
      </c>
      <c r="AA691" s="201">
        <v>0.3</v>
      </c>
      <c r="AB691" s="263">
        <v>20</v>
      </c>
      <c r="AC691" s="263">
        <f t="shared" si="41"/>
        <v>6</v>
      </c>
    </row>
    <row r="692" spans="1:29" s="3" customFormat="1" ht="15" customHeight="1">
      <c r="A692" s="65" t="s">
        <v>260</v>
      </c>
      <c r="B692" s="49" t="s">
        <v>3762</v>
      </c>
      <c r="C692" s="86" t="s">
        <v>1902</v>
      </c>
      <c r="D692" s="86" t="s">
        <v>3737</v>
      </c>
      <c r="E692" s="65" t="s">
        <v>3805</v>
      </c>
      <c r="F692" s="65" t="s">
        <v>3806</v>
      </c>
      <c r="G692" s="87" t="s">
        <v>34</v>
      </c>
      <c r="H692" s="50" t="s">
        <v>3807</v>
      </c>
      <c r="I692" s="53" t="e">
        <f>VLOOKUP(H692,合同高级查询数据!$A$2:$A$51,1,FALSE)</f>
        <v>#N/A</v>
      </c>
      <c r="J692" s="88" t="s">
        <v>36</v>
      </c>
      <c r="K692" s="65" t="s">
        <v>3808</v>
      </c>
      <c r="L692" s="87" t="s">
        <v>3806</v>
      </c>
      <c r="M692" s="54"/>
      <c r="N692" s="55" t="s">
        <v>3809</v>
      </c>
      <c r="O692" s="87" t="s">
        <v>3810</v>
      </c>
      <c r="P692" s="57">
        <v>9500</v>
      </c>
      <c r="Q692" s="142"/>
      <c r="R692" s="57">
        <f t="shared" si="39"/>
        <v>0</v>
      </c>
      <c r="S692" s="59">
        <v>202306</v>
      </c>
      <c r="T692" s="97" t="s">
        <v>3811</v>
      </c>
      <c r="U692" s="97"/>
      <c r="V692" s="62">
        <v>0</v>
      </c>
      <c r="W692" s="256"/>
      <c r="X692" s="55"/>
      <c r="Y692" s="55"/>
      <c r="Z692" s="245" t="s">
        <v>3812</v>
      </c>
      <c r="AA692" s="201">
        <v>0.3</v>
      </c>
      <c r="AB692" s="263">
        <v>0</v>
      </c>
      <c r="AC692" s="263">
        <f t="shared" si="41"/>
        <v>0</v>
      </c>
    </row>
    <row r="693" spans="1:29" s="3" customFormat="1" ht="15" customHeight="1">
      <c r="A693" s="65" t="s">
        <v>260</v>
      </c>
      <c r="B693" s="49" t="s">
        <v>3762</v>
      </c>
      <c r="C693" s="86" t="s">
        <v>1902</v>
      </c>
      <c r="D693" s="86" t="s">
        <v>3737</v>
      </c>
      <c r="E693" s="65" t="s">
        <v>3805</v>
      </c>
      <c r="F693" s="65" t="s">
        <v>3806</v>
      </c>
      <c r="G693" s="87" t="s">
        <v>34</v>
      </c>
      <c r="H693" s="50" t="s">
        <v>3807</v>
      </c>
      <c r="I693" s="53" t="e">
        <f>VLOOKUP(H693,合同高级查询数据!$A$2:$A$51,1,FALSE)</f>
        <v>#N/A</v>
      </c>
      <c r="J693" s="88" t="s">
        <v>36</v>
      </c>
      <c r="K693" s="65" t="s">
        <v>3813</v>
      </c>
      <c r="L693" s="87" t="s">
        <v>3814</v>
      </c>
      <c r="M693" s="54"/>
      <c r="N693" s="55" t="s">
        <v>3815</v>
      </c>
      <c r="O693" s="87" t="s">
        <v>3816</v>
      </c>
      <c r="P693" s="57">
        <v>9500</v>
      </c>
      <c r="Q693" s="142"/>
      <c r="R693" s="57">
        <f t="shared" si="39"/>
        <v>0</v>
      </c>
      <c r="S693" s="59">
        <v>202306</v>
      </c>
      <c r="T693" s="97" t="s">
        <v>3817</v>
      </c>
      <c r="U693" s="97"/>
      <c r="V693" s="62">
        <v>0</v>
      </c>
      <c r="W693" s="106"/>
      <c r="X693" s="55"/>
      <c r="Y693" s="55"/>
      <c r="Z693" s="245" t="s">
        <v>3818</v>
      </c>
      <c r="AA693" s="201"/>
      <c r="AB693" s="263">
        <v>0</v>
      </c>
      <c r="AC693" s="263">
        <f t="shared" si="41"/>
        <v>0</v>
      </c>
    </row>
    <row r="694" spans="1:29" s="3" customFormat="1" ht="15" customHeight="1">
      <c r="A694" s="65" t="s">
        <v>260</v>
      </c>
      <c r="B694" s="49" t="s">
        <v>3762</v>
      </c>
      <c r="C694" s="86" t="s">
        <v>1902</v>
      </c>
      <c r="D694" s="86" t="s">
        <v>3737</v>
      </c>
      <c r="E694" s="65" t="s">
        <v>3805</v>
      </c>
      <c r="F694" s="65" t="s">
        <v>3819</v>
      </c>
      <c r="G694" s="87" t="s">
        <v>34</v>
      </c>
      <c r="H694" s="88" t="s">
        <v>3820</v>
      </c>
      <c r="I694" s="53" t="e">
        <f>VLOOKUP(H694,合同高级查询数据!$A$2:$A$51,1,FALSE)</f>
        <v>#N/A</v>
      </c>
      <c r="J694" s="88" t="s">
        <v>36</v>
      </c>
      <c r="K694" s="65" t="s">
        <v>2290</v>
      </c>
      <c r="L694" s="87" t="s">
        <v>3821</v>
      </c>
      <c r="M694" s="54"/>
      <c r="N694" s="55">
        <v>44352</v>
      </c>
      <c r="O694" s="87" t="s">
        <v>277</v>
      </c>
      <c r="P694" s="57">
        <v>9833.33</v>
      </c>
      <c r="Q694" s="142">
        <v>30</v>
      </c>
      <c r="R694" s="57">
        <f t="shared" si="39"/>
        <v>294999.90000000002</v>
      </c>
      <c r="S694" s="59">
        <v>202306</v>
      </c>
      <c r="T694" s="97" t="s">
        <v>3822</v>
      </c>
      <c r="U694" s="97"/>
      <c r="V694" s="62">
        <v>29.083187103</v>
      </c>
      <c r="W694" s="256"/>
      <c r="X694" s="55"/>
      <c r="Y694" s="55"/>
      <c r="Z694" s="245" t="s">
        <v>3823</v>
      </c>
      <c r="AA694" s="201">
        <v>0.3</v>
      </c>
      <c r="AB694" s="263">
        <v>100</v>
      </c>
      <c r="AC694" s="263">
        <f t="shared" si="41"/>
        <v>30</v>
      </c>
    </row>
    <row r="695" spans="1:29" s="3" customFormat="1" ht="15" customHeight="1">
      <c r="A695" s="65" t="s">
        <v>260</v>
      </c>
      <c r="B695" s="49" t="s">
        <v>3762</v>
      </c>
      <c r="C695" s="86" t="s">
        <v>1902</v>
      </c>
      <c r="D695" s="86" t="s">
        <v>3737</v>
      </c>
      <c r="E695" s="65" t="s">
        <v>3805</v>
      </c>
      <c r="F695" s="65" t="s">
        <v>3819</v>
      </c>
      <c r="G695" s="87" t="s">
        <v>34</v>
      </c>
      <c r="H695" s="88" t="s">
        <v>3824</v>
      </c>
      <c r="I695" s="53" t="e">
        <f>VLOOKUP(H695,合同高级查询数据!$A$2:$A$51,1,FALSE)</f>
        <v>#N/A</v>
      </c>
      <c r="J695" s="88" t="s">
        <v>36</v>
      </c>
      <c r="K695" s="65" t="s">
        <v>2290</v>
      </c>
      <c r="L695" s="87" t="s">
        <v>3825</v>
      </c>
      <c r="M695" s="54"/>
      <c r="N695" s="55" t="s">
        <v>3826</v>
      </c>
      <c r="O695" s="87" t="s">
        <v>3827</v>
      </c>
      <c r="P695" s="57">
        <v>0</v>
      </c>
      <c r="Q695" s="142"/>
      <c r="R695" s="57">
        <f t="shared" si="39"/>
        <v>0</v>
      </c>
      <c r="S695" s="59">
        <v>202306</v>
      </c>
      <c r="T695" s="97" t="s">
        <v>3828</v>
      </c>
      <c r="U695" s="97"/>
      <c r="V695" s="62">
        <v>0</v>
      </c>
      <c r="W695" s="106"/>
      <c r="X695" s="55"/>
      <c r="Y695" s="55"/>
      <c r="Z695" s="245" t="s">
        <v>3829</v>
      </c>
      <c r="AA695" s="201"/>
      <c r="AB695" s="263">
        <v>0</v>
      </c>
      <c r="AC695" s="263">
        <f t="shared" si="41"/>
        <v>0</v>
      </c>
    </row>
    <row r="696" spans="1:29" s="3" customFormat="1" ht="15" customHeight="1">
      <c r="A696" s="50" t="s">
        <v>260</v>
      </c>
      <c r="B696" s="49" t="s">
        <v>3666</v>
      </c>
      <c r="C696" s="49" t="s">
        <v>2366</v>
      </c>
      <c r="D696" s="49" t="s">
        <v>3737</v>
      </c>
      <c r="E696" s="50" t="s">
        <v>3830</v>
      </c>
      <c r="F696" s="50" t="s">
        <v>3831</v>
      </c>
      <c r="G696" s="50" t="s">
        <v>34</v>
      </c>
      <c r="H696" s="53" t="s">
        <v>3832</v>
      </c>
      <c r="I696" s="53" t="e">
        <f>VLOOKUP(H696,合同高级查询数据!$A$2:$A$51,1,FALSE)</f>
        <v>#N/A</v>
      </c>
      <c r="J696" s="51" t="s">
        <v>36</v>
      </c>
      <c r="K696" s="50" t="s">
        <v>3833</v>
      </c>
      <c r="L696" s="52" t="s">
        <v>3834</v>
      </c>
      <c r="M696" s="54"/>
      <c r="N696" s="55"/>
      <c r="O696" s="55" t="s">
        <v>1498</v>
      </c>
      <c r="P696" s="57">
        <v>9500</v>
      </c>
      <c r="Q696" s="142"/>
      <c r="R696" s="57">
        <f t="shared" si="39"/>
        <v>0</v>
      </c>
      <c r="S696" s="59">
        <v>202306</v>
      </c>
      <c r="T696" s="100" t="s">
        <v>3835</v>
      </c>
      <c r="U696" s="60"/>
      <c r="V696" s="62">
        <v>0</v>
      </c>
      <c r="W696" s="255"/>
      <c r="X696" s="55"/>
      <c r="Y696" s="55"/>
      <c r="Z696" s="245" t="s">
        <v>3836</v>
      </c>
      <c r="AA696" s="201"/>
      <c r="AB696" s="263">
        <v>0</v>
      </c>
      <c r="AC696" s="263">
        <f t="shared" si="41"/>
        <v>0</v>
      </c>
    </row>
    <row r="697" spans="1:29" s="2" customFormat="1" ht="15" customHeight="1">
      <c r="A697" s="9" t="s">
        <v>260</v>
      </c>
      <c r="B697" s="8" t="s">
        <v>3666</v>
      </c>
      <c r="C697" s="8" t="s">
        <v>2366</v>
      </c>
      <c r="D697" s="8" t="s">
        <v>3737</v>
      </c>
      <c r="E697" s="9" t="s">
        <v>3830</v>
      </c>
      <c r="F697" s="9" t="s">
        <v>3831</v>
      </c>
      <c r="G697" s="9" t="s">
        <v>34</v>
      </c>
      <c r="H697" s="11" t="s">
        <v>3837</v>
      </c>
      <c r="I697" s="11" t="e">
        <f>VLOOKUP(H697,合同高级查询数据!$A$2:$A$51,1,FALSE)</f>
        <v>#N/A</v>
      </c>
      <c r="J697" s="12" t="s">
        <v>36</v>
      </c>
      <c r="K697" s="9" t="s">
        <v>3838</v>
      </c>
      <c r="L697" s="15" t="s">
        <v>3839</v>
      </c>
      <c r="M697" s="16"/>
      <c r="N697" s="21" t="s">
        <v>3840</v>
      </c>
      <c r="O697" s="21" t="s">
        <v>3841</v>
      </c>
      <c r="P697" s="30">
        <v>9500</v>
      </c>
      <c r="Q697" s="23">
        <v>0.14000000000000001</v>
      </c>
      <c r="R697" s="30">
        <f t="shared" si="39"/>
        <v>1330</v>
      </c>
      <c r="S697" s="28">
        <v>202301</v>
      </c>
      <c r="T697" s="246" t="s">
        <v>3842</v>
      </c>
      <c r="U697" s="31"/>
      <c r="V697" s="38"/>
      <c r="W697" s="39"/>
      <c r="X697" s="21"/>
      <c r="Y697" s="21"/>
      <c r="Z697" s="22"/>
      <c r="AA697" s="44"/>
      <c r="AB697" s="46"/>
      <c r="AC697" s="46"/>
    </row>
    <row r="698" spans="1:29" s="2" customFormat="1" ht="15" customHeight="1">
      <c r="A698" s="9" t="s">
        <v>260</v>
      </c>
      <c r="B698" s="8" t="s">
        <v>3666</v>
      </c>
      <c r="C698" s="8" t="s">
        <v>2366</v>
      </c>
      <c r="D698" s="8" t="s">
        <v>3737</v>
      </c>
      <c r="E698" s="9" t="s">
        <v>3830</v>
      </c>
      <c r="F698" s="9" t="s">
        <v>3831</v>
      </c>
      <c r="G698" s="9" t="s">
        <v>34</v>
      </c>
      <c r="H698" s="11" t="s">
        <v>3837</v>
      </c>
      <c r="I698" s="11" t="e">
        <f>VLOOKUP(H698,合同高级查询数据!$A$2:$A$51,1,FALSE)</f>
        <v>#N/A</v>
      </c>
      <c r="J698" s="12" t="s">
        <v>36</v>
      </c>
      <c r="K698" s="9" t="s">
        <v>3838</v>
      </c>
      <c r="L698" s="15" t="s">
        <v>3839</v>
      </c>
      <c r="M698" s="16"/>
      <c r="N698" s="21" t="s">
        <v>3840</v>
      </c>
      <c r="O698" s="21" t="s">
        <v>3841</v>
      </c>
      <c r="P698" s="30">
        <v>9500</v>
      </c>
      <c r="Q698" s="23">
        <v>0.12</v>
      </c>
      <c r="R698" s="30">
        <f t="shared" si="39"/>
        <v>1140</v>
      </c>
      <c r="S698" s="28">
        <v>202302</v>
      </c>
      <c r="T698" s="246" t="s">
        <v>3843</v>
      </c>
      <c r="U698" s="31"/>
      <c r="V698" s="38"/>
      <c r="W698" s="39"/>
      <c r="X698" s="21"/>
      <c r="Y698" s="21"/>
      <c r="Z698" s="22"/>
      <c r="AA698" s="44"/>
      <c r="AB698" s="46"/>
      <c r="AC698" s="46"/>
    </row>
    <row r="699" spans="1:29" s="2" customFormat="1" ht="15" customHeight="1">
      <c r="A699" s="9" t="s">
        <v>260</v>
      </c>
      <c r="B699" s="8" t="s">
        <v>3666</v>
      </c>
      <c r="C699" s="8" t="s">
        <v>2366</v>
      </c>
      <c r="D699" s="8" t="s">
        <v>3737</v>
      </c>
      <c r="E699" s="9" t="s">
        <v>3830</v>
      </c>
      <c r="F699" s="9" t="s">
        <v>3831</v>
      </c>
      <c r="G699" s="9" t="s">
        <v>34</v>
      </c>
      <c r="H699" s="11" t="s">
        <v>3837</v>
      </c>
      <c r="I699" s="11" t="e">
        <f>VLOOKUP(H699,合同高级查询数据!$A$2:$A$51,1,FALSE)</f>
        <v>#N/A</v>
      </c>
      <c r="J699" s="12" t="s">
        <v>36</v>
      </c>
      <c r="K699" s="9" t="s">
        <v>3838</v>
      </c>
      <c r="L699" s="15" t="s">
        <v>3839</v>
      </c>
      <c r="M699" s="16"/>
      <c r="N699" s="21" t="s">
        <v>3840</v>
      </c>
      <c r="O699" s="21" t="s">
        <v>3841</v>
      </c>
      <c r="P699" s="30">
        <v>9500</v>
      </c>
      <c r="Q699" s="23">
        <v>0.18</v>
      </c>
      <c r="R699" s="30">
        <f t="shared" si="39"/>
        <v>1710</v>
      </c>
      <c r="S699" s="28">
        <v>202303</v>
      </c>
      <c r="T699" s="246" t="s">
        <v>3844</v>
      </c>
      <c r="U699" s="31"/>
      <c r="V699" s="38"/>
      <c r="W699" s="39"/>
      <c r="X699" s="21"/>
      <c r="Y699" s="21"/>
      <c r="Z699" s="22"/>
      <c r="AA699" s="44"/>
      <c r="AB699" s="46"/>
      <c r="AC699" s="46"/>
    </row>
    <row r="700" spans="1:29" s="2" customFormat="1" ht="15" customHeight="1">
      <c r="A700" s="9" t="s">
        <v>260</v>
      </c>
      <c r="B700" s="8" t="s">
        <v>3666</v>
      </c>
      <c r="C700" s="8" t="s">
        <v>2366</v>
      </c>
      <c r="D700" s="8" t="s">
        <v>3737</v>
      </c>
      <c r="E700" s="9" t="s">
        <v>3830</v>
      </c>
      <c r="F700" s="9" t="s">
        <v>3831</v>
      </c>
      <c r="G700" s="9" t="s">
        <v>34</v>
      </c>
      <c r="H700" s="11" t="s">
        <v>3837</v>
      </c>
      <c r="I700" s="11" t="e">
        <f>VLOOKUP(H700,合同高级查询数据!$A$2:$A$51,1,FALSE)</f>
        <v>#N/A</v>
      </c>
      <c r="J700" s="12" t="s">
        <v>36</v>
      </c>
      <c r="K700" s="9" t="s">
        <v>3838</v>
      </c>
      <c r="L700" s="15" t="s">
        <v>3839</v>
      </c>
      <c r="M700" s="16"/>
      <c r="N700" s="21" t="s">
        <v>3840</v>
      </c>
      <c r="O700" s="21" t="s">
        <v>3841</v>
      </c>
      <c r="P700" s="30">
        <v>9500</v>
      </c>
      <c r="Q700" s="23">
        <v>0.18</v>
      </c>
      <c r="R700" s="30">
        <f t="shared" si="39"/>
        <v>1710</v>
      </c>
      <c r="S700" s="28">
        <v>202304</v>
      </c>
      <c r="T700" s="246" t="s">
        <v>3845</v>
      </c>
      <c r="U700" s="31"/>
      <c r="V700" s="38"/>
      <c r="W700" s="39"/>
      <c r="X700" s="21"/>
      <c r="Y700" s="21"/>
      <c r="Z700" s="22"/>
      <c r="AA700" s="44"/>
      <c r="AB700" s="46"/>
      <c r="AC700" s="46"/>
    </row>
    <row r="701" spans="1:29" s="2" customFormat="1" ht="15" customHeight="1">
      <c r="A701" s="9" t="s">
        <v>260</v>
      </c>
      <c r="B701" s="8" t="s">
        <v>3666</v>
      </c>
      <c r="C701" s="8" t="s">
        <v>2366</v>
      </c>
      <c r="D701" s="8" t="s">
        <v>3737</v>
      </c>
      <c r="E701" s="9" t="s">
        <v>3830</v>
      </c>
      <c r="F701" s="9" t="s">
        <v>3831</v>
      </c>
      <c r="G701" s="9" t="s">
        <v>34</v>
      </c>
      <c r="H701" s="11" t="s">
        <v>3837</v>
      </c>
      <c r="I701" s="11" t="e">
        <f>VLOOKUP(H701,合同高级查询数据!$A$2:$A$51,1,FALSE)</f>
        <v>#N/A</v>
      </c>
      <c r="J701" s="12" t="s">
        <v>36</v>
      </c>
      <c r="K701" s="9" t="s">
        <v>3838</v>
      </c>
      <c r="L701" s="15" t="s">
        <v>3839</v>
      </c>
      <c r="M701" s="16"/>
      <c r="N701" s="21" t="s">
        <v>3840</v>
      </c>
      <c r="O701" s="21" t="s">
        <v>3841</v>
      </c>
      <c r="P701" s="30">
        <v>9500</v>
      </c>
      <c r="Q701" s="23">
        <v>0.16</v>
      </c>
      <c r="R701" s="30">
        <f t="shared" si="39"/>
        <v>1520</v>
      </c>
      <c r="S701" s="28">
        <v>202305</v>
      </c>
      <c r="T701" s="248" t="s">
        <v>3846</v>
      </c>
      <c r="U701" s="31"/>
      <c r="V701" s="38"/>
      <c r="W701" s="39"/>
      <c r="X701" s="21"/>
      <c r="Y701" s="21"/>
      <c r="Z701" s="22"/>
      <c r="AA701" s="44"/>
      <c r="AB701" s="46"/>
      <c r="AC701" s="46"/>
    </row>
    <row r="702" spans="1:29" s="3" customFormat="1" ht="15" customHeight="1">
      <c r="A702" s="50" t="s">
        <v>260</v>
      </c>
      <c r="B702" s="49" t="s">
        <v>3666</v>
      </c>
      <c r="C702" s="49" t="s">
        <v>2366</v>
      </c>
      <c r="D702" s="49" t="s">
        <v>3737</v>
      </c>
      <c r="E702" s="50" t="s">
        <v>3830</v>
      </c>
      <c r="F702" s="50" t="s">
        <v>3831</v>
      </c>
      <c r="G702" s="50" t="s">
        <v>34</v>
      </c>
      <c r="H702" s="53" t="s">
        <v>3832</v>
      </c>
      <c r="I702" s="53" t="e">
        <f>VLOOKUP(H702,合同高级查询数据!$A$2:$A$51,1,FALSE)</f>
        <v>#N/A</v>
      </c>
      <c r="J702" s="51" t="s">
        <v>36</v>
      </c>
      <c r="K702" s="50" t="s">
        <v>3838</v>
      </c>
      <c r="L702" s="52" t="s">
        <v>3839</v>
      </c>
      <c r="M702" s="54"/>
      <c r="N702" s="55" t="s">
        <v>3840</v>
      </c>
      <c r="O702" s="55" t="s">
        <v>3841</v>
      </c>
      <c r="P702" s="57">
        <v>9500</v>
      </c>
      <c r="Q702" s="142">
        <v>18</v>
      </c>
      <c r="R702" s="57">
        <f t="shared" si="39"/>
        <v>171000</v>
      </c>
      <c r="S702" s="59">
        <v>202306</v>
      </c>
      <c r="T702" s="100" t="s">
        <v>3847</v>
      </c>
      <c r="U702" s="60"/>
      <c r="V702" s="62">
        <v>17.921825409</v>
      </c>
      <c r="W702" s="255"/>
      <c r="X702" s="55"/>
      <c r="Y702" s="55"/>
      <c r="Z702" s="245" t="s">
        <v>3848</v>
      </c>
      <c r="AA702" s="201">
        <v>0.3</v>
      </c>
      <c r="AB702" s="263">
        <v>60</v>
      </c>
      <c r="AC702" s="263">
        <f>AA702*AB702</f>
        <v>18</v>
      </c>
    </row>
    <row r="703" spans="1:29" s="2" customFormat="1" ht="15" customHeight="1">
      <c r="A703" s="9" t="s">
        <v>260</v>
      </c>
      <c r="B703" s="8" t="s">
        <v>3666</v>
      </c>
      <c r="C703" s="8" t="s">
        <v>2366</v>
      </c>
      <c r="D703" s="8" t="s">
        <v>3737</v>
      </c>
      <c r="E703" s="9" t="s">
        <v>3830</v>
      </c>
      <c r="F703" s="9" t="s">
        <v>3849</v>
      </c>
      <c r="G703" s="9" t="s">
        <v>34</v>
      </c>
      <c r="H703" s="11" t="s">
        <v>3850</v>
      </c>
      <c r="I703" s="11" t="e">
        <f>VLOOKUP(H703,合同高级查询数据!$A$2:$A$51,1,FALSE)</f>
        <v>#N/A</v>
      </c>
      <c r="J703" s="8" t="s">
        <v>233</v>
      </c>
      <c r="K703" s="9" t="s">
        <v>3851</v>
      </c>
      <c r="L703" s="15" t="s">
        <v>3852</v>
      </c>
      <c r="M703" s="16"/>
      <c r="N703" s="21">
        <v>43770</v>
      </c>
      <c r="O703" s="21" t="s">
        <v>277</v>
      </c>
      <c r="P703" s="30">
        <v>20000</v>
      </c>
      <c r="Q703" s="23">
        <v>33.1</v>
      </c>
      <c r="R703" s="30">
        <f t="shared" si="39"/>
        <v>662000</v>
      </c>
      <c r="S703" s="28">
        <v>202306</v>
      </c>
      <c r="T703" s="246" t="s">
        <v>3853</v>
      </c>
      <c r="U703" s="31"/>
      <c r="V703" s="38">
        <v>33.065571120999998</v>
      </c>
      <c r="W703" s="39"/>
      <c r="X703" s="21">
        <v>44866</v>
      </c>
      <c r="Y703" s="21">
        <v>45230</v>
      </c>
      <c r="Z703" s="22" t="s">
        <v>3854</v>
      </c>
      <c r="AA703" s="44">
        <v>0.3</v>
      </c>
      <c r="AB703" s="46">
        <v>100</v>
      </c>
      <c r="AC703" s="46">
        <f t="shared" ref="AC703:AC730" si="42">AA703*AB703</f>
        <v>30</v>
      </c>
    </row>
    <row r="704" spans="1:29" s="3" customFormat="1" ht="15" customHeight="1">
      <c r="A704" s="86" t="s">
        <v>260</v>
      </c>
      <c r="B704" s="50" t="s">
        <v>3792</v>
      </c>
      <c r="C704" s="86" t="s">
        <v>3855</v>
      </c>
      <c r="D704" s="65" t="s">
        <v>3737</v>
      </c>
      <c r="E704" s="86" t="s">
        <v>3856</v>
      </c>
      <c r="F704" s="86" t="s">
        <v>3857</v>
      </c>
      <c r="G704" s="86" t="s">
        <v>34</v>
      </c>
      <c r="H704" s="53" t="s">
        <v>3858</v>
      </c>
      <c r="I704" s="53" t="e">
        <f>VLOOKUP(H704,合同高级查询数据!$A$2:$A$51,1,FALSE)</f>
        <v>#N/A</v>
      </c>
      <c r="J704" s="51" t="s">
        <v>36</v>
      </c>
      <c r="K704" s="86" t="s">
        <v>3859</v>
      </c>
      <c r="L704" s="175" t="s">
        <v>3857</v>
      </c>
      <c r="M704" s="54" t="s">
        <v>3860</v>
      </c>
      <c r="N704" s="139" t="s">
        <v>3861</v>
      </c>
      <c r="O704" s="139" t="s">
        <v>3862</v>
      </c>
      <c r="P704" s="57">
        <v>15042</v>
      </c>
      <c r="Q704" s="142">
        <v>10</v>
      </c>
      <c r="R704" s="57">
        <f t="shared" si="39"/>
        <v>150420</v>
      </c>
      <c r="S704" s="59">
        <v>202306</v>
      </c>
      <c r="T704" s="185" t="s">
        <v>3863</v>
      </c>
      <c r="U704" s="61"/>
      <c r="V704" s="62">
        <v>8.8047968480000005</v>
      </c>
      <c r="W704" s="256"/>
      <c r="X704" s="55"/>
      <c r="Y704" s="55"/>
      <c r="Z704" s="245" t="s">
        <v>3864</v>
      </c>
      <c r="AA704" s="201">
        <v>0.5</v>
      </c>
      <c r="AB704" s="263">
        <v>20</v>
      </c>
      <c r="AC704" s="263">
        <f t="shared" si="42"/>
        <v>10</v>
      </c>
    </row>
    <row r="705" spans="1:29" s="3" customFormat="1" ht="15" customHeight="1">
      <c r="A705" s="50" t="s">
        <v>212</v>
      </c>
      <c r="B705" s="49" t="s">
        <v>3666</v>
      </c>
      <c r="C705" s="49" t="s">
        <v>2366</v>
      </c>
      <c r="D705" s="49" t="s">
        <v>3737</v>
      </c>
      <c r="E705" s="50" t="s">
        <v>3865</v>
      </c>
      <c r="F705" s="50" t="s">
        <v>3866</v>
      </c>
      <c r="G705" s="50" t="s">
        <v>34</v>
      </c>
      <c r="H705" s="53" t="s">
        <v>3867</v>
      </c>
      <c r="I705" s="53" t="e">
        <f>VLOOKUP(H705,合同高级查询数据!$A$2:$A$51,1,FALSE)</f>
        <v>#N/A</v>
      </c>
      <c r="J705" s="51" t="s">
        <v>36</v>
      </c>
      <c r="K705" s="50" t="s">
        <v>3868</v>
      </c>
      <c r="L705" s="52" t="s">
        <v>3866</v>
      </c>
      <c r="M705" s="54"/>
      <c r="N705" s="55" t="s">
        <v>3869</v>
      </c>
      <c r="O705" s="55" t="s">
        <v>1779</v>
      </c>
      <c r="P705" s="57">
        <v>9000</v>
      </c>
      <c r="Q705" s="142"/>
      <c r="R705" s="57">
        <f t="shared" si="39"/>
        <v>0</v>
      </c>
      <c r="S705" s="59">
        <v>202306</v>
      </c>
      <c r="T705" s="100" t="s">
        <v>3870</v>
      </c>
      <c r="U705" s="60"/>
      <c r="V705" s="62">
        <v>0</v>
      </c>
      <c r="W705" s="270"/>
      <c r="X705" s="55"/>
      <c r="Y705" s="55"/>
      <c r="Z705" s="245" t="s">
        <v>3871</v>
      </c>
      <c r="AA705" s="201"/>
      <c r="AB705" s="263">
        <v>0</v>
      </c>
      <c r="AC705" s="263">
        <f t="shared" si="42"/>
        <v>0</v>
      </c>
    </row>
    <row r="706" spans="1:29" s="3" customFormat="1" ht="15" customHeight="1">
      <c r="A706" s="50" t="s">
        <v>212</v>
      </c>
      <c r="B706" s="49" t="s">
        <v>3666</v>
      </c>
      <c r="C706" s="49" t="s">
        <v>2366</v>
      </c>
      <c r="D706" s="49" t="s">
        <v>3737</v>
      </c>
      <c r="E706" s="50" t="s">
        <v>3865</v>
      </c>
      <c r="F706" s="50" t="s">
        <v>3866</v>
      </c>
      <c r="G706" s="50" t="s">
        <v>34</v>
      </c>
      <c r="H706" s="53" t="s">
        <v>3867</v>
      </c>
      <c r="I706" s="53" t="e">
        <f>VLOOKUP(H706,合同高级查询数据!$A$2:$A$51,1,FALSE)</f>
        <v>#N/A</v>
      </c>
      <c r="J706" s="51" t="s">
        <v>36</v>
      </c>
      <c r="K706" s="50" t="s">
        <v>3872</v>
      </c>
      <c r="L706" s="52" t="s">
        <v>3873</v>
      </c>
      <c r="M706" s="54"/>
      <c r="N706" s="55">
        <v>43497</v>
      </c>
      <c r="O706" s="55" t="s">
        <v>1779</v>
      </c>
      <c r="P706" s="57">
        <v>9000</v>
      </c>
      <c r="Q706" s="142"/>
      <c r="R706" s="57">
        <f t="shared" si="39"/>
        <v>0</v>
      </c>
      <c r="S706" s="59">
        <v>202306</v>
      </c>
      <c r="T706" s="100" t="s">
        <v>3874</v>
      </c>
      <c r="U706" s="60"/>
      <c r="V706" s="62">
        <v>0</v>
      </c>
      <c r="W706" s="271"/>
      <c r="X706" s="55"/>
      <c r="Y706" s="55"/>
      <c r="Z706" s="245" t="s">
        <v>3875</v>
      </c>
      <c r="AA706" s="201"/>
      <c r="AB706" s="263">
        <v>0</v>
      </c>
      <c r="AC706" s="263">
        <f t="shared" si="42"/>
        <v>0</v>
      </c>
    </row>
    <row r="707" spans="1:29" s="2" customFormat="1" ht="15" customHeight="1">
      <c r="A707" s="9" t="s">
        <v>212</v>
      </c>
      <c r="B707" s="8" t="s">
        <v>3666</v>
      </c>
      <c r="C707" s="8" t="s">
        <v>2519</v>
      </c>
      <c r="D707" s="8" t="s">
        <v>3737</v>
      </c>
      <c r="E707" s="9" t="s">
        <v>3876</v>
      </c>
      <c r="F707" s="9" t="s">
        <v>3877</v>
      </c>
      <c r="G707" s="9" t="s">
        <v>34</v>
      </c>
      <c r="H707" s="11" t="s">
        <v>3878</v>
      </c>
      <c r="I707" s="11" t="e">
        <f>VLOOKUP(H707,合同高级查询数据!$A$2:$A$51,1,FALSE)</f>
        <v>#N/A</v>
      </c>
      <c r="J707" s="12" t="s">
        <v>36</v>
      </c>
      <c r="K707" s="9" t="s">
        <v>3879</v>
      </c>
      <c r="L707" s="15" t="s">
        <v>3880</v>
      </c>
      <c r="M707" s="16"/>
      <c r="N707" s="21" t="s">
        <v>3881</v>
      </c>
      <c r="O707" s="21" t="s">
        <v>3882</v>
      </c>
      <c r="P707" s="30">
        <v>9000</v>
      </c>
      <c r="Q707" s="23">
        <v>12</v>
      </c>
      <c r="R707" s="30">
        <f t="shared" si="39"/>
        <v>108000</v>
      </c>
      <c r="S707" s="28">
        <v>202306</v>
      </c>
      <c r="T707" s="246" t="s">
        <v>3883</v>
      </c>
      <c r="U707" s="31"/>
      <c r="V707" s="38">
        <v>11.356018791</v>
      </c>
      <c r="W707" s="272"/>
      <c r="X707" s="21">
        <v>44896</v>
      </c>
      <c r="Y707" s="21">
        <v>45260</v>
      </c>
      <c r="Z707" s="22" t="s">
        <v>3884</v>
      </c>
      <c r="AA707" s="44">
        <v>0.3</v>
      </c>
      <c r="AB707" s="46">
        <v>40</v>
      </c>
      <c r="AC707" s="46">
        <f t="shared" si="42"/>
        <v>12</v>
      </c>
    </row>
    <row r="708" spans="1:29" s="2" customFormat="1" ht="15" customHeight="1">
      <c r="A708" s="9" t="s">
        <v>212</v>
      </c>
      <c r="B708" s="8" t="s">
        <v>3666</v>
      </c>
      <c r="C708" s="8" t="s">
        <v>2519</v>
      </c>
      <c r="D708" s="8" t="s">
        <v>3737</v>
      </c>
      <c r="E708" s="9" t="s">
        <v>3876</v>
      </c>
      <c r="F708" s="9" t="s">
        <v>3877</v>
      </c>
      <c r="G708" s="9" t="s">
        <v>34</v>
      </c>
      <c r="H708" s="11" t="s">
        <v>3878</v>
      </c>
      <c r="I708" s="11" t="e">
        <f>VLOOKUP(H708,合同高级查询数据!$A$2:$A$51,1,FALSE)</f>
        <v>#N/A</v>
      </c>
      <c r="J708" s="12" t="s">
        <v>36</v>
      </c>
      <c r="K708" s="9" t="s">
        <v>3885</v>
      </c>
      <c r="L708" s="15" t="s">
        <v>3886</v>
      </c>
      <c r="M708" s="16"/>
      <c r="N708" s="21" t="s">
        <v>3887</v>
      </c>
      <c r="O708" s="21" t="s">
        <v>222</v>
      </c>
      <c r="P708" s="30">
        <v>9000</v>
      </c>
      <c r="Q708" s="23"/>
      <c r="R708" s="30">
        <f t="shared" si="39"/>
        <v>0</v>
      </c>
      <c r="S708" s="28">
        <v>202306</v>
      </c>
      <c r="T708" s="246" t="s">
        <v>3888</v>
      </c>
      <c r="U708" s="31"/>
      <c r="V708" s="38">
        <v>0</v>
      </c>
      <c r="W708" s="39"/>
      <c r="X708" s="21">
        <v>44896</v>
      </c>
      <c r="Y708" s="21">
        <v>45260</v>
      </c>
      <c r="Z708" s="22" t="s">
        <v>3885</v>
      </c>
      <c r="AA708" s="44">
        <v>0.3</v>
      </c>
      <c r="AB708" s="46">
        <v>0</v>
      </c>
      <c r="AC708" s="46">
        <f t="shared" si="42"/>
        <v>0</v>
      </c>
    </row>
    <row r="709" spans="1:29" s="2" customFormat="1" ht="15" customHeight="1">
      <c r="A709" s="5" t="s">
        <v>212</v>
      </c>
      <c r="B709" s="8" t="s">
        <v>3762</v>
      </c>
      <c r="C709" s="7" t="s">
        <v>1758</v>
      </c>
      <c r="D709" s="7" t="s">
        <v>3737</v>
      </c>
      <c r="E709" s="5" t="s">
        <v>3889</v>
      </c>
      <c r="F709" s="5" t="s">
        <v>3890</v>
      </c>
      <c r="G709" s="207" t="s">
        <v>34</v>
      </c>
      <c r="H709" s="14" t="s">
        <v>3891</v>
      </c>
      <c r="I709" s="11" t="e">
        <f>VLOOKUP(H709,合同高级查询数据!$A$2:$A$51,1,FALSE)</f>
        <v>#N/A</v>
      </c>
      <c r="J709" s="14" t="s">
        <v>36</v>
      </c>
      <c r="K709" s="5" t="s">
        <v>3892</v>
      </c>
      <c r="L709" s="207" t="s">
        <v>3893</v>
      </c>
      <c r="M709" s="16"/>
      <c r="N709" s="21" t="s">
        <v>3894</v>
      </c>
      <c r="O709" s="207" t="s">
        <v>986</v>
      </c>
      <c r="P709" s="30">
        <v>9000</v>
      </c>
      <c r="Q709" s="23">
        <v>12</v>
      </c>
      <c r="R709" s="30">
        <f t="shared" si="39"/>
        <v>108000</v>
      </c>
      <c r="S709" s="28">
        <v>202306</v>
      </c>
      <c r="T709" s="267" t="s">
        <v>3895</v>
      </c>
      <c r="U709" s="29"/>
      <c r="V709" s="38">
        <v>11.722615032</v>
      </c>
      <c r="W709" s="168"/>
      <c r="X709" s="21">
        <v>44531</v>
      </c>
      <c r="Y709" s="21">
        <v>45260</v>
      </c>
      <c r="Z709" s="22" t="s">
        <v>3896</v>
      </c>
      <c r="AA709" s="44">
        <v>0.3</v>
      </c>
      <c r="AB709" s="46">
        <v>40</v>
      </c>
      <c r="AC709" s="46">
        <f t="shared" si="42"/>
        <v>12</v>
      </c>
    </row>
    <row r="710" spans="1:29" s="3" customFormat="1" ht="15" customHeight="1">
      <c r="A710" s="264" t="s">
        <v>212</v>
      </c>
      <c r="B710" s="264" t="s">
        <v>3762</v>
      </c>
      <c r="C710" s="265" t="s">
        <v>1758</v>
      </c>
      <c r="D710" s="265" t="s">
        <v>3737</v>
      </c>
      <c r="E710" s="264" t="s">
        <v>3889</v>
      </c>
      <c r="F710" s="264" t="s">
        <v>3890</v>
      </c>
      <c r="G710" s="87" t="s">
        <v>34</v>
      </c>
      <c r="H710" s="88" t="s">
        <v>3897</v>
      </c>
      <c r="I710" s="53" t="e">
        <f>VLOOKUP(H710,合同高级查询数据!$A$2:$A$51,1,FALSE)</f>
        <v>#N/A</v>
      </c>
      <c r="J710" s="88" t="s">
        <v>36</v>
      </c>
      <c r="K710" s="264" t="s">
        <v>2062</v>
      </c>
      <c r="L710" s="87" t="s">
        <v>3898</v>
      </c>
      <c r="M710" s="54" t="s">
        <v>3899</v>
      </c>
      <c r="N710" s="94" t="s">
        <v>3900</v>
      </c>
      <c r="O710" s="87" t="s">
        <v>3901</v>
      </c>
      <c r="P710" s="266">
        <v>9000</v>
      </c>
      <c r="Q710" s="268">
        <v>61.9</v>
      </c>
      <c r="R710" s="266">
        <f t="shared" si="39"/>
        <v>557100</v>
      </c>
      <c r="S710" s="59">
        <v>202306</v>
      </c>
      <c r="T710" s="110" t="s">
        <v>3902</v>
      </c>
      <c r="U710" s="97"/>
      <c r="V710" s="62">
        <v>61.854111021999998</v>
      </c>
      <c r="W710" s="273"/>
      <c r="X710" s="55"/>
      <c r="Y710" s="55"/>
      <c r="Z710" s="276" t="s">
        <v>3903</v>
      </c>
      <c r="AA710" s="277">
        <v>0.3</v>
      </c>
      <c r="AB710" s="278">
        <v>200</v>
      </c>
      <c r="AC710" s="278">
        <f t="shared" si="42"/>
        <v>60</v>
      </c>
    </row>
    <row r="711" spans="1:29" s="3" customFormat="1" ht="15" customHeight="1">
      <c r="A711" s="264" t="s">
        <v>212</v>
      </c>
      <c r="B711" s="264" t="s">
        <v>3762</v>
      </c>
      <c r="C711" s="265" t="s">
        <v>1758</v>
      </c>
      <c r="D711" s="265" t="s">
        <v>3737</v>
      </c>
      <c r="E711" s="264" t="s">
        <v>3889</v>
      </c>
      <c r="F711" s="264" t="s">
        <v>3890</v>
      </c>
      <c r="G711" s="87" t="s">
        <v>34</v>
      </c>
      <c r="H711" s="88" t="s">
        <v>3897</v>
      </c>
      <c r="I711" s="53" t="e">
        <f>VLOOKUP(H711,合同高级查询数据!$A$2:$A$51,1,FALSE)</f>
        <v>#N/A</v>
      </c>
      <c r="J711" s="88" t="s">
        <v>36</v>
      </c>
      <c r="K711" s="264" t="s">
        <v>2062</v>
      </c>
      <c r="L711" s="87" t="s">
        <v>3904</v>
      </c>
      <c r="M711" s="54" t="s">
        <v>3905</v>
      </c>
      <c r="N711" s="55">
        <v>45078</v>
      </c>
      <c r="O711" s="87" t="s">
        <v>1798</v>
      </c>
      <c r="P711" s="266">
        <v>0</v>
      </c>
      <c r="Q711" s="268"/>
      <c r="R711" s="150">
        <f t="shared" si="39"/>
        <v>0</v>
      </c>
      <c r="S711" s="59">
        <v>202306</v>
      </c>
      <c r="T711" s="110" t="s">
        <v>3906</v>
      </c>
      <c r="U711" s="97"/>
      <c r="V711" s="62">
        <v>0</v>
      </c>
      <c r="W711" s="273"/>
      <c r="X711" s="55"/>
      <c r="Y711" s="55"/>
      <c r="Z711" s="201" t="s">
        <v>3907</v>
      </c>
      <c r="AA711" s="277">
        <v>0.3</v>
      </c>
      <c r="AB711" s="278">
        <v>40</v>
      </c>
      <c r="AC711" s="278">
        <f t="shared" si="42"/>
        <v>12</v>
      </c>
    </row>
    <row r="712" spans="1:29" s="3" customFormat="1" ht="15" customHeight="1">
      <c r="A712" s="264" t="s">
        <v>212</v>
      </c>
      <c r="B712" s="264" t="s">
        <v>3762</v>
      </c>
      <c r="C712" s="265" t="s">
        <v>1758</v>
      </c>
      <c r="D712" s="265" t="s">
        <v>3737</v>
      </c>
      <c r="E712" s="264" t="s">
        <v>3908</v>
      </c>
      <c r="F712" s="264" t="s">
        <v>3909</v>
      </c>
      <c r="G712" s="87" t="s">
        <v>34</v>
      </c>
      <c r="H712" s="88" t="s">
        <v>3910</v>
      </c>
      <c r="I712" s="53" t="e">
        <f>VLOOKUP(H712,合同高级查询数据!$A$2:$A$51,1,FALSE)</f>
        <v>#N/A</v>
      </c>
      <c r="J712" s="88" t="s">
        <v>36</v>
      </c>
      <c r="K712" s="264" t="s">
        <v>3911</v>
      </c>
      <c r="L712" s="87" t="s">
        <v>3909</v>
      </c>
      <c r="M712" s="54" t="s">
        <v>3912</v>
      </c>
      <c r="N712" s="55">
        <v>45047</v>
      </c>
      <c r="O712" s="87" t="s">
        <v>237</v>
      </c>
      <c r="P712" s="266">
        <v>9000</v>
      </c>
      <c r="Q712" s="268">
        <v>112.2</v>
      </c>
      <c r="R712" s="150">
        <f t="shared" si="39"/>
        <v>1009800</v>
      </c>
      <c r="S712" s="59">
        <v>202306</v>
      </c>
      <c r="T712" s="110" t="s">
        <v>3913</v>
      </c>
      <c r="U712" s="97"/>
      <c r="V712" s="62">
        <v>112.20002594</v>
      </c>
      <c r="W712" s="273"/>
      <c r="X712" s="55"/>
      <c r="Y712" s="55"/>
      <c r="Z712" s="201" t="s">
        <v>3914</v>
      </c>
      <c r="AA712" s="277">
        <v>0.3</v>
      </c>
      <c r="AB712" s="278">
        <v>240</v>
      </c>
      <c r="AC712" s="278">
        <f t="shared" si="42"/>
        <v>72</v>
      </c>
    </row>
    <row r="713" spans="1:29" s="3" customFormat="1" ht="15" customHeight="1">
      <c r="A713" s="65" t="s">
        <v>212</v>
      </c>
      <c r="B713" s="49" t="s">
        <v>3762</v>
      </c>
      <c r="C713" s="86" t="s">
        <v>1902</v>
      </c>
      <c r="D713" s="86" t="s">
        <v>3737</v>
      </c>
      <c r="E713" s="65" t="s">
        <v>3915</v>
      </c>
      <c r="F713" s="65" t="s">
        <v>3916</v>
      </c>
      <c r="G713" s="87" t="s">
        <v>34</v>
      </c>
      <c r="H713" s="53" t="s">
        <v>3917</v>
      </c>
      <c r="I713" s="53" t="e">
        <f>VLOOKUP(H713,合同高级查询数据!$A$2:$A$51,1,FALSE)</f>
        <v>#N/A</v>
      </c>
      <c r="J713" s="88" t="s">
        <v>440</v>
      </c>
      <c r="K713" s="65" t="s">
        <v>3918</v>
      </c>
      <c r="L713" s="87" t="s">
        <v>3919</v>
      </c>
      <c r="M713" s="54"/>
      <c r="N713" s="55" t="s">
        <v>3920</v>
      </c>
      <c r="O713" s="120" t="s">
        <v>3921</v>
      </c>
      <c r="P713" s="57">
        <v>9000</v>
      </c>
      <c r="Q713" s="142">
        <v>0</v>
      </c>
      <c r="R713" s="57">
        <f t="shared" si="39"/>
        <v>0</v>
      </c>
      <c r="S713" s="59">
        <v>202306</v>
      </c>
      <c r="T713" s="97" t="s">
        <v>3922</v>
      </c>
      <c r="U713" s="97"/>
      <c r="V713" s="62">
        <v>0</v>
      </c>
      <c r="W713" s="106"/>
      <c r="X713" s="55"/>
      <c r="Y713" s="55"/>
      <c r="Z713" s="201" t="s">
        <v>3923</v>
      </c>
      <c r="AA713" s="201">
        <v>0.3</v>
      </c>
      <c r="AB713" s="263">
        <v>0</v>
      </c>
      <c r="AC713" s="263">
        <f t="shared" si="42"/>
        <v>0</v>
      </c>
    </row>
    <row r="714" spans="1:29" s="3" customFormat="1" ht="15" customHeight="1">
      <c r="A714" s="65" t="s">
        <v>212</v>
      </c>
      <c r="B714" s="49" t="s">
        <v>3762</v>
      </c>
      <c r="C714" s="86" t="s">
        <v>1902</v>
      </c>
      <c r="D714" s="86" t="s">
        <v>3737</v>
      </c>
      <c r="E714" s="65" t="s">
        <v>3915</v>
      </c>
      <c r="F714" s="65" t="s">
        <v>3916</v>
      </c>
      <c r="G714" s="87" t="s">
        <v>34</v>
      </c>
      <c r="H714" s="53" t="s">
        <v>3917</v>
      </c>
      <c r="I714" s="53" t="e">
        <f>VLOOKUP(H714,合同高级查询数据!$A$2:$A$51,1,FALSE)</f>
        <v>#N/A</v>
      </c>
      <c r="J714" s="88" t="s">
        <v>36</v>
      </c>
      <c r="K714" s="65" t="s">
        <v>3924</v>
      </c>
      <c r="L714" s="87" t="s">
        <v>3925</v>
      </c>
      <c r="M714" s="54"/>
      <c r="N714" s="55" t="s">
        <v>3926</v>
      </c>
      <c r="O714" s="87" t="s">
        <v>3927</v>
      </c>
      <c r="P714" s="57">
        <v>9000</v>
      </c>
      <c r="Q714" s="142"/>
      <c r="R714" s="57">
        <f t="shared" si="39"/>
        <v>0</v>
      </c>
      <c r="S714" s="59">
        <v>202306</v>
      </c>
      <c r="T714" s="97" t="s">
        <v>3928</v>
      </c>
      <c r="U714" s="97"/>
      <c r="V714" s="62">
        <v>0</v>
      </c>
      <c r="W714" s="256"/>
      <c r="X714" s="55"/>
      <c r="Y714" s="55"/>
      <c r="Z714" s="201" t="s">
        <v>3929</v>
      </c>
      <c r="AA714" s="201">
        <v>0.3</v>
      </c>
      <c r="AB714" s="263">
        <v>0</v>
      </c>
      <c r="AC714" s="263">
        <f t="shared" si="42"/>
        <v>0</v>
      </c>
    </row>
    <row r="715" spans="1:29" s="3" customFormat="1" ht="15" customHeight="1">
      <c r="A715" s="65" t="s">
        <v>212</v>
      </c>
      <c r="B715" s="49" t="s">
        <v>3762</v>
      </c>
      <c r="C715" s="86" t="s">
        <v>1902</v>
      </c>
      <c r="D715" s="86" t="s">
        <v>3737</v>
      </c>
      <c r="E715" s="65" t="s">
        <v>3915</v>
      </c>
      <c r="F715" s="65" t="s">
        <v>3916</v>
      </c>
      <c r="G715" s="87" t="s">
        <v>34</v>
      </c>
      <c r="H715" s="53" t="s">
        <v>3917</v>
      </c>
      <c r="I715" s="53" t="e">
        <f>VLOOKUP(H715,合同高级查询数据!$A$2:$A$51,1,FALSE)</f>
        <v>#N/A</v>
      </c>
      <c r="J715" s="88" t="s">
        <v>36</v>
      </c>
      <c r="K715" s="65" t="s">
        <v>3930</v>
      </c>
      <c r="L715" s="87" t="s">
        <v>3931</v>
      </c>
      <c r="M715" s="54"/>
      <c r="N715" s="55" t="s">
        <v>3932</v>
      </c>
      <c r="O715" s="87" t="s">
        <v>1395</v>
      </c>
      <c r="P715" s="57">
        <v>9000</v>
      </c>
      <c r="Q715" s="142"/>
      <c r="R715" s="57">
        <f t="shared" si="39"/>
        <v>0</v>
      </c>
      <c r="S715" s="59">
        <v>202306</v>
      </c>
      <c r="T715" s="97" t="s">
        <v>3933</v>
      </c>
      <c r="U715" s="97"/>
      <c r="V715" s="62">
        <v>0</v>
      </c>
      <c r="W715" s="256"/>
      <c r="X715" s="55"/>
      <c r="Y715" s="55"/>
      <c r="Z715" s="201" t="s">
        <v>3934</v>
      </c>
      <c r="AA715" s="201"/>
      <c r="AB715" s="263"/>
      <c r="AC715" s="263">
        <f t="shared" si="42"/>
        <v>0</v>
      </c>
    </row>
    <row r="716" spans="1:29" s="3" customFormat="1" ht="15" customHeight="1">
      <c r="A716" s="65" t="s">
        <v>212</v>
      </c>
      <c r="B716" s="49" t="s">
        <v>3762</v>
      </c>
      <c r="C716" s="86" t="s">
        <v>1902</v>
      </c>
      <c r="D716" s="86" t="s">
        <v>3737</v>
      </c>
      <c r="E716" s="65" t="s">
        <v>3915</v>
      </c>
      <c r="F716" s="65" t="s">
        <v>3916</v>
      </c>
      <c r="G716" s="87" t="s">
        <v>34</v>
      </c>
      <c r="H716" s="53" t="s">
        <v>3917</v>
      </c>
      <c r="I716" s="53" t="e">
        <f>VLOOKUP(H716,合同高级查询数据!$A$2:$A$51,1,FALSE)</f>
        <v>#N/A</v>
      </c>
      <c r="J716" s="88" t="s">
        <v>36</v>
      </c>
      <c r="K716" s="65" t="s">
        <v>3935</v>
      </c>
      <c r="L716" s="87" t="s">
        <v>3936</v>
      </c>
      <c r="M716" s="54"/>
      <c r="N716" s="55" t="s">
        <v>3937</v>
      </c>
      <c r="O716" s="87" t="s">
        <v>1779</v>
      </c>
      <c r="P716" s="57">
        <v>9000</v>
      </c>
      <c r="Q716" s="142"/>
      <c r="R716" s="57">
        <f t="shared" si="39"/>
        <v>0</v>
      </c>
      <c r="S716" s="59">
        <v>202306</v>
      </c>
      <c r="T716" s="97" t="s">
        <v>3938</v>
      </c>
      <c r="U716" s="97"/>
      <c r="V716" s="62">
        <v>0</v>
      </c>
      <c r="W716" s="256"/>
      <c r="X716" s="55"/>
      <c r="Y716" s="55"/>
      <c r="Z716" s="201" t="s">
        <v>3939</v>
      </c>
      <c r="AA716" s="201"/>
      <c r="AB716" s="263">
        <v>0</v>
      </c>
      <c r="AC716" s="263">
        <f t="shared" si="42"/>
        <v>0</v>
      </c>
    </row>
    <row r="717" spans="1:29" s="3" customFormat="1" ht="15" customHeight="1">
      <c r="A717" s="65" t="s">
        <v>212</v>
      </c>
      <c r="B717" s="49" t="s">
        <v>3762</v>
      </c>
      <c r="C717" s="86" t="s">
        <v>1902</v>
      </c>
      <c r="D717" s="86" t="s">
        <v>3737</v>
      </c>
      <c r="E717" s="65" t="s">
        <v>3915</v>
      </c>
      <c r="F717" s="65" t="s">
        <v>3916</v>
      </c>
      <c r="G717" s="87" t="s">
        <v>34</v>
      </c>
      <c r="H717" s="53" t="s">
        <v>3917</v>
      </c>
      <c r="I717" s="53" t="e">
        <f>VLOOKUP(H717,合同高级查询数据!$A$2:$A$51,1,FALSE)</f>
        <v>#N/A</v>
      </c>
      <c r="J717" s="88" t="s">
        <v>36</v>
      </c>
      <c r="K717" s="65" t="s">
        <v>3940</v>
      </c>
      <c r="L717" s="87" t="s">
        <v>3941</v>
      </c>
      <c r="M717" s="54"/>
      <c r="N717" s="55" t="s">
        <v>3942</v>
      </c>
      <c r="O717" s="87" t="s">
        <v>1395</v>
      </c>
      <c r="P717" s="57">
        <v>9000</v>
      </c>
      <c r="Q717" s="142"/>
      <c r="R717" s="57">
        <f t="shared" si="39"/>
        <v>0</v>
      </c>
      <c r="S717" s="59">
        <v>202306</v>
      </c>
      <c r="T717" s="97" t="s">
        <v>3943</v>
      </c>
      <c r="U717" s="97"/>
      <c r="V717" s="62">
        <v>0</v>
      </c>
      <c r="W717" s="256"/>
      <c r="X717" s="55"/>
      <c r="Y717" s="55"/>
      <c r="Z717" s="201" t="s">
        <v>3944</v>
      </c>
      <c r="AA717" s="201"/>
      <c r="AB717" s="263">
        <v>0</v>
      </c>
      <c r="AC717" s="263">
        <f t="shared" si="42"/>
        <v>0</v>
      </c>
    </row>
    <row r="718" spans="1:29" s="3" customFormat="1" ht="15" customHeight="1">
      <c r="A718" s="65" t="s">
        <v>212</v>
      </c>
      <c r="B718" s="49" t="s">
        <v>3762</v>
      </c>
      <c r="C718" s="86" t="s">
        <v>1902</v>
      </c>
      <c r="D718" s="86" t="s">
        <v>3737</v>
      </c>
      <c r="E718" s="65" t="s">
        <v>3915</v>
      </c>
      <c r="F718" s="65" t="s">
        <v>3916</v>
      </c>
      <c r="G718" s="87" t="s">
        <v>34</v>
      </c>
      <c r="H718" s="53" t="s">
        <v>3917</v>
      </c>
      <c r="I718" s="53" t="e">
        <f>VLOOKUP(H718,合同高级查询数据!$A$2:$A$51,1,FALSE)</f>
        <v>#N/A</v>
      </c>
      <c r="J718" s="88" t="s">
        <v>36</v>
      </c>
      <c r="K718" s="65" t="s">
        <v>3945</v>
      </c>
      <c r="L718" s="87" t="s">
        <v>3946</v>
      </c>
      <c r="M718" s="54"/>
      <c r="N718" s="55" t="s">
        <v>3947</v>
      </c>
      <c r="O718" s="87" t="s">
        <v>1779</v>
      </c>
      <c r="P718" s="57">
        <v>9000</v>
      </c>
      <c r="Q718" s="142"/>
      <c r="R718" s="57">
        <f t="shared" si="39"/>
        <v>0</v>
      </c>
      <c r="S718" s="59">
        <v>202306</v>
      </c>
      <c r="T718" s="97" t="s">
        <v>3948</v>
      </c>
      <c r="U718" s="97"/>
      <c r="V718" s="62">
        <v>0</v>
      </c>
      <c r="W718" s="256"/>
      <c r="X718" s="55"/>
      <c r="Y718" s="55"/>
      <c r="Z718" s="201" t="s">
        <v>3949</v>
      </c>
      <c r="AA718" s="201"/>
      <c r="AB718" s="263">
        <v>0</v>
      </c>
      <c r="AC718" s="263">
        <f t="shared" si="42"/>
        <v>0</v>
      </c>
    </row>
    <row r="719" spans="1:29" s="3" customFormat="1" ht="15" customHeight="1">
      <c r="A719" s="65" t="s">
        <v>212</v>
      </c>
      <c r="B719" s="49" t="s">
        <v>3762</v>
      </c>
      <c r="C719" s="86" t="s">
        <v>1902</v>
      </c>
      <c r="D719" s="86" t="s">
        <v>3737</v>
      </c>
      <c r="E719" s="65" t="s">
        <v>3915</v>
      </c>
      <c r="F719" s="65" t="s">
        <v>3916</v>
      </c>
      <c r="G719" s="87" t="s">
        <v>34</v>
      </c>
      <c r="H719" s="53" t="s">
        <v>3917</v>
      </c>
      <c r="I719" s="53" t="e">
        <f>VLOOKUP(H719,合同高级查询数据!$A$2:$A$51,1,FALSE)</f>
        <v>#N/A</v>
      </c>
      <c r="J719" s="88" t="s">
        <v>36</v>
      </c>
      <c r="K719" s="65" t="s">
        <v>3950</v>
      </c>
      <c r="L719" s="87" t="s">
        <v>3951</v>
      </c>
      <c r="M719" s="54"/>
      <c r="N719" s="55" t="s">
        <v>3952</v>
      </c>
      <c r="O719" s="87" t="s">
        <v>3953</v>
      </c>
      <c r="P719" s="57">
        <v>9000</v>
      </c>
      <c r="Q719" s="142">
        <v>31.96</v>
      </c>
      <c r="R719" s="57">
        <f t="shared" ref="R719:R736" si="43">ROUND(P719*Q719,2)</f>
        <v>287640</v>
      </c>
      <c r="S719" s="59">
        <v>202306</v>
      </c>
      <c r="T719" s="97" t="s">
        <v>3954</v>
      </c>
      <c r="U719" s="97"/>
      <c r="V719" s="62">
        <v>31.963408202</v>
      </c>
      <c r="W719" s="106"/>
      <c r="X719" s="55"/>
      <c r="Y719" s="55"/>
      <c r="Z719" s="201" t="s">
        <v>3955</v>
      </c>
      <c r="AA719" s="201">
        <v>0.3</v>
      </c>
      <c r="AB719" s="263">
        <v>100</v>
      </c>
      <c r="AC719" s="263">
        <f t="shared" si="42"/>
        <v>30</v>
      </c>
    </row>
    <row r="720" spans="1:29" s="3" customFormat="1" ht="15" customHeight="1">
      <c r="A720" s="65" t="s">
        <v>212</v>
      </c>
      <c r="B720" s="49" t="s">
        <v>3762</v>
      </c>
      <c r="C720" s="86" t="s">
        <v>1902</v>
      </c>
      <c r="D720" s="86" t="s">
        <v>3737</v>
      </c>
      <c r="E720" s="65" t="s">
        <v>3915</v>
      </c>
      <c r="F720" s="65" t="s">
        <v>3956</v>
      </c>
      <c r="G720" s="87" t="s">
        <v>34</v>
      </c>
      <c r="H720" s="53" t="s">
        <v>3917</v>
      </c>
      <c r="I720" s="53" t="e">
        <f>VLOOKUP(H720,合同高级查询数据!$A$2:$A$51,1,FALSE)</f>
        <v>#N/A</v>
      </c>
      <c r="J720" s="88" t="s">
        <v>36</v>
      </c>
      <c r="K720" s="65" t="s">
        <v>3957</v>
      </c>
      <c r="L720" s="87" t="s">
        <v>3958</v>
      </c>
      <c r="M720" s="54"/>
      <c r="N720" s="55" t="s">
        <v>3959</v>
      </c>
      <c r="O720" s="87" t="s">
        <v>3960</v>
      </c>
      <c r="P720" s="57">
        <v>9000</v>
      </c>
      <c r="Q720" s="142"/>
      <c r="R720" s="57">
        <f t="shared" si="43"/>
        <v>0</v>
      </c>
      <c r="S720" s="59">
        <v>202306</v>
      </c>
      <c r="T720" s="97" t="s">
        <v>3961</v>
      </c>
      <c r="U720" s="97"/>
      <c r="V720" s="62">
        <v>0</v>
      </c>
      <c r="W720" s="256"/>
      <c r="X720" s="55"/>
      <c r="Y720" s="55"/>
      <c r="Z720" s="201" t="s">
        <v>3962</v>
      </c>
      <c r="AA720" s="201">
        <v>0.3</v>
      </c>
      <c r="AB720" s="263"/>
      <c r="AC720" s="263">
        <f t="shared" si="42"/>
        <v>0</v>
      </c>
    </row>
    <row r="721" spans="1:29" s="3" customFormat="1" ht="15" customHeight="1">
      <c r="A721" s="65" t="s">
        <v>212</v>
      </c>
      <c r="B721" s="49" t="s">
        <v>3762</v>
      </c>
      <c r="C721" s="86" t="s">
        <v>1902</v>
      </c>
      <c r="D721" s="86" t="s">
        <v>3737</v>
      </c>
      <c r="E721" s="65" t="s">
        <v>3915</v>
      </c>
      <c r="F721" s="65" t="s">
        <v>3963</v>
      </c>
      <c r="G721" s="87" t="s">
        <v>34</v>
      </c>
      <c r="H721" s="53" t="s">
        <v>3917</v>
      </c>
      <c r="I721" s="53" t="e">
        <f>VLOOKUP(H721,合同高级查询数据!$A$2:$A$51,1,FALSE)</f>
        <v>#N/A</v>
      </c>
      <c r="J721" s="88" t="s">
        <v>36</v>
      </c>
      <c r="K721" s="65" t="s">
        <v>3964</v>
      </c>
      <c r="L721" s="87" t="s">
        <v>3965</v>
      </c>
      <c r="M721" s="54"/>
      <c r="N721" s="55" t="s">
        <v>3966</v>
      </c>
      <c r="O721" s="87" t="s">
        <v>1395</v>
      </c>
      <c r="P721" s="57">
        <v>9000</v>
      </c>
      <c r="Q721" s="142"/>
      <c r="R721" s="57">
        <f t="shared" si="43"/>
        <v>0</v>
      </c>
      <c r="S721" s="59">
        <v>202306</v>
      </c>
      <c r="T721" s="97" t="s">
        <v>3967</v>
      </c>
      <c r="U721" s="97"/>
      <c r="V721" s="62">
        <v>0</v>
      </c>
      <c r="W721" s="256"/>
      <c r="X721" s="55"/>
      <c r="Y721" s="55"/>
      <c r="Z721" s="201" t="s">
        <v>3968</v>
      </c>
      <c r="AA721" s="201">
        <v>0.3</v>
      </c>
      <c r="AB721" s="263"/>
      <c r="AC721" s="263">
        <f t="shared" si="42"/>
        <v>0</v>
      </c>
    </row>
    <row r="722" spans="1:29" s="3" customFormat="1" ht="15" customHeight="1">
      <c r="A722" s="86" t="s">
        <v>212</v>
      </c>
      <c r="B722" s="50" t="s">
        <v>3792</v>
      </c>
      <c r="C722" s="86" t="s">
        <v>3855</v>
      </c>
      <c r="D722" s="65" t="s">
        <v>3737</v>
      </c>
      <c r="E722" s="86" t="s">
        <v>3969</v>
      </c>
      <c r="F722" s="86" t="s">
        <v>3970</v>
      </c>
      <c r="G722" s="86" t="s">
        <v>34</v>
      </c>
      <c r="H722" s="53" t="s">
        <v>3971</v>
      </c>
      <c r="I722" s="53" t="e">
        <f>VLOOKUP(H722,合同高级查询数据!$A$2:$A$51,1,FALSE)</f>
        <v>#N/A</v>
      </c>
      <c r="J722" s="51" t="s">
        <v>36</v>
      </c>
      <c r="K722" s="86" t="s">
        <v>3859</v>
      </c>
      <c r="L722" s="175" t="s">
        <v>3972</v>
      </c>
      <c r="M722" s="54" t="s">
        <v>3973</v>
      </c>
      <c r="N722" s="55">
        <v>43466</v>
      </c>
      <c r="O722" s="87" t="s">
        <v>542</v>
      </c>
      <c r="P722" s="57">
        <v>11500</v>
      </c>
      <c r="Q722" s="142">
        <v>1</v>
      </c>
      <c r="R722" s="57">
        <f t="shared" si="43"/>
        <v>11500</v>
      </c>
      <c r="S722" s="59">
        <v>202306</v>
      </c>
      <c r="T722" s="185" t="s">
        <v>3974</v>
      </c>
      <c r="U722" s="61"/>
      <c r="V722" s="62">
        <v>0.53963191799999999</v>
      </c>
      <c r="W722" s="256"/>
      <c r="X722" s="55"/>
      <c r="Y722" s="55"/>
      <c r="Z722" s="201" t="s">
        <v>3975</v>
      </c>
      <c r="AA722" s="201">
        <v>0.1</v>
      </c>
      <c r="AB722" s="263">
        <v>10</v>
      </c>
      <c r="AC722" s="263">
        <f t="shared" si="42"/>
        <v>1</v>
      </c>
    </row>
    <row r="723" spans="1:29" s="3" customFormat="1" ht="15" customHeight="1">
      <c r="A723" s="50" t="s">
        <v>212</v>
      </c>
      <c r="B723" s="49" t="s">
        <v>3666</v>
      </c>
      <c r="C723" s="49" t="s">
        <v>2366</v>
      </c>
      <c r="D723" s="49" t="s">
        <v>3737</v>
      </c>
      <c r="E723" s="50" t="s">
        <v>3976</v>
      </c>
      <c r="F723" s="50" t="s">
        <v>3977</v>
      </c>
      <c r="G723" s="50" t="s">
        <v>34</v>
      </c>
      <c r="H723" s="53" t="s">
        <v>3978</v>
      </c>
      <c r="I723" s="53" t="e">
        <f>VLOOKUP(H723,合同高级查询数据!$A$2:$A$51,1,FALSE)</f>
        <v>#N/A</v>
      </c>
      <c r="J723" s="51" t="s">
        <v>36</v>
      </c>
      <c r="K723" s="50" t="s">
        <v>3979</v>
      </c>
      <c r="L723" s="52" t="s">
        <v>3977</v>
      </c>
      <c r="M723" s="54"/>
      <c r="N723" s="55" t="s">
        <v>3980</v>
      </c>
      <c r="O723" s="55" t="s">
        <v>3981</v>
      </c>
      <c r="P723" s="57">
        <v>9000</v>
      </c>
      <c r="Q723" s="142">
        <v>66</v>
      </c>
      <c r="R723" s="57">
        <f t="shared" si="43"/>
        <v>594000</v>
      </c>
      <c r="S723" s="59">
        <v>202306</v>
      </c>
      <c r="T723" s="100" t="s">
        <v>3982</v>
      </c>
      <c r="U723" s="60"/>
      <c r="V723" s="62">
        <v>63.584214172000003</v>
      </c>
      <c r="W723" s="255"/>
      <c r="X723" s="55"/>
      <c r="Y723" s="55"/>
      <c r="Z723" s="201" t="s">
        <v>3983</v>
      </c>
      <c r="AA723" s="201">
        <v>0.3</v>
      </c>
      <c r="AB723" s="263">
        <v>220</v>
      </c>
      <c r="AC723" s="263">
        <f t="shared" si="42"/>
        <v>66</v>
      </c>
    </row>
    <row r="724" spans="1:29" s="3" customFormat="1" ht="15" customHeight="1">
      <c r="A724" s="50" t="s">
        <v>212</v>
      </c>
      <c r="B724" s="49" t="s">
        <v>3666</v>
      </c>
      <c r="C724" s="49" t="s">
        <v>2366</v>
      </c>
      <c r="D724" s="49" t="s">
        <v>3737</v>
      </c>
      <c r="E724" s="50" t="s">
        <v>3976</v>
      </c>
      <c r="F724" s="50" t="s">
        <v>3977</v>
      </c>
      <c r="G724" s="50" t="s">
        <v>34</v>
      </c>
      <c r="H724" s="53" t="s">
        <v>3978</v>
      </c>
      <c r="I724" s="53" t="e">
        <f>VLOOKUP(H724,合同高级查询数据!$A$2:$A$51,1,FALSE)</f>
        <v>#N/A</v>
      </c>
      <c r="J724" s="51" t="s">
        <v>36</v>
      </c>
      <c r="K724" s="50" t="s">
        <v>3984</v>
      </c>
      <c r="L724" s="52" t="s">
        <v>3985</v>
      </c>
      <c r="M724" s="54"/>
      <c r="N724" s="55" t="s">
        <v>3986</v>
      </c>
      <c r="O724" s="55" t="s">
        <v>3987</v>
      </c>
      <c r="P724" s="57">
        <v>9000</v>
      </c>
      <c r="Q724" s="142"/>
      <c r="R724" s="57">
        <f t="shared" si="43"/>
        <v>0</v>
      </c>
      <c r="S724" s="59">
        <v>202306</v>
      </c>
      <c r="T724" s="100" t="s">
        <v>3988</v>
      </c>
      <c r="U724" s="60"/>
      <c r="V724" s="62">
        <v>0</v>
      </c>
      <c r="W724" s="255"/>
      <c r="X724" s="55"/>
      <c r="Y724" s="55"/>
      <c r="Z724" s="201" t="s">
        <v>3989</v>
      </c>
      <c r="AA724" s="201">
        <v>0.3</v>
      </c>
      <c r="AB724" s="263">
        <v>0</v>
      </c>
      <c r="AC724" s="263">
        <f t="shared" si="42"/>
        <v>0</v>
      </c>
    </row>
    <row r="725" spans="1:29" s="3" customFormat="1" ht="15" customHeight="1">
      <c r="A725" s="50" t="s">
        <v>212</v>
      </c>
      <c r="B725" s="49" t="s">
        <v>3666</v>
      </c>
      <c r="C725" s="49" t="s">
        <v>2366</v>
      </c>
      <c r="D725" s="49" t="s">
        <v>3737</v>
      </c>
      <c r="E725" s="50" t="s">
        <v>3976</v>
      </c>
      <c r="F725" s="50" t="s">
        <v>3977</v>
      </c>
      <c r="G725" s="50" t="s">
        <v>34</v>
      </c>
      <c r="H725" s="53" t="s">
        <v>3990</v>
      </c>
      <c r="I725" s="53" t="e">
        <f>VLOOKUP(H725,合同高级查询数据!$A$2:$A$51,1,FALSE)</f>
        <v>#N/A</v>
      </c>
      <c r="J725" s="51" t="s">
        <v>36</v>
      </c>
      <c r="K725" s="50" t="s">
        <v>3979</v>
      </c>
      <c r="L725" s="52" t="s">
        <v>3991</v>
      </c>
      <c r="M725" s="54"/>
      <c r="N725" s="55" t="s">
        <v>3992</v>
      </c>
      <c r="O725" s="55" t="s">
        <v>243</v>
      </c>
      <c r="P725" s="57">
        <v>0</v>
      </c>
      <c r="Q725" s="142"/>
      <c r="R725" s="57">
        <f t="shared" si="43"/>
        <v>0</v>
      </c>
      <c r="S725" s="59">
        <v>202306</v>
      </c>
      <c r="T725" s="100" t="s">
        <v>3993</v>
      </c>
      <c r="U725" s="60"/>
      <c r="V725" s="62">
        <v>0</v>
      </c>
      <c r="W725" s="255"/>
      <c r="X725" s="55"/>
      <c r="Y725" s="55"/>
      <c r="Z725" s="201" t="s">
        <v>3994</v>
      </c>
      <c r="AA725" s="201">
        <v>0.3</v>
      </c>
      <c r="AB725" s="263">
        <v>40</v>
      </c>
      <c r="AC725" s="263">
        <f t="shared" si="42"/>
        <v>12</v>
      </c>
    </row>
    <row r="726" spans="1:29" s="3" customFormat="1" ht="15" customHeight="1">
      <c r="A726" s="50" t="s">
        <v>212</v>
      </c>
      <c r="B726" s="49" t="s">
        <v>3666</v>
      </c>
      <c r="C726" s="49" t="s">
        <v>2366</v>
      </c>
      <c r="D726" s="49" t="s">
        <v>3737</v>
      </c>
      <c r="E726" s="50" t="s">
        <v>3976</v>
      </c>
      <c r="F726" s="50" t="s">
        <v>3977</v>
      </c>
      <c r="G726" s="50" t="s">
        <v>34</v>
      </c>
      <c r="H726" s="53" t="s">
        <v>3995</v>
      </c>
      <c r="I726" s="53" t="e">
        <f>VLOOKUP(H726,合同高级查询数据!$A$2:$A$51,1,FALSE)</f>
        <v>#N/A</v>
      </c>
      <c r="J726" s="51" t="s">
        <v>36</v>
      </c>
      <c r="K726" s="50" t="s">
        <v>3979</v>
      </c>
      <c r="L726" s="52" t="s">
        <v>3996</v>
      </c>
      <c r="M726" s="54" t="s">
        <v>3997</v>
      </c>
      <c r="N726" s="55">
        <v>45047</v>
      </c>
      <c r="O726" s="55" t="s">
        <v>434</v>
      </c>
      <c r="P726" s="57">
        <v>9000</v>
      </c>
      <c r="Q726" s="142">
        <v>94.4</v>
      </c>
      <c r="R726" s="57">
        <f t="shared" si="43"/>
        <v>849600</v>
      </c>
      <c r="S726" s="59">
        <v>202306</v>
      </c>
      <c r="T726" s="100" t="s">
        <v>3998</v>
      </c>
      <c r="U726" s="60"/>
      <c r="V726" s="62">
        <v>94.364694365999995</v>
      </c>
      <c r="W726" s="255"/>
      <c r="X726" s="55"/>
      <c r="Y726" s="55"/>
      <c r="Z726" s="201" t="s">
        <v>3999</v>
      </c>
      <c r="AA726" s="201">
        <v>0.3</v>
      </c>
      <c r="AB726" s="263">
        <v>200</v>
      </c>
      <c r="AC726" s="263">
        <f t="shared" si="42"/>
        <v>60</v>
      </c>
    </row>
    <row r="727" spans="1:29" s="3" customFormat="1" ht="15" customHeight="1">
      <c r="A727" s="50" t="s">
        <v>212</v>
      </c>
      <c r="B727" s="49" t="s">
        <v>3666</v>
      </c>
      <c r="C727" s="49" t="s">
        <v>2366</v>
      </c>
      <c r="D727" s="49" t="s">
        <v>3737</v>
      </c>
      <c r="E727" s="50" t="s">
        <v>4000</v>
      </c>
      <c r="F727" s="50" t="s">
        <v>4001</v>
      </c>
      <c r="G727" s="50" t="s">
        <v>34</v>
      </c>
      <c r="H727" s="53" t="s">
        <v>4002</v>
      </c>
      <c r="I727" s="53" t="e">
        <f>VLOOKUP(H727,合同高级查询数据!$A$2:$A$51,1,FALSE)</f>
        <v>#N/A</v>
      </c>
      <c r="J727" s="51" t="s">
        <v>36</v>
      </c>
      <c r="K727" s="50" t="s">
        <v>4003</v>
      </c>
      <c r="L727" s="52" t="s">
        <v>4004</v>
      </c>
      <c r="M727" s="54"/>
      <c r="N727" s="55" t="s">
        <v>4005</v>
      </c>
      <c r="O727" s="55" t="s">
        <v>4006</v>
      </c>
      <c r="P727" s="57">
        <v>9000</v>
      </c>
      <c r="Q727" s="142">
        <v>0</v>
      </c>
      <c r="R727" s="57">
        <f t="shared" si="43"/>
        <v>0</v>
      </c>
      <c r="S727" s="59">
        <v>202306</v>
      </c>
      <c r="T727" s="100" t="s">
        <v>4007</v>
      </c>
      <c r="U727" s="60"/>
      <c r="V727" s="62">
        <v>0</v>
      </c>
      <c r="W727" s="255"/>
      <c r="X727" s="55"/>
      <c r="Y727" s="55"/>
      <c r="Z727" s="201" t="s">
        <v>4008</v>
      </c>
      <c r="AA727" s="201">
        <v>0.3</v>
      </c>
      <c r="AB727" s="263">
        <v>80</v>
      </c>
      <c r="AC727" s="263">
        <f t="shared" si="42"/>
        <v>24</v>
      </c>
    </row>
    <row r="728" spans="1:29" s="3" customFormat="1" ht="15" customHeight="1">
      <c r="A728" s="50" t="s">
        <v>212</v>
      </c>
      <c r="B728" s="50" t="s">
        <v>3792</v>
      </c>
      <c r="C728" s="50" t="s">
        <v>1801</v>
      </c>
      <c r="D728" s="49" t="s">
        <v>3737</v>
      </c>
      <c r="E728" s="50" t="s">
        <v>4009</v>
      </c>
      <c r="F728" s="50" t="s">
        <v>4010</v>
      </c>
      <c r="G728" s="50" t="s">
        <v>34</v>
      </c>
      <c r="H728" s="53" t="s">
        <v>4011</v>
      </c>
      <c r="I728" s="53" t="e">
        <f>VLOOKUP(H728,合同高级查询数据!$A$2:$A$51,1,FALSE)</f>
        <v>#N/A</v>
      </c>
      <c r="J728" s="51" t="s">
        <v>36</v>
      </c>
      <c r="K728" s="50" t="s">
        <v>1803</v>
      </c>
      <c r="L728" s="52" t="s">
        <v>4010</v>
      </c>
      <c r="M728" s="54" t="s">
        <v>4012</v>
      </c>
      <c r="N728" s="55" t="s">
        <v>4013</v>
      </c>
      <c r="O728" s="50" t="s">
        <v>4014</v>
      </c>
      <c r="P728" s="57">
        <v>9000</v>
      </c>
      <c r="Q728" s="142">
        <v>6</v>
      </c>
      <c r="R728" s="57">
        <f t="shared" si="43"/>
        <v>54000</v>
      </c>
      <c r="S728" s="59">
        <v>202306</v>
      </c>
      <c r="T728" s="60" t="s">
        <v>4015</v>
      </c>
      <c r="U728" s="61"/>
      <c r="V728" s="62">
        <v>5.9513460250000003</v>
      </c>
      <c r="W728" s="255"/>
      <c r="X728" s="55"/>
      <c r="Y728" s="55"/>
      <c r="Z728" s="201" t="s">
        <v>4016</v>
      </c>
      <c r="AA728" s="201">
        <v>0.3</v>
      </c>
      <c r="AB728" s="263">
        <v>20</v>
      </c>
      <c r="AC728" s="263">
        <f t="shared" si="42"/>
        <v>6</v>
      </c>
    </row>
    <row r="729" spans="1:29" s="2" customFormat="1" ht="15" customHeight="1">
      <c r="A729" s="9" t="s">
        <v>212</v>
      </c>
      <c r="B729" s="8" t="s">
        <v>3666</v>
      </c>
      <c r="C729" s="8" t="s">
        <v>2366</v>
      </c>
      <c r="D729" s="8" t="s">
        <v>3737</v>
      </c>
      <c r="E729" s="9" t="s">
        <v>4017</v>
      </c>
      <c r="F729" s="9" t="s">
        <v>4018</v>
      </c>
      <c r="G729" s="9" t="s">
        <v>34</v>
      </c>
      <c r="H729" s="11" t="s">
        <v>4019</v>
      </c>
      <c r="I729" s="11" t="e">
        <f>VLOOKUP(H729,合同高级查询数据!$A$2:$A$51,1,FALSE)</f>
        <v>#N/A</v>
      </c>
      <c r="J729" s="8" t="s">
        <v>233</v>
      </c>
      <c r="K729" s="9" t="s">
        <v>4020</v>
      </c>
      <c r="L729" s="15" t="s">
        <v>4021</v>
      </c>
      <c r="M729" s="16"/>
      <c r="N729" s="21" t="s">
        <v>4022</v>
      </c>
      <c r="O729" s="21" t="s">
        <v>4023</v>
      </c>
      <c r="P729" s="30">
        <v>15416.66</v>
      </c>
      <c r="Q729" s="23">
        <v>75.400000000000006</v>
      </c>
      <c r="R729" s="30">
        <f t="shared" si="43"/>
        <v>1162416.1599999999</v>
      </c>
      <c r="S729" s="28">
        <v>202306</v>
      </c>
      <c r="T729" s="246" t="s">
        <v>4024</v>
      </c>
      <c r="U729" s="31"/>
      <c r="V729" s="38">
        <v>75.318676104000005</v>
      </c>
      <c r="W729" s="39"/>
      <c r="X729" s="21">
        <v>44531</v>
      </c>
      <c r="Y729" s="21">
        <v>45260</v>
      </c>
      <c r="Z729" s="44" t="s">
        <v>4025</v>
      </c>
      <c r="AA729" s="44">
        <v>0.2</v>
      </c>
      <c r="AB729" s="46">
        <v>300</v>
      </c>
      <c r="AC729" s="46">
        <f t="shared" si="42"/>
        <v>60</v>
      </c>
    </row>
    <row r="730" spans="1:29" s="2" customFormat="1" ht="15" customHeight="1">
      <c r="A730" s="9" t="s">
        <v>212</v>
      </c>
      <c r="B730" s="8" t="s">
        <v>3666</v>
      </c>
      <c r="C730" s="8" t="s">
        <v>3772</v>
      </c>
      <c r="D730" s="8" t="s">
        <v>3737</v>
      </c>
      <c r="E730" s="9" t="s">
        <v>4026</v>
      </c>
      <c r="F730" s="9" t="s">
        <v>4027</v>
      </c>
      <c r="G730" s="9" t="s">
        <v>34</v>
      </c>
      <c r="H730" s="11" t="s">
        <v>4028</v>
      </c>
      <c r="I730" s="11" t="str">
        <f>VLOOKUP(H730,合同高级查询数据!$A$2:$A$51,1,FALSE)</f>
        <v>182315IDC00256</v>
      </c>
      <c r="J730" s="12" t="s">
        <v>36</v>
      </c>
      <c r="K730" s="9" t="s">
        <v>4029</v>
      </c>
      <c r="L730" s="15" t="s">
        <v>4030</v>
      </c>
      <c r="M730" s="16"/>
      <c r="N730" s="21">
        <v>43105</v>
      </c>
      <c r="O730" s="21" t="s">
        <v>1798</v>
      </c>
      <c r="P730" s="30">
        <v>9000</v>
      </c>
      <c r="Q730" s="23">
        <v>12</v>
      </c>
      <c r="R730" s="30">
        <f t="shared" si="43"/>
        <v>108000</v>
      </c>
      <c r="S730" s="28">
        <v>202306</v>
      </c>
      <c r="T730" s="246" t="s">
        <v>4031</v>
      </c>
      <c r="U730" s="31"/>
      <c r="V730" s="38">
        <v>11.359933832999999</v>
      </c>
      <c r="W730" s="39"/>
      <c r="X730" s="21">
        <v>44958</v>
      </c>
      <c r="Y730" s="21">
        <v>45322</v>
      </c>
      <c r="Z730" s="44" t="s">
        <v>4032</v>
      </c>
      <c r="AA730" s="44">
        <v>0.3</v>
      </c>
      <c r="AB730" s="46">
        <v>40</v>
      </c>
      <c r="AC730" s="46">
        <f t="shared" si="42"/>
        <v>12</v>
      </c>
    </row>
    <row r="731" spans="1:29" s="2" customFormat="1" ht="15" customHeight="1">
      <c r="A731" s="5" t="s">
        <v>267</v>
      </c>
      <c r="B731" s="8" t="s">
        <v>3762</v>
      </c>
      <c r="C731" s="7" t="s">
        <v>1758</v>
      </c>
      <c r="D731" s="7" t="s">
        <v>3737</v>
      </c>
      <c r="E731" s="5" t="s">
        <v>4033</v>
      </c>
      <c r="F731" s="5" t="s">
        <v>4034</v>
      </c>
      <c r="G731" s="207" t="s">
        <v>34</v>
      </c>
      <c r="H731" s="8" t="s">
        <v>4035</v>
      </c>
      <c r="I731" s="11" t="e">
        <f>VLOOKUP(H731,合同高级查询数据!$A$2:$A$51,1,FALSE)</f>
        <v>#N/A</v>
      </c>
      <c r="J731" s="14" t="s">
        <v>36</v>
      </c>
      <c r="K731" s="5" t="s">
        <v>2622</v>
      </c>
      <c r="L731" s="207" t="s">
        <v>4036</v>
      </c>
      <c r="M731" s="16" t="s">
        <v>4037</v>
      </c>
      <c r="N731" s="21" t="s">
        <v>849</v>
      </c>
      <c r="O731" s="207" t="s">
        <v>4038</v>
      </c>
      <c r="P731" s="30">
        <v>6740</v>
      </c>
      <c r="Q731" s="23"/>
      <c r="R731" s="30">
        <f t="shared" si="43"/>
        <v>0</v>
      </c>
      <c r="S731" s="28">
        <v>202306</v>
      </c>
      <c r="T731" s="29" t="s">
        <v>4039</v>
      </c>
      <c r="U731" s="29"/>
      <c r="V731" s="38">
        <v>0</v>
      </c>
      <c r="W731" s="249"/>
      <c r="X731" s="21">
        <v>44927</v>
      </c>
      <c r="Y731" s="21">
        <v>45107</v>
      </c>
      <c r="Z731" s="44" t="s">
        <v>4040</v>
      </c>
      <c r="AA731" s="44"/>
      <c r="AB731" s="46"/>
      <c r="AC731" s="46">
        <f>AB731*AA731</f>
        <v>0</v>
      </c>
    </row>
    <row r="732" spans="1:29" s="2" customFormat="1" ht="15" customHeight="1">
      <c r="A732" s="5" t="s">
        <v>267</v>
      </c>
      <c r="B732" s="8" t="s">
        <v>3762</v>
      </c>
      <c r="C732" s="7" t="s">
        <v>1758</v>
      </c>
      <c r="D732" s="7" t="s">
        <v>3737</v>
      </c>
      <c r="E732" s="5" t="s">
        <v>4033</v>
      </c>
      <c r="F732" s="5" t="s">
        <v>4034</v>
      </c>
      <c r="G732" s="207" t="s">
        <v>34</v>
      </c>
      <c r="H732" s="8" t="s">
        <v>4035</v>
      </c>
      <c r="I732" s="11" t="e">
        <f>VLOOKUP(H732,合同高级查询数据!$A$2:$A$51,1,FALSE)</f>
        <v>#N/A</v>
      </c>
      <c r="J732" s="14" t="s">
        <v>36</v>
      </c>
      <c r="K732" s="5" t="s">
        <v>2622</v>
      </c>
      <c r="L732" s="207" t="s">
        <v>4041</v>
      </c>
      <c r="M732" s="16"/>
      <c r="N732" s="21" t="s">
        <v>4042</v>
      </c>
      <c r="O732" s="207" t="s">
        <v>3816</v>
      </c>
      <c r="P732" s="30">
        <v>6740</v>
      </c>
      <c r="Q732" s="23"/>
      <c r="R732" s="30">
        <f t="shared" si="43"/>
        <v>0</v>
      </c>
      <c r="S732" s="28">
        <v>202306</v>
      </c>
      <c r="T732" s="29" t="s">
        <v>4043</v>
      </c>
      <c r="U732" s="29"/>
      <c r="V732" s="38">
        <v>0</v>
      </c>
      <c r="W732" s="249"/>
      <c r="X732" s="21">
        <v>44927</v>
      </c>
      <c r="Y732" s="21">
        <v>45107</v>
      </c>
      <c r="Z732" s="44" t="s">
        <v>4044</v>
      </c>
      <c r="AA732" s="44">
        <v>0</v>
      </c>
      <c r="AB732" s="46">
        <v>0</v>
      </c>
      <c r="AC732" s="46">
        <f t="shared" ref="AC732:AC746" si="44">AA732*AB732</f>
        <v>0</v>
      </c>
    </row>
    <row r="733" spans="1:29" s="2" customFormat="1" ht="15" customHeight="1">
      <c r="A733" s="5" t="s">
        <v>267</v>
      </c>
      <c r="B733" s="8" t="s">
        <v>3762</v>
      </c>
      <c r="C733" s="7" t="s">
        <v>1758</v>
      </c>
      <c r="D733" s="7" t="s">
        <v>3737</v>
      </c>
      <c r="E733" s="5" t="s">
        <v>4033</v>
      </c>
      <c r="F733" s="5" t="s">
        <v>4034</v>
      </c>
      <c r="G733" s="207" t="s">
        <v>34</v>
      </c>
      <c r="H733" s="8" t="s">
        <v>4035</v>
      </c>
      <c r="I733" s="11" t="e">
        <f>VLOOKUP(H733,合同高级查询数据!$A$2:$A$51,1,FALSE)</f>
        <v>#N/A</v>
      </c>
      <c r="J733" s="14" t="s">
        <v>440</v>
      </c>
      <c r="K733" s="5" t="s">
        <v>4045</v>
      </c>
      <c r="L733" s="207" t="s">
        <v>4046</v>
      </c>
      <c r="M733" s="16"/>
      <c r="N733" s="21">
        <v>42236</v>
      </c>
      <c r="O733" s="207" t="s">
        <v>222</v>
      </c>
      <c r="P733" s="30">
        <v>6740</v>
      </c>
      <c r="Q733" s="23">
        <v>7.77</v>
      </c>
      <c r="R733" s="30">
        <f t="shared" si="43"/>
        <v>52369.8</v>
      </c>
      <c r="S733" s="28">
        <v>202306</v>
      </c>
      <c r="T733" s="29" t="s">
        <v>4047</v>
      </c>
      <c r="U733" s="29"/>
      <c r="V733" s="38">
        <v>1.4</v>
      </c>
      <c r="W733" s="249"/>
      <c r="X733" s="21">
        <v>44927</v>
      </c>
      <c r="Y733" s="21">
        <v>45107</v>
      </c>
      <c r="Z733" s="44" t="s">
        <v>4048</v>
      </c>
      <c r="AA733" s="44">
        <v>0.4</v>
      </c>
      <c r="AB733" s="46">
        <v>20</v>
      </c>
      <c r="AC733" s="46">
        <f t="shared" si="44"/>
        <v>8</v>
      </c>
    </row>
    <row r="734" spans="1:29" s="2" customFormat="1" ht="15" customHeight="1">
      <c r="A734" s="5" t="s">
        <v>267</v>
      </c>
      <c r="B734" s="8" t="s">
        <v>3762</v>
      </c>
      <c r="C734" s="7" t="s">
        <v>1758</v>
      </c>
      <c r="D734" s="7" t="s">
        <v>3737</v>
      </c>
      <c r="E734" s="5" t="s">
        <v>4033</v>
      </c>
      <c r="F734" s="5" t="s">
        <v>4034</v>
      </c>
      <c r="G734" s="207" t="s">
        <v>34</v>
      </c>
      <c r="H734" s="8" t="s">
        <v>4035</v>
      </c>
      <c r="I734" s="11" t="e">
        <f>VLOOKUP(H734,合同高级查询数据!$A$2:$A$51,1,FALSE)</f>
        <v>#N/A</v>
      </c>
      <c r="J734" s="14" t="s">
        <v>36</v>
      </c>
      <c r="K734" s="5" t="s">
        <v>4049</v>
      </c>
      <c r="L734" s="207" t="s">
        <v>4034</v>
      </c>
      <c r="M734" s="16"/>
      <c r="N734" s="21" t="s">
        <v>4050</v>
      </c>
      <c r="O734" s="207" t="s">
        <v>4051</v>
      </c>
      <c r="P734" s="30">
        <v>6740</v>
      </c>
      <c r="Q734" s="23"/>
      <c r="R734" s="30">
        <f t="shared" si="43"/>
        <v>0</v>
      </c>
      <c r="S734" s="28">
        <v>202306</v>
      </c>
      <c r="T734" s="29" t="s">
        <v>4052</v>
      </c>
      <c r="U734" s="29"/>
      <c r="V734" s="38">
        <v>0</v>
      </c>
      <c r="W734" s="154"/>
      <c r="X734" s="21">
        <v>44927</v>
      </c>
      <c r="Y734" s="21">
        <v>45107</v>
      </c>
      <c r="Z734" s="44" t="s">
        <v>4053</v>
      </c>
      <c r="AA734" s="44"/>
      <c r="AB734" s="46">
        <v>0</v>
      </c>
      <c r="AC734" s="46">
        <f t="shared" si="44"/>
        <v>0</v>
      </c>
    </row>
    <row r="735" spans="1:29" s="2" customFormat="1" ht="15" customHeight="1">
      <c r="A735" s="5" t="s">
        <v>267</v>
      </c>
      <c r="B735" s="8" t="s">
        <v>3762</v>
      </c>
      <c r="C735" s="7" t="s">
        <v>1758</v>
      </c>
      <c r="D735" s="7" t="s">
        <v>3737</v>
      </c>
      <c r="E735" s="5" t="s">
        <v>4033</v>
      </c>
      <c r="F735" s="5" t="s">
        <v>4034</v>
      </c>
      <c r="G735" s="207" t="s">
        <v>34</v>
      </c>
      <c r="H735" s="8" t="s">
        <v>4035</v>
      </c>
      <c r="I735" s="11" t="e">
        <f>VLOOKUP(H735,合同高级查询数据!$A$2:$A$51,1,FALSE)</f>
        <v>#N/A</v>
      </c>
      <c r="J735" s="14" t="s">
        <v>36</v>
      </c>
      <c r="K735" s="5" t="s">
        <v>4054</v>
      </c>
      <c r="L735" s="207" t="s">
        <v>4055</v>
      </c>
      <c r="M735" s="16"/>
      <c r="N735" s="131" t="s">
        <v>4056</v>
      </c>
      <c r="O735" s="207" t="s">
        <v>4057</v>
      </c>
      <c r="P735" s="30">
        <v>6740</v>
      </c>
      <c r="Q735" s="23">
        <v>16.23</v>
      </c>
      <c r="R735" s="30">
        <f t="shared" si="43"/>
        <v>109390.2</v>
      </c>
      <c r="S735" s="28">
        <v>202306</v>
      </c>
      <c r="T735" s="267" t="s">
        <v>4058</v>
      </c>
      <c r="U735" s="29"/>
      <c r="V735" s="38">
        <v>16.227560043</v>
      </c>
      <c r="W735" s="249"/>
      <c r="X735" s="21">
        <v>44927</v>
      </c>
      <c r="Y735" s="21">
        <v>45107</v>
      </c>
      <c r="Z735" s="44" t="s">
        <v>4059</v>
      </c>
      <c r="AA735" s="44">
        <v>0.4</v>
      </c>
      <c r="AB735" s="46">
        <v>40</v>
      </c>
      <c r="AC735" s="46">
        <f t="shared" si="44"/>
        <v>16</v>
      </c>
    </row>
    <row r="736" spans="1:29" s="2" customFormat="1" ht="15" customHeight="1">
      <c r="A736" s="5" t="s">
        <v>267</v>
      </c>
      <c r="B736" s="8" t="s">
        <v>3762</v>
      </c>
      <c r="C736" s="7" t="s">
        <v>1758</v>
      </c>
      <c r="D736" s="7" t="s">
        <v>3737</v>
      </c>
      <c r="E736" s="5" t="s">
        <v>4033</v>
      </c>
      <c r="F736" s="5" t="s">
        <v>4034</v>
      </c>
      <c r="G736" s="207" t="s">
        <v>34</v>
      </c>
      <c r="H736" s="8" t="s">
        <v>4035</v>
      </c>
      <c r="I736" s="11" t="e">
        <f>VLOOKUP(H736,合同高级查询数据!$A$2:$A$51,1,FALSE)</f>
        <v>#N/A</v>
      </c>
      <c r="J736" s="14" t="s">
        <v>36</v>
      </c>
      <c r="K736" s="5" t="s">
        <v>2622</v>
      </c>
      <c r="L736" s="207" t="s">
        <v>4060</v>
      </c>
      <c r="M736" s="16" t="s">
        <v>4061</v>
      </c>
      <c r="N736" s="21">
        <v>44873</v>
      </c>
      <c r="O736" s="207" t="s">
        <v>434</v>
      </c>
      <c r="P736" s="30">
        <v>6740</v>
      </c>
      <c r="Q736" s="23">
        <v>85.24</v>
      </c>
      <c r="R736" s="30">
        <f t="shared" si="43"/>
        <v>574517.6</v>
      </c>
      <c r="S736" s="28">
        <v>202306</v>
      </c>
      <c r="T736" s="246" t="s">
        <v>4062</v>
      </c>
      <c r="U736" s="29"/>
      <c r="V736" s="38">
        <v>85.239158630000006</v>
      </c>
      <c r="W736" s="249"/>
      <c r="X736" s="21">
        <v>44927</v>
      </c>
      <c r="Y736" s="21">
        <v>45107</v>
      </c>
      <c r="Z736" s="44" t="s">
        <v>4063</v>
      </c>
      <c r="AA736" s="44">
        <v>0.4</v>
      </c>
      <c r="AB736" s="46">
        <v>200</v>
      </c>
      <c r="AC736" s="46">
        <f t="shared" si="44"/>
        <v>80</v>
      </c>
    </row>
    <row r="737" spans="1:29" s="2" customFormat="1" ht="15" customHeight="1">
      <c r="A737" s="5" t="s">
        <v>267</v>
      </c>
      <c r="B737" s="8" t="s">
        <v>3762</v>
      </c>
      <c r="C737" s="7" t="s">
        <v>1758</v>
      </c>
      <c r="D737" s="7" t="s">
        <v>3737</v>
      </c>
      <c r="E737" s="5" t="s">
        <v>4033</v>
      </c>
      <c r="F737" s="5" t="s">
        <v>4034</v>
      </c>
      <c r="G737" s="207" t="s">
        <v>34</v>
      </c>
      <c r="H737" s="8" t="s">
        <v>4035</v>
      </c>
      <c r="I737" s="11" t="e">
        <f>VLOOKUP(H737,合同高级查询数据!$A$2:$A$51,1,FALSE)</f>
        <v>#N/A</v>
      </c>
      <c r="J737" s="14" t="s">
        <v>36</v>
      </c>
      <c r="K737" s="5" t="s">
        <v>2622</v>
      </c>
      <c r="L737" s="207" t="s">
        <v>4064</v>
      </c>
      <c r="M737" s="16" t="s">
        <v>4061</v>
      </c>
      <c r="N737" s="21">
        <v>44866</v>
      </c>
      <c r="O737" s="207" t="s">
        <v>434</v>
      </c>
      <c r="P737" s="30">
        <v>6740</v>
      </c>
      <c r="Q737" s="23">
        <v>86.3</v>
      </c>
      <c r="R737" s="30">
        <f t="shared" ref="R737:R768" si="45">ROUND(P737*Q737,2)</f>
        <v>581662</v>
      </c>
      <c r="S737" s="28">
        <v>202306</v>
      </c>
      <c r="T737" s="246" t="s">
        <v>4065</v>
      </c>
      <c r="U737" s="29"/>
      <c r="V737" s="38">
        <v>86.304275512999993</v>
      </c>
      <c r="W737" s="249"/>
      <c r="X737" s="21">
        <v>44927</v>
      </c>
      <c r="Y737" s="21">
        <v>45107</v>
      </c>
      <c r="Z737" s="44" t="s">
        <v>4066</v>
      </c>
      <c r="AA737" s="44">
        <v>0.4</v>
      </c>
      <c r="AB737" s="46">
        <v>200</v>
      </c>
      <c r="AC737" s="46">
        <f t="shared" si="44"/>
        <v>80</v>
      </c>
    </row>
    <row r="738" spans="1:29" s="2" customFormat="1" ht="15" customHeight="1">
      <c r="A738" s="9" t="s">
        <v>267</v>
      </c>
      <c r="B738" s="8" t="s">
        <v>3666</v>
      </c>
      <c r="C738" s="8" t="s">
        <v>2519</v>
      </c>
      <c r="D738" s="8" t="s">
        <v>3737</v>
      </c>
      <c r="E738" s="9" t="s">
        <v>4067</v>
      </c>
      <c r="F738" s="9" t="s">
        <v>4068</v>
      </c>
      <c r="G738" s="9" t="s">
        <v>34</v>
      </c>
      <c r="H738" s="11" t="s">
        <v>4069</v>
      </c>
      <c r="I738" s="11" t="e">
        <f>VLOOKUP(H738,合同高级查询数据!$A$2:$A$51,1,FALSE)</f>
        <v>#N/A</v>
      </c>
      <c r="J738" s="12" t="s">
        <v>36</v>
      </c>
      <c r="K738" s="9" t="s">
        <v>4070</v>
      </c>
      <c r="L738" s="15" t="s">
        <v>4071</v>
      </c>
      <c r="M738" s="16" t="s">
        <v>4072</v>
      </c>
      <c r="N738" s="131" t="s">
        <v>4073</v>
      </c>
      <c r="O738" s="21" t="s">
        <v>4074</v>
      </c>
      <c r="P738" s="30">
        <v>6740</v>
      </c>
      <c r="Q738" s="23">
        <v>26.52</v>
      </c>
      <c r="R738" s="30">
        <f t="shared" si="45"/>
        <v>178744.8</v>
      </c>
      <c r="S738" s="28">
        <v>202306</v>
      </c>
      <c r="T738" s="246" t="s">
        <v>4075</v>
      </c>
      <c r="U738" s="31"/>
      <c r="V738" s="38">
        <v>26.518585205000001</v>
      </c>
      <c r="W738" s="39"/>
      <c r="X738" s="21">
        <v>44927</v>
      </c>
      <c r="Y738" s="21">
        <v>45107</v>
      </c>
      <c r="Z738" s="44" t="s">
        <v>4076</v>
      </c>
      <c r="AA738" s="44">
        <v>0.4</v>
      </c>
      <c r="AB738" s="46">
        <v>60</v>
      </c>
      <c r="AC738" s="46">
        <f t="shared" si="44"/>
        <v>24</v>
      </c>
    </row>
    <row r="739" spans="1:29" s="2" customFormat="1" ht="15" customHeight="1">
      <c r="A739" s="5" t="s">
        <v>267</v>
      </c>
      <c r="B739" s="8" t="s">
        <v>3762</v>
      </c>
      <c r="C739" s="7" t="s">
        <v>1902</v>
      </c>
      <c r="D739" s="7" t="s">
        <v>3737</v>
      </c>
      <c r="E739" s="5" t="s">
        <v>4077</v>
      </c>
      <c r="F739" s="5" t="s">
        <v>4078</v>
      </c>
      <c r="G739" s="207" t="s">
        <v>34</v>
      </c>
      <c r="H739" s="8" t="s">
        <v>4079</v>
      </c>
      <c r="I739" s="11" t="e">
        <f>VLOOKUP(H739,合同高级查询数据!$A$2:$A$51,1,FALSE)</f>
        <v>#N/A</v>
      </c>
      <c r="J739" s="14" t="s">
        <v>36</v>
      </c>
      <c r="K739" s="5" t="s">
        <v>4080</v>
      </c>
      <c r="L739" s="207" t="s">
        <v>4081</v>
      </c>
      <c r="M739" s="16"/>
      <c r="N739" s="21" t="s">
        <v>4082</v>
      </c>
      <c r="O739" s="207" t="s">
        <v>4083</v>
      </c>
      <c r="P739" s="30">
        <v>6740</v>
      </c>
      <c r="Q739" s="23"/>
      <c r="R739" s="30">
        <f t="shared" si="45"/>
        <v>0</v>
      </c>
      <c r="S739" s="28">
        <v>202306</v>
      </c>
      <c r="T739" s="246" t="s">
        <v>4084</v>
      </c>
      <c r="U739" s="29"/>
      <c r="V739" s="38">
        <v>0</v>
      </c>
      <c r="W739" s="168"/>
      <c r="X739" s="21" t="s">
        <v>4085</v>
      </c>
      <c r="Y739" s="21" t="s">
        <v>4086</v>
      </c>
      <c r="Z739" s="44" t="s">
        <v>4087</v>
      </c>
      <c r="AA739" s="44">
        <v>0.4</v>
      </c>
      <c r="AB739" s="46">
        <v>0</v>
      </c>
      <c r="AC739" s="46">
        <f t="shared" si="44"/>
        <v>0</v>
      </c>
    </row>
    <row r="740" spans="1:29" s="2" customFormat="1" ht="15" customHeight="1">
      <c r="A740" s="5" t="s">
        <v>267</v>
      </c>
      <c r="B740" s="8" t="s">
        <v>3762</v>
      </c>
      <c r="C740" s="7" t="s">
        <v>1902</v>
      </c>
      <c r="D740" s="7" t="s">
        <v>3737</v>
      </c>
      <c r="E740" s="5" t="s">
        <v>4077</v>
      </c>
      <c r="F740" s="5" t="s">
        <v>4078</v>
      </c>
      <c r="G740" s="207" t="s">
        <v>34</v>
      </c>
      <c r="H740" s="8" t="s">
        <v>4079</v>
      </c>
      <c r="I740" s="11" t="e">
        <f>VLOOKUP(H740,合同高级查询数据!$A$2:$A$51,1,FALSE)</f>
        <v>#N/A</v>
      </c>
      <c r="J740" s="14" t="s">
        <v>36</v>
      </c>
      <c r="K740" s="5" t="s">
        <v>4088</v>
      </c>
      <c r="L740" s="207" t="s">
        <v>4078</v>
      </c>
      <c r="M740" s="16"/>
      <c r="N740" s="21">
        <v>43922</v>
      </c>
      <c r="O740" s="207" t="s">
        <v>4089</v>
      </c>
      <c r="P740" s="30">
        <v>6740</v>
      </c>
      <c r="Q740" s="23"/>
      <c r="R740" s="30">
        <f t="shared" si="45"/>
        <v>0</v>
      </c>
      <c r="S740" s="28">
        <v>202306</v>
      </c>
      <c r="T740" s="246" t="s">
        <v>4090</v>
      </c>
      <c r="U740" s="29"/>
      <c r="V740" s="38">
        <v>0</v>
      </c>
      <c r="W740" s="154"/>
      <c r="X740" s="21" t="s">
        <v>4085</v>
      </c>
      <c r="Y740" s="21" t="s">
        <v>4086</v>
      </c>
      <c r="Z740" s="44" t="s">
        <v>4091</v>
      </c>
      <c r="AA740" s="44"/>
      <c r="AB740" s="46">
        <v>0</v>
      </c>
      <c r="AC740" s="46">
        <f t="shared" si="44"/>
        <v>0</v>
      </c>
    </row>
    <row r="741" spans="1:29" s="2" customFormat="1" ht="15" customHeight="1">
      <c r="A741" s="5" t="s">
        <v>267</v>
      </c>
      <c r="B741" s="8" t="s">
        <v>3762</v>
      </c>
      <c r="C741" s="7" t="s">
        <v>1902</v>
      </c>
      <c r="D741" s="7" t="s">
        <v>3737</v>
      </c>
      <c r="E741" s="5" t="s">
        <v>4092</v>
      </c>
      <c r="F741" s="5" t="s">
        <v>4093</v>
      </c>
      <c r="G741" s="207" t="s">
        <v>34</v>
      </c>
      <c r="H741" s="8" t="s">
        <v>4094</v>
      </c>
      <c r="I741" s="11" t="e">
        <f>VLOOKUP(H741,合同高级查询数据!$A$2:$A$51,1,FALSE)</f>
        <v>#N/A</v>
      </c>
      <c r="J741" s="14" t="s">
        <v>36</v>
      </c>
      <c r="K741" s="5" t="s">
        <v>4095</v>
      </c>
      <c r="L741" s="207" t="s">
        <v>4093</v>
      </c>
      <c r="M741" s="16"/>
      <c r="N741" s="21" t="s">
        <v>4096</v>
      </c>
      <c r="O741" s="207" t="s">
        <v>4097</v>
      </c>
      <c r="P741" s="30">
        <v>6740</v>
      </c>
      <c r="Q741" s="23"/>
      <c r="R741" s="30">
        <f t="shared" si="45"/>
        <v>0</v>
      </c>
      <c r="S741" s="28">
        <v>202306</v>
      </c>
      <c r="T741" s="246" t="s">
        <v>4098</v>
      </c>
      <c r="U741" s="29"/>
      <c r="V741" s="38">
        <v>0</v>
      </c>
      <c r="W741" s="154"/>
      <c r="X741" s="21" t="s">
        <v>4085</v>
      </c>
      <c r="Y741" s="21" t="s">
        <v>4086</v>
      </c>
      <c r="Z741" s="44" t="s">
        <v>4099</v>
      </c>
      <c r="AA741" s="44">
        <v>0.4</v>
      </c>
      <c r="AB741" s="46">
        <v>0</v>
      </c>
      <c r="AC741" s="46">
        <f t="shared" si="44"/>
        <v>0</v>
      </c>
    </row>
    <row r="742" spans="1:29" s="2" customFormat="1" ht="15" customHeight="1">
      <c r="A742" s="5" t="s">
        <v>267</v>
      </c>
      <c r="B742" s="8" t="s">
        <v>3762</v>
      </c>
      <c r="C742" s="7" t="s">
        <v>1902</v>
      </c>
      <c r="D742" s="5" t="s">
        <v>3737</v>
      </c>
      <c r="E742" s="5" t="s">
        <v>4100</v>
      </c>
      <c r="F742" s="5" t="s">
        <v>4101</v>
      </c>
      <c r="G742" s="5" t="s">
        <v>34</v>
      </c>
      <c r="H742" s="8" t="s">
        <v>4102</v>
      </c>
      <c r="I742" s="11" t="e">
        <f>VLOOKUP(H742,合同高级查询数据!$A$2:$A$51,1,FALSE)</f>
        <v>#N/A</v>
      </c>
      <c r="J742" s="14" t="s">
        <v>36</v>
      </c>
      <c r="K742" s="5" t="s">
        <v>4103</v>
      </c>
      <c r="L742" s="5" t="s">
        <v>4101</v>
      </c>
      <c r="M742" s="16"/>
      <c r="N742" s="36" t="s">
        <v>4104</v>
      </c>
      <c r="O742" s="5" t="s">
        <v>4105</v>
      </c>
      <c r="P742" s="30">
        <v>6740</v>
      </c>
      <c r="Q742" s="23"/>
      <c r="R742" s="20">
        <f t="shared" si="45"/>
        <v>0</v>
      </c>
      <c r="S742" s="28">
        <v>202306</v>
      </c>
      <c r="T742" s="246" t="s">
        <v>4106</v>
      </c>
      <c r="U742" s="184"/>
      <c r="V742" s="38">
        <v>0</v>
      </c>
      <c r="W742" s="249"/>
      <c r="X742" s="21">
        <v>44927</v>
      </c>
      <c r="Y742" s="21">
        <v>45107</v>
      </c>
      <c r="Z742" s="44" t="s">
        <v>4107</v>
      </c>
      <c r="AA742" s="45"/>
      <c r="AB742" s="279"/>
      <c r="AC742" s="46">
        <f t="shared" si="44"/>
        <v>0</v>
      </c>
    </row>
    <row r="743" spans="1:29" s="2" customFormat="1" ht="15" customHeight="1">
      <c r="A743" s="5" t="s">
        <v>267</v>
      </c>
      <c r="B743" s="8" t="s">
        <v>3762</v>
      </c>
      <c r="C743" s="7" t="s">
        <v>1902</v>
      </c>
      <c r="D743" s="7" t="s">
        <v>3737</v>
      </c>
      <c r="E743" s="5" t="s">
        <v>4100</v>
      </c>
      <c r="F743" s="5" t="s">
        <v>4101</v>
      </c>
      <c r="G743" s="207" t="s">
        <v>34</v>
      </c>
      <c r="H743" s="8" t="s">
        <v>4102</v>
      </c>
      <c r="I743" s="11" t="e">
        <f>VLOOKUP(H743,合同高级查询数据!$A$2:$A$51,1,FALSE)</f>
        <v>#N/A</v>
      </c>
      <c r="J743" s="14" t="s">
        <v>36</v>
      </c>
      <c r="K743" s="5" t="s">
        <v>4108</v>
      </c>
      <c r="L743" s="207" t="s">
        <v>4109</v>
      </c>
      <c r="M743" s="16"/>
      <c r="N743" s="21">
        <v>42236</v>
      </c>
      <c r="O743" s="207" t="s">
        <v>4110</v>
      </c>
      <c r="P743" s="30">
        <v>6740</v>
      </c>
      <c r="Q743" s="23">
        <v>49.97</v>
      </c>
      <c r="R743" s="20">
        <f t="shared" si="45"/>
        <v>336797.8</v>
      </c>
      <c r="S743" s="28">
        <v>202306</v>
      </c>
      <c r="T743" s="246" t="s">
        <v>4111</v>
      </c>
      <c r="U743" s="29"/>
      <c r="V743" s="38">
        <v>49.967071533000002</v>
      </c>
      <c r="W743" s="249"/>
      <c r="X743" s="21">
        <v>44927</v>
      </c>
      <c r="Y743" s="21">
        <v>45107</v>
      </c>
      <c r="Z743" s="44" t="s">
        <v>4112</v>
      </c>
      <c r="AA743" s="44">
        <v>0.4</v>
      </c>
      <c r="AB743" s="46">
        <v>120</v>
      </c>
      <c r="AC743" s="46">
        <f t="shared" si="44"/>
        <v>48</v>
      </c>
    </row>
    <row r="744" spans="1:29" s="2" customFormat="1" ht="15" customHeight="1">
      <c r="A744" s="5" t="s">
        <v>267</v>
      </c>
      <c r="B744" s="8" t="s">
        <v>3762</v>
      </c>
      <c r="C744" s="7" t="s">
        <v>1902</v>
      </c>
      <c r="D744" s="7" t="s">
        <v>3737</v>
      </c>
      <c r="E744" s="5" t="s">
        <v>4100</v>
      </c>
      <c r="F744" s="5" t="s">
        <v>4101</v>
      </c>
      <c r="G744" s="207" t="s">
        <v>34</v>
      </c>
      <c r="H744" s="8" t="s">
        <v>4102</v>
      </c>
      <c r="I744" s="11" t="e">
        <f>VLOOKUP(H744,合同高级查询数据!$A$2:$A$51,1,FALSE)</f>
        <v>#N/A</v>
      </c>
      <c r="J744" s="14" t="s">
        <v>36</v>
      </c>
      <c r="K744" s="5" t="s">
        <v>4113</v>
      </c>
      <c r="L744" s="207" t="s">
        <v>4114</v>
      </c>
      <c r="M744" s="16"/>
      <c r="N744" s="21" t="s">
        <v>4115</v>
      </c>
      <c r="O744" s="207" t="s">
        <v>4116</v>
      </c>
      <c r="P744" s="30">
        <v>6740</v>
      </c>
      <c r="Q744" s="23">
        <v>182.44</v>
      </c>
      <c r="R744" s="20">
        <f t="shared" si="45"/>
        <v>1229645.6000000001</v>
      </c>
      <c r="S744" s="28">
        <v>202306</v>
      </c>
      <c r="T744" s="269" t="s">
        <v>4117</v>
      </c>
      <c r="U744" s="29"/>
      <c r="V744" s="38">
        <v>182.436843872</v>
      </c>
      <c r="W744" s="249"/>
      <c r="X744" s="21">
        <v>44927</v>
      </c>
      <c r="Y744" s="21">
        <v>45107</v>
      </c>
      <c r="Z744" s="44" t="s">
        <v>4118</v>
      </c>
      <c r="AA744" s="44">
        <v>0.4</v>
      </c>
      <c r="AB744" s="46">
        <v>420</v>
      </c>
      <c r="AC744" s="46">
        <f t="shared" si="44"/>
        <v>168</v>
      </c>
    </row>
    <row r="745" spans="1:29" s="2" customFormat="1" ht="15" customHeight="1">
      <c r="A745" s="5" t="s">
        <v>267</v>
      </c>
      <c r="B745" s="8" t="s">
        <v>3762</v>
      </c>
      <c r="C745" s="7" t="s">
        <v>1902</v>
      </c>
      <c r="D745" s="7" t="s">
        <v>3737</v>
      </c>
      <c r="E745" s="5" t="s">
        <v>4100</v>
      </c>
      <c r="F745" s="5" t="s">
        <v>4101</v>
      </c>
      <c r="G745" s="207" t="s">
        <v>34</v>
      </c>
      <c r="H745" s="8" t="s">
        <v>4102</v>
      </c>
      <c r="I745" s="11" t="e">
        <f>VLOOKUP(H745,合同高级查询数据!$A$2:$A$51,1,FALSE)</f>
        <v>#N/A</v>
      </c>
      <c r="J745" s="14" t="s">
        <v>36</v>
      </c>
      <c r="K745" s="5" t="s">
        <v>4119</v>
      </c>
      <c r="L745" s="207" t="s">
        <v>4119</v>
      </c>
      <c r="M745" s="16"/>
      <c r="N745" s="21">
        <v>44904</v>
      </c>
      <c r="O745" s="207" t="s">
        <v>670</v>
      </c>
      <c r="P745" s="30">
        <v>6740</v>
      </c>
      <c r="Q745" s="23">
        <v>56.14</v>
      </c>
      <c r="R745" s="20">
        <f t="shared" si="45"/>
        <v>378383.6</v>
      </c>
      <c r="S745" s="28">
        <v>202306</v>
      </c>
      <c r="T745" s="246" t="s">
        <v>4120</v>
      </c>
      <c r="U745" s="29"/>
      <c r="V745" s="38">
        <v>56.136585236000002</v>
      </c>
      <c r="W745" s="249"/>
      <c r="X745" s="21">
        <v>44927</v>
      </c>
      <c r="Y745" s="21">
        <v>45107</v>
      </c>
      <c r="Z745" s="44" t="s">
        <v>4121</v>
      </c>
      <c r="AA745" s="44">
        <v>0.4</v>
      </c>
      <c r="AB745" s="46">
        <v>120</v>
      </c>
      <c r="AC745" s="46">
        <f t="shared" si="44"/>
        <v>48</v>
      </c>
    </row>
    <row r="746" spans="1:29" s="2" customFormat="1" ht="15" customHeight="1">
      <c r="A746" s="5" t="s">
        <v>267</v>
      </c>
      <c r="B746" s="8" t="s">
        <v>3762</v>
      </c>
      <c r="C746" s="7" t="s">
        <v>1902</v>
      </c>
      <c r="D746" s="7" t="s">
        <v>3737</v>
      </c>
      <c r="E746" s="5" t="s">
        <v>4100</v>
      </c>
      <c r="F746" s="5" t="s">
        <v>4101</v>
      </c>
      <c r="G746" s="207" t="s">
        <v>34</v>
      </c>
      <c r="H746" s="8" t="s">
        <v>4102</v>
      </c>
      <c r="I746" s="11" t="e">
        <f>VLOOKUP(H746,合同高级查询数据!$A$2:$A$51,1,FALSE)</f>
        <v>#N/A</v>
      </c>
      <c r="J746" s="14" t="s">
        <v>36</v>
      </c>
      <c r="K746" s="5" t="s">
        <v>4122</v>
      </c>
      <c r="L746" s="207" t="s">
        <v>4123</v>
      </c>
      <c r="M746" s="16"/>
      <c r="N746" s="21" t="s">
        <v>4124</v>
      </c>
      <c r="O746" s="207" t="s">
        <v>4125</v>
      </c>
      <c r="P746" s="30">
        <v>6740</v>
      </c>
      <c r="Q746" s="23"/>
      <c r="R746" s="20">
        <f t="shared" si="45"/>
        <v>0</v>
      </c>
      <c r="S746" s="28">
        <v>202306</v>
      </c>
      <c r="T746" s="246" t="s">
        <v>4126</v>
      </c>
      <c r="U746" s="29"/>
      <c r="V746" s="38">
        <v>0</v>
      </c>
      <c r="W746" s="154"/>
      <c r="X746" s="21">
        <v>44927</v>
      </c>
      <c r="Y746" s="21">
        <v>45107</v>
      </c>
      <c r="Z746" s="44" t="s">
        <v>4127</v>
      </c>
      <c r="AA746" s="44">
        <v>0.4</v>
      </c>
      <c r="AB746" s="46">
        <v>0</v>
      </c>
      <c r="AC746" s="46">
        <f t="shared" si="44"/>
        <v>0</v>
      </c>
    </row>
    <row r="747" spans="1:29" s="2" customFormat="1" ht="15" customHeight="1">
      <c r="A747" s="5" t="s">
        <v>267</v>
      </c>
      <c r="B747" s="8" t="s">
        <v>3762</v>
      </c>
      <c r="C747" s="7" t="s">
        <v>1902</v>
      </c>
      <c r="D747" s="7" t="s">
        <v>3737</v>
      </c>
      <c r="E747" s="5" t="s">
        <v>4100</v>
      </c>
      <c r="F747" s="5" t="s">
        <v>4101</v>
      </c>
      <c r="G747" s="207" t="s">
        <v>34</v>
      </c>
      <c r="H747" s="8" t="s">
        <v>4102</v>
      </c>
      <c r="I747" s="11" t="e">
        <f>VLOOKUP(H747,合同高级查询数据!$A$2:$A$51,1,FALSE)</f>
        <v>#N/A</v>
      </c>
      <c r="J747" s="14" t="s">
        <v>36</v>
      </c>
      <c r="K747" s="5" t="s">
        <v>4128</v>
      </c>
      <c r="L747" s="207" t="s">
        <v>4129</v>
      </c>
      <c r="M747" s="16"/>
      <c r="N747" s="21" t="s">
        <v>4104</v>
      </c>
      <c r="O747" s="207" t="s">
        <v>4130</v>
      </c>
      <c r="P747" s="30">
        <v>6740</v>
      </c>
      <c r="Q747" s="23"/>
      <c r="R747" s="20">
        <f t="shared" si="45"/>
        <v>0</v>
      </c>
      <c r="S747" s="28">
        <v>202306</v>
      </c>
      <c r="T747" s="246" t="s">
        <v>4131</v>
      </c>
      <c r="U747" s="29"/>
      <c r="V747" s="38">
        <v>0</v>
      </c>
      <c r="W747" s="249"/>
      <c r="X747" s="21">
        <v>44927</v>
      </c>
      <c r="Y747" s="21">
        <v>45107</v>
      </c>
      <c r="Z747" s="44" t="s">
        <v>4132</v>
      </c>
      <c r="AA747" s="44"/>
      <c r="AB747" s="46"/>
      <c r="AC747" s="46"/>
    </row>
    <row r="748" spans="1:29" s="2" customFormat="1" ht="15" customHeight="1">
      <c r="A748" s="5" t="s">
        <v>267</v>
      </c>
      <c r="B748" s="8" t="s">
        <v>3762</v>
      </c>
      <c r="C748" s="7" t="s">
        <v>1902</v>
      </c>
      <c r="D748" s="7" t="s">
        <v>3737</v>
      </c>
      <c r="E748" s="5" t="s">
        <v>4100</v>
      </c>
      <c r="F748" s="5" t="s">
        <v>4101</v>
      </c>
      <c r="G748" s="207" t="s">
        <v>34</v>
      </c>
      <c r="H748" s="8" t="s">
        <v>4102</v>
      </c>
      <c r="I748" s="11" t="e">
        <f>VLOOKUP(H748,合同高级查询数据!$A$2:$A$51,1,FALSE)</f>
        <v>#N/A</v>
      </c>
      <c r="J748" s="14" t="s">
        <v>36</v>
      </c>
      <c r="K748" s="5" t="s">
        <v>4133</v>
      </c>
      <c r="L748" s="207" t="s">
        <v>4134</v>
      </c>
      <c r="M748" s="16"/>
      <c r="N748" s="21" t="s">
        <v>4135</v>
      </c>
      <c r="O748" s="207" t="s">
        <v>727</v>
      </c>
      <c r="P748" s="30">
        <v>6100</v>
      </c>
      <c r="Q748" s="23"/>
      <c r="R748" s="20">
        <f t="shared" si="45"/>
        <v>0</v>
      </c>
      <c r="S748" s="28">
        <v>202306</v>
      </c>
      <c r="T748" s="246" t="s">
        <v>4136</v>
      </c>
      <c r="U748" s="29"/>
      <c r="V748" s="38">
        <v>0</v>
      </c>
      <c r="W748" s="154"/>
      <c r="X748" s="21">
        <v>44927</v>
      </c>
      <c r="Y748" s="21">
        <v>45107</v>
      </c>
      <c r="Z748" s="44" t="s">
        <v>4137</v>
      </c>
      <c r="AA748" s="44"/>
      <c r="AB748" s="46">
        <v>0</v>
      </c>
      <c r="AC748" s="46">
        <f>AA748*AB748</f>
        <v>0</v>
      </c>
    </row>
    <row r="749" spans="1:29" s="2" customFormat="1" ht="15" customHeight="1">
      <c r="A749" s="9" t="s">
        <v>267</v>
      </c>
      <c r="B749" s="8" t="s">
        <v>3666</v>
      </c>
      <c r="C749" s="8" t="s">
        <v>3772</v>
      </c>
      <c r="D749" s="8" t="s">
        <v>3737</v>
      </c>
      <c r="E749" s="9" t="s">
        <v>4138</v>
      </c>
      <c r="F749" s="9" t="s">
        <v>4139</v>
      </c>
      <c r="G749" s="9" t="s">
        <v>34</v>
      </c>
      <c r="H749" s="11" t="s">
        <v>4140</v>
      </c>
      <c r="I749" s="11" t="e">
        <f>VLOOKUP(H749,合同高级查询数据!$A$2:$A$51,1,FALSE)</f>
        <v>#N/A</v>
      </c>
      <c r="J749" s="12" t="s">
        <v>36</v>
      </c>
      <c r="K749" s="9" t="s">
        <v>4141</v>
      </c>
      <c r="L749" s="15" t="s">
        <v>4142</v>
      </c>
      <c r="M749" s="16"/>
      <c r="N749" s="21" t="s">
        <v>4143</v>
      </c>
      <c r="O749" s="21" t="s">
        <v>4144</v>
      </c>
      <c r="P749" s="30">
        <v>6740</v>
      </c>
      <c r="Q749" s="23"/>
      <c r="R749" s="30">
        <f t="shared" si="45"/>
        <v>0</v>
      </c>
      <c r="S749" s="28">
        <v>202306</v>
      </c>
      <c r="T749" s="246" t="s">
        <v>4145</v>
      </c>
      <c r="U749" s="31"/>
      <c r="V749" s="38">
        <v>0</v>
      </c>
      <c r="W749" s="39"/>
      <c r="X749" s="21">
        <v>44927</v>
      </c>
      <c r="Y749" s="21">
        <v>45107</v>
      </c>
      <c r="Z749" s="44" t="s">
        <v>4146</v>
      </c>
      <c r="AA749" s="44"/>
      <c r="AB749" s="46">
        <v>0</v>
      </c>
      <c r="AC749" s="46">
        <f t="shared" ref="AC749:AC754" si="46">AA749*AB749</f>
        <v>0</v>
      </c>
    </row>
    <row r="750" spans="1:29" s="2" customFormat="1" ht="15" customHeight="1">
      <c r="A750" s="9" t="s">
        <v>267</v>
      </c>
      <c r="B750" s="8" t="s">
        <v>3666</v>
      </c>
      <c r="C750" s="8" t="s">
        <v>3772</v>
      </c>
      <c r="D750" s="8" t="s">
        <v>3737</v>
      </c>
      <c r="E750" s="9" t="s">
        <v>4138</v>
      </c>
      <c r="F750" s="9" t="s">
        <v>4139</v>
      </c>
      <c r="G750" s="9" t="s">
        <v>34</v>
      </c>
      <c r="H750" s="11" t="s">
        <v>4140</v>
      </c>
      <c r="I750" s="11" t="e">
        <f>VLOOKUP(H750,合同高级查询数据!$A$2:$A$51,1,FALSE)</f>
        <v>#N/A</v>
      </c>
      <c r="J750" s="12" t="s">
        <v>36</v>
      </c>
      <c r="K750" s="9" t="s">
        <v>4147</v>
      </c>
      <c r="L750" s="15" t="s">
        <v>4147</v>
      </c>
      <c r="M750" s="16"/>
      <c r="N750" s="21" t="s">
        <v>4148</v>
      </c>
      <c r="O750" s="21" t="s">
        <v>4149</v>
      </c>
      <c r="P750" s="30">
        <v>6740</v>
      </c>
      <c r="Q750" s="23"/>
      <c r="R750" s="30">
        <f t="shared" si="45"/>
        <v>0</v>
      </c>
      <c r="S750" s="28">
        <v>202306</v>
      </c>
      <c r="T750" s="246" t="s">
        <v>4145</v>
      </c>
      <c r="U750" s="31"/>
      <c r="V750" s="38">
        <v>0</v>
      </c>
      <c r="W750" s="39"/>
      <c r="X750" s="21">
        <v>44927</v>
      </c>
      <c r="Y750" s="21">
        <v>45107</v>
      </c>
      <c r="Z750" s="44" t="s">
        <v>4150</v>
      </c>
      <c r="AA750" s="44"/>
      <c r="AB750" s="46">
        <v>0</v>
      </c>
      <c r="AC750" s="46">
        <f t="shared" si="46"/>
        <v>0</v>
      </c>
    </row>
    <row r="751" spans="1:29" s="2" customFormat="1" ht="15" customHeight="1">
      <c r="A751" s="9" t="s">
        <v>267</v>
      </c>
      <c r="B751" s="8" t="s">
        <v>3666</v>
      </c>
      <c r="C751" s="8" t="s">
        <v>3772</v>
      </c>
      <c r="D751" s="8" t="s">
        <v>3737</v>
      </c>
      <c r="E751" s="9" t="s">
        <v>4138</v>
      </c>
      <c r="F751" s="9" t="s">
        <v>4139</v>
      </c>
      <c r="G751" s="9" t="s">
        <v>34</v>
      </c>
      <c r="H751" s="11" t="s">
        <v>4140</v>
      </c>
      <c r="I751" s="11" t="e">
        <f>VLOOKUP(H751,合同高级查询数据!$A$2:$A$51,1,FALSE)</f>
        <v>#N/A</v>
      </c>
      <c r="J751" s="12" t="s">
        <v>4151</v>
      </c>
      <c r="K751" s="9" t="s">
        <v>4152</v>
      </c>
      <c r="L751" s="15" t="s">
        <v>4153</v>
      </c>
      <c r="M751" s="16"/>
      <c r="N751" s="21" t="s">
        <v>4154</v>
      </c>
      <c r="O751" s="21" t="s">
        <v>4155</v>
      </c>
      <c r="P751" s="30">
        <v>6740</v>
      </c>
      <c r="Q751" s="23">
        <v>64.39</v>
      </c>
      <c r="R751" s="30">
        <f t="shared" si="45"/>
        <v>433988.6</v>
      </c>
      <c r="S751" s="28">
        <v>202306</v>
      </c>
      <c r="T751" s="246" t="s">
        <v>4156</v>
      </c>
      <c r="U751" s="31"/>
      <c r="V751" s="38">
        <v>64.388763428000004</v>
      </c>
      <c r="W751" s="39"/>
      <c r="X751" s="21">
        <v>44927</v>
      </c>
      <c r="Y751" s="21">
        <v>45107</v>
      </c>
      <c r="Z751" s="44" t="s">
        <v>4157</v>
      </c>
      <c r="AA751" s="44">
        <v>0.4</v>
      </c>
      <c r="AB751" s="46">
        <v>160</v>
      </c>
      <c r="AC751" s="46">
        <f t="shared" si="46"/>
        <v>64</v>
      </c>
    </row>
    <row r="752" spans="1:29" s="2" customFormat="1" ht="15" customHeight="1">
      <c r="A752" s="9" t="s">
        <v>267</v>
      </c>
      <c r="B752" s="8" t="s">
        <v>3666</v>
      </c>
      <c r="C752" s="8" t="s">
        <v>3772</v>
      </c>
      <c r="D752" s="8" t="s">
        <v>3737</v>
      </c>
      <c r="E752" s="9" t="s">
        <v>4138</v>
      </c>
      <c r="F752" s="9" t="s">
        <v>4139</v>
      </c>
      <c r="G752" s="9" t="s">
        <v>34</v>
      </c>
      <c r="H752" s="11" t="s">
        <v>4140</v>
      </c>
      <c r="I752" s="11" t="e">
        <f>VLOOKUP(H752,合同高级查询数据!$A$2:$A$51,1,FALSE)</f>
        <v>#N/A</v>
      </c>
      <c r="J752" s="12" t="s">
        <v>36</v>
      </c>
      <c r="K752" s="9" t="s">
        <v>4158</v>
      </c>
      <c r="L752" s="15" t="s">
        <v>4159</v>
      </c>
      <c r="M752" s="16" t="s">
        <v>4160</v>
      </c>
      <c r="N752" s="131" t="s">
        <v>4161</v>
      </c>
      <c r="O752" s="21" t="s">
        <v>1880</v>
      </c>
      <c r="P752" s="30">
        <v>6740</v>
      </c>
      <c r="Q752" s="23"/>
      <c r="R752" s="30">
        <f t="shared" si="45"/>
        <v>0</v>
      </c>
      <c r="S752" s="28">
        <v>202306</v>
      </c>
      <c r="T752" s="246" t="s">
        <v>4162</v>
      </c>
      <c r="U752" s="31"/>
      <c r="V752" s="38">
        <v>0</v>
      </c>
      <c r="W752" s="39"/>
      <c r="X752" s="21">
        <v>44927</v>
      </c>
      <c r="Y752" s="21">
        <v>45107</v>
      </c>
      <c r="Z752" s="44" t="s">
        <v>4163</v>
      </c>
      <c r="AA752" s="44">
        <v>0.4</v>
      </c>
      <c r="AB752" s="46">
        <v>0</v>
      </c>
      <c r="AC752" s="46">
        <f t="shared" si="46"/>
        <v>0</v>
      </c>
    </row>
    <row r="753" spans="1:29" s="2" customFormat="1" ht="15" customHeight="1">
      <c r="A753" s="9" t="s">
        <v>267</v>
      </c>
      <c r="B753" s="8" t="s">
        <v>3666</v>
      </c>
      <c r="C753" s="8" t="s">
        <v>3772</v>
      </c>
      <c r="D753" s="8" t="s">
        <v>3737</v>
      </c>
      <c r="E753" s="9" t="s">
        <v>4138</v>
      </c>
      <c r="F753" s="9" t="s">
        <v>4139</v>
      </c>
      <c r="G753" s="9" t="s">
        <v>34</v>
      </c>
      <c r="H753" s="11" t="s">
        <v>4140</v>
      </c>
      <c r="I753" s="11" t="e">
        <f>VLOOKUP(H753,合同高级查询数据!$A$2:$A$51,1,FALSE)</f>
        <v>#N/A</v>
      </c>
      <c r="J753" s="12" t="s">
        <v>36</v>
      </c>
      <c r="K753" s="9" t="s">
        <v>4164</v>
      </c>
      <c r="L753" s="15" t="s">
        <v>4165</v>
      </c>
      <c r="M753" s="16" t="s">
        <v>4160</v>
      </c>
      <c r="N753" s="21">
        <v>44899</v>
      </c>
      <c r="O753" s="21" t="s">
        <v>277</v>
      </c>
      <c r="P753" s="30">
        <v>6740</v>
      </c>
      <c r="Q753" s="23">
        <v>41.5</v>
      </c>
      <c r="R753" s="30">
        <f t="shared" si="45"/>
        <v>279710</v>
      </c>
      <c r="S753" s="28">
        <v>202306</v>
      </c>
      <c r="T753" s="246" t="s">
        <v>4166</v>
      </c>
      <c r="U753" s="31"/>
      <c r="V753" s="38">
        <v>41.502552031999997</v>
      </c>
      <c r="W753" s="39"/>
      <c r="X753" s="21">
        <v>44927</v>
      </c>
      <c r="Y753" s="21">
        <v>45107</v>
      </c>
      <c r="Z753" s="44" t="s">
        <v>4167</v>
      </c>
      <c r="AA753" s="44">
        <v>0.4</v>
      </c>
      <c r="AB753" s="46">
        <v>100</v>
      </c>
      <c r="AC753" s="46">
        <f t="shared" si="46"/>
        <v>40</v>
      </c>
    </row>
    <row r="754" spans="1:29" s="3" customFormat="1" ht="15" customHeight="1">
      <c r="A754" s="50" t="s">
        <v>267</v>
      </c>
      <c r="B754" s="49" t="s">
        <v>3666</v>
      </c>
      <c r="C754" s="49" t="s">
        <v>3772</v>
      </c>
      <c r="D754" s="49" t="s">
        <v>3737</v>
      </c>
      <c r="E754" s="50" t="s">
        <v>4138</v>
      </c>
      <c r="F754" s="50" t="s">
        <v>4139</v>
      </c>
      <c r="G754" s="50" t="s">
        <v>34</v>
      </c>
      <c r="H754" s="53" t="s">
        <v>4168</v>
      </c>
      <c r="I754" s="53" t="e">
        <f>VLOOKUP(H754,合同高级查询数据!$A$2:$A$51,1,FALSE)</f>
        <v>#N/A</v>
      </c>
      <c r="J754" s="51" t="s">
        <v>36</v>
      </c>
      <c r="K754" s="50" t="s">
        <v>4169</v>
      </c>
      <c r="L754" s="52" t="s">
        <v>4170</v>
      </c>
      <c r="M754" s="54" t="s">
        <v>4160</v>
      </c>
      <c r="N754" s="55">
        <v>44986</v>
      </c>
      <c r="O754" s="55" t="s">
        <v>1941</v>
      </c>
      <c r="P754" s="57">
        <v>0</v>
      </c>
      <c r="Q754" s="142">
        <v>0</v>
      </c>
      <c r="R754" s="57">
        <f t="shared" si="45"/>
        <v>0</v>
      </c>
      <c r="S754" s="59">
        <v>202306</v>
      </c>
      <c r="T754" s="100" t="s">
        <v>4171</v>
      </c>
      <c r="U754" s="60"/>
      <c r="V754" s="62">
        <v>0</v>
      </c>
      <c r="W754" s="255"/>
      <c r="X754" s="55"/>
      <c r="Y754" s="55"/>
      <c r="Z754" s="201" t="s">
        <v>4172</v>
      </c>
      <c r="AA754" s="201">
        <v>0.4</v>
      </c>
      <c r="AB754" s="263">
        <v>80</v>
      </c>
      <c r="AC754" s="263">
        <f t="shared" si="46"/>
        <v>32</v>
      </c>
    </row>
    <row r="755" spans="1:29" s="2" customFormat="1" ht="15" customHeight="1">
      <c r="A755" s="9" t="s">
        <v>267</v>
      </c>
      <c r="B755" s="8" t="s">
        <v>3666</v>
      </c>
      <c r="C755" s="8" t="s">
        <v>3772</v>
      </c>
      <c r="D755" s="8" t="s">
        <v>3737</v>
      </c>
      <c r="E755" s="9" t="s">
        <v>4138</v>
      </c>
      <c r="F755" s="9" t="s">
        <v>4139</v>
      </c>
      <c r="G755" s="9" t="s">
        <v>34</v>
      </c>
      <c r="H755" s="11" t="s">
        <v>4140</v>
      </c>
      <c r="I755" s="11" t="e">
        <f>VLOOKUP(H755,合同高级查询数据!$A$2:$A$51,1,FALSE)</f>
        <v>#N/A</v>
      </c>
      <c r="J755" s="12" t="s">
        <v>36</v>
      </c>
      <c r="K755" s="9" t="s">
        <v>4173</v>
      </c>
      <c r="L755" s="15" t="s">
        <v>4174</v>
      </c>
      <c r="M755" s="16" t="s">
        <v>4175</v>
      </c>
      <c r="N755" s="21">
        <v>44993</v>
      </c>
      <c r="O755" s="21" t="s">
        <v>434</v>
      </c>
      <c r="P755" s="30">
        <v>6740</v>
      </c>
      <c r="Q755" s="23">
        <v>17.82</v>
      </c>
      <c r="R755" s="30">
        <f t="shared" si="45"/>
        <v>120106.8</v>
      </c>
      <c r="S755" s="28">
        <v>202303</v>
      </c>
      <c r="T755" s="246" t="s">
        <v>4176</v>
      </c>
      <c r="U755" s="31"/>
      <c r="V755" s="38"/>
      <c r="W755" s="39"/>
      <c r="X755" s="21">
        <v>44927</v>
      </c>
      <c r="Y755" s="21">
        <v>45107</v>
      </c>
      <c r="Z755" s="44"/>
      <c r="AA755" s="44"/>
      <c r="AB755" s="46"/>
      <c r="AC755" s="46"/>
    </row>
    <row r="756" spans="1:29" s="2" customFormat="1" ht="15" customHeight="1">
      <c r="A756" s="9" t="s">
        <v>267</v>
      </c>
      <c r="B756" s="8" t="s">
        <v>3666</v>
      </c>
      <c r="C756" s="8" t="s">
        <v>3772</v>
      </c>
      <c r="D756" s="8" t="s">
        <v>3737</v>
      </c>
      <c r="E756" s="9" t="s">
        <v>4138</v>
      </c>
      <c r="F756" s="9" t="s">
        <v>4139</v>
      </c>
      <c r="G756" s="9" t="s">
        <v>34</v>
      </c>
      <c r="H756" s="11" t="s">
        <v>4140</v>
      </c>
      <c r="I756" s="11" t="e">
        <f>VLOOKUP(H756,合同高级查询数据!$A$2:$A$51,1,FALSE)</f>
        <v>#N/A</v>
      </c>
      <c r="J756" s="12" t="s">
        <v>36</v>
      </c>
      <c r="K756" s="9" t="s">
        <v>4173</v>
      </c>
      <c r="L756" s="15" t="s">
        <v>4174</v>
      </c>
      <c r="M756" s="16" t="s">
        <v>4175</v>
      </c>
      <c r="N756" s="21">
        <v>44993</v>
      </c>
      <c r="O756" s="21" t="s">
        <v>434</v>
      </c>
      <c r="P756" s="30">
        <v>6740</v>
      </c>
      <c r="Q756" s="23">
        <v>81.47</v>
      </c>
      <c r="R756" s="30">
        <f t="shared" si="45"/>
        <v>549107.80000000005</v>
      </c>
      <c r="S756" s="28">
        <v>202306</v>
      </c>
      <c r="T756" s="246" t="s">
        <v>4177</v>
      </c>
      <c r="U756" s="31"/>
      <c r="V756" s="38">
        <v>81.466430664000001</v>
      </c>
      <c r="W756" s="39"/>
      <c r="X756" s="21">
        <v>44927</v>
      </c>
      <c r="Y756" s="21">
        <v>45107</v>
      </c>
      <c r="Z756" s="44" t="s">
        <v>4178</v>
      </c>
      <c r="AA756" s="44">
        <v>0.4</v>
      </c>
      <c r="AB756" s="46">
        <v>200</v>
      </c>
      <c r="AC756" s="46">
        <f>AA756*AB756</f>
        <v>80</v>
      </c>
    </row>
    <row r="757" spans="1:29" s="2" customFormat="1" ht="15" customHeight="1">
      <c r="A757" s="7" t="s">
        <v>267</v>
      </c>
      <c r="B757" s="9" t="s">
        <v>3792</v>
      </c>
      <c r="C757" s="7" t="s">
        <v>1801</v>
      </c>
      <c r="D757" s="5" t="s">
        <v>3737</v>
      </c>
      <c r="E757" s="7" t="s">
        <v>4179</v>
      </c>
      <c r="F757" s="7" t="s">
        <v>4180</v>
      </c>
      <c r="G757" s="7" t="s">
        <v>34</v>
      </c>
      <c r="H757" s="11" t="s">
        <v>4181</v>
      </c>
      <c r="I757" s="11" t="e">
        <f>VLOOKUP(H757,合同高级查询数据!$A$2:$A$51,1,FALSE)</f>
        <v>#N/A</v>
      </c>
      <c r="J757" s="12" t="s">
        <v>36</v>
      </c>
      <c r="K757" s="7" t="s">
        <v>1803</v>
      </c>
      <c r="L757" s="174" t="s">
        <v>4180</v>
      </c>
      <c r="M757" s="16"/>
      <c r="N757" s="36" t="s">
        <v>4182</v>
      </c>
      <c r="O757" s="5" t="s">
        <v>4183</v>
      </c>
      <c r="P757" s="30">
        <v>6740</v>
      </c>
      <c r="Q757" s="23">
        <v>30.02</v>
      </c>
      <c r="R757" s="30">
        <f t="shared" si="45"/>
        <v>202334.8</v>
      </c>
      <c r="S757" s="28">
        <v>202306</v>
      </c>
      <c r="T757" s="246" t="s">
        <v>4184</v>
      </c>
      <c r="U757" s="274"/>
      <c r="V757" s="38">
        <v>30.016841887999998</v>
      </c>
      <c r="W757" s="249"/>
      <c r="X757" s="21"/>
      <c r="Y757" s="21"/>
      <c r="Z757" s="44" t="s">
        <v>4185</v>
      </c>
      <c r="AA757" s="44">
        <v>0.4</v>
      </c>
      <c r="AB757" s="46">
        <v>70</v>
      </c>
      <c r="AC757" s="46">
        <f>AA757*AB757</f>
        <v>28</v>
      </c>
    </row>
    <row r="758" spans="1:29" s="2" customFormat="1" ht="15" customHeight="1">
      <c r="A758" s="9" t="s">
        <v>267</v>
      </c>
      <c r="B758" s="8" t="s">
        <v>3666</v>
      </c>
      <c r="C758" s="8" t="s">
        <v>2366</v>
      </c>
      <c r="D758" s="8" t="s">
        <v>3737</v>
      </c>
      <c r="E758" s="9" t="s">
        <v>4186</v>
      </c>
      <c r="F758" s="9" t="s">
        <v>4187</v>
      </c>
      <c r="G758" s="9" t="s">
        <v>34</v>
      </c>
      <c r="H758" s="11" t="s">
        <v>4188</v>
      </c>
      <c r="I758" s="11" t="e">
        <f>VLOOKUP(H758,合同高级查询数据!$A$2:$A$51,1,FALSE)</f>
        <v>#N/A</v>
      </c>
      <c r="J758" s="12" t="s">
        <v>36</v>
      </c>
      <c r="K758" s="9" t="s">
        <v>4189</v>
      </c>
      <c r="L758" s="15" t="s">
        <v>4190</v>
      </c>
      <c r="M758" s="16"/>
      <c r="N758" s="21" t="s">
        <v>4191</v>
      </c>
      <c r="O758" s="21" t="s">
        <v>4192</v>
      </c>
      <c r="P758" s="30">
        <v>6740</v>
      </c>
      <c r="Q758" s="23">
        <v>0.02</v>
      </c>
      <c r="R758" s="30">
        <f t="shared" si="45"/>
        <v>134.80000000000001</v>
      </c>
      <c r="S758" s="28">
        <v>202305</v>
      </c>
      <c r="T758" s="246" t="s">
        <v>4193</v>
      </c>
      <c r="U758" s="31"/>
      <c r="V758" s="275"/>
      <c r="W758" s="39"/>
      <c r="X758" s="21">
        <v>44927</v>
      </c>
      <c r="Y758" s="21">
        <v>45107</v>
      </c>
      <c r="Z758" s="44"/>
      <c r="AA758" s="22"/>
      <c r="AB758" s="22"/>
      <c r="AC758" s="22"/>
    </row>
    <row r="759" spans="1:29" s="2" customFormat="1" ht="15" customHeight="1">
      <c r="A759" s="9" t="s">
        <v>267</v>
      </c>
      <c r="B759" s="8" t="s">
        <v>3666</v>
      </c>
      <c r="C759" s="8" t="s">
        <v>2366</v>
      </c>
      <c r="D759" s="8" t="s">
        <v>3737</v>
      </c>
      <c r="E759" s="9" t="s">
        <v>4186</v>
      </c>
      <c r="F759" s="9" t="s">
        <v>4187</v>
      </c>
      <c r="G759" s="9" t="s">
        <v>34</v>
      </c>
      <c r="H759" s="11" t="s">
        <v>4188</v>
      </c>
      <c r="I759" s="11" t="e">
        <f>VLOOKUP(H759,合同高级查询数据!$A$2:$A$51,1,FALSE)</f>
        <v>#N/A</v>
      </c>
      <c r="J759" s="12" t="s">
        <v>36</v>
      </c>
      <c r="K759" s="9" t="s">
        <v>4189</v>
      </c>
      <c r="L759" s="15" t="s">
        <v>4190</v>
      </c>
      <c r="M759" s="16"/>
      <c r="N759" s="21" t="s">
        <v>4191</v>
      </c>
      <c r="O759" s="21" t="s">
        <v>4192</v>
      </c>
      <c r="P759" s="30">
        <v>6740</v>
      </c>
      <c r="Q759" s="23">
        <v>64.5</v>
      </c>
      <c r="R759" s="30">
        <f t="shared" si="45"/>
        <v>434730</v>
      </c>
      <c r="S759" s="28">
        <v>202306</v>
      </c>
      <c r="T759" s="246" t="s">
        <v>4194</v>
      </c>
      <c r="U759" s="31"/>
      <c r="V759" s="38">
        <v>64.50328064</v>
      </c>
      <c r="W759" s="39"/>
      <c r="X759" s="21">
        <v>44927</v>
      </c>
      <c r="Y759" s="21">
        <v>45107</v>
      </c>
      <c r="Z759" s="44" t="s">
        <v>4195</v>
      </c>
      <c r="AA759" s="44">
        <v>0.4</v>
      </c>
      <c r="AB759" s="46">
        <v>160</v>
      </c>
      <c r="AC759" s="46">
        <f>AA759*AB759</f>
        <v>64</v>
      </c>
    </row>
    <row r="760" spans="1:29" s="2" customFormat="1" ht="15" customHeight="1">
      <c r="A760" s="9" t="s">
        <v>267</v>
      </c>
      <c r="B760" s="8" t="s">
        <v>3666</v>
      </c>
      <c r="C760" s="8" t="s">
        <v>2366</v>
      </c>
      <c r="D760" s="8" t="s">
        <v>3737</v>
      </c>
      <c r="E760" s="9" t="s">
        <v>4186</v>
      </c>
      <c r="F760" s="9" t="s">
        <v>4187</v>
      </c>
      <c r="G760" s="9" t="s">
        <v>34</v>
      </c>
      <c r="H760" s="11" t="s">
        <v>4188</v>
      </c>
      <c r="I760" s="11" t="e">
        <f>VLOOKUP(H760,合同高级查询数据!$A$2:$A$51,1,FALSE)</f>
        <v>#N/A</v>
      </c>
      <c r="J760" s="12" t="s">
        <v>36</v>
      </c>
      <c r="K760" s="9" t="s">
        <v>2368</v>
      </c>
      <c r="L760" s="15" t="s">
        <v>4196</v>
      </c>
      <c r="M760" s="16"/>
      <c r="N760" s="21">
        <v>43497</v>
      </c>
      <c r="O760" s="21" t="s">
        <v>1779</v>
      </c>
      <c r="P760" s="30">
        <v>6740</v>
      </c>
      <c r="Q760" s="23"/>
      <c r="R760" s="30">
        <f t="shared" si="45"/>
        <v>0</v>
      </c>
      <c r="S760" s="28">
        <v>202306</v>
      </c>
      <c r="T760" s="246" t="s">
        <v>4197</v>
      </c>
      <c r="U760" s="31"/>
      <c r="V760" s="38">
        <v>0</v>
      </c>
      <c r="W760" s="39"/>
      <c r="X760" s="21">
        <v>44927</v>
      </c>
      <c r="Y760" s="21">
        <v>45107</v>
      </c>
      <c r="Z760" s="44" t="s">
        <v>4198</v>
      </c>
      <c r="AA760" s="44"/>
      <c r="AB760" s="46">
        <v>0</v>
      </c>
      <c r="AC760" s="46">
        <f>AA760*AB760</f>
        <v>0</v>
      </c>
    </row>
    <row r="761" spans="1:29" s="2" customFormat="1" ht="15" customHeight="1">
      <c r="A761" s="9" t="s">
        <v>267</v>
      </c>
      <c r="B761" s="8" t="s">
        <v>3666</v>
      </c>
      <c r="C761" s="8" t="s">
        <v>2366</v>
      </c>
      <c r="D761" s="8" t="s">
        <v>3737</v>
      </c>
      <c r="E761" s="9" t="s">
        <v>4186</v>
      </c>
      <c r="F761" s="9" t="s">
        <v>4187</v>
      </c>
      <c r="G761" s="9" t="s">
        <v>34</v>
      </c>
      <c r="H761" s="11" t="s">
        <v>4188</v>
      </c>
      <c r="I761" s="11" t="e">
        <f>VLOOKUP(H761,合同高级查询数据!$A$2:$A$51,1,FALSE)</f>
        <v>#N/A</v>
      </c>
      <c r="J761" s="12" t="s">
        <v>36</v>
      </c>
      <c r="K761" s="9" t="s">
        <v>2368</v>
      </c>
      <c r="L761" s="15" t="s">
        <v>4199</v>
      </c>
      <c r="M761" s="16"/>
      <c r="N761" s="21">
        <v>44933</v>
      </c>
      <c r="O761" s="21" t="s">
        <v>4200</v>
      </c>
      <c r="P761" s="30">
        <v>6740</v>
      </c>
      <c r="Q761" s="23">
        <v>206.93</v>
      </c>
      <c r="R761" s="30">
        <f t="shared" si="45"/>
        <v>1394708.2</v>
      </c>
      <c r="S761" s="28">
        <v>202306</v>
      </c>
      <c r="T761" s="246" t="s">
        <v>4201</v>
      </c>
      <c r="U761" s="31"/>
      <c r="V761" s="38">
        <v>206.925292969</v>
      </c>
      <c r="W761" s="39"/>
      <c r="X761" s="21">
        <v>44927</v>
      </c>
      <c r="Y761" s="21">
        <v>45107</v>
      </c>
      <c r="Z761" s="44" t="s">
        <v>4202</v>
      </c>
      <c r="AA761" s="44">
        <v>0.4</v>
      </c>
      <c r="AB761" s="46">
        <v>360</v>
      </c>
      <c r="AC761" s="46">
        <f>AA761*AB761</f>
        <v>144</v>
      </c>
    </row>
    <row r="762" spans="1:29" s="2" customFormat="1" ht="15" customHeight="1">
      <c r="A762" s="9" t="s">
        <v>267</v>
      </c>
      <c r="B762" s="8" t="s">
        <v>3666</v>
      </c>
      <c r="C762" s="8" t="s">
        <v>2366</v>
      </c>
      <c r="D762" s="8" t="s">
        <v>3737</v>
      </c>
      <c r="E762" s="9" t="s">
        <v>4186</v>
      </c>
      <c r="F762" s="9" t="s">
        <v>4187</v>
      </c>
      <c r="G762" s="9" t="s">
        <v>34</v>
      </c>
      <c r="H762" s="11" t="s">
        <v>4188</v>
      </c>
      <c r="I762" s="11" t="e">
        <f>VLOOKUP(H762,合同高级查询数据!$A$2:$A$51,1,FALSE)</f>
        <v>#N/A</v>
      </c>
      <c r="J762" s="12" t="s">
        <v>1359</v>
      </c>
      <c r="K762" s="9" t="s">
        <v>4203</v>
      </c>
      <c r="L762" s="15" t="s">
        <v>4204</v>
      </c>
      <c r="M762" s="16"/>
      <c r="N762" s="21">
        <v>44986</v>
      </c>
      <c r="O762" s="21" t="s">
        <v>1664</v>
      </c>
      <c r="P762" s="30">
        <v>6740</v>
      </c>
      <c r="Q762" s="23">
        <v>0.6</v>
      </c>
      <c r="R762" s="27">
        <f t="shared" si="45"/>
        <v>4044</v>
      </c>
      <c r="S762" s="28">
        <v>202303</v>
      </c>
      <c r="T762" s="246" t="s">
        <v>4205</v>
      </c>
      <c r="U762" s="31"/>
      <c r="V762" s="38"/>
      <c r="W762" s="39"/>
      <c r="X762" s="21">
        <v>44927</v>
      </c>
      <c r="Y762" s="21">
        <v>45107</v>
      </c>
      <c r="Z762" s="44"/>
      <c r="AA762" s="44"/>
      <c r="AB762" s="46"/>
      <c r="AC762" s="46"/>
    </row>
    <row r="763" spans="1:29" s="2" customFormat="1" ht="15" customHeight="1">
      <c r="A763" s="9" t="s">
        <v>267</v>
      </c>
      <c r="B763" s="8" t="s">
        <v>3666</v>
      </c>
      <c r="C763" s="8" t="s">
        <v>2366</v>
      </c>
      <c r="D763" s="8" t="s">
        <v>3737</v>
      </c>
      <c r="E763" s="9" t="s">
        <v>4186</v>
      </c>
      <c r="F763" s="9" t="s">
        <v>4187</v>
      </c>
      <c r="G763" s="9" t="s">
        <v>34</v>
      </c>
      <c r="H763" s="11" t="s">
        <v>4188</v>
      </c>
      <c r="I763" s="11" t="e">
        <f>VLOOKUP(H763,合同高级查询数据!$A$2:$A$51,1,FALSE)</f>
        <v>#N/A</v>
      </c>
      <c r="J763" s="12" t="s">
        <v>1359</v>
      </c>
      <c r="K763" s="9" t="s">
        <v>4203</v>
      </c>
      <c r="L763" s="15" t="s">
        <v>4204</v>
      </c>
      <c r="M763" s="16"/>
      <c r="N763" s="21">
        <v>44986</v>
      </c>
      <c r="O763" s="21" t="s">
        <v>1664</v>
      </c>
      <c r="P763" s="30">
        <v>6740</v>
      </c>
      <c r="Q763" s="23">
        <v>1.53</v>
      </c>
      <c r="R763" s="27">
        <f t="shared" si="45"/>
        <v>10312.200000000001</v>
      </c>
      <c r="S763" s="28">
        <v>202305</v>
      </c>
      <c r="T763" s="246" t="s">
        <v>4206</v>
      </c>
      <c r="U763" s="31"/>
      <c r="V763" s="38"/>
      <c r="W763" s="39"/>
      <c r="X763" s="21">
        <v>44927</v>
      </c>
      <c r="Y763" s="21">
        <v>45107</v>
      </c>
      <c r="Z763" s="44"/>
      <c r="AA763" s="44"/>
      <c r="AB763" s="46"/>
      <c r="AC763" s="46"/>
    </row>
    <row r="764" spans="1:29" s="2" customFormat="1" ht="15" customHeight="1">
      <c r="A764" s="9" t="s">
        <v>267</v>
      </c>
      <c r="B764" s="8" t="s">
        <v>3666</v>
      </c>
      <c r="C764" s="8" t="s">
        <v>2366</v>
      </c>
      <c r="D764" s="8" t="s">
        <v>3737</v>
      </c>
      <c r="E764" s="9" t="s">
        <v>4186</v>
      </c>
      <c r="F764" s="9" t="s">
        <v>4187</v>
      </c>
      <c r="G764" s="9" t="s">
        <v>34</v>
      </c>
      <c r="H764" s="11" t="s">
        <v>4188</v>
      </c>
      <c r="I764" s="11" t="e">
        <f>VLOOKUP(H764,合同高级查询数据!$A$2:$A$51,1,FALSE)</f>
        <v>#N/A</v>
      </c>
      <c r="J764" s="12" t="s">
        <v>1359</v>
      </c>
      <c r="K764" s="9" t="s">
        <v>4203</v>
      </c>
      <c r="L764" s="15" t="s">
        <v>4204</v>
      </c>
      <c r="M764" s="16"/>
      <c r="N764" s="21">
        <v>44986</v>
      </c>
      <c r="O764" s="21" t="s">
        <v>1664</v>
      </c>
      <c r="P764" s="30">
        <v>6740</v>
      </c>
      <c r="Q764" s="23">
        <v>64.64</v>
      </c>
      <c r="R764" s="27">
        <f t="shared" si="45"/>
        <v>435673.59999999998</v>
      </c>
      <c r="S764" s="28">
        <v>202306</v>
      </c>
      <c r="T764" s="246" t="s">
        <v>4207</v>
      </c>
      <c r="U764" s="31"/>
      <c r="V764" s="38">
        <v>64.639475919305994</v>
      </c>
      <c r="W764" s="39"/>
      <c r="X764" s="21">
        <v>44927</v>
      </c>
      <c r="Y764" s="21">
        <v>45107</v>
      </c>
      <c r="Z764" s="44" t="s">
        <v>4208</v>
      </c>
      <c r="AA764" s="44">
        <v>0.4</v>
      </c>
      <c r="AB764" s="46">
        <v>160</v>
      </c>
      <c r="AC764" s="46">
        <f>AA764*AB764</f>
        <v>64</v>
      </c>
    </row>
    <row r="765" spans="1:29" s="3" customFormat="1" ht="15" customHeight="1">
      <c r="A765" s="50" t="s">
        <v>267</v>
      </c>
      <c r="B765" s="49" t="s">
        <v>3666</v>
      </c>
      <c r="C765" s="49" t="s">
        <v>2366</v>
      </c>
      <c r="D765" s="49" t="s">
        <v>3737</v>
      </c>
      <c r="E765" s="50" t="s">
        <v>4186</v>
      </c>
      <c r="F765" s="50" t="s">
        <v>4209</v>
      </c>
      <c r="G765" s="50" t="s">
        <v>34</v>
      </c>
      <c r="H765" s="53" t="s">
        <v>4210</v>
      </c>
      <c r="I765" s="53" t="e">
        <f>VLOOKUP(H765,合同高级查询数据!$A$2:$A$51,1,FALSE)</f>
        <v>#N/A</v>
      </c>
      <c r="J765" s="49" t="s">
        <v>233</v>
      </c>
      <c r="K765" s="50" t="s">
        <v>4211</v>
      </c>
      <c r="L765" s="52" t="s">
        <v>4204</v>
      </c>
      <c r="M765" s="54"/>
      <c r="N765" s="55">
        <v>43831</v>
      </c>
      <c r="O765" s="55" t="s">
        <v>4212</v>
      </c>
      <c r="P765" s="57">
        <v>15000</v>
      </c>
      <c r="Q765" s="142"/>
      <c r="R765" s="57">
        <f t="shared" si="45"/>
        <v>0</v>
      </c>
      <c r="S765" s="59">
        <v>202306</v>
      </c>
      <c r="T765" s="100" t="s">
        <v>4213</v>
      </c>
      <c r="U765" s="60"/>
      <c r="V765" s="62"/>
      <c r="W765" s="255"/>
      <c r="X765" s="55"/>
      <c r="Y765" s="55"/>
      <c r="Z765" s="201" t="s">
        <v>4214</v>
      </c>
      <c r="AA765" s="201"/>
      <c r="AB765" s="263">
        <v>0</v>
      </c>
      <c r="AC765" s="263">
        <f>AA765*AB765</f>
        <v>0</v>
      </c>
    </row>
    <row r="766" spans="1:29" s="2" customFormat="1" ht="15" customHeight="1">
      <c r="A766" s="7" t="s">
        <v>267</v>
      </c>
      <c r="B766" s="9" t="s">
        <v>3792</v>
      </c>
      <c r="C766" s="7" t="s">
        <v>3855</v>
      </c>
      <c r="D766" s="5" t="s">
        <v>3737</v>
      </c>
      <c r="E766" s="7" t="s">
        <v>4215</v>
      </c>
      <c r="F766" s="7" t="s">
        <v>4216</v>
      </c>
      <c r="G766" s="7" t="s">
        <v>34</v>
      </c>
      <c r="H766" s="11" t="s">
        <v>4217</v>
      </c>
      <c r="I766" s="11" t="e">
        <f>VLOOKUP(H766,合同高级查询数据!$A$2:$A$51,1,FALSE)</f>
        <v>#N/A</v>
      </c>
      <c r="J766" s="12" t="s">
        <v>36</v>
      </c>
      <c r="K766" s="7" t="s">
        <v>4218</v>
      </c>
      <c r="L766" s="174" t="s">
        <v>4216</v>
      </c>
      <c r="M766" s="16" t="s">
        <v>4219</v>
      </c>
      <c r="N766" s="36" t="s">
        <v>4220</v>
      </c>
      <c r="O766" s="5" t="s">
        <v>4221</v>
      </c>
      <c r="P766" s="30">
        <v>6740</v>
      </c>
      <c r="Q766" s="23">
        <v>8</v>
      </c>
      <c r="R766" s="30">
        <f t="shared" si="45"/>
        <v>53920</v>
      </c>
      <c r="S766" s="28">
        <v>202306</v>
      </c>
      <c r="T766" s="246" t="s">
        <v>4222</v>
      </c>
      <c r="U766" s="274"/>
      <c r="V766" s="38">
        <v>6.9428234099999999</v>
      </c>
      <c r="W766" s="249"/>
      <c r="X766" s="21">
        <v>44927</v>
      </c>
      <c r="Y766" s="21">
        <v>45107</v>
      </c>
      <c r="Z766" s="44" t="s">
        <v>4223</v>
      </c>
      <c r="AA766" s="44">
        <v>0.4</v>
      </c>
      <c r="AB766" s="46">
        <v>20</v>
      </c>
      <c r="AC766" s="46">
        <f>AA766*AB766</f>
        <v>8</v>
      </c>
    </row>
    <row r="767" spans="1:29" s="3" customFormat="1" ht="15" customHeight="1">
      <c r="A767" s="50" t="s">
        <v>267</v>
      </c>
      <c r="B767" s="49" t="s">
        <v>3666</v>
      </c>
      <c r="C767" s="49" t="s">
        <v>2519</v>
      </c>
      <c r="D767" s="49" t="s">
        <v>3737</v>
      </c>
      <c r="E767" s="50" t="s">
        <v>3721</v>
      </c>
      <c r="F767" s="50" t="s">
        <v>4224</v>
      </c>
      <c r="G767" s="50" t="s">
        <v>34</v>
      </c>
      <c r="H767" s="53" t="s">
        <v>4225</v>
      </c>
      <c r="I767" s="53" t="e">
        <f>VLOOKUP(H767,合同高级查询数据!$A$2:$A$51,1,FALSE)</f>
        <v>#N/A</v>
      </c>
      <c r="J767" s="51" t="s">
        <v>36</v>
      </c>
      <c r="K767" s="50" t="s">
        <v>4226</v>
      </c>
      <c r="L767" s="52" t="s">
        <v>4227</v>
      </c>
      <c r="M767" s="54"/>
      <c r="N767" s="55" t="s">
        <v>4228</v>
      </c>
      <c r="O767" s="55" t="s">
        <v>2580</v>
      </c>
      <c r="P767" s="57">
        <v>4100</v>
      </c>
      <c r="Q767" s="142"/>
      <c r="R767" s="57">
        <f t="shared" si="45"/>
        <v>0</v>
      </c>
      <c r="S767" s="59">
        <v>202306</v>
      </c>
      <c r="T767" s="100" t="s">
        <v>4229</v>
      </c>
      <c r="U767" s="60"/>
      <c r="V767" s="62">
        <v>0</v>
      </c>
      <c r="W767" s="255"/>
      <c r="X767" s="55"/>
      <c r="Y767" s="55"/>
      <c r="Z767" s="201" t="s">
        <v>4230</v>
      </c>
      <c r="AA767" s="201"/>
      <c r="AB767" s="263"/>
      <c r="AC767" s="263"/>
    </row>
    <row r="768" spans="1:29" s="2" customFormat="1" ht="15" customHeight="1">
      <c r="A768" s="9" t="s">
        <v>260</v>
      </c>
      <c r="B768" s="8" t="s">
        <v>4231</v>
      </c>
      <c r="C768" s="8" t="s">
        <v>2757</v>
      </c>
      <c r="D768" s="8" t="s">
        <v>3737</v>
      </c>
      <c r="E768" s="9" t="s">
        <v>4232</v>
      </c>
      <c r="F768" s="9" t="s">
        <v>4233</v>
      </c>
      <c r="G768" s="9" t="s">
        <v>34</v>
      </c>
      <c r="H768" s="11" t="s">
        <v>4234</v>
      </c>
      <c r="I768" s="11" t="e">
        <f>VLOOKUP(H768,合同高级查询数据!$A$2:$A$51,1,FALSE)</f>
        <v>#N/A</v>
      </c>
      <c r="J768" s="12" t="s">
        <v>1359</v>
      </c>
      <c r="K768" s="9" t="s">
        <v>4235</v>
      </c>
      <c r="L768" s="15" t="s">
        <v>4236</v>
      </c>
      <c r="M768" s="16"/>
      <c r="N768" s="21" t="s">
        <v>4237</v>
      </c>
      <c r="O768" s="21" t="s">
        <v>277</v>
      </c>
      <c r="P768" s="30">
        <v>21000</v>
      </c>
      <c r="Q768" s="23">
        <v>10.8</v>
      </c>
      <c r="R768" s="30">
        <f t="shared" si="45"/>
        <v>226800</v>
      </c>
      <c r="S768" s="28">
        <v>202306</v>
      </c>
      <c r="T768" s="246" t="s">
        <v>4238</v>
      </c>
      <c r="U768" s="31"/>
      <c r="V768" s="38">
        <v>11.191996116211</v>
      </c>
      <c r="W768" s="39">
        <v>10.72</v>
      </c>
      <c r="X768" s="21">
        <v>43692</v>
      </c>
      <c r="Y768" s="21">
        <v>45883</v>
      </c>
      <c r="Z768" s="44" t="s">
        <v>4239</v>
      </c>
      <c r="AA768" s="44">
        <v>0.1</v>
      </c>
      <c r="AB768" s="46">
        <v>100</v>
      </c>
      <c r="AC768" s="46">
        <f t="shared" ref="AC768:AC775" si="47">AB768*AA768</f>
        <v>10</v>
      </c>
    </row>
    <row r="769" spans="1:29" s="2" customFormat="1" ht="15" customHeight="1">
      <c r="A769" s="9" t="s">
        <v>260</v>
      </c>
      <c r="B769" s="8" t="s">
        <v>4231</v>
      </c>
      <c r="C769" s="8" t="s">
        <v>2757</v>
      </c>
      <c r="D769" s="8" t="s">
        <v>3737</v>
      </c>
      <c r="E769" s="9" t="s">
        <v>4232</v>
      </c>
      <c r="F769" s="9" t="s">
        <v>4233</v>
      </c>
      <c r="G769" s="9" t="s">
        <v>34</v>
      </c>
      <c r="H769" s="11" t="s">
        <v>4240</v>
      </c>
      <c r="I769" s="11" t="e">
        <f>VLOOKUP(H769,合同高级查询数据!$A$2:$A$51,1,FALSE)</f>
        <v>#N/A</v>
      </c>
      <c r="J769" s="12" t="s">
        <v>1359</v>
      </c>
      <c r="K769" s="9" t="s">
        <v>4241</v>
      </c>
      <c r="L769" s="15" t="s">
        <v>4242</v>
      </c>
      <c r="M769" s="16"/>
      <c r="N769" s="21" t="s">
        <v>4243</v>
      </c>
      <c r="O769" s="21" t="s">
        <v>4244</v>
      </c>
      <c r="P769" s="30" t="s">
        <v>4245</v>
      </c>
      <c r="Q769" s="23">
        <v>316</v>
      </c>
      <c r="R769" s="30">
        <f>ROUND(60*9500+(Q769-60)*8691.67,2)</f>
        <v>2795067.52</v>
      </c>
      <c r="S769" s="28">
        <v>202306</v>
      </c>
      <c r="T769" s="246" t="s">
        <v>4246</v>
      </c>
      <c r="U769" s="31"/>
      <c r="V769" s="38">
        <v>313.18165626563001</v>
      </c>
      <c r="W769" s="39">
        <v>318.77999999999997</v>
      </c>
      <c r="X769" s="21">
        <v>44805</v>
      </c>
      <c r="Y769" s="21">
        <v>45169</v>
      </c>
      <c r="Z769" s="44" t="s">
        <v>4247</v>
      </c>
      <c r="AA769" s="44">
        <v>0.06</v>
      </c>
      <c r="AB769" s="46">
        <v>1000</v>
      </c>
      <c r="AC769" s="46">
        <f t="shared" si="47"/>
        <v>60</v>
      </c>
    </row>
    <row r="770" spans="1:29" s="2" customFormat="1" ht="15" customHeight="1">
      <c r="A770" s="9" t="s">
        <v>260</v>
      </c>
      <c r="B770" s="8" t="s">
        <v>4231</v>
      </c>
      <c r="C770" s="8" t="s">
        <v>2757</v>
      </c>
      <c r="D770" s="8" t="s">
        <v>3737</v>
      </c>
      <c r="E770" s="9" t="s">
        <v>4248</v>
      </c>
      <c r="F770" s="9" t="s">
        <v>4233</v>
      </c>
      <c r="G770" s="9" t="s">
        <v>34</v>
      </c>
      <c r="H770" s="11" t="s">
        <v>4249</v>
      </c>
      <c r="I770" s="11" t="e">
        <f>VLOOKUP(H770,合同高级查询数据!$A$2:$A$51,1,FALSE)</f>
        <v>#N/A</v>
      </c>
      <c r="J770" s="12" t="s">
        <v>36</v>
      </c>
      <c r="K770" s="9" t="s">
        <v>4250</v>
      </c>
      <c r="L770" s="15" t="s">
        <v>4251</v>
      </c>
      <c r="M770" s="16"/>
      <c r="N770" s="21" t="s">
        <v>4252</v>
      </c>
      <c r="O770" s="21" t="s">
        <v>4253</v>
      </c>
      <c r="P770" s="30">
        <v>8291.67</v>
      </c>
      <c r="Q770" s="23">
        <v>7.1</v>
      </c>
      <c r="R770" s="30">
        <f t="shared" ref="R770:R787" si="48">ROUND(P770*Q770,2)</f>
        <v>58870.86</v>
      </c>
      <c r="S770" s="28">
        <v>202306</v>
      </c>
      <c r="T770" s="246" t="s">
        <v>4254</v>
      </c>
      <c r="U770" s="31"/>
      <c r="V770" s="38">
        <v>7.0310344699999998</v>
      </c>
      <c r="W770" s="39">
        <v>6</v>
      </c>
      <c r="X770" s="21">
        <v>44774</v>
      </c>
      <c r="Y770" s="21">
        <v>45138</v>
      </c>
      <c r="Z770" s="44" t="s">
        <v>4255</v>
      </c>
      <c r="AA770" s="44">
        <v>0.3</v>
      </c>
      <c r="AB770" s="46">
        <v>20</v>
      </c>
      <c r="AC770" s="46">
        <f t="shared" si="47"/>
        <v>6</v>
      </c>
    </row>
    <row r="771" spans="1:29" s="2" customFormat="1" ht="15" customHeight="1">
      <c r="A771" s="9" t="s">
        <v>260</v>
      </c>
      <c r="B771" s="8" t="s">
        <v>4231</v>
      </c>
      <c r="C771" s="8" t="s">
        <v>2757</v>
      </c>
      <c r="D771" s="8" t="s">
        <v>3737</v>
      </c>
      <c r="E771" s="9" t="s">
        <v>4248</v>
      </c>
      <c r="F771" s="9" t="s">
        <v>4233</v>
      </c>
      <c r="G771" s="9" t="s">
        <v>34</v>
      </c>
      <c r="H771" s="11" t="s">
        <v>4249</v>
      </c>
      <c r="I771" s="11" t="e">
        <f>VLOOKUP(H771,合同高级查询数据!$A$2:$A$51,1,FALSE)</f>
        <v>#N/A</v>
      </c>
      <c r="J771" s="12" t="s">
        <v>440</v>
      </c>
      <c r="K771" s="9" t="s">
        <v>4256</v>
      </c>
      <c r="L771" s="15" t="s">
        <v>4257</v>
      </c>
      <c r="M771" s="16"/>
      <c r="N771" s="21" t="s">
        <v>4258</v>
      </c>
      <c r="O771" s="21" t="s">
        <v>222</v>
      </c>
      <c r="P771" s="30">
        <v>8291.67</v>
      </c>
      <c r="Q771" s="23">
        <v>4.9000000000000004</v>
      </c>
      <c r="R771" s="30">
        <f t="shared" si="48"/>
        <v>40629.18</v>
      </c>
      <c r="S771" s="28">
        <v>202306</v>
      </c>
      <c r="T771" s="246" t="s">
        <v>4259</v>
      </c>
      <c r="U771" s="31"/>
      <c r="V771" s="38">
        <v>2.1800000000000002</v>
      </c>
      <c r="W771" s="39">
        <v>6</v>
      </c>
      <c r="X771" s="21">
        <v>44774</v>
      </c>
      <c r="Y771" s="21">
        <v>45138</v>
      </c>
      <c r="Z771" s="44" t="s">
        <v>4256</v>
      </c>
      <c r="AA771" s="44">
        <v>0.3</v>
      </c>
      <c r="AB771" s="46">
        <v>20</v>
      </c>
      <c r="AC771" s="46">
        <f t="shared" si="47"/>
        <v>6</v>
      </c>
    </row>
    <row r="772" spans="1:29" s="2" customFormat="1" ht="15" customHeight="1">
      <c r="A772" s="9" t="s">
        <v>260</v>
      </c>
      <c r="B772" s="8" t="s">
        <v>4231</v>
      </c>
      <c r="C772" s="8" t="s">
        <v>2757</v>
      </c>
      <c r="D772" s="8" t="s">
        <v>3737</v>
      </c>
      <c r="E772" s="9" t="s">
        <v>4248</v>
      </c>
      <c r="F772" s="9" t="s">
        <v>4260</v>
      </c>
      <c r="G772" s="9" t="s">
        <v>34</v>
      </c>
      <c r="H772" s="11" t="s">
        <v>4249</v>
      </c>
      <c r="I772" s="11" t="e">
        <f>VLOOKUP(H772,合同高级查询数据!$A$2:$A$51,1,FALSE)</f>
        <v>#N/A</v>
      </c>
      <c r="J772" s="12" t="s">
        <v>36</v>
      </c>
      <c r="K772" s="9" t="s">
        <v>4261</v>
      </c>
      <c r="L772" s="15" t="s">
        <v>4262</v>
      </c>
      <c r="M772" s="16"/>
      <c r="N772" s="21" t="s">
        <v>4263</v>
      </c>
      <c r="O772" s="21" t="s">
        <v>4264</v>
      </c>
      <c r="P772" s="30">
        <v>8291.67</v>
      </c>
      <c r="Q772" s="23">
        <v>122.7</v>
      </c>
      <c r="R772" s="30">
        <f t="shared" si="48"/>
        <v>1017387.91</v>
      </c>
      <c r="S772" s="28">
        <v>202306</v>
      </c>
      <c r="T772" s="246" t="s">
        <v>4265</v>
      </c>
      <c r="U772" s="31"/>
      <c r="V772" s="38">
        <v>122.892601013</v>
      </c>
      <c r="W772" s="39">
        <v>122.68</v>
      </c>
      <c r="X772" s="21">
        <v>44774</v>
      </c>
      <c r="Y772" s="21">
        <v>45138</v>
      </c>
      <c r="Z772" s="44" t="s">
        <v>4266</v>
      </c>
      <c r="AA772" s="44">
        <v>0.3</v>
      </c>
      <c r="AB772" s="46">
        <v>400</v>
      </c>
      <c r="AC772" s="46">
        <f t="shared" si="47"/>
        <v>120</v>
      </c>
    </row>
    <row r="773" spans="1:29" s="2" customFormat="1" ht="15" customHeight="1">
      <c r="A773" s="9" t="s">
        <v>260</v>
      </c>
      <c r="B773" s="8" t="s">
        <v>4231</v>
      </c>
      <c r="C773" s="8" t="s">
        <v>2757</v>
      </c>
      <c r="D773" s="8" t="s">
        <v>3737</v>
      </c>
      <c r="E773" s="9" t="s">
        <v>4248</v>
      </c>
      <c r="F773" s="9" t="s">
        <v>4260</v>
      </c>
      <c r="G773" s="9" t="s">
        <v>34</v>
      </c>
      <c r="H773" s="11" t="s">
        <v>4249</v>
      </c>
      <c r="I773" s="11" t="e">
        <f>VLOOKUP(H773,合同高级查询数据!$A$2:$A$51,1,FALSE)</f>
        <v>#N/A</v>
      </c>
      <c r="J773" s="12" t="s">
        <v>36</v>
      </c>
      <c r="K773" s="9" t="s">
        <v>4267</v>
      </c>
      <c r="L773" s="15" t="s">
        <v>4268</v>
      </c>
      <c r="M773" s="16"/>
      <c r="N773" s="21" t="s">
        <v>4269</v>
      </c>
      <c r="O773" s="21" t="s">
        <v>4270</v>
      </c>
      <c r="P773" s="30">
        <v>8291.67</v>
      </c>
      <c r="Q773" s="23">
        <v>0</v>
      </c>
      <c r="R773" s="30">
        <f t="shared" si="48"/>
        <v>0</v>
      </c>
      <c r="S773" s="28">
        <v>202306</v>
      </c>
      <c r="T773" s="246" t="s">
        <v>4271</v>
      </c>
      <c r="U773" s="31"/>
      <c r="V773" s="38">
        <v>0</v>
      </c>
      <c r="W773" s="39"/>
      <c r="X773" s="21">
        <v>44774</v>
      </c>
      <c r="Y773" s="21">
        <v>45138</v>
      </c>
      <c r="Z773" s="44" t="s">
        <v>4272</v>
      </c>
      <c r="AA773" s="44">
        <v>0.3</v>
      </c>
      <c r="AB773" s="46">
        <v>0</v>
      </c>
      <c r="AC773" s="46">
        <f t="shared" si="47"/>
        <v>0</v>
      </c>
    </row>
    <row r="774" spans="1:29" s="2" customFormat="1" ht="15" customHeight="1">
      <c r="A774" s="9" t="s">
        <v>260</v>
      </c>
      <c r="B774" s="8" t="s">
        <v>4231</v>
      </c>
      <c r="C774" s="8" t="s">
        <v>2757</v>
      </c>
      <c r="D774" s="8" t="s">
        <v>3737</v>
      </c>
      <c r="E774" s="9" t="s">
        <v>4248</v>
      </c>
      <c r="F774" s="9" t="s">
        <v>4233</v>
      </c>
      <c r="G774" s="9" t="s">
        <v>34</v>
      </c>
      <c r="H774" s="11" t="s">
        <v>4249</v>
      </c>
      <c r="I774" s="11" t="e">
        <f>VLOOKUP(H774,合同高级查询数据!$A$2:$A$51,1,FALSE)</f>
        <v>#N/A</v>
      </c>
      <c r="J774" s="12" t="s">
        <v>36</v>
      </c>
      <c r="K774" s="9" t="s">
        <v>4273</v>
      </c>
      <c r="L774" s="15" t="s">
        <v>4274</v>
      </c>
      <c r="M774" s="16"/>
      <c r="N774" s="21" t="s">
        <v>4275</v>
      </c>
      <c r="O774" s="21" t="s">
        <v>4276</v>
      </c>
      <c r="P774" s="30">
        <v>8291.67</v>
      </c>
      <c r="Q774" s="23">
        <v>0</v>
      </c>
      <c r="R774" s="30">
        <f t="shared" si="48"/>
        <v>0</v>
      </c>
      <c r="S774" s="28">
        <v>202306</v>
      </c>
      <c r="T774" s="246" t="s">
        <v>4277</v>
      </c>
      <c r="U774" s="31"/>
      <c r="V774" s="38">
        <v>0</v>
      </c>
      <c r="W774" s="39"/>
      <c r="X774" s="21">
        <v>44774</v>
      </c>
      <c r="Y774" s="21">
        <v>45138</v>
      </c>
      <c r="Z774" s="44" t="s">
        <v>4278</v>
      </c>
      <c r="AA774" s="44">
        <v>0.3</v>
      </c>
      <c r="AB774" s="46">
        <v>0</v>
      </c>
      <c r="AC774" s="46">
        <f t="shared" si="47"/>
        <v>0</v>
      </c>
    </row>
    <row r="775" spans="1:29" s="2" customFormat="1" ht="15" customHeight="1">
      <c r="A775" s="9" t="s">
        <v>260</v>
      </c>
      <c r="B775" s="8" t="s">
        <v>4231</v>
      </c>
      <c r="C775" s="8" t="s">
        <v>2757</v>
      </c>
      <c r="D775" s="8" t="s">
        <v>3737</v>
      </c>
      <c r="E775" s="9" t="s">
        <v>4248</v>
      </c>
      <c r="F775" s="9" t="s">
        <v>4233</v>
      </c>
      <c r="G775" s="9" t="s">
        <v>34</v>
      </c>
      <c r="H775" s="11" t="s">
        <v>4249</v>
      </c>
      <c r="I775" s="11" t="e">
        <f>VLOOKUP(H775,合同高级查询数据!$A$2:$A$51,1,FALSE)</f>
        <v>#N/A</v>
      </c>
      <c r="J775" s="12" t="s">
        <v>36</v>
      </c>
      <c r="K775" s="9" t="s">
        <v>4279</v>
      </c>
      <c r="L775" s="15" t="s">
        <v>4280</v>
      </c>
      <c r="M775" s="16"/>
      <c r="N775" s="21" t="s">
        <v>4281</v>
      </c>
      <c r="O775" s="21" t="s">
        <v>868</v>
      </c>
      <c r="P775" s="30">
        <v>9500</v>
      </c>
      <c r="Q775" s="23">
        <v>115.1</v>
      </c>
      <c r="R775" s="30">
        <f t="shared" si="48"/>
        <v>1093450</v>
      </c>
      <c r="S775" s="28">
        <v>202306</v>
      </c>
      <c r="T775" s="246" t="s">
        <v>4282</v>
      </c>
      <c r="U775" s="31"/>
      <c r="V775" s="38">
        <v>114.27938079800001</v>
      </c>
      <c r="W775" s="39">
        <v>115.92</v>
      </c>
      <c r="X775" s="21">
        <v>44774</v>
      </c>
      <c r="Y775" s="21">
        <v>45138</v>
      </c>
      <c r="Z775" s="44" t="s">
        <v>4279</v>
      </c>
      <c r="AA775" s="44">
        <v>0.4</v>
      </c>
      <c r="AB775" s="46">
        <v>280</v>
      </c>
      <c r="AC775" s="46">
        <f t="shared" si="47"/>
        <v>112</v>
      </c>
    </row>
    <row r="776" spans="1:29" s="3" customFormat="1" ht="15" customHeight="1">
      <c r="A776" s="50" t="s">
        <v>260</v>
      </c>
      <c r="B776" s="49" t="s">
        <v>4231</v>
      </c>
      <c r="C776" s="49" t="s">
        <v>2757</v>
      </c>
      <c r="D776" s="49" t="s">
        <v>3737</v>
      </c>
      <c r="E776" s="50" t="s">
        <v>4248</v>
      </c>
      <c r="F776" s="50" t="s">
        <v>4233</v>
      </c>
      <c r="G776" s="50" t="s">
        <v>34</v>
      </c>
      <c r="H776" s="53" t="s">
        <v>4283</v>
      </c>
      <c r="I776" s="53" t="e">
        <f>VLOOKUP(H776,合同高级查询数据!$A$2:$A$51,1,FALSE)</f>
        <v>#N/A</v>
      </c>
      <c r="J776" s="51" t="s">
        <v>36</v>
      </c>
      <c r="K776" s="50" t="s">
        <v>3083</v>
      </c>
      <c r="L776" s="52" t="s">
        <v>4284</v>
      </c>
      <c r="M776" s="54" t="s">
        <v>4285</v>
      </c>
      <c r="N776" s="55">
        <v>45078</v>
      </c>
      <c r="O776" s="55" t="s">
        <v>434</v>
      </c>
      <c r="P776" s="57">
        <v>6500</v>
      </c>
      <c r="Q776" s="142">
        <v>60</v>
      </c>
      <c r="R776" s="57">
        <f t="shared" si="48"/>
        <v>390000</v>
      </c>
      <c r="S776" s="59">
        <v>202306</v>
      </c>
      <c r="T776" s="100" t="s">
        <v>4286</v>
      </c>
      <c r="U776" s="60"/>
      <c r="V776" s="62">
        <v>60.215068817000002</v>
      </c>
      <c r="W776" s="255">
        <v>60</v>
      </c>
      <c r="X776" s="55"/>
      <c r="Y776" s="55"/>
      <c r="Z776" s="201" t="s">
        <v>4287</v>
      </c>
      <c r="AA776" s="201"/>
      <c r="AB776" s="263"/>
      <c r="AC776" s="263"/>
    </row>
    <row r="777" spans="1:29" s="3" customFormat="1" ht="15" customHeight="1">
      <c r="A777" s="50" t="s">
        <v>212</v>
      </c>
      <c r="B777" s="49" t="s">
        <v>4231</v>
      </c>
      <c r="C777" s="49" t="s">
        <v>2757</v>
      </c>
      <c r="D777" s="49" t="s">
        <v>3737</v>
      </c>
      <c r="E777" s="50" t="s">
        <v>4288</v>
      </c>
      <c r="F777" s="50" t="s">
        <v>4289</v>
      </c>
      <c r="G777" s="50" t="s">
        <v>34</v>
      </c>
      <c r="H777" s="53" t="s">
        <v>4290</v>
      </c>
      <c r="I777" s="53" t="e">
        <f>VLOOKUP(H777,合同高级查询数据!$A$2:$A$51,1,FALSE)</f>
        <v>#N/A</v>
      </c>
      <c r="J777" s="51" t="s">
        <v>36</v>
      </c>
      <c r="K777" s="50" t="s">
        <v>4291</v>
      </c>
      <c r="L777" s="52" t="s">
        <v>4292</v>
      </c>
      <c r="M777" s="54"/>
      <c r="N777" s="55" t="s">
        <v>4293</v>
      </c>
      <c r="O777" s="55" t="s">
        <v>4294</v>
      </c>
      <c r="P777" s="57">
        <v>9000</v>
      </c>
      <c r="Q777" s="142">
        <v>0</v>
      </c>
      <c r="R777" s="57">
        <f t="shared" si="48"/>
        <v>0</v>
      </c>
      <c r="S777" s="59">
        <v>202306</v>
      </c>
      <c r="T777" s="100" t="s">
        <v>4295</v>
      </c>
      <c r="U777" s="60"/>
      <c r="V777" s="62">
        <v>0</v>
      </c>
      <c r="W777" s="255"/>
      <c r="X777" s="55"/>
      <c r="Y777" s="55"/>
      <c r="Z777" s="245" t="s">
        <v>4296</v>
      </c>
      <c r="AA777" s="236">
        <v>0.3</v>
      </c>
      <c r="AB777" s="263">
        <v>0</v>
      </c>
      <c r="AC777" s="263">
        <v>0</v>
      </c>
    </row>
    <row r="778" spans="1:29" s="2" customFormat="1" ht="15" customHeight="1">
      <c r="A778" s="9" t="s">
        <v>212</v>
      </c>
      <c r="B778" s="8" t="s">
        <v>4231</v>
      </c>
      <c r="C778" s="8" t="s">
        <v>2757</v>
      </c>
      <c r="D778" s="8" t="s">
        <v>3737</v>
      </c>
      <c r="E778" s="9" t="s">
        <v>4288</v>
      </c>
      <c r="F778" s="9" t="s">
        <v>4289</v>
      </c>
      <c r="G778" s="9" t="s">
        <v>34</v>
      </c>
      <c r="H778" s="11" t="s">
        <v>4297</v>
      </c>
      <c r="I778" s="11" t="e">
        <f>VLOOKUP(H778,合同高级查询数据!$A$2:$A$51,1,FALSE)</f>
        <v>#N/A</v>
      </c>
      <c r="J778" s="12" t="s">
        <v>1359</v>
      </c>
      <c r="K778" s="9" t="s">
        <v>4298</v>
      </c>
      <c r="L778" s="15" t="s">
        <v>4299</v>
      </c>
      <c r="M778" s="16"/>
      <c r="N778" s="21" t="s">
        <v>4300</v>
      </c>
      <c r="O778" s="21" t="s">
        <v>4301</v>
      </c>
      <c r="P778" s="30">
        <v>10000</v>
      </c>
      <c r="Q778" s="23">
        <v>66.05</v>
      </c>
      <c r="R778" s="30">
        <f t="shared" si="48"/>
        <v>660500</v>
      </c>
      <c r="S778" s="28">
        <v>202306</v>
      </c>
      <c r="T778" s="246" t="s">
        <v>4302</v>
      </c>
      <c r="U778" s="31"/>
      <c r="V778" s="38">
        <v>64.388192927000006</v>
      </c>
      <c r="W778" s="39"/>
      <c r="X778" s="21">
        <v>43800</v>
      </c>
      <c r="Y778" s="21">
        <v>45260</v>
      </c>
      <c r="Z778" s="22" t="s">
        <v>4303</v>
      </c>
      <c r="AA778" s="238">
        <v>0.3</v>
      </c>
      <c r="AB778" s="46">
        <v>200</v>
      </c>
      <c r="AC778" s="46">
        <f t="shared" ref="AC778:AC784" si="49">AA778*AB778</f>
        <v>60</v>
      </c>
    </row>
    <row r="779" spans="1:29" s="3" customFormat="1" ht="15" customHeight="1">
      <c r="A779" s="50" t="s">
        <v>212</v>
      </c>
      <c r="B779" s="49" t="s">
        <v>4231</v>
      </c>
      <c r="C779" s="49" t="s">
        <v>2757</v>
      </c>
      <c r="D779" s="49" t="s">
        <v>3737</v>
      </c>
      <c r="E779" s="50" t="s">
        <v>4288</v>
      </c>
      <c r="F779" s="50" t="s">
        <v>4289</v>
      </c>
      <c r="G779" s="50" t="s">
        <v>34</v>
      </c>
      <c r="H779" s="53" t="s">
        <v>4290</v>
      </c>
      <c r="I779" s="53" t="e">
        <f>VLOOKUP(H779,合同高级查询数据!$A$2:$A$51,1,FALSE)</f>
        <v>#N/A</v>
      </c>
      <c r="J779" s="51" t="s">
        <v>36</v>
      </c>
      <c r="K779" s="50" t="s">
        <v>4304</v>
      </c>
      <c r="L779" s="52" t="s">
        <v>4305</v>
      </c>
      <c r="M779" s="54"/>
      <c r="N779" s="55" t="s">
        <v>4306</v>
      </c>
      <c r="O779" s="55" t="s">
        <v>4307</v>
      </c>
      <c r="P779" s="57">
        <v>9000</v>
      </c>
      <c r="Q779" s="142">
        <v>0</v>
      </c>
      <c r="R779" s="57">
        <f t="shared" si="48"/>
        <v>0</v>
      </c>
      <c r="S779" s="59">
        <v>202306</v>
      </c>
      <c r="T779" s="100" t="s">
        <v>4308</v>
      </c>
      <c r="U779" s="60"/>
      <c r="V779" s="62">
        <v>0</v>
      </c>
      <c r="W779" s="255"/>
      <c r="X779" s="55"/>
      <c r="Y779" s="55"/>
      <c r="Z779" s="245" t="s">
        <v>4304</v>
      </c>
      <c r="AA779" s="236">
        <v>0.3</v>
      </c>
      <c r="AB779" s="263">
        <v>160</v>
      </c>
      <c r="AC779" s="263">
        <f t="shared" si="49"/>
        <v>48</v>
      </c>
    </row>
    <row r="780" spans="1:29" s="3" customFormat="1" ht="15" customHeight="1">
      <c r="A780" s="50" t="s">
        <v>212</v>
      </c>
      <c r="B780" s="49" t="s">
        <v>4231</v>
      </c>
      <c r="C780" s="49" t="s">
        <v>2757</v>
      </c>
      <c r="D780" s="49" t="s">
        <v>3737</v>
      </c>
      <c r="E780" s="50" t="s">
        <v>4288</v>
      </c>
      <c r="F780" s="50" t="s">
        <v>4289</v>
      </c>
      <c r="G780" s="50" t="s">
        <v>34</v>
      </c>
      <c r="H780" s="53" t="s">
        <v>4290</v>
      </c>
      <c r="I780" s="53" t="e">
        <f>VLOOKUP(H780,合同高级查询数据!$A$2:$A$51,1,FALSE)</f>
        <v>#N/A</v>
      </c>
      <c r="J780" s="51" t="s">
        <v>1359</v>
      </c>
      <c r="K780" s="50" t="s">
        <v>4309</v>
      </c>
      <c r="L780" s="52" t="s">
        <v>4310</v>
      </c>
      <c r="M780" s="54"/>
      <c r="N780" s="55">
        <v>44317</v>
      </c>
      <c r="O780" s="55" t="s">
        <v>434</v>
      </c>
      <c r="P780" s="57">
        <v>9000</v>
      </c>
      <c r="Q780" s="142">
        <v>188.4</v>
      </c>
      <c r="R780" s="57">
        <f t="shared" si="48"/>
        <v>1695600</v>
      </c>
      <c r="S780" s="59">
        <v>202306</v>
      </c>
      <c r="T780" s="100" t="s">
        <v>4311</v>
      </c>
      <c r="U780" s="60"/>
      <c r="V780" s="62">
        <v>185.050709119</v>
      </c>
      <c r="W780" s="255"/>
      <c r="X780" s="55"/>
      <c r="Y780" s="55"/>
      <c r="Z780" s="245" t="s">
        <v>4312</v>
      </c>
      <c r="AA780" s="236">
        <v>0.3</v>
      </c>
      <c r="AB780" s="263">
        <v>200</v>
      </c>
      <c r="AC780" s="263">
        <f t="shared" si="49"/>
        <v>60</v>
      </c>
    </row>
    <row r="781" spans="1:29" s="2" customFormat="1" ht="15" customHeight="1">
      <c r="A781" s="9" t="s">
        <v>212</v>
      </c>
      <c r="B781" s="8" t="s">
        <v>4231</v>
      </c>
      <c r="C781" s="8" t="s">
        <v>2757</v>
      </c>
      <c r="D781" s="8" t="s">
        <v>3737</v>
      </c>
      <c r="E781" s="9" t="s">
        <v>4313</v>
      </c>
      <c r="F781" s="9" t="s">
        <v>4314</v>
      </c>
      <c r="G781" s="9" t="s">
        <v>34</v>
      </c>
      <c r="H781" s="11" t="s">
        <v>4315</v>
      </c>
      <c r="I781" s="11" t="e">
        <f>VLOOKUP(H781,合同高级查询数据!$A$2:$A$51,1,FALSE)</f>
        <v>#N/A</v>
      </c>
      <c r="J781" s="12" t="s">
        <v>36</v>
      </c>
      <c r="K781" s="9" t="s">
        <v>2761</v>
      </c>
      <c r="L781" s="15" t="s">
        <v>4316</v>
      </c>
      <c r="M781" s="16"/>
      <c r="N781" s="21" t="s">
        <v>4317</v>
      </c>
      <c r="O781" s="21" t="s">
        <v>4318</v>
      </c>
      <c r="P781" s="30">
        <v>9000</v>
      </c>
      <c r="Q781" s="23">
        <v>94.8</v>
      </c>
      <c r="R781" s="30">
        <f t="shared" si="48"/>
        <v>853200</v>
      </c>
      <c r="S781" s="28">
        <v>202306</v>
      </c>
      <c r="T781" s="246" t="s">
        <v>4319</v>
      </c>
      <c r="U781" s="31"/>
      <c r="V781" s="38">
        <v>92.387071532999997</v>
      </c>
      <c r="W781" s="39"/>
      <c r="X781" s="21">
        <v>44409</v>
      </c>
      <c r="Y781" s="21">
        <v>45138</v>
      </c>
      <c r="Z781" s="22" t="s">
        <v>4320</v>
      </c>
      <c r="AA781" s="238">
        <v>0.3</v>
      </c>
      <c r="AB781" s="46">
        <v>300</v>
      </c>
      <c r="AC781" s="46">
        <f t="shared" si="49"/>
        <v>90</v>
      </c>
    </row>
    <row r="782" spans="1:29" s="2" customFormat="1" ht="15" customHeight="1">
      <c r="A782" s="9" t="s">
        <v>267</v>
      </c>
      <c r="B782" s="8" t="s">
        <v>4231</v>
      </c>
      <c r="C782" s="8" t="s">
        <v>2757</v>
      </c>
      <c r="D782" s="8" t="s">
        <v>3737</v>
      </c>
      <c r="E782" s="9" t="s">
        <v>4321</v>
      </c>
      <c r="F782" s="9" t="s">
        <v>4322</v>
      </c>
      <c r="G782" s="9" t="s">
        <v>34</v>
      </c>
      <c r="H782" s="11" t="s">
        <v>4323</v>
      </c>
      <c r="I782" s="11" t="e">
        <f>VLOOKUP(H782,合同高级查询数据!$A$2:$A$51,1,FALSE)</f>
        <v>#N/A</v>
      </c>
      <c r="J782" s="12" t="s">
        <v>36</v>
      </c>
      <c r="K782" s="9" t="s">
        <v>4324</v>
      </c>
      <c r="L782" s="15" t="s">
        <v>4325</v>
      </c>
      <c r="M782" s="16"/>
      <c r="N782" s="21" t="s">
        <v>4326</v>
      </c>
      <c r="O782" s="21" t="s">
        <v>4327</v>
      </c>
      <c r="P782" s="30">
        <v>6740</v>
      </c>
      <c r="Q782" s="23">
        <v>108.86</v>
      </c>
      <c r="R782" s="30">
        <f t="shared" si="48"/>
        <v>733716.4</v>
      </c>
      <c r="S782" s="28">
        <v>202306</v>
      </c>
      <c r="T782" s="246" t="s">
        <v>4328</v>
      </c>
      <c r="U782" s="31"/>
      <c r="V782" s="38">
        <v>108.859703064</v>
      </c>
      <c r="W782" s="39"/>
      <c r="X782" s="21">
        <v>44927</v>
      </c>
      <c r="Y782" s="21">
        <v>45107</v>
      </c>
      <c r="Z782" s="22" t="s">
        <v>4324</v>
      </c>
      <c r="AA782" s="238">
        <v>0.4</v>
      </c>
      <c r="AB782" s="46">
        <v>260</v>
      </c>
      <c r="AC782" s="46">
        <f t="shared" si="49"/>
        <v>104</v>
      </c>
    </row>
    <row r="783" spans="1:29" s="2" customFormat="1" ht="15" customHeight="1">
      <c r="A783" s="9" t="s">
        <v>267</v>
      </c>
      <c r="B783" s="8" t="s">
        <v>4231</v>
      </c>
      <c r="C783" s="8" t="s">
        <v>2757</v>
      </c>
      <c r="D783" s="8" t="s">
        <v>3737</v>
      </c>
      <c r="E783" s="6" t="s">
        <v>4329</v>
      </c>
      <c r="F783" s="6" t="s">
        <v>4330</v>
      </c>
      <c r="G783" s="119" t="s">
        <v>34</v>
      </c>
      <c r="H783" s="11" t="s">
        <v>4331</v>
      </c>
      <c r="I783" s="11" t="e">
        <f>VLOOKUP(H783,合同高级查询数据!$A$2:$A$51,1,FALSE)</f>
        <v>#N/A</v>
      </c>
      <c r="J783" s="119" t="s">
        <v>36</v>
      </c>
      <c r="K783" s="281" t="s">
        <v>4332</v>
      </c>
      <c r="L783" s="282" t="s">
        <v>4330</v>
      </c>
      <c r="M783" s="123"/>
      <c r="N783" s="131" t="s">
        <v>4333</v>
      </c>
      <c r="O783" s="131" t="s">
        <v>3816</v>
      </c>
      <c r="P783" s="30">
        <v>6740</v>
      </c>
      <c r="Q783" s="23">
        <v>0</v>
      </c>
      <c r="R783" s="27">
        <f t="shared" si="48"/>
        <v>0</v>
      </c>
      <c r="S783" s="286">
        <v>202306</v>
      </c>
      <c r="T783" s="246" t="s">
        <v>4334</v>
      </c>
      <c r="U783" s="292"/>
      <c r="V783" s="38">
        <v>0</v>
      </c>
      <c r="W783" s="293"/>
      <c r="X783" s="21">
        <v>44927</v>
      </c>
      <c r="Y783" s="21">
        <v>45107</v>
      </c>
      <c r="Z783" s="5" t="s">
        <v>4335</v>
      </c>
      <c r="AA783" s="45">
        <v>0.4</v>
      </c>
      <c r="AB783" s="279">
        <v>0</v>
      </c>
      <c r="AC783" s="46">
        <f t="shared" si="49"/>
        <v>0</v>
      </c>
    </row>
    <row r="784" spans="1:29" s="2" customFormat="1" ht="15" customHeight="1">
      <c r="A784" s="9" t="s">
        <v>267</v>
      </c>
      <c r="B784" s="8" t="s">
        <v>4231</v>
      </c>
      <c r="C784" s="8" t="s">
        <v>2757</v>
      </c>
      <c r="D784" s="8" t="s">
        <v>3737</v>
      </c>
      <c r="E784" s="6" t="s">
        <v>4329</v>
      </c>
      <c r="F784" s="6" t="s">
        <v>4330</v>
      </c>
      <c r="G784" s="119" t="s">
        <v>34</v>
      </c>
      <c r="H784" s="11" t="s">
        <v>4331</v>
      </c>
      <c r="I784" s="11" t="e">
        <f>VLOOKUP(H784,合同高级查询数据!$A$2:$A$51,1,FALSE)</f>
        <v>#N/A</v>
      </c>
      <c r="J784" s="119" t="s">
        <v>36</v>
      </c>
      <c r="K784" s="281" t="s">
        <v>4336</v>
      </c>
      <c r="L784" s="282" t="s">
        <v>4337</v>
      </c>
      <c r="M784" s="123"/>
      <c r="N784" s="131" t="s">
        <v>4338</v>
      </c>
      <c r="O784" s="131" t="s">
        <v>4339</v>
      </c>
      <c r="P784" s="30">
        <v>6740</v>
      </c>
      <c r="Q784" s="23">
        <v>0</v>
      </c>
      <c r="R784" s="27">
        <f t="shared" si="48"/>
        <v>0</v>
      </c>
      <c r="S784" s="286">
        <v>202306</v>
      </c>
      <c r="T784" s="246" t="s">
        <v>4340</v>
      </c>
      <c r="U784" s="292"/>
      <c r="V784" s="38">
        <v>0</v>
      </c>
      <c r="W784" s="293"/>
      <c r="X784" s="21">
        <v>44927</v>
      </c>
      <c r="Y784" s="21">
        <v>45107</v>
      </c>
      <c r="Z784" s="5" t="s">
        <v>4341</v>
      </c>
      <c r="AA784" s="45">
        <v>0.4</v>
      </c>
      <c r="AB784" s="46">
        <v>120</v>
      </c>
      <c r="AC784" s="46">
        <f t="shared" si="49"/>
        <v>48</v>
      </c>
    </row>
    <row r="785" spans="1:29" s="2" customFormat="1" ht="15" customHeight="1">
      <c r="A785" s="9" t="s">
        <v>267</v>
      </c>
      <c r="B785" s="8" t="s">
        <v>4231</v>
      </c>
      <c r="C785" s="8" t="s">
        <v>2757</v>
      </c>
      <c r="D785" s="8" t="s">
        <v>3737</v>
      </c>
      <c r="E785" s="6" t="s">
        <v>4329</v>
      </c>
      <c r="F785" s="6" t="s">
        <v>4330</v>
      </c>
      <c r="G785" s="119" t="s">
        <v>34</v>
      </c>
      <c r="H785" s="11" t="s">
        <v>4331</v>
      </c>
      <c r="I785" s="11" t="e">
        <f>VLOOKUP(H785,合同高级查询数据!$A$2:$A$51,1,FALSE)</f>
        <v>#N/A</v>
      </c>
      <c r="J785" s="119" t="s">
        <v>36</v>
      </c>
      <c r="K785" s="281" t="s">
        <v>4336</v>
      </c>
      <c r="L785" s="282" t="s">
        <v>4342</v>
      </c>
      <c r="M785" s="123"/>
      <c r="N785" s="131" t="s">
        <v>4343</v>
      </c>
      <c r="O785" s="131" t="s">
        <v>4344</v>
      </c>
      <c r="P785" s="30">
        <v>6740</v>
      </c>
      <c r="Q785" s="23">
        <v>0.93</v>
      </c>
      <c r="R785" s="27">
        <f t="shared" si="48"/>
        <v>6268.2</v>
      </c>
      <c r="S785" s="286">
        <v>202305</v>
      </c>
      <c r="T785" s="246" t="s">
        <v>4345</v>
      </c>
      <c r="U785" s="292"/>
      <c r="V785" s="38"/>
      <c r="W785" s="293"/>
      <c r="X785" s="21">
        <v>44927</v>
      </c>
      <c r="Y785" s="21">
        <v>45107</v>
      </c>
      <c r="Z785" s="5"/>
      <c r="AA785" s="45"/>
      <c r="AB785" s="46"/>
      <c r="AC785" s="46"/>
    </row>
    <row r="786" spans="1:29" s="2" customFormat="1" ht="15" customHeight="1">
      <c r="A786" s="9" t="s">
        <v>267</v>
      </c>
      <c r="B786" s="8" t="s">
        <v>4231</v>
      </c>
      <c r="C786" s="8" t="s">
        <v>2757</v>
      </c>
      <c r="D786" s="8" t="s">
        <v>3737</v>
      </c>
      <c r="E786" s="6" t="s">
        <v>4329</v>
      </c>
      <c r="F786" s="6" t="s">
        <v>4330</v>
      </c>
      <c r="G786" s="119" t="s">
        <v>34</v>
      </c>
      <c r="H786" s="11" t="s">
        <v>4331</v>
      </c>
      <c r="I786" s="11" t="e">
        <f>VLOOKUP(H786,合同高级查询数据!$A$2:$A$51,1,FALSE)</f>
        <v>#N/A</v>
      </c>
      <c r="J786" s="119" t="s">
        <v>36</v>
      </c>
      <c r="K786" s="281" t="s">
        <v>4336</v>
      </c>
      <c r="L786" s="282" t="s">
        <v>4342</v>
      </c>
      <c r="M786" s="123"/>
      <c r="N786" s="131" t="s">
        <v>4343</v>
      </c>
      <c r="O786" s="131" t="s">
        <v>4344</v>
      </c>
      <c r="P786" s="30">
        <v>6740</v>
      </c>
      <c r="Q786" s="23">
        <v>135.88999999999999</v>
      </c>
      <c r="R786" s="27">
        <f t="shared" si="48"/>
        <v>915898.6</v>
      </c>
      <c r="S786" s="286">
        <v>202306</v>
      </c>
      <c r="T786" s="246" t="s">
        <v>4346</v>
      </c>
      <c r="U786" s="292"/>
      <c r="V786" s="38">
        <v>135.88871765100001</v>
      </c>
      <c r="W786" s="293"/>
      <c r="X786" s="21">
        <v>44927</v>
      </c>
      <c r="Y786" s="21">
        <v>45107</v>
      </c>
      <c r="Z786" s="5" t="s">
        <v>4347</v>
      </c>
      <c r="AA786" s="45">
        <v>0.4</v>
      </c>
      <c r="AB786" s="46">
        <v>140</v>
      </c>
      <c r="AC786" s="46">
        <f t="shared" ref="AC786:AC793" si="50">AA786*AB786</f>
        <v>56</v>
      </c>
    </row>
    <row r="787" spans="1:29" s="2" customFormat="1" ht="15" customHeight="1">
      <c r="A787" s="9" t="s">
        <v>267</v>
      </c>
      <c r="B787" s="8" t="s">
        <v>4231</v>
      </c>
      <c r="C787" s="8" t="s">
        <v>2757</v>
      </c>
      <c r="D787" s="8" t="s">
        <v>3737</v>
      </c>
      <c r="E787" s="6" t="s">
        <v>4348</v>
      </c>
      <c r="F787" s="6" t="s">
        <v>4349</v>
      </c>
      <c r="G787" s="119" t="s">
        <v>34</v>
      </c>
      <c r="H787" s="119" t="s">
        <v>4350</v>
      </c>
      <c r="I787" s="11" t="e">
        <f>VLOOKUP(H787,合同高级查询数据!$A$2:$A$51,1,FALSE)</f>
        <v>#N/A</v>
      </c>
      <c r="J787" s="119" t="s">
        <v>36</v>
      </c>
      <c r="K787" s="281" t="s">
        <v>4332</v>
      </c>
      <c r="L787" s="282" t="s">
        <v>4351</v>
      </c>
      <c r="M787" s="123" t="s">
        <v>4352</v>
      </c>
      <c r="N787" s="131">
        <v>44841</v>
      </c>
      <c r="O787" s="131" t="s">
        <v>4116</v>
      </c>
      <c r="P787" s="30">
        <v>6740</v>
      </c>
      <c r="Q787" s="23">
        <v>159.66</v>
      </c>
      <c r="R787" s="27">
        <f t="shared" si="48"/>
        <v>1076108.3999999999</v>
      </c>
      <c r="S787" s="286">
        <v>202306</v>
      </c>
      <c r="T787" s="246" t="s">
        <v>4353</v>
      </c>
      <c r="U787" s="292"/>
      <c r="V787" s="38">
        <v>159.65872192399999</v>
      </c>
      <c r="W787" s="293"/>
      <c r="X787" s="176">
        <v>44927</v>
      </c>
      <c r="Y787" s="176">
        <v>45107</v>
      </c>
      <c r="Z787" s="5" t="s">
        <v>4354</v>
      </c>
      <c r="AA787" s="45">
        <v>0.4</v>
      </c>
      <c r="AB787" s="46">
        <v>300</v>
      </c>
      <c r="AC787" s="46">
        <f t="shared" si="50"/>
        <v>120</v>
      </c>
    </row>
    <row r="788" spans="1:29" s="2" customFormat="1" ht="15" customHeight="1">
      <c r="A788" s="9" t="s">
        <v>267</v>
      </c>
      <c r="B788" s="8" t="s">
        <v>4231</v>
      </c>
      <c r="C788" s="8" t="s">
        <v>2757</v>
      </c>
      <c r="D788" s="8" t="s">
        <v>3737</v>
      </c>
      <c r="E788" s="6" t="s">
        <v>4329</v>
      </c>
      <c r="F788" s="6" t="s">
        <v>4330</v>
      </c>
      <c r="G788" s="119" t="s">
        <v>34</v>
      </c>
      <c r="H788" s="119" t="s">
        <v>4355</v>
      </c>
      <c r="I788" s="11" t="e">
        <f>VLOOKUP(H788,合同高级查询数据!$A$2:$A$51,1,FALSE)</f>
        <v>#N/A</v>
      </c>
      <c r="J788" s="119" t="s">
        <v>1359</v>
      </c>
      <c r="K788" s="281" t="s">
        <v>4356</v>
      </c>
      <c r="L788" s="282" t="s">
        <v>4357</v>
      </c>
      <c r="M788" s="123"/>
      <c r="N788" s="131">
        <v>43815</v>
      </c>
      <c r="O788" s="131" t="s">
        <v>277</v>
      </c>
      <c r="P788" s="283" t="s">
        <v>4358</v>
      </c>
      <c r="Q788" s="23">
        <v>31.4</v>
      </c>
      <c r="R788" s="27">
        <f>ROUND(19500*Q788,2)</f>
        <v>612300</v>
      </c>
      <c r="S788" s="286">
        <v>202306</v>
      </c>
      <c r="T788" s="269" t="s">
        <v>4359</v>
      </c>
      <c r="U788" s="292"/>
      <c r="V788" s="38">
        <v>31.38565766532</v>
      </c>
      <c r="W788" s="293"/>
      <c r="X788" s="176">
        <v>43815</v>
      </c>
      <c r="Y788" s="176">
        <v>46006</v>
      </c>
      <c r="Z788" s="5" t="s">
        <v>4360</v>
      </c>
      <c r="AA788" s="45">
        <v>0.3</v>
      </c>
      <c r="AB788" s="46">
        <v>100</v>
      </c>
      <c r="AC788" s="46">
        <f t="shared" si="50"/>
        <v>30</v>
      </c>
    </row>
    <row r="789" spans="1:29" s="2" customFormat="1" ht="15" customHeight="1">
      <c r="A789" s="9" t="s">
        <v>267</v>
      </c>
      <c r="B789" s="8" t="s">
        <v>4231</v>
      </c>
      <c r="C789" s="8" t="s">
        <v>2757</v>
      </c>
      <c r="D789" s="8" t="s">
        <v>3737</v>
      </c>
      <c r="E789" s="6" t="s">
        <v>4329</v>
      </c>
      <c r="F789" s="6" t="s">
        <v>4330</v>
      </c>
      <c r="G789" s="119" t="s">
        <v>34</v>
      </c>
      <c r="H789" s="119" t="s">
        <v>4355</v>
      </c>
      <c r="I789" s="11" t="e">
        <f>VLOOKUP(H789,合同高级查询数据!$A$2:$A$51,1,FALSE)</f>
        <v>#N/A</v>
      </c>
      <c r="J789" s="119" t="s">
        <v>1359</v>
      </c>
      <c r="K789" s="281" t="s">
        <v>4361</v>
      </c>
      <c r="L789" s="282"/>
      <c r="M789" s="123"/>
      <c r="N789" s="131">
        <v>44873</v>
      </c>
      <c r="O789" s="131" t="s">
        <v>4362</v>
      </c>
      <c r="P789" s="283">
        <v>19500</v>
      </c>
      <c r="Q789" s="23">
        <v>1</v>
      </c>
      <c r="R789" s="27">
        <f t="shared" ref="R789:R805" si="51">ROUND(P789*Q789,2)</f>
        <v>19500</v>
      </c>
      <c r="S789" s="286">
        <v>202306</v>
      </c>
      <c r="T789" s="246" t="s">
        <v>4363</v>
      </c>
      <c r="U789" s="292"/>
      <c r="V789" s="38"/>
      <c r="W789" s="293"/>
      <c r="X789" s="176">
        <v>43815</v>
      </c>
      <c r="Y789" s="176">
        <v>46006</v>
      </c>
      <c r="Z789" s="5" t="s">
        <v>4364</v>
      </c>
      <c r="AA789" s="45">
        <v>0.3</v>
      </c>
      <c r="AB789" s="46">
        <v>1</v>
      </c>
      <c r="AC789" s="296">
        <f t="shared" si="50"/>
        <v>0.3</v>
      </c>
    </row>
    <row r="790" spans="1:29" s="2" customFormat="1" ht="15" customHeight="1">
      <c r="A790" s="9" t="s">
        <v>267</v>
      </c>
      <c r="B790" s="8" t="s">
        <v>4231</v>
      </c>
      <c r="C790" s="8" t="s">
        <v>2757</v>
      </c>
      <c r="D790" s="8" t="s">
        <v>3737</v>
      </c>
      <c r="E790" s="9" t="s">
        <v>4348</v>
      </c>
      <c r="F790" s="9" t="s">
        <v>4349</v>
      </c>
      <c r="G790" s="9" t="s">
        <v>34</v>
      </c>
      <c r="H790" s="119" t="s">
        <v>4350</v>
      </c>
      <c r="I790" s="11" t="e">
        <f>VLOOKUP(H790,合同高级查询数据!$A$2:$A$51,1,FALSE)</f>
        <v>#N/A</v>
      </c>
      <c r="J790" s="12" t="s">
        <v>36</v>
      </c>
      <c r="K790" s="9" t="s">
        <v>3083</v>
      </c>
      <c r="L790" s="15" t="s">
        <v>4365</v>
      </c>
      <c r="M790" s="16"/>
      <c r="N790" s="21">
        <v>43896</v>
      </c>
      <c r="O790" s="21" t="s">
        <v>277</v>
      </c>
      <c r="P790" s="30">
        <v>6740</v>
      </c>
      <c r="Q790" s="23">
        <v>0</v>
      </c>
      <c r="R790" s="30">
        <f t="shared" si="51"/>
        <v>0</v>
      </c>
      <c r="S790" s="28">
        <v>202306</v>
      </c>
      <c r="T790" s="246" t="s">
        <v>4366</v>
      </c>
      <c r="U790" s="31"/>
      <c r="V790" s="38">
        <v>0</v>
      </c>
      <c r="W790" s="39"/>
      <c r="X790" s="176">
        <v>44927</v>
      </c>
      <c r="Y790" s="176">
        <v>45107</v>
      </c>
      <c r="Z790" s="22" t="s">
        <v>4367</v>
      </c>
      <c r="AA790" s="45">
        <v>0.4</v>
      </c>
      <c r="AB790" s="46">
        <v>100</v>
      </c>
      <c r="AC790" s="46">
        <f t="shared" si="50"/>
        <v>40</v>
      </c>
    </row>
    <row r="791" spans="1:29" s="2" customFormat="1" ht="15" customHeight="1">
      <c r="A791" s="9" t="s">
        <v>267</v>
      </c>
      <c r="B791" s="8" t="s">
        <v>4231</v>
      </c>
      <c r="C791" s="8" t="s">
        <v>2757</v>
      </c>
      <c r="D791" s="8" t="s">
        <v>3737</v>
      </c>
      <c r="E791" s="9" t="s">
        <v>4348</v>
      </c>
      <c r="F791" s="9" t="s">
        <v>4349</v>
      </c>
      <c r="G791" s="9" t="s">
        <v>34</v>
      </c>
      <c r="H791" s="119" t="s">
        <v>4350</v>
      </c>
      <c r="I791" s="11" t="e">
        <f>VLOOKUP(H791,合同高级查询数据!$A$2:$A$51,1,FALSE)</f>
        <v>#N/A</v>
      </c>
      <c r="J791" s="12" t="s">
        <v>1359</v>
      </c>
      <c r="K791" s="9" t="s">
        <v>4368</v>
      </c>
      <c r="L791" s="15" t="s">
        <v>4369</v>
      </c>
      <c r="M791" s="16"/>
      <c r="N791" s="21" t="s">
        <v>4370</v>
      </c>
      <c r="O791" s="131" t="s">
        <v>4371</v>
      </c>
      <c r="P791" s="30">
        <v>6740</v>
      </c>
      <c r="Q791" s="23">
        <v>200</v>
      </c>
      <c r="R791" s="30">
        <f t="shared" si="51"/>
        <v>1348000</v>
      </c>
      <c r="S791" s="28">
        <v>202306</v>
      </c>
      <c r="T791" s="246" t="s">
        <v>4372</v>
      </c>
      <c r="U791" s="31"/>
      <c r="V791" s="38">
        <v>194.96489457600001</v>
      </c>
      <c r="W791" s="293"/>
      <c r="X791" s="176">
        <v>44927</v>
      </c>
      <c r="Y791" s="176">
        <v>45107</v>
      </c>
      <c r="Z791" s="22" t="s">
        <v>4373</v>
      </c>
      <c r="AA791" s="45">
        <v>0.4</v>
      </c>
      <c r="AB791" s="46">
        <v>400</v>
      </c>
      <c r="AC791" s="46">
        <f t="shared" si="50"/>
        <v>160</v>
      </c>
    </row>
    <row r="792" spans="1:29" s="3" customFormat="1" ht="15" customHeight="1">
      <c r="A792" s="49" t="s">
        <v>260</v>
      </c>
      <c r="B792" s="49" t="s">
        <v>3666</v>
      </c>
      <c r="C792" s="49" t="s">
        <v>2546</v>
      </c>
      <c r="D792" s="50" t="s">
        <v>3737</v>
      </c>
      <c r="E792" s="50" t="s">
        <v>4374</v>
      </c>
      <c r="F792" s="50" t="s">
        <v>4375</v>
      </c>
      <c r="G792" s="53" t="s">
        <v>34</v>
      </c>
      <c r="H792" s="51" t="s">
        <v>4376</v>
      </c>
      <c r="I792" s="53" t="e">
        <f>VLOOKUP(H792,合同高级查询数据!$A$2:$A$51,1,FALSE)</f>
        <v>#N/A</v>
      </c>
      <c r="J792" s="50" t="s">
        <v>36</v>
      </c>
      <c r="K792" s="52" t="s">
        <v>2561</v>
      </c>
      <c r="L792" s="54" t="s">
        <v>4375</v>
      </c>
      <c r="M792" s="55"/>
      <c r="N792" s="55">
        <v>43398</v>
      </c>
      <c r="O792" s="245" t="s">
        <v>222</v>
      </c>
      <c r="P792" s="142">
        <v>9600</v>
      </c>
      <c r="Q792" s="58">
        <v>8</v>
      </c>
      <c r="R792" s="57">
        <f t="shared" si="51"/>
        <v>76800</v>
      </c>
      <c r="S792" s="59">
        <v>202306</v>
      </c>
      <c r="T792" s="60" t="s">
        <v>4377</v>
      </c>
      <c r="U792" s="195"/>
      <c r="V792" s="62">
        <v>7.4294624330000003</v>
      </c>
      <c r="W792" s="255"/>
      <c r="X792" s="55">
        <v>44805</v>
      </c>
      <c r="Y792" s="245"/>
      <c r="Z792" s="201" t="s">
        <v>4378</v>
      </c>
      <c r="AA792" s="200">
        <v>0.4</v>
      </c>
      <c r="AB792" s="263">
        <v>20</v>
      </c>
      <c r="AC792" s="263">
        <f t="shared" si="50"/>
        <v>8</v>
      </c>
    </row>
    <row r="793" spans="1:29" s="3" customFormat="1" ht="15" customHeight="1">
      <c r="A793" s="49" t="s">
        <v>260</v>
      </c>
      <c r="B793" s="49" t="s">
        <v>3666</v>
      </c>
      <c r="C793" s="49" t="s">
        <v>2546</v>
      </c>
      <c r="D793" s="50" t="s">
        <v>3737</v>
      </c>
      <c r="E793" s="50" t="s">
        <v>4374</v>
      </c>
      <c r="F793" s="50" t="s">
        <v>4375</v>
      </c>
      <c r="G793" s="53" t="s">
        <v>34</v>
      </c>
      <c r="H793" s="51" t="s">
        <v>4376</v>
      </c>
      <c r="I793" s="53" t="e">
        <f>VLOOKUP(H793,合同高级查询数据!$A$2:$A$51,1,FALSE)</f>
        <v>#N/A</v>
      </c>
      <c r="J793" s="50" t="s">
        <v>36</v>
      </c>
      <c r="K793" s="52" t="s">
        <v>2561</v>
      </c>
      <c r="L793" s="54" t="s">
        <v>4379</v>
      </c>
      <c r="M793" s="55"/>
      <c r="N793" s="55" t="s">
        <v>4380</v>
      </c>
      <c r="O793" s="245" t="s">
        <v>1422</v>
      </c>
      <c r="P793" s="142">
        <v>9833</v>
      </c>
      <c r="Q793" s="58">
        <v>0</v>
      </c>
      <c r="R793" s="57">
        <f t="shared" si="51"/>
        <v>0</v>
      </c>
      <c r="S793" s="59">
        <v>202306</v>
      </c>
      <c r="T793" s="60" t="s">
        <v>4381</v>
      </c>
      <c r="U793" s="195"/>
      <c r="V793" s="62">
        <v>0</v>
      </c>
      <c r="W793" s="255"/>
      <c r="X793" s="55">
        <v>44805</v>
      </c>
      <c r="Y793" s="245"/>
      <c r="Z793" s="201" t="s">
        <v>4382</v>
      </c>
      <c r="AA793" s="200">
        <v>0.4</v>
      </c>
      <c r="AB793" s="263">
        <v>0</v>
      </c>
      <c r="AC793" s="263">
        <f t="shared" si="50"/>
        <v>0</v>
      </c>
    </row>
    <row r="794" spans="1:29" s="2" customFormat="1" ht="15" customHeight="1">
      <c r="A794" s="8" t="s">
        <v>212</v>
      </c>
      <c r="B794" s="8" t="s">
        <v>3666</v>
      </c>
      <c r="C794" s="8" t="s">
        <v>4383</v>
      </c>
      <c r="D794" s="9" t="s">
        <v>3737</v>
      </c>
      <c r="E794" s="9" t="s">
        <v>4384</v>
      </c>
      <c r="F794" s="9" t="s">
        <v>4385</v>
      </c>
      <c r="G794" s="11" t="s">
        <v>34</v>
      </c>
      <c r="H794" s="12" t="s">
        <v>4386</v>
      </c>
      <c r="I794" s="11" t="e">
        <f>VLOOKUP(H794,合同高级查询数据!$A$2:$A$51,1,FALSE)</f>
        <v>#N/A</v>
      </c>
      <c r="J794" s="9" t="s">
        <v>36</v>
      </c>
      <c r="K794" s="15" t="s">
        <v>4387</v>
      </c>
      <c r="L794" s="16" t="s">
        <v>4388</v>
      </c>
      <c r="M794" s="21"/>
      <c r="N794" s="21" t="s">
        <v>4389</v>
      </c>
      <c r="O794" s="22" t="s">
        <v>4390</v>
      </c>
      <c r="P794" s="23">
        <v>9000</v>
      </c>
      <c r="Q794" s="27">
        <v>0.7</v>
      </c>
      <c r="R794" s="30">
        <f t="shared" si="51"/>
        <v>6300</v>
      </c>
      <c r="S794" s="28">
        <v>202305</v>
      </c>
      <c r="T794" s="31" t="s">
        <v>4391</v>
      </c>
      <c r="U794" s="37"/>
      <c r="V794" s="22"/>
      <c r="W794" s="39"/>
      <c r="X794" s="21">
        <v>44256</v>
      </c>
      <c r="Y794" s="21">
        <v>45350</v>
      </c>
      <c r="Z794" s="44"/>
      <c r="AA794" s="45"/>
      <c r="AB794" s="46"/>
      <c r="AC794" s="46"/>
    </row>
    <row r="795" spans="1:29" s="2" customFormat="1" ht="15" customHeight="1">
      <c r="A795" s="8" t="s">
        <v>212</v>
      </c>
      <c r="B795" s="8" t="s">
        <v>3666</v>
      </c>
      <c r="C795" s="8" t="s">
        <v>4383</v>
      </c>
      <c r="D795" s="9" t="s">
        <v>3737</v>
      </c>
      <c r="E795" s="9" t="s">
        <v>4384</v>
      </c>
      <c r="F795" s="9" t="s">
        <v>4385</v>
      </c>
      <c r="G795" s="11" t="s">
        <v>34</v>
      </c>
      <c r="H795" s="12" t="s">
        <v>4386</v>
      </c>
      <c r="I795" s="11" t="e">
        <f>VLOOKUP(H795,合同高级查询数据!$A$2:$A$51,1,FALSE)</f>
        <v>#N/A</v>
      </c>
      <c r="J795" s="9" t="s">
        <v>36</v>
      </c>
      <c r="K795" s="15" t="s">
        <v>4387</v>
      </c>
      <c r="L795" s="16" t="s">
        <v>4388</v>
      </c>
      <c r="M795" s="21"/>
      <c r="N795" s="21" t="s">
        <v>4389</v>
      </c>
      <c r="O795" s="22" t="s">
        <v>4390</v>
      </c>
      <c r="P795" s="23">
        <v>9000</v>
      </c>
      <c r="Q795" s="27">
        <v>0.7</v>
      </c>
      <c r="R795" s="30">
        <f t="shared" si="51"/>
        <v>6300</v>
      </c>
      <c r="S795" s="28">
        <v>202303</v>
      </c>
      <c r="T795" s="31" t="s">
        <v>4392</v>
      </c>
      <c r="U795" s="37"/>
      <c r="V795" s="22"/>
      <c r="W795" s="39"/>
      <c r="X795" s="21">
        <v>44256</v>
      </c>
      <c r="Y795" s="21">
        <v>45350</v>
      </c>
      <c r="Z795" s="44"/>
      <c r="AA795" s="45"/>
      <c r="AB795" s="46"/>
      <c r="AC795" s="46"/>
    </row>
    <row r="796" spans="1:29" s="2" customFormat="1" ht="15" customHeight="1">
      <c r="A796" s="8" t="s">
        <v>212</v>
      </c>
      <c r="B796" s="8" t="s">
        <v>3666</v>
      </c>
      <c r="C796" s="8" t="s">
        <v>4383</v>
      </c>
      <c r="D796" s="9" t="s">
        <v>3737</v>
      </c>
      <c r="E796" s="9" t="s">
        <v>4384</v>
      </c>
      <c r="F796" s="9" t="s">
        <v>4385</v>
      </c>
      <c r="G796" s="11" t="s">
        <v>34</v>
      </c>
      <c r="H796" s="12" t="s">
        <v>4386</v>
      </c>
      <c r="I796" s="11" t="e">
        <f>VLOOKUP(H796,合同高级查询数据!$A$2:$A$51,1,FALSE)</f>
        <v>#N/A</v>
      </c>
      <c r="J796" s="9" t="s">
        <v>36</v>
      </c>
      <c r="K796" s="15" t="s">
        <v>4387</v>
      </c>
      <c r="L796" s="16" t="s">
        <v>4388</v>
      </c>
      <c r="M796" s="21"/>
      <c r="N796" s="21" t="s">
        <v>4389</v>
      </c>
      <c r="O796" s="22" t="s">
        <v>4390</v>
      </c>
      <c r="P796" s="23">
        <v>9000</v>
      </c>
      <c r="Q796" s="27">
        <v>0.6</v>
      </c>
      <c r="R796" s="30">
        <f t="shared" si="51"/>
        <v>5400</v>
      </c>
      <c r="S796" s="28">
        <v>202304</v>
      </c>
      <c r="T796" s="31" t="s">
        <v>4393</v>
      </c>
      <c r="U796" s="37"/>
      <c r="V796" s="22"/>
      <c r="W796" s="39"/>
      <c r="X796" s="21">
        <v>44256</v>
      </c>
      <c r="Y796" s="21">
        <v>45350</v>
      </c>
      <c r="Z796" s="44"/>
      <c r="AA796" s="45"/>
      <c r="AB796" s="46"/>
      <c r="AC796" s="46"/>
    </row>
    <row r="797" spans="1:29" s="2" customFormat="1" ht="15" customHeight="1">
      <c r="A797" s="8" t="s">
        <v>212</v>
      </c>
      <c r="B797" s="8" t="s">
        <v>3666</v>
      </c>
      <c r="C797" s="8" t="s">
        <v>4383</v>
      </c>
      <c r="D797" s="9" t="s">
        <v>3737</v>
      </c>
      <c r="E797" s="9" t="s">
        <v>4384</v>
      </c>
      <c r="F797" s="9" t="s">
        <v>4385</v>
      </c>
      <c r="G797" s="11" t="s">
        <v>34</v>
      </c>
      <c r="H797" s="12" t="s">
        <v>4386</v>
      </c>
      <c r="I797" s="11" t="e">
        <f>VLOOKUP(H797,合同高级查询数据!$A$2:$A$51,1,FALSE)</f>
        <v>#N/A</v>
      </c>
      <c r="J797" s="9" t="s">
        <v>36</v>
      </c>
      <c r="K797" s="15" t="s">
        <v>4387</v>
      </c>
      <c r="L797" s="16" t="s">
        <v>4388</v>
      </c>
      <c r="M797" s="21"/>
      <c r="N797" s="21" t="s">
        <v>4389</v>
      </c>
      <c r="O797" s="22" t="s">
        <v>4390</v>
      </c>
      <c r="P797" s="23">
        <v>9000</v>
      </c>
      <c r="Q797" s="27">
        <v>36</v>
      </c>
      <c r="R797" s="30">
        <f t="shared" si="51"/>
        <v>324000</v>
      </c>
      <c r="S797" s="28">
        <v>202306</v>
      </c>
      <c r="T797" s="31" t="s">
        <v>4394</v>
      </c>
      <c r="U797" s="37"/>
      <c r="V797" s="38">
        <v>34.54324295</v>
      </c>
      <c r="W797" s="39"/>
      <c r="X797" s="21">
        <v>44256</v>
      </c>
      <c r="Y797" s="21">
        <v>45350</v>
      </c>
      <c r="Z797" s="44" t="s">
        <v>4395</v>
      </c>
      <c r="AA797" s="45">
        <v>0.3</v>
      </c>
      <c r="AB797" s="46">
        <v>120</v>
      </c>
      <c r="AC797" s="46">
        <f t="shared" ref="AC797:AC803" si="52">AA797*AB797</f>
        <v>36</v>
      </c>
    </row>
    <row r="798" spans="1:29" s="3" customFormat="1" ht="15" customHeight="1">
      <c r="A798" s="49" t="s">
        <v>212</v>
      </c>
      <c r="B798" s="49" t="s">
        <v>3666</v>
      </c>
      <c r="C798" s="49" t="s">
        <v>4383</v>
      </c>
      <c r="D798" s="50" t="s">
        <v>3737</v>
      </c>
      <c r="E798" s="50" t="s">
        <v>4384</v>
      </c>
      <c r="F798" s="50" t="s">
        <v>4385</v>
      </c>
      <c r="G798" s="53" t="s">
        <v>34</v>
      </c>
      <c r="H798" s="51" t="s">
        <v>4396</v>
      </c>
      <c r="I798" s="53" t="e">
        <f>VLOOKUP(H798,合同高级查询数据!$A$2:$A$51,1,FALSE)</f>
        <v>#N/A</v>
      </c>
      <c r="J798" s="50" t="s">
        <v>36</v>
      </c>
      <c r="K798" s="52" t="s">
        <v>4397</v>
      </c>
      <c r="L798" s="54" t="s">
        <v>4398</v>
      </c>
      <c r="M798" s="55"/>
      <c r="N798" s="55">
        <v>44378</v>
      </c>
      <c r="O798" s="245" t="s">
        <v>1798</v>
      </c>
      <c r="P798" s="142">
        <v>9000</v>
      </c>
      <c r="Q798" s="58">
        <v>0</v>
      </c>
      <c r="R798" s="57">
        <f t="shared" si="51"/>
        <v>0</v>
      </c>
      <c r="S798" s="59">
        <v>202306</v>
      </c>
      <c r="T798" s="60" t="s">
        <v>4399</v>
      </c>
      <c r="U798" s="195"/>
      <c r="V798" s="62">
        <v>0</v>
      </c>
      <c r="W798" s="255"/>
      <c r="X798" s="55">
        <v>44378</v>
      </c>
      <c r="Y798" s="245"/>
      <c r="Z798" s="201" t="s">
        <v>4400</v>
      </c>
      <c r="AA798" s="200">
        <v>0</v>
      </c>
      <c r="AB798" s="263">
        <v>40</v>
      </c>
      <c r="AC798" s="263">
        <f t="shared" si="52"/>
        <v>0</v>
      </c>
    </row>
    <row r="799" spans="1:29" s="2" customFormat="1" ht="15" customHeight="1">
      <c r="A799" s="8" t="s">
        <v>212</v>
      </c>
      <c r="B799" s="8" t="s">
        <v>3666</v>
      </c>
      <c r="C799" s="8" t="s">
        <v>4383</v>
      </c>
      <c r="D799" s="9" t="s">
        <v>3737</v>
      </c>
      <c r="E799" s="9" t="s">
        <v>4384</v>
      </c>
      <c r="F799" s="9" t="s">
        <v>4385</v>
      </c>
      <c r="G799" s="11" t="s">
        <v>34</v>
      </c>
      <c r="H799" s="12" t="s">
        <v>4386</v>
      </c>
      <c r="I799" s="11" t="e">
        <f>VLOOKUP(H799,合同高级查询数据!$A$2:$A$51,1,FALSE)</f>
        <v>#N/A</v>
      </c>
      <c r="J799" s="9" t="s">
        <v>36</v>
      </c>
      <c r="K799" s="15" t="s">
        <v>4401</v>
      </c>
      <c r="L799" s="16" t="s">
        <v>4402</v>
      </c>
      <c r="M799" s="21"/>
      <c r="N799" s="21">
        <v>43003</v>
      </c>
      <c r="O799" s="22" t="s">
        <v>1798</v>
      </c>
      <c r="P799" s="23">
        <v>9000</v>
      </c>
      <c r="Q799" s="27">
        <v>0.2</v>
      </c>
      <c r="R799" s="30">
        <f t="shared" si="51"/>
        <v>1800</v>
      </c>
      <c r="S799" s="28">
        <v>202305</v>
      </c>
      <c r="T799" s="31" t="s">
        <v>4403</v>
      </c>
      <c r="U799" s="37"/>
      <c r="V799" s="38"/>
      <c r="W799" s="39"/>
      <c r="X799" s="21">
        <v>44256</v>
      </c>
      <c r="Y799" s="21">
        <v>45350</v>
      </c>
      <c r="Z799" s="44"/>
      <c r="AA799" s="45"/>
      <c r="AB799" s="46"/>
      <c r="AC799" s="46"/>
    </row>
    <row r="800" spans="1:29" s="2" customFormat="1" ht="15" customHeight="1">
      <c r="A800" s="8" t="s">
        <v>212</v>
      </c>
      <c r="B800" s="8" t="s">
        <v>3666</v>
      </c>
      <c r="C800" s="8" t="s">
        <v>4383</v>
      </c>
      <c r="D800" s="9" t="s">
        <v>3737</v>
      </c>
      <c r="E800" s="9" t="s">
        <v>4384</v>
      </c>
      <c r="F800" s="9" t="s">
        <v>4385</v>
      </c>
      <c r="G800" s="11" t="s">
        <v>34</v>
      </c>
      <c r="H800" s="12" t="s">
        <v>4386</v>
      </c>
      <c r="I800" s="11" t="e">
        <f>VLOOKUP(H800,合同高级查询数据!$A$2:$A$51,1,FALSE)</f>
        <v>#N/A</v>
      </c>
      <c r="J800" s="9" t="s">
        <v>36</v>
      </c>
      <c r="K800" s="15" t="s">
        <v>4401</v>
      </c>
      <c r="L800" s="16" t="s">
        <v>4402</v>
      </c>
      <c r="M800" s="21"/>
      <c r="N800" s="21">
        <v>43003</v>
      </c>
      <c r="O800" s="22" t="s">
        <v>1798</v>
      </c>
      <c r="P800" s="23">
        <v>9000</v>
      </c>
      <c r="Q800" s="27">
        <v>0.3</v>
      </c>
      <c r="R800" s="30">
        <f t="shared" si="51"/>
        <v>2700</v>
      </c>
      <c r="S800" s="28">
        <v>202303</v>
      </c>
      <c r="T800" s="31" t="s">
        <v>4404</v>
      </c>
      <c r="U800" s="37"/>
      <c r="V800" s="38"/>
      <c r="W800" s="39"/>
      <c r="X800" s="21">
        <v>44256</v>
      </c>
      <c r="Y800" s="21">
        <v>45350</v>
      </c>
      <c r="Z800" s="44"/>
      <c r="AA800" s="45"/>
      <c r="AB800" s="46"/>
      <c r="AC800" s="46"/>
    </row>
    <row r="801" spans="1:29" s="2" customFormat="1" ht="15" customHeight="1">
      <c r="A801" s="8" t="s">
        <v>212</v>
      </c>
      <c r="B801" s="8" t="s">
        <v>3666</v>
      </c>
      <c r="C801" s="8" t="s">
        <v>4383</v>
      </c>
      <c r="D801" s="9" t="s">
        <v>3737</v>
      </c>
      <c r="E801" s="9" t="s">
        <v>4384</v>
      </c>
      <c r="F801" s="9" t="s">
        <v>4385</v>
      </c>
      <c r="G801" s="11" t="s">
        <v>34</v>
      </c>
      <c r="H801" s="12" t="s">
        <v>4386</v>
      </c>
      <c r="I801" s="11" t="e">
        <f>VLOOKUP(H801,合同高级查询数据!$A$2:$A$51,1,FALSE)</f>
        <v>#N/A</v>
      </c>
      <c r="J801" s="9" t="s">
        <v>36</v>
      </c>
      <c r="K801" s="15" t="s">
        <v>4401</v>
      </c>
      <c r="L801" s="16" t="s">
        <v>4402</v>
      </c>
      <c r="M801" s="21"/>
      <c r="N801" s="21">
        <v>43003</v>
      </c>
      <c r="O801" s="22" t="s">
        <v>1798</v>
      </c>
      <c r="P801" s="23">
        <v>9000</v>
      </c>
      <c r="Q801" s="27">
        <v>0.2</v>
      </c>
      <c r="R801" s="30">
        <f t="shared" si="51"/>
        <v>1800</v>
      </c>
      <c r="S801" s="28">
        <v>202304</v>
      </c>
      <c r="T801" s="31" t="s">
        <v>4405</v>
      </c>
      <c r="U801" s="37"/>
      <c r="V801" s="38"/>
      <c r="W801" s="39"/>
      <c r="X801" s="21">
        <v>44256</v>
      </c>
      <c r="Y801" s="21">
        <v>45350</v>
      </c>
      <c r="Z801" s="44"/>
      <c r="AA801" s="45"/>
      <c r="AB801" s="46"/>
      <c r="AC801" s="46"/>
    </row>
    <row r="802" spans="1:29" s="2" customFormat="1" ht="15" customHeight="1">
      <c r="A802" s="8" t="s">
        <v>212</v>
      </c>
      <c r="B802" s="8" t="s">
        <v>3666</v>
      </c>
      <c r="C802" s="8" t="s">
        <v>4383</v>
      </c>
      <c r="D802" s="9" t="s">
        <v>3737</v>
      </c>
      <c r="E802" s="9" t="s">
        <v>4384</v>
      </c>
      <c r="F802" s="9" t="s">
        <v>4385</v>
      </c>
      <c r="G802" s="11" t="s">
        <v>34</v>
      </c>
      <c r="H802" s="12" t="s">
        <v>4386</v>
      </c>
      <c r="I802" s="11" t="e">
        <f>VLOOKUP(H802,合同高级查询数据!$A$2:$A$51,1,FALSE)</f>
        <v>#N/A</v>
      </c>
      <c r="J802" s="9" t="s">
        <v>36</v>
      </c>
      <c r="K802" s="15" t="s">
        <v>4401</v>
      </c>
      <c r="L802" s="16" t="s">
        <v>4402</v>
      </c>
      <c r="M802" s="21"/>
      <c r="N802" s="21">
        <v>43003</v>
      </c>
      <c r="O802" s="22" t="s">
        <v>1798</v>
      </c>
      <c r="P802" s="23">
        <v>9000</v>
      </c>
      <c r="Q802" s="27">
        <v>12</v>
      </c>
      <c r="R802" s="30">
        <f t="shared" si="51"/>
        <v>108000</v>
      </c>
      <c r="S802" s="28">
        <v>202306</v>
      </c>
      <c r="T802" s="31" t="s">
        <v>4406</v>
      </c>
      <c r="U802" s="37"/>
      <c r="V802" s="38">
        <v>10.776041031</v>
      </c>
      <c r="W802" s="39"/>
      <c r="X802" s="21">
        <v>44256</v>
      </c>
      <c r="Y802" s="21">
        <v>45350</v>
      </c>
      <c r="Z802" s="44" t="s">
        <v>4407</v>
      </c>
      <c r="AA802" s="45">
        <v>0.3</v>
      </c>
      <c r="AB802" s="46">
        <v>40</v>
      </c>
      <c r="AC802" s="46">
        <f t="shared" si="52"/>
        <v>12</v>
      </c>
    </row>
    <row r="803" spans="1:29" s="2" customFormat="1" ht="15" customHeight="1">
      <c r="A803" s="8" t="s">
        <v>212</v>
      </c>
      <c r="B803" s="8" t="s">
        <v>3666</v>
      </c>
      <c r="C803" s="8" t="s">
        <v>4383</v>
      </c>
      <c r="D803" s="9" t="s">
        <v>3737</v>
      </c>
      <c r="E803" s="9" t="s">
        <v>4384</v>
      </c>
      <c r="F803" s="9" t="s">
        <v>4385</v>
      </c>
      <c r="G803" s="11" t="s">
        <v>34</v>
      </c>
      <c r="H803" s="12" t="s">
        <v>4386</v>
      </c>
      <c r="I803" s="11" t="e">
        <f>VLOOKUP(H803,合同高级查询数据!$A$2:$A$51,1,FALSE)</f>
        <v>#N/A</v>
      </c>
      <c r="J803" s="9" t="s">
        <v>36</v>
      </c>
      <c r="K803" s="15" t="s">
        <v>4408</v>
      </c>
      <c r="L803" s="16" t="s">
        <v>4385</v>
      </c>
      <c r="M803" s="21"/>
      <c r="N803" s="21">
        <v>43047</v>
      </c>
      <c r="O803" s="22">
        <v>0</v>
      </c>
      <c r="P803" s="23">
        <v>9000</v>
      </c>
      <c r="Q803" s="27">
        <v>0</v>
      </c>
      <c r="R803" s="30">
        <f t="shared" si="51"/>
        <v>0</v>
      </c>
      <c r="S803" s="28">
        <v>202306</v>
      </c>
      <c r="T803" s="31" t="s">
        <v>4409</v>
      </c>
      <c r="U803" s="37"/>
      <c r="V803" s="38">
        <v>0</v>
      </c>
      <c r="W803" s="39"/>
      <c r="X803" s="21">
        <v>44256</v>
      </c>
      <c r="Y803" s="21">
        <v>45350</v>
      </c>
      <c r="Z803" s="44" t="s">
        <v>4410</v>
      </c>
      <c r="AA803" s="45">
        <v>0.3</v>
      </c>
      <c r="AB803" s="46">
        <v>0</v>
      </c>
      <c r="AC803" s="46">
        <f t="shared" si="52"/>
        <v>0</v>
      </c>
    </row>
    <row r="804" spans="1:29" s="2" customFormat="1" ht="15" customHeight="1">
      <c r="A804" s="8" t="s">
        <v>212</v>
      </c>
      <c r="B804" s="8" t="s">
        <v>3666</v>
      </c>
      <c r="C804" s="8" t="s">
        <v>4383</v>
      </c>
      <c r="D804" s="9" t="s">
        <v>3737</v>
      </c>
      <c r="E804" s="9" t="s">
        <v>4411</v>
      </c>
      <c r="F804" s="9" t="s">
        <v>4412</v>
      </c>
      <c r="G804" s="11" t="s">
        <v>34</v>
      </c>
      <c r="H804" s="12" t="s">
        <v>4413</v>
      </c>
      <c r="I804" s="11" t="e">
        <f>VLOOKUP(H804,合同高级查询数据!$A$2:$A$51,1,FALSE)</f>
        <v>#N/A</v>
      </c>
      <c r="J804" s="9" t="s">
        <v>36</v>
      </c>
      <c r="K804" s="15" t="s">
        <v>2359</v>
      </c>
      <c r="L804" s="16" t="s">
        <v>4414</v>
      </c>
      <c r="M804" s="21"/>
      <c r="N804" s="21">
        <v>43344</v>
      </c>
      <c r="O804" s="22" t="s">
        <v>670</v>
      </c>
      <c r="P804" s="23">
        <v>9000</v>
      </c>
      <c r="Q804" s="27">
        <v>89.3</v>
      </c>
      <c r="R804" s="30">
        <f t="shared" si="51"/>
        <v>803700</v>
      </c>
      <c r="S804" s="28">
        <v>202112</v>
      </c>
      <c r="T804" s="31" t="s">
        <v>4415</v>
      </c>
      <c r="U804" s="37"/>
      <c r="V804" s="38"/>
      <c r="W804" s="39"/>
      <c r="X804" s="21">
        <v>44531</v>
      </c>
      <c r="Y804" s="21">
        <v>44895</v>
      </c>
      <c r="Z804" s="44" t="s">
        <v>4416</v>
      </c>
      <c r="AA804" s="45"/>
      <c r="AB804" s="46"/>
      <c r="AC804" s="46"/>
    </row>
    <row r="805" spans="1:29" s="3" customFormat="1" ht="15" customHeight="1">
      <c r="A805" s="49" t="s">
        <v>212</v>
      </c>
      <c r="B805" s="49" t="s">
        <v>3666</v>
      </c>
      <c r="C805" s="49" t="s">
        <v>4383</v>
      </c>
      <c r="D805" s="50" t="s">
        <v>3737</v>
      </c>
      <c r="E805" s="50" t="s">
        <v>4384</v>
      </c>
      <c r="F805" s="50" t="s">
        <v>4385</v>
      </c>
      <c r="G805" s="53" t="s">
        <v>34</v>
      </c>
      <c r="H805" s="51" t="s">
        <v>4417</v>
      </c>
      <c r="I805" s="53" t="e">
        <f>VLOOKUP(H805,合同高级查询数据!$A$2:$A$51,1,FALSE)</f>
        <v>#N/A</v>
      </c>
      <c r="J805" s="50" t="s">
        <v>36</v>
      </c>
      <c r="K805" s="52" t="s">
        <v>2359</v>
      </c>
      <c r="L805" s="54" t="s">
        <v>2360</v>
      </c>
      <c r="M805" s="55"/>
      <c r="N805" s="55">
        <v>45078</v>
      </c>
      <c r="O805" s="245" t="s">
        <v>1798</v>
      </c>
      <c r="P805" s="142">
        <v>0</v>
      </c>
      <c r="Q805" s="58">
        <v>0</v>
      </c>
      <c r="R805" s="57">
        <f t="shared" si="51"/>
        <v>0</v>
      </c>
      <c r="S805" s="59">
        <v>202306</v>
      </c>
      <c r="T805" s="60" t="s">
        <v>4418</v>
      </c>
      <c r="U805" s="195"/>
      <c r="V805" s="62">
        <v>47.398582458</v>
      </c>
      <c r="W805" s="255"/>
      <c r="X805" s="55"/>
      <c r="Y805" s="55"/>
      <c r="Z805" s="201" t="s">
        <v>2365</v>
      </c>
      <c r="AA805" s="200">
        <v>0.3</v>
      </c>
      <c r="AB805" s="263">
        <v>40</v>
      </c>
      <c r="AC805" s="263">
        <f t="shared" ref="AC805" si="53">AA805*AB805</f>
        <v>12</v>
      </c>
    </row>
    <row r="806" spans="1:29" s="3" customFormat="1" ht="15" customHeight="1">
      <c r="A806" s="49" t="s">
        <v>212</v>
      </c>
      <c r="B806" s="49" t="s">
        <v>3666</v>
      </c>
      <c r="C806" s="49" t="s">
        <v>2546</v>
      </c>
      <c r="D806" s="50" t="s">
        <v>3737</v>
      </c>
      <c r="E806" s="50" t="s">
        <v>4419</v>
      </c>
      <c r="F806" s="50" t="s">
        <v>4420</v>
      </c>
      <c r="G806" s="53" t="s">
        <v>34</v>
      </c>
      <c r="H806" s="51" t="s">
        <v>4421</v>
      </c>
      <c r="I806" s="53" t="e">
        <f>VLOOKUP(H806,合同高级查询数据!$A$2:$A$51,1,FALSE)</f>
        <v>#N/A</v>
      </c>
      <c r="J806" s="50" t="s">
        <v>36</v>
      </c>
      <c r="K806" s="52" t="s">
        <v>2561</v>
      </c>
      <c r="L806" s="54" t="s">
        <v>4422</v>
      </c>
      <c r="M806" s="55"/>
      <c r="N806" s="55">
        <v>43444</v>
      </c>
      <c r="O806" s="245" t="s">
        <v>1798</v>
      </c>
      <c r="P806" s="142">
        <v>9500</v>
      </c>
      <c r="Q806" s="58">
        <v>0.08</v>
      </c>
      <c r="R806" s="57">
        <f t="shared" ref="R806:R808" si="54">ROUND(P806*Q806,2)</f>
        <v>760</v>
      </c>
      <c r="S806" s="59">
        <v>202305</v>
      </c>
      <c r="T806" s="60" t="s">
        <v>4423</v>
      </c>
      <c r="U806" s="195"/>
      <c r="V806" s="245"/>
      <c r="W806" s="255"/>
      <c r="X806" s="55"/>
      <c r="Y806" s="245"/>
      <c r="Z806" s="201"/>
      <c r="AA806" s="200"/>
      <c r="AB806" s="263"/>
      <c r="AC806" s="263"/>
    </row>
    <row r="807" spans="1:29" s="3" customFormat="1" ht="15" customHeight="1">
      <c r="A807" s="49" t="s">
        <v>212</v>
      </c>
      <c r="B807" s="49" t="s">
        <v>3666</v>
      </c>
      <c r="C807" s="49" t="s">
        <v>2546</v>
      </c>
      <c r="D807" s="50" t="s">
        <v>3737</v>
      </c>
      <c r="E807" s="50" t="s">
        <v>4419</v>
      </c>
      <c r="F807" s="50" t="s">
        <v>4420</v>
      </c>
      <c r="G807" s="53" t="s">
        <v>34</v>
      </c>
      <c r="H807" s="51" t="s">
        <v>4421</v>
      </c>
      <c r="I807" s="53" t="e">
        <f>VLOOKUP(H807,合同高级查询数据!$A$2:$A$51,1,FALSE)</f>
        <v>#N/A</v>
      </c>
      <c r="J807" s="50" t="s">
        <v>36</v>
      </c>
      <c r="K807" s="52" t="s">
        <v>2561</v>
      </c>
      <c r="L807" s="54" t="s">
        <v>4422</v>
      </c>
      <c r="M807" s="55"/>
      <c r="N807" s="55">
        <v>43444</v>
      </c>
      <c r="O807" s="245" t="s">
        <v>1798</v>
      </c>
      <c r="P807" s="142">
        <v>9500</v>
      </c>
      <c r="Q807" s="58">
        <v>12</v>
      </c>
      <c r="R807" s="57">
        <f t="shared" si="54"/>
        <v>114000</v>
      </c>
      <c r="S807" s="59">
        <v>202306</v>
      </c>
      <c r="T807" s="60" t="s">
        <v>4424</v>
      </c>
      <c r="U807" s="195"/>
      <c r="V807" s="62">
        <v>11.07982088</v>
      </c>
      <c r="W807" s="255"/>
      <c r="X807" s="55">
        <v>44896</v>
      </c>
      <c r="Y807" s="245"/>
      <c r="Z807" s="201" t="s">
        <v>4425</v>
      </c>
      <c r="AA807" s="200">
        <v>0.3</v>
      </c>
      <c r="AB807" s="263">
        <v>40</v>
      </c>
      <c r="AC807" s="263">
        <f t="shared" ref="AC807" si="55">AA807*AB807</f>
        <v>12</v>
      </c>
    </row>
    <row r="808" spans="1:29" s="73" customFormat="1" ht="14.5" customHeight="1">
      <c r="A808" s="49" t="s">
        <v>212</v>
      </c>
      <c r="B808" s="49" t="s">
        <v>3666</v>
      </c>
      <c r="C808" s="49" t="s">
        <v>2546</v>
      </c>
      <c r="D808" s="280" t="s">
        <v>3737</v>
      </c>
      <c r="E808" s="143" t="s">
        <v>4419</v>
      </c>
      <c r="F808" s="50" t="s">
        <v>4420</v>
      </c>
      <c r="G808" s="53" t="s">
        <v>34</v>
      </c>
      <c r="H808" s="51" t="s">
        <v>4421</v>
      </c>
      <c r="I808" s="53" t="e">
        <f>VLOOKUP(H808,合同高级查询数据!$A$2:$A$51,1,FALSE)</f>
        <v>#N/A</v>
      </c>
      <c r="J808" s="50" t="s">
        <v>36</v>
      </c>
      <c r="K808" s="52" t="s">
        <v>2561</v>
      </c>
      <c r="L808" s="54" t="s">
        <v>4422</v>
      </c>
      <c r="M808" s="55"/>
      <c r="N808" s="100">
        <v>43444</v>
      </c>
      <c r="O808" s="245" t="s">
        <v>1798</v>
      </c>
      <c r="P808" s="284">
        <v>9500</v>
      </c>
      <c r="Q808" s="287">
        <v>5.5E-2</v>
      </c>
      <c r="R808" s="288">
        <f t="shared" si="54"/>
        <v>522.5</v>
      </c>
      <c r="S808" s="289">
        <v>202304</v>
      </c>
      <c r="T808" s="290" t="s">
        <v>4426</v>
      </c>
      <c r="U808" s="196"/>
      <c r="V808" s="245"/>
      <c r="W808" s="245"/>
      <c r="X808" s="55"/>
      <c r="Y808" s="294"/>
    </row>
    <row r="809" spans="1:29" s="2" customFormat="1" ht="15" customHeight="1">
      <c r="A809" s="8" t="s">
        <v>267</v>
      </c>
      <c r="B809" s="8" t="s">
        <v>3666</v>
      </c>
      <c r="C809" s="8" t="s">
        <v>4383</v>
      </c>
      <c r="D809" s="9" t="s">
        <v>3737</v>
      </c>
      <c r="E809" s="9" t="s">
        <v>4427</v>
      </c>
      <c r="F809" s="9" t="s">
        <v>4428</v>
      </c>
      <c r="G809" s="11" t="s">
        <v>34</v>
      </c>
      <c r="H809" s="12" t="s">
        <v>4429</v>
      </c>
      <c r="I809" s="11" t="e">
        <f>VLOOKUP(H809,合同高级查询数据!$A$2:$A$51,1,FALSE)</f>
        <v>#N/A</v>
      </c>
      <c r="J809" s="9" t="s">
        <v>36</v>
      </c>
      <c r="K809" s="15" t="s">
        <v>4430</v>
      </c>
      <c r="L809" s="16" t="s">
        <v>4431</v>
      </c>
      <c r="M809" s="21"/>
      <c r="N809" s="21" t="s">
        <v>4432</v>
      </c>
      <c r="O809" s="22" t="s">
        <v>1807</v>
      </c>
      <c r="P809" s="23">
        <v>6740</v>
      </c>
      <c r="Q809" s="27">
        <v>0.26</v>
      </c>
      <c r="R809" s="30">
        <f t="shared" ref="R809:R842" si="56">ROUND(P809*Q809,2)</f>
        <v>1752.4</v>
      </c>
      <c r="S809" s="28">
        <v>202305</v>
      </c>
      <c r="T809" s="31" t="s">
        <v>4433</v>
      </c>
      <c r="U809" s="37"/>
      <c r="V809" s="22"/>
      <c r="W809" s="39"/>
      <c r="X809" s="21">
        <v>44927</v>
      </c>
      <c r="Y809" s="21">
        <v>45107</v>
      </c>
      <c r="Z809" s="44"/>
      <c r="AA809" s="45"/>
      <c r="AB809" s="46"/>
      <c r="AC809" s="46"/>
    </row>
    <row r="810" spans="1:29" s="2" customFormat="1" ht="15" customHeight="1">
      <c r="A810" s="8" t="s">
        <v>267</v>
      </c>
      <c r="B810" s="8" t="s">
        <v>3666</v>
      </c>
      <c r="C810" s="8" t="s">
        <v>4383</v>
      </c>
      <c r="D810" s="9" t="s">
        <v>3737</v>
      </c>
      <c r="E810" s="9" t="s">
        <v>4427</v>
      </c>
      <c r="F810" s="9" t="s">
        <v>4428</v>
      </c>
      <c r="G810" s="11" t="s">
        <v>34</v>
      </c>
      <c r="H810" s="12" t="s">
        <v>4429</v>
      </c>
      <c r="I810" s="11" t="e">
        <f>VLOOKUP(H810,合同高级查询数据!$A$2:$A$51,1,FALSE)</f>
        <v>#N/A</v>
      </c>
      <c r="J810" s="9" t="s">
        <v>36</v>
      </c>
      <c r="K810" s="15" t="s">
        <v>4430</v>
      </c>
      <c r="L810" s="16" t="s">
        <v>4431</v>
      </c>
      <c r="M810" s="21"/>
      <c r="N810" s="21" t="s">
        <v>4432</v>
      </c>
      <c r="O810" s="22" t="s">
        <v>1807</v>
      </c>
      <c r="P810" s="23">
        <v>6740</v>
      </c>
      <c r="Q810" s="27">
        <v>48.3</v>
      </c>
      <c r="R810" s="30">
        <f t="shared" si="56"/>
        <v>325542</v>
      </c>
      <c r="S810" s="28">
        <v>202306</v>
      </c>
      <c r="T810" s="31" t="s">
        <v>4434</v>
      </c>
      <c r="U810" s="37"/>
      <c r="V810" s="38">
        <v>48.295314789000003</v>
      </c>
      <c r="W810" s="39"/>
      <c r="X810" s="21">
        <v>44927</v>
      </c>
      <c r="Y810" s="21">
        <v>45107</v>
      </c>
      <c r="Z810" s="44" t="s">
        <v>4435</v>
      </c>
      <c r="AA810" s="45">
        <v>0.4</v>
      </c>
      <c r="AB810" s="46">
        <v>120</v>
      </c>
      <c r="AC810" s="46">
        <f t="shared" ref="AC810" si="57">AA810*AB810</f>
        <v>48</v>
      </c>
    </row>
    <row r="811" spans="1:29" s="2" customFormat="1" ht="15" customHeight="1">
      <c r="A811" s="8" t="s">
        <v>267</v>
      </c>
      <c r="B811" s="8" t="s">
        <v>3666</v>
      </c>
      <c r="C811" s="8" t="s">
        <v>2546</v>
      </c>
      <c r="D811" s="9" t="s">
        <v>3737</v>
      </c>
      <c r="E811" s="9" t="s">
        <v>4436</v>
      </c>
      <c r="F811" s="9" t="s">
        <v>4437</v>
      </c>
      <c r="G811" s="11" t="s">
        <v>34</v>
      </c>
      <c r="H811" s="12" t="s">
        <v>4438</v>
      </c>
      <c r="I811" s="11" t="e">
        <f>VLOOKUP(H811,合同高级查询数据!$A$2:$A$51,1,FALSE)</f>
        <v>#N/A</v>
      </c>
      <c r="J811" s="9" t="s">
        <v>36</v>
      </c>
      <c r="K811" s="15" t="s">
        <v>4439</v>
      </c>
      <c r="L811" s="16" t="s">
        <v>4440</v>
      </c>
      <c r="M811" s="21"/>
      <c r="N811" s="21" t="s">
        <v>4441</v>
      </c>
      <c r="O811" s="22" t="s">
        <v>4442</v>
      </c>
      <c r="P811" s="23">
        <v>6740</v>
      </c>
      <c r="Q811" s="27">
        <v>0.23</v>
      </c>
      <c r="R811" s="30">
        <f t="shared" si="56"/>
        <v>1550.2</v>
      </c>
      <c r="S811" s="28">
        <v>202301</v>
      </c>
      <c r="T811" s="31" t="s">
        <v>4443</v>
      </c>
      <c r="U811" s="37"/>
      <c r="V811" s="22"/>
      <c r="W811" s="39"/>
      <c r="X811" s="21">
        <v>44927</v>
      </c>
      <c r="Y811" s="21">
        <v>45107</v>
      </c>
      <c r="Z811" s="44"/>
      <c r="AA811" s="45"/>
      <c r="AB811" s="46"/>
      <c r="AC811" s="46"/>
    </row>
    <row r="812" spans="1:29" s="2" customFormat="1" ht="15" customHeight="1">
      <c r="A812" s="8" t="s">
        <v>267</v>
      </c>
      <c r="B812" s="8" t="s">
        <v>3666</v>
      </c>
      <c r="C812" s="8" t="s">
        <v>2546</v>
      </c>
      <c r="D812" s="9" t="s">
        <v>3737</v>
      </c>
      <c r="E812" s="9" t="s">
        <v>4436</v>
      </c>
      <c r="F812" s="9" t="s">
        <v>4437</v>
      </c>
      <c r="G812" s="11" t="s">
        <v>34</v>
      </c>
      <c r="H812" s="12" t="s">
        <v>4438</v>
      </c>
      <c r="I812" s="11" t="e">
        <f>VLOOKUP(H812,合同高级查询数据!$A$2:$A$51,1,FALSE)</f>
        <v>#N/A</v>
      </c>
      <c r="J812" s="9" t="s">
        <v>36</v>
      </c>
      <c r="K812" s="15" t="s">
        <v>4439</v>
      </c>
      <c r="L812" s="16" t="s">
        <v>4440</v>
      </c>
      <c r="M812" s="21"/>
      <c r="N812" s="21" t="s">
        <v>4441</v>
      </c>
      <c r="O812" s="22" t="s">
        <v>4442</v>
      </c>
      <c r="P812" s="23">
        <v>6740</v>
      </c>
      <c r="Q812" s="27">
        <v>0.28000000000000003</v>
      </c>
      <c r="R812" s="30">
        <f t="shared" si="56"/>
        <v>1887.2</v>
      </c>
      <c r="S812" s="28">
        <v>202303</v>
      </c>
      <c r="T812" s="31" t="s">
        <v>4444</v>
      </c>
      <c r="U812" s="37"/>
      <c r="V812" s="22"/>
      <c r="W812" s="39"/>
      <c r="X812" s="21">
        <v>44927</v>
      </c>
      <c r="Y812" s="21">
        <v>45107</v>
      </c>
      <c r="Z812" s="44"/>
      <c r="AA812" s="45"/>
      <c r="AB812" s="46"/>
      <c r="AC812" s="46"/>
    </row>
    <row r="813" spans="1:29" s="2" customFormat="1" ht="15" customHeight="1">
      <c r="A813" s="8" t="s">
        <v>267</v>
      </c>
      <c r="B813" s="8" t="s">
        <v>3666</v>
      </c>
      <c r="C813" s="8" t="s">
        <v>2546</v>
      </c>
      <c r="D813" s="9" t="s">
        <v>3737</v>
      </c>
      <c r="E813" s="9" t="s">
        <v>4436</v>
      </c>
      <c r="F813" s="9" t="s">
        <v>4437</v>
      </c>
      <c r="G813" s="11" t="s">
        <v>34</v>
      </c>
      <c r="H813" s="12" t="s">
        <v>4438</v>
      </c>
      <c r="I813" s="11" t="e">
        <f>VLOOKUP(H813,合同高级查询数据!$A$2:$A$51,1,FALSE)</f>
        <v>#N/A</v>
      </c>
      <c r="J813" s="9" t="s">
        <v>36</v>
      </c>
      <c r="K813" s="15" t="s">
        <v>4439</v>
      </c>
      <c r="L813" s="16" t="s">
        <v>4440</v>
      </c>
      <c r="M813" s="21"/>
      <c r="N813" s="21" t="s">
        <v>4441</v>
      </c>
      <c r="O813" s="22" t="s">
        <v>4442</v>
      </c>
      <c r="P813" s="23">
        <v>6740</v>
      </c>
      <c r="Q813" s="27">
        <v>0.32</v>
      </c>
      <c r="R813" s="30">
        <f t="shared" si="56"/>
        <v>2156.8000000000002</v>
      </c>
      <c r="S813" s="28">
        <v>202304</v>
      </c>
      <c r="T813" s="31" t="s">
        <v>4445</v>
      </c>
      <c r="U813" s="37"/>
      <c r="V813" s="22"/>
      <c r="W813" s="39"/>
      <c r="X813" s="21">
        <v>44927</v>
      </c>
      <c r="Y813" s="21">
        <v>45107</v>
      </c>
      <c r="Z813" s="44"/>
      <c r="AA813" s="45"/>
      <c r="AB813" s="46"/>
      <c r="AC813" s="46"/>
    </row>
    <row r="814" spans="1:29" s="2" customFormat="1" ht="15" customHeight="1">
      <c r="A814" s="8" t="s">
        <v>267</v>
      </c>
      <c r="B814" s="8" t="s">
        <v>3666</v>
      </c>
      <c r="C814" s="8" t="s">
        <v>2546</v>
      </c>
      <c r="D814" s="9" t="s">
        <v>3737</v>
      </c>
      <c r="E814" s="9" t="s">
        <v>4436</v>
      </c>
      <c r="F814" s="9" t="s">
        <v>4437</v>
      </c>
      <c r="G814" s="11" t="s">
        <v>34</v>
      </c>
      <c r="H814" s="12" t="s">
        <v>4438</v>
      </c>
      <c r="I814" s="11" t="e">
        <f>VLOOKUP(H814,合同高级查询数据!$A$2:$A$51,1,FALSE)</f>
        <v>#N/A</v>
      </c>
      <c r="J814" s="9" t="s">
        <v>36</v>
      </c>
      <c r="K814" s="15" t="s">
        <v>4439</v>
      </c>
      <c r="L814" s="16" t="s">
        <v>4440</v>
      </c>
      <c r="M814" s="21"/>
      <c r="N814" s="21" t="s">
        <v>4441</v>
      </c>
      <c r="O814" s="22" t="s">
        <v>4442</v>
      </c>
      <c r="P814" s="23">
        <v>6740</v>
      </c>
      <c r="Q814" s="27">
        <v>32</v>
      </c>
      <c r="R814" s="30">
        <f t="shared" si="56"/>
        <v>215680</v>
      </c>
      <c r="S814" s="28">
        <v>202306</v>
      </c>
      <c r="T814" s="31" t="s">
        <v>4446</v>
      </c>
      <c r="U814" s="37"/>
      <c r="V814" s="38">
        <v>26.484275818</v>
      </c>
      <c r="W814" s="39"/>
      <c r="X814" s="21">
        <v>44927</v>
      </c>
      <c r="Y814" s="21">
        <v>45107</v>
      </c>
      <c r="Z814" s="44" t="s">
        <v>4447</v>
      </c>
      <c r="AA814" s="45">
        <v>0.4</v>
      </c>
      <c r="AB814" s="46">
        <v>80</v>
      </c>
      <c r="AC814" s="46">
        <f t="shared" ref="AC814:AC819" si="58">AA814*AB814</f>
        <v>32</v>
      </c>
    </row>
    <row r="815" spans="1:29" s="2" customFormat="1" ht="15" customHeight="1">
      <c r="A815" s="8" t="s">
        <v>260</v>
      </c>
      <c r="B815" s="8" t="s">
        <v>3666</v>
      </c>
      <c r="C815" s="9" t="s">
        <v>1747</v>
      </c>
      <c r="D815" s="9" t="s">
        <v>3667</v>
      </c>
      <c r="E815" s="9" t="s">
        <v>4448</v>
      </c>
      <c r="F815" s="11" t="s">
        <v>4449</v>
      </c>
      <c r="G815" s="12" t="s">
        <v>34</v>
      </c>
      <c r="H815" s="9" t="s">
        <v>4450</v>
      </c>
      <c r="I815" s="11" t="e">
        <f>VLOOKUP(H815,合同高级查询数据!$A$2:$A$51,1,FALSE)</f>
        <v>#N/A</v>
      </c>
      <c r="J815" s="15" t="s">
        <v>36</v>
      </c>
      <c r="K815" s="16" t="s">
        <v>4449</v>
      </c>
      <c r="L815" s="21" t="s">
        <v>4451</v>
      </c>
      <c r="M815" s="21"/>
      <c r="N815" s="21">
        <v>43688</v>
      </c>
      <c r="O815" s="285" t="s">
        <v>1798</v>
      </c>
      <c r="P815" s="27">
        <v>5000</v>
      </c>
      <c r="Q815" s="30">
        <v>12</v>
      </c>
      <c r="R815" s="27">
        <f t="shared" si="56"/>
        <v>60000</v>
      </c>
      <c r="S815" s="28">
        <v>202306</v>
      </c>
      <c r="T815" s="31" t="s">
        <v>4452</v>
      </c>
      <c r="U815" s="274"/>
      <c r="V815" s="38">
        <v>11.090823174000001</v>
      </c>
      <c r="W815" s="39"/>
      <c r="X815" s="21">
        <v>43678</v>
      </c>
      <c r="Y815" s="21">
        <v>45138</v>
      </c>
      <c r="Z815" s="44" t="s">
        <v>4453</v>
      </c>
      <c r="AA815" s="45">
        <v>0.3</v>
      </c>
      <c r="AB815" s="46">
        <v>40</v>
      </c>
      <c r="AC815" s="46">
        <f t="shared" si="58"/>
        <v>12</v>
      </c>
    </row>
    <row r="816" spans="1:29" s="2" customFormat="1" ht="15" customHeight="1">
      <c r="A816" s="8" t="s">
        <v>260</v>
      </c>
      <c r="B816" s="8" t="s">
        <v>3666</v>
      </c>
      <c r="C816" s="9" t="s">
        <v>1747</v>
      </c>
      <c r="D816" s="9" t="s">
        <v>3667</v>
      </c>
      <c r="E816" s="9" t="s">
        <v>4454</v>
      </c>
      <c r="F816" s="11" t="s">
        <v>4455</v>
      </c>
      <c r="G816" s="12" t="s">
        <v>34</v>
      </c>
      <c r="H816" s="9" t="s">
        <v>4456</v>
      </c>
      <c r="I816" s="11" t="str">
        <f>VLOOKUP(H816,合同高级查询数据!$A$2:$A$51,1,FALSE)</f>
        <v>182315IDC00219</v>
      </c>
      <c r="J816" s="15" t="s">
        <v>36</v>
      </c>
      <c r="K816" s="16" t="s">
        <v>4455</v>
      </c>
      <c r="L816" s="21" t="s">
        <v>4455</v>
      </c>
      <c r="M816" s="21"/>
      <c r="N816" s="21" t="s">
        <v>4457</v>
      </c>
      <c r="O816" s="285" t="s">
        <v>3769</v>
      </c>
      <c r="P816" s="27">
        <v>9500</v>
      </c>
      <c r="Q816" s="30">
        <v>6</v>
      </c>
      <c r="R816" s="27">
        <f t="shared" si="56"/>
        <v>57000</v>
      </c>
      <c r="S816" s="28">
        <v>202306</v>
      </c>
      <c r="T816" s="31" t="s">
        <v>4458</v>
      </c>
      <c r="U816" s="274"/>
      <c r="V816" s="38">
        <v>5.3212671279999997</v>
      </c>
      <c r="W816" s="39"/>
      <c r="X816" s="21">
        <v>44652</v>
      </c>
      <c r="Y816" s="21">
        <v>45382</v>
      </c>
      <c r="Z816" s="44" t="s">
        <v>4459</v>
      </c>
      <c r="AA816" s="45">
        <v>0.3</v>
      </c>
      <c r="AB816" s="46">
        <v>20</v>
      </c>
      <c r="AC816" s="46">
        <f t="shared" si="58"/>
        <v>6</v>
      </c>
    </row>
    <row r="817" spans="1:29" s="3" customFormat="1" ht="15" customHeight="1">
      <c r="A817" s="49" t="s">
        <v>260</v>
      </c>
      <c r="B817" s="49" t="s">
        <v>3666</v>
      </c>
      <c r="C817" s="50" t="s">
        <v>1747</v>
      </c>
      <c r="D817" s="50" t="s">
        <v>3667</v>
      </c>
      <c r="E817" s="50" t="s">
        <v>4454</v>
      </c>
      <c r="F817" s="53" t="s">
        <v>4455</v>
      </c>
      <c r="G817" s="51" t="s">
        <v>34</v>
      </c>
      <c r="H817" s="50" t="s">
        <v>4460</v>
      </c>
      <c r="I817" s="53" t="e">
        <f>VLOOKUP(H817,合同高级查询数据!$A$2:$A$51,1,FALSE)</f>
        <v>#N/A</v>
      </c>
      <c r="J817" s="52" t="s">
        <v>36</v>
      </c>
      <c r="K817" s="54" t="s">
        <v>4455</v>
      </c>
      <c r="L817" s="55" t="s">
        <v>4461</v>
      </c>
      <c r="M817" s="55"/>
      <c r="N817" s="55" t="s">
        <v>4462</v>
      </c>
      <c r="O817" s="284" t="s">
        <v>755</v>
      </c>
      <c r="P817" s="58">
        <v>9500</v>
      </c>
      <c r="Q817" s="57">
        <v>0</v>
      </c>
      <c r="R817" s="58">
        <f t="shared" si="56"/>
        <v>0</v>
      </c>
      <c r="S817" s="59">
        <v>202306</v>
      </c>
      <c r="T817" s="60" t="s">
        <v>4463</v>
      </c>
      <c r="U817" s="61"/>
      <c r="V817" s="62">
        <v>0</v>
      </c>
      <c r="W817" s="255"/>
      <c r="X817" s="55">
        <v>44652</v>
      </c>
      <c r="Y817" s="55"/>
      <c r="Z817" s="201" t="s">
        <v>4464</v>
      </c>
      <c r="AA817" s="200">
        <v>0</v>
      </c>
      <c r="AB817" s="263">
        <v>0</v>
      </c>
      <c r="AC817" s="263">
        <f t="shared" si="58"/>
        <v>0</v>
      </c>
    </row>
    <row r="818" spans="1:29" s="3" customFormat="1" ht="15" customHeight="1">
      <c r="A818" s="49" t="s">
        <v>260</v>
      </c>
      <c r="B818" s="49" t="s">
        <v>3666</v>
      </c>
      <c r="C818" s="50" t="s">
        <v>1747</v>
      </c>
      <c r="D818" s="50" t="s">
        <v>3667</v>
      </c>
      <c r="E818" s="50" t="s">
        <v>4465</v>
      </c>
      <c r="F818" s="53" t="s">
        <v>4466</v>
      </c>
      <c r="G818" s="51" t="s">
        <v>34</v>
      </c>
      <c r="H818" s="50" t="s">
        <v>4467</v>
      </c>
      <c r="I818" s="53" t="e">
        <f>VLOOKUP(H818,合同高级查询数据!$A$2:$A$51,1,FALSE)</f>
        <v>#N/A</v>
      </c>
      <c r="J818" s="52" t="s">
        <v>36</v>
      </c>
      <c r="K818" s="54" t="s">
        <v>2268</v>
      </c>
      <c r="L818" s="55" t="s">
        <v>4466</v>
      </c>
      <c r="M818" s="55"/>
      <c r="N818" s="94" t="s">
        <v>4468</v>
      </c>
      <c r="O818" s="284" t="s">
        <v>1498</v>
      </c>
      <c r="P818" s="58">
        <v>5000</v>
      </c>
      <c r="Q818" s="57"/>
      <c r="R818" s="58">
        <f t="shared" si="56"/>
        <v>0</v>
      </c>
      <c r="S818" s="59">
        <v>202306</v>
      </c>
      <c r="T818" s="60" t="s">
        <v>4469</v>
      </c>
      <c r="U818" s="61"/>
      <c r="V818" s="62">
        <v>0</v>
      </c>
      <c r="W818" s="255"/>
      <c r="X818" s="55">
        <v>44927</v>
      </c>
      <c r="Y818" s="55"/>
      <c r="Z818" s="201" t="s">
        <v>4470</v>
      </c>
      <c r="AA818" s="295">
        <v>0.3</v>
      </c>
      <c r="AB818" s="263">
        <v>0</v>
      </c>
      <c r="AC818" s="263">
        <f t="shared" si="58"/>
        <v>0</v>
      </c>
    </row>
    <row r="819" spans="1:29" s="3" customFormat="1" ht="15" customHeight="1">
      <c r="A819" s="49" t="s">
        <v>260</v>
      </c>
      <c r="B819" s="49" t="s">
        <v>3666</v>
      </c>
      <c r="C819" s="50" t="s">
        <v>1747</v>
      </c>
      <c r="D819" s="50" t="s">
        <v>3667</v>
      </c>
      <c r="E819" s="50" t="s">
        <v>4465</v>
      </c>
      <c r="F819" s="53" t="s">
        <v>4466</v>
      </c>
      <c r="G819" s="51" t="s">
        <v>34</v>
      </c>
      <c r="H819" s="50" t="s">
        <v>4467</v>
      </c>
      <c r="I819" s="53" t="e">
        <f>VLOOKUP(H819,合同高级查询数据!$A$2:$A$51,1,FALSE)</f>
        <v>#N/A</v>
      </c>
      <c r="J819" s="52" t="s">
        <v>36</v>
      </c>
      <c r="K819" s="54" t="s">
        <v>2268</v>
      </c>
      <c r="L819" s="55" t="s">
        <v>4471</v>
      </c>
      <c r="M819" s="55"/>
      <c r="N819" s="94" t="s">
        <v>4472</v>
      </c>
      <c r="O819" s="284" t="s">
        <v>1498</v>
      </c>
      <c r="P819" s="58">
        <v>5000</v>
      </c>
      <c r="Q819" s="57"/>
      <c r="R819" s="58">
        <f t="shared" si="56"/>
        <v>0</v>
      </c>
      <c r="S819" s="59">
        <v>202306</v>
      </c>
      <c r="T819" s="60" t="s">
        <v>4473</v>
      </c>
      <c r="U819" s="61"/>
      <c r="V819" s="62">
        <v>0</v>
      </c>
      <c r="W819" s="255"/>
      <c r="X819" s="55">
        <v>44927</v>
      </c>
      <c r="Y819" s="55"/>
      <c r="Z819" s="201" t="s">
        <v>4474</v>
      </c>
      <c r="AA819" s="295">
        <v>0.3</v>
      </c>
      <c r="AB819" s="263">
        <v>0</v>
      </c>
      <c r="AC819" s="263">
        <f t="shared" si="58"/>
        <v>0</v>
      </c>
    </row>
    <row r="820" spans="1:29" s="2" customFormat="1" ht="15" customHeight="1">
      <c r="A820" s="8" t="s">
        <v>260</v>
      </c>
      <c r="B820" s="8" t="s">
        <v>3666</v>
      </c>
      <c r="C820" s="9" t="s">
        <v>2174</v>
      </c>
      <c r="D820" s="9" t="s">
        <v>3667</v>
      </c>
      <c r="E820" s="9" t="s">
        <v>4475</v>
      </c>
      <c r="F820" s="11" t="s">
        <v>4476</v>
      </c>
      <c r="G820" s="12" t="s">
        <v>34</v>
      </c>
      <c r="H820" s="9" t="s">
        <v>4477</v>
      </c>
      <c r="I820" s="11" t="e">
        <f>VLOOKUP(H820,合同高级查询数据!$A$2:$A$51,1,FALSE)</f>
        <v>#N/A</v>
      </c>
      <c r="J820" s="15" t="s">
        <v>36</v>
      </c>
      <c r="K820" s="16" t="s">
        <v>4478</v>
      </c>
      <c r="L820" s="21" t="s">
        <v>4476</v>
      </c>
      <c r="M820" s="21" t="s">
        <v>4479</v>
      </c>
      <c r="N820" s="21" t="s">
        <v>4480</v>
      </c>
      <c r="O820" s="285" t="s">
        <v>4481</v>
      </c>
      <c r="P820" s="27">
        <v>9500</v>
      </c>
      <c r="Q820" s="30">
        <v>39</v>
      </c>
      <c r="R820" s="27">
        <f t="shared" si="56"/>
        <v>370500</v>
      </c>
      <c r="S820" s="28">
        <v>202306</v>
      </c>
      <c r="T820" s="31" t="s">
        <v>4482</v>
      </c>
      <c r="U820" s="274"/>
      <c r="V820" s="38">
        <v>38.054619436000003</v>
      </c>
      <c r="W820" s="39"/>
      <c r="X820" s="21">
        <v>44440</v>
      </c>
      <c r="Y820" s="21">
        <v>45169</v>
      </c>
      <c r="Z820" s="44" t="s">
        <v>4483</v>
      </c>
      <c r="AA820" s="44">
        <v>0.3</v>
      </c>
      <c r="AB820" s="46">
        <v>190</v>
      </c>
      <c r="AC820" s="46">
        <f>(AB820-60)*AA820</f>
        <v>39</v>
      </c>
    </row>
    <row r="821" spans="1:29" s="2" customFormat="1" ht="15" customHeight="1">
      <c r="A821" s="8" t="s">
        <v>260</v>
      </c>
      <c r="B821" s="8" t="s">
        <v>3666</v>
      </c>
      <c r="C821" s="9" t="s">
        <v>2174</v>
      </c>
      <c r="D821" s="9" t="s">
        <v>3667</v>
      </c>
      <c r="E821" s="9" t="s">
        <v>4475</v>
      </c>
      <c r="F821" s="11" t="s">
        <v>4476</v>
      </c>
      <c r="G821" s="12" t="s">
        <v>34</v>
      </c>
      <c r="H821" s="9" t="s">
        <v>4477</v>
      </c>
      <c r="I821" s="11" t="e">
        <f>VLOOKUP(H821,合同高级查询数据!$A$2:$A$51,1,FALSE)</f>
        <v>#N/A</v>
      </c>
      <c r="J821" s="15" t="s">
        <v>36</v>
      </c>
      <c r="K821" s="16" t="s">
        <v>4484</v>
      </c>
      <c r="L821" s="21" t="s">
        <v>4485</v>
      </c>
      <c r="M821" s="21"/>
      <c r="N821" s="21" t="s">
        <v>4486</v>
      </c>
      <c r="O821" s="285" t="s">
        <v>1395</v>
      </c>
      <c r="P821" s="27">
        <v>9500</v>
      </c>
      <c r="Q821" s="30">
        <v>0</v>
      </c>
      <c r="R821" s="27">
        <f t="shared" si="56"/>
        <v>0</v>
      </c>
      <c r="S821" s="28">
        <v>202306</v>
      </c>
      <c r="T821" s="31" t="s">
        <v>4487</v>
      </c>
      <c r="U821" s="274"/>
      <c r="V821" s="38">
        <v>0</v>
      </c>
      <c r="W821" s="39"/>
      <c r="X821" s="21">
        <v>44440</v>
      </c>
      <c r="Y821" s="21">
        <v>45169</v>
      </c>
      <c r="Z821" s="44" t="s">
        <v>4488</v>
      </c>
      <c r="AA821" s="44">
        <v>0.3</v>
      </c>
      <c r="AB821" s="46">
        <v>0</v>
      </c>
      <c r="AC821" s="46">
        <f t="shared" ref="AC821:AC840" si="59">AA821*AB821</f>
        <v>0</v>
      </c>
    </row>
    <row r="822" spans="1:29" s="2" customFormat="1" ht="15" customHeight="1">
      <c r="A822" s="8" t="s">
        <v>260</v>
      </c>
      <c r="B822" s="8" t="s">
        <v>3666</v>
      </c>
      <c r="C822" s="9" t="s">
        <v>2174</v>
      </c>
      <c r="D822" s="9" t="s">
        <v>3667</v>
      </c>
      <c r="E822" s="9" t="s">
        <v>4475</v>
      </c>
      <c r="F822" s="11" t="s">
        <v>4476</v>
      </c>
      <c r="G822" s="12" t="s">
        <v>34</v>
      </c>
      <c r="H822" s="9" t="s">
        <v>4477</v>
      </c>
      <c r="I822" s="11" t="e">
        <f>VLOOKUP(H822,合同高级查询数据!$A$2:$A$51,1,FALSE)</f>
        <v>#N/A</v>
      </c>
      <c r="J822" s="15" t="s">
        <v>36</v>
      </c>
      <c r="K822" s="16" t="s">
        <v>4489</v>
      </c>
      <c r="L822" s="21" t="s">
        <v>4490</v>
      </c>
      <c r="M822" s="21"/>
      <c r="N822" s="21" t="s">
        <v>4491</v>
      </c>
      <c r="O822" s="285" t="s">
        <v>4492</v>
      </c>
      <c r="P822" s="27">
        <v>9500</v>
      </c>
      <c r="Q822" s="30">
        <v>0</v>
      </c>
      <c r="R822" s="27">
        <f t="shared" si="56"/>
        <v>0</v>
      </c>
      <c r="S822" s="28">
        <v>202306</v>
      </c>
      <c r="T822" s="31" t="s">
        <v>4493</v>
      </c>
      <c r="U822" s="274"/>
      <c r="V822" s="38">
        <v>0</v>
      </c>
      <c r="W822" s="39"/>
      <c r="X822" s="21">
        <v>44440</v>
      </c>
      <c r="Y822" s="21">
        <v>45169</v>
      </c>
      <c r="Z822" s="44" t="s">
        <v>4494</v>
      </c>
      <c r="AA822" s="44">
        <v>0.3</v>
      </c>
      <c r="AB822" s="46">
        <v>0</v>
      </c>
      <c r="AC822" s="46">
        <f t="shared" si="59"/>
        <v>0</v>
      </c>
    </row>
    <row r="823" spans="1:29" s="2" customFormat="1" ht="15" customHeight="1">
      <c r="A823" s="8" t="s">
        <v>260</v>
      </c>
      <c r="B823" s="8" t="s">
        <v>3666</v>
      </c>
      <c r="C823" s="9" t="s">
        <v>2174</v>
      </c>
      <c r="D823" s="9" t="s">
        <v>3667</v>
      </c>
      <c r="E823" s="9" t="s">
        <v>4475</v>
      </c>
      <c r="F823" s="11" t="s">
        <v>4476</v>
      </c>
      <c r="G823" s="12" t="s">
        <v>34</v>
      </c>
      <c r="H823" s="9" t="s">
        <v>4477</v>
      </c>
      <c r="I823" s="11" t="e">
        <f>VLOOKUP(H823,合同高级查询数据!$A$2:$A$51,1,FALSE)</f>
        <v>#N/A</v>
      </c>
      <c r="J823" s="15" t="s">
        <v>440</v>
      </c>
      <c r="K823" s="16" t="s">
        <v>2174</v>
      </c>
      <c r="L823" s="21" t="s">
        <v>4495</v>
      </c>
      <c r="M823" s="21"/>
      <c r="N823" s="21">
        <v>43753</v>
      </c>
      <c r="O823" s="285" t="s">
        <v>542</v>
      </c>
      <c r="P823" s="27">
        <v>9500</v>
      </c>
      <c r="Q823" s="30">
        <v>3</v>
      </c>
      <c r="R823" s="27">
        <f t="shared" si="56"/>
        <v>28500</v>
      </c>
      <c r="S823" s="28">
        <v>202306</v>
      </c>
      <c r="T823" s="31" t="s">
        <v>4496</v>
      </c>
      <c r="U823" s="274"/>
      <c r="V823" s="38">
        <v>0.76899353599999998</v>
      </c>
      <c r="W823" s="39"/>
      <c r="X823" s="21">
        <v>44440</v>
      </c>
      <c r="Y823" s="21">
        <v>45169</v>
      </c>
      <c r="Z823" s="44" t="s">
        <v>4497</v>
      </c>
      <c r="AA823" s="44">
        <v>0.3</v>
      </c>
      <c r="AB823" s="46">
        <v>10</v>
      </c>
      <c r="AC823" s="46">
        <f t="shared" si="59"/>
        <v>3</v>
      </c>
    </row>
    <row r="824" spans="1:29" s="2" customFormat="1" ht="15" customHeight="1">
      <c r="A824" s="8" t="s">
        <v>260</v>
      </c>
      <c r="B824" s="8" t="s">
        <v>3666</v>
      </c>
      <c r="C824" s="9" t="s">
        <v>2246</v>
      </c>
      <c r="D824" s="9" t="s">
        <v>3667</v>
      </c>
      <c r="E824" s="9" t="s">
        <v>4498</v>
      </c>
      <c r="F824" s="11" t="s">
        <v>4499</v>
      </c>
      <c r="G824" s="12" t="s">
        <v>34</v>
      </c>
      <c r="H824" s="9" t="s">
        <v>4500</v>
      </c>
      <c r="I824" s="11" t="str">
        <f>VLOOKUP(H824,合同高级查询数据!$A$2:$A$51,1,FALSE)</f>
        <v>182315IDC00241</v>
      </c>
      <c r="J824" s="15" t="s">
        <v>36</v>
      </c>
      <c r="K824" s="16" t="s">
        <v>4501</v>
      </c>
      <c r="L824" s="21" t="s">
        <v>4501</v>
      </c>
      <c r="M824" s="21"/>
      <c r="N824" s="21">
        <v>43101</v>
      </c>
      <c r="O824" s="285">
        <v>0</v>
      </c>
      <c r="P824" s="27">
        <v>9500</v>
      </c>
      <c r="Q824" s="30">
        <v>0</v>
      </c>
      <c r="R824" s="27">
        <f t="shared" si="56"/>
        <v>0</v>
      </c>
      <c r="S824" s="28">
        <v>202306</v>
      </c>
      <c r="T824" s="31" t="s">
        <v>4502</v>
      </c>
      <c r="U824" s="274"/>
      <c r="V824" s="38">
        <v>0</v>
      </c>
      <c r="W824" s="39"/>
      <c r="X824" s="21">
        <v>44774</v>
      </c>
      <c r="Y824" s="21">
        <v>45138</v>
      </c>
      <c r="Z824" s="44" t="s">
        <v>4503</v>
      </c>
      <c r="AA824" s="44">
        <v>0.3</v>
      </c>
      <c r="AB824" s="46">
        <v>0</v>
      </c>
      <c r="AC824" s="46">
        <f t="shared" si="59"/>
        <v>0</v>
      </c>
    </row>
    <row r="825" spans="1:29" s="2" customFormat="1" ht="15" customHeight="1">
      <c r="A825" s="8" t="s">
        <v>260</v>
      </c>
      <c r="B825" s="8" t="s">
        <v>3666</v>
      </c>
      <c r="C825" s="9" t="s">
        <v>2246</v>
      </c>
      <c r="D825" s="9" t="s">
        <v>3667</v>
      </c>
      <c r="E825" s="9" t="s">
        <v>4498</v>
      </c>
      <c r="F825" s="11" t="s">
        <v>4499</v>
      </c>
      <c r="G825" s="12" t="s">
        <v>34</v>
      </c>
      <c r="H825" s="9" t="s">
        <v>4500</v>
      </c>
      <c r="I825" s="11" t="str">
        <f>VLOOKUP(H825,合同高级查询数据!$A$2:$A$51,1,FALSE)</f>
        <v>182315IDC00241</v>
      </c>
      <c r="J825" s="15" t="s">
        <v>36</v>
      </c>
      <c r="K825" s="16" t="s">
        <v>4504</v>
      </c>
      <c r="L825" s="21" t="s">
        <v>4504</v>
      </c>
      <c r="M825" s="21"/>
      <c r="N825" s="21" t="s">
        <v>4505</v>
      </c>
      <c r="O825" s="285" t="s">
        <v>4506</v>
      </c>
      <c r="P825" s="27">
        <v>9500</v>
      </c>
      <c r="Q825" s="30">
        <v>12</v>
      </c>
      <c r="R825" s="27">
        <f t="shared" si="56"/>
        <v>114000</v>
      </c>
      <c r="S825" s="28">
        <v>202306</v>
      </c>
      <c r="T825" s="31" t="s">
        <v>4507</v>
      </c>
      <c r="U825" s="274"/>
      <c r="V825" s="38">
        <v>11.510156630999999</v>
      </c>
      <c r="W825" s="39"/>
      <c r="X825" s="21">
        <v>44774</v>
      </c>
      <c r="Y825" s="21">
        <v>45138</v>
      </c>
      <c r="Z825" s="44" t="s">
        <v>4508</v>
      </c>
      <c r="AA825" s="44">
        <v>0.3</v>
      </c>
      <c r="AB825" s="46">
        <v>40</v>
      </c>
      <c r="AC825" s="46">
        <f t="shared" si="59"/>
        <v>12</v>
      </c>
    </row>
    <row r="826" spans="1:29" s="2" customFormat="1" ht="15" customHeight="1">
      <c r="A826" s="8" t="s">
        <v>260</v>
      </c>
      <c r="B826" s="8" t="s">
        <v>3666</v>
      </c>
      <c r="C826" s="9" t="s">
        <v>2246</v>
      </c>
      <c r="D826" s="9" t="s">
        <v>3667</v>
      </c>
      <c r="E826" s="9" t="s">
        <v>4498</v>
      </c>
      <c r="F826" s="11" t="s">
        <v>4499</v>
      </c>
      <c r="G826" s="12" t="s">
        <v>34</v>
      </c>
      <c r="H826" s="9" t="s">
        <v>4500</v>
      </c>
      <c r="I826" s="11" t="str">
        <f>VLOOKUP(H826,合同高级查询数据!$A$2:$A$51,1,FALSE)</f>
        <v>182315IDC00241</v>
      </c>
      <c r="J826" s="15" t="s">
        <v>36</v>
      </c>
      <c r="K826" s="16" t="s">
        <v>4509</v>
      </c>
      <c r="L826" s="21" t="s">
        <v>4509</v>
      </c>
      <c r="M826" s="21" t="s">
        <v>4510</v>
      </c>
      <c r="N826" s="21" t="s">
        <v>4511</v>
      </c>
      <c r="O826" s="285" t="s">
        <v>3263</v>
      </c>
      <c r="P826" s="27">
        <v>0</v>
      </c>
      <c r="Q826" s="30">
        <v>0</v>
      </c>
      <c r="R826" s="27">
        <f t="shared" si="56"/>
        <v>0</v>
      </c>
      <c r="S826" s="28">
        <v>202306</v>
      </c>
      <c r="T826" s="31" t="s">
        <v>4512</v>
      </c>
      <c r="U826" s="274"/>
      <c r="V826" s="38">
        <v>0</v>
      </c>
      <c r="W826" s="39"/>
      <c r="X826" s="21">
        <v>44774</v>
      </c>
      <c r="Y826" s="21">
        <v>45138</v>
      </c>
      <c r="Z826" s="44" t="s">
        <v>4513</v>
      </c>
      <c r="AA826" s="44">
        <v>0.3</v>
      </c>
      <c r="AB826" s="46">
        <v>0</v>
      </c>
      <c r="AC826" s="46">
        <f t="shared" si="59"/>
        <v>0</v>
      </c>
    </row>
    <row r="827" spans="1:29" s="3" customFormat="1" ht="15" customHeight="1">
      <c r="A827" s="49" t="s">
        <v>212</v>
      </c>
      <c r="B827" s="49" t="s">
        <v>3666</v>
      </c>
      <c r="C827" s="50" t="s">
        <v>1882</v>
      </c>
      <c r="D827" s="50" t="s">
        <v>3667</v>
      </c>
      <c r="E827" s="50" t="s">
        <v>4514</v>
      </c>
      <c r="F827" s="53" t="s">
        <v>4515</v>
      </c>
      <c r="G827" s="51" t="s">
        <v>34</v>
      </c>
      <c r="H827" s="50" t="s">
        <v>4516</v>
      </c>
      <c r="I827" s="53" t="e">
        <f>VLOOKUP(H827,合同高级查询数据!$A$2:$A$51,1,FALSE)</f>
        <v>#N/A</v>
      </c>
      <c r="J827" s="52" t="s">
        <v>36</v>
      </c>
      <c r="K827" s="54" t="s">
        <v>3217</v>
      </c>
      <c r="L827" s="55" t="s">
        <v>4517</v>
      </c>
      <c r="M827" s="55"/>
      <c r="N827" s="55" t="s">
        <v>4518</v>
      </c>
      <c r="O827" s="284" t="s">
        <v>493</v>
      </c>
      <c r="P827" s="58">
        <v>9000</v>
      </c>
      <c r="Q827" s="57">
        <v>36</v>
      </c>
      <c r="R827" s="58">
        <f t="shared" si="56"/>
        <v>324000</v>
      </c>
      <c r="S827" s="59">
        <v>202306</v>
      </c>
      <c r="T827" s="291" t="s">
        <v>4519</v>
      </c>
      <c r="U827" s="61"/>
      <c r="V827" s="62">
        <v>33.909217222999999</v>
      </c>
      <c r="W827" s="255"/>
      <c r="X827" s="55">
        <v>44986</v>
      </c>
      <c r="Y827" s="55"/>
      <c r="Z827" s="201" t="s">
        <v>4520</v>
      </c>
      <c r="AA827" s="201">
        <v>0.3</v>
      </c>
      <c r="AB827" s="263">
        <v>120</v>
      </c>
      <c r="AC827" s="263">
        <f t="shared" si="59"/>
        <v>36</v>
      </c>
    </row>
    <row r="828" spans="1:29" s="3" customFormat="1" ht="15" customHeight="1">
      <c r="A828" s="49" t="s">
        <v>212</v>
      </c>
      <c r="B828" s="49" t="s">
        <v>3666</v>
      </c>
      <c r="C828" s="50" t="s">
        <v>1882</v>
      </c>
      <c r="D828" s="50" t="s">
        <v>3667</v>
      </c>
      <c r="E828" s="50" t="s">
        <v>4514</v>
      </c>
      <c r="F828" s="53" t="s">
        <v>4515</v>
      </c>
      <c r="G828" s="51" t="s">
        <v>34</v>
      </c>
      <c r="H828" s="50" t="s">
        <v>4516</v>
      </c>
      <c r="I828" s="53" t="e">
        <f>VLOOKUP(H828,合同高级查询数据!$A$2:$A$51,1,FALSE)</f>
        <v>#N/A</v>
      </c>
      <c r="J828" s="52" t="s">
        <v>36</v>
      </c>
      <c r="K828" s="54" t="s">
        <v>3217</v>
      </c>
      <c r="L828" s="55" t="s">
        <v>4521</v>
      </c>
      <c r="M828" s="55"/>
      <c r="N828" s="55">
        <v>44197</v>
      </c>
      <c r="O828" s="284" t="s">
        <v>1880</v>
      </c>
      <c r="P828" s="58">
        <v>0</v>
      </c>
      <c r="Q828" s="57">
        <v>0</v>
      </c>
      <c r="R828" s="58">
        <f t="shared" si="56"/>
        <v>0</v>
      </c>
      <c r="S828" s="59">
        <v>202306</v>
      </c>
      <c r="T828" s="60" t="s">
        <v>4522</v>
      </c>
      <c r="U828" s="61"/>
      <c r="V828" s="62">
        <v>0</v>
      </c>
      <c r="W828" s="255"/>
      <c r="X828" s="55">
        <v>44986</v>
      </c>
      <c r="Y828" s="55"/>
      <c r="Z828" s="201" t="s">
        <v>4523</v>
      </c>
      <c r="AA828" s="201">
        <v>0.3</v>
      </c>
      <c r="AB828" s="263">
        <v>0</v>
      </c>
      <c r="AC828" s="263">
        <f t="shared" si="59"/>
        <v>0</v>
      </c>
    </row>
    <row r="829" spans="1:29" s="3" customFormat="1" ht="15" customHeight="1">
      <c r="A829" s="49" t="s">
        <v>212</v>
      </c>
      <c r="B829" s="49" t="s">
        <v>3666</v>
      </c>
      <c r="C829" s="50" t="s">
        <v>1882</v>
      </c>
      <c r="D829" s="50" t="s">
        <v>3667</v>
      </c>
      <c r="E829" s="50" t="s">
        <v>4514</v>
      </c>
      <c r="F829" s="53" t="s">
        <v>4515</v>
      </c>
      <c r="G829" s="51" t="s">
        <v>34</v>
      </c>
      <c r="H829" s="50" t="s">
        <v>4524</v>
      </c>
      <c r="I829" s="53" t="e">
        <f>VLOOKUP(H829,合同高级查询数据!$A$2:$A$51,1,FALSE)</f>
        <v>#N/A</v>
      </c>
      <c r="J829" s="52" t="s">
        <v>36</v>
      </c>
      <c r="K829" s="54" t="s">
        <v>3217</v>
      </c>
      <c r="L829" s="55" t="s">
        <v>4525</v>
      </c>
      <c r="M829" s="55"/>
      <c r="N829" s="55" t="s">
        <v>4526</v>
      </c>
      <c r="O829" s="284" t="s">
        <v>3816</v>
      </c>
      <c r="P829" s="58">
        <v>0</v>
      </c>
      <c r="Q829" s="57">
        <v>0</v>
      </c>
      <c r="R829" s="58">
        <f t="shared" si="56"/>
        <v>0</v>
      </c>
      <c r="S829" s="59">
        <v>202306</v>
      </c>
      <c r="T829" s="60" t="s">
        <v>4527</v>
      </c>
      <c r="U829" s="61"/>
      <c r="V829" s="62">
        <v>0</v>
      </c>
      <c r="W829" s="255"/>
      <c r="X829" s="55">
        <v>44593</v>
      </c>
      <c r="Y829" s="55"/>
      <c r="Z829" s="201" t="s">
        <v>4528</v>
      </c>
      <c r="AA829" s="201">
        <v>0</v>
      </c>
      <c r="AB829" s="263">
        <v>0</v>
      </c>
      <c r="AC829" s="263">
        <f t="shared" si="59"/>
        <v>0</v>
      </c>
    </row>
    <row r="830" spans="1:29" s="3" customFormat="1" ht="15" customHeight="1">
      <c r="A830" s="49" t="s">
        <v>212</v>
      </c>
      <c r="B830" s="49" t="s">
        <v>3666</v>
      </c>
      <c r="C830" s="50" t="s">
        <v>1882</v>
      </c>
      <c r="D830" s="50" t="s">
        <v>3667</v>
      </c>
      <c r="E830" s="50" t="s">
        <v>4529</v>
      </c>
      <c r="F830" s="53" t="s">
        <v>4530</v>
      </c>
      <c r="G830" s="51" t="s">
        <v>34</v>
      </c>
      <c r="H830" s="50" t="s">
        <v>4531</v>
      </c>
      <c r="I830" s="53" t="e">
        <f>VLOOKUP(H830,合同高级查询数据!$A$2:$A$51,1,FALSE)</f>
        <v>#N/A</v>
      </c>
      <c r="J830" s="52" t="s">
        <v>36</v>
      </c>
      <c r="K830" s="54" t="s">
        <v>4532</v>
      </c>
      <c r="L830" s="55" t="s">
        <v>4530</v>
      </c>
      <c r="M830" s="55"/>
      <c r="N830" s="55" t="s">
        <v>4533</v>
      </c>
      <c r="O830" s="284" t="s">
        <v>4534</v>
      </c>
      <c r="P830" s="58">
        <v>9000</v>
      </c>
      <c r="Q830" s="57">
        <v>12</v>
      </c>
      <c r="R830" s="58">
        <f t="shared" si="56"/>
        <v>108000</v>
      </c>
      <c r="S830" s="59">
        <v>202306</v>
      </c>
      <c r="T830" s="60" t="s">
        <v>4535</v>
      </c>
      <c r="U830" s="61"/>
      <c r="V830" s="62">
        <v>11.018821353</v>
      </c>
      <c r="W830" s="255"/>
      <c r="X830" s="55">
        <v>44986</v>
      </c>
      <c r="Y830" s="55"/>
      <c r="Z830" s="201" t="s">
        <v>4536</v>
      </c>
      <c r="AA830" s="201">
        <v>0.3</v>
      </c>
      <c r="AB830" s="263">
        <v>40</v>
      </c>
      <c r="AC830" s="263">
        <f t="shared" si="59"/>
        <v>12</v>
      </c>
    </row>
    <row r="831" spans="1:29" s="3" customFormat="1" ht="15" customHeight="1">
      <c r="A831" s="49" t="s">
        <v>212</v>
      </c>
      <c r="B831" s="49" t="s">
        <v>3666</v>
      </c>
      <c r="C831" s="50" t="s">
        <v>1882</v>
      </c>
      <c r="D831" s="50" t="s">
        <v>3667</v>
      </c>
      <c r="E831" s="50" t="s">
        <v>4529</v>
      </c>
      <c r="F831" s="53" t="s">
        <v>4530</v>
      </c>
      <c r="G831" s="51" t="s">
        <v>34</v>
      </c>
      <c r="H831" s="50" t="s">
        <v>4531</v>
      </c>
      <c r="I831" s="53" t="e">
        <f>VLOOKUP(H831,合同高级查询数据!$A$2:$A$51,1,FALSE)</f>
        <v>#N/A</v>
      </c>
      <c r="J831" s="52" t="s">
        <v>36</v>
      </c>
      <c r="K831" s="54" t="s">
        <v>4532</v>
      </c>
      <c r="L831" s="55" t="s">
        <v>4537</v>
      </c>
      <c r="M831" s="55"/>
      <c r="N831" s="55">
        <v>44197</v>
      </c>
      <c r="O831" s="284" t="s">
        <v>1745</v>
      </c>
      <c r="P831" s="58">
        <v>0</v>
      </c>
      <c r="Q831" s="57">
        <v>0</v>
      </c>
      <c r="R831" s="58">
        <f t="shared" si="56"/>
        <v>0</v>
      </c>
      <c r="S831" s="59">
        <v>202306</v>
      </c>
      <c r="T831" s="60" t="s">
        <v>4538</v>
      </c>
      <c r="U831" s="61"/>
      <c r="V831" s="62">
        <v>0</v>
      </c>
      <c r="W831" s="255"/>
      <c r="X831" s="55">
        <v>44986</v>
      </c>
      <c r="Y831" s="55"/>
      <c r="Z831" s="201" t="s">
        <v>4539</v>
      </c>
      <c r="AA831" s="201">
        <v>0.3</v>
      </c>
      <c r="AB831" s="263">
        <v>0</v>
      </c>
      <c r="AC831" s="263">
        <f t="shared" si="59"/>
        <v>0</v>
      </c>
    </row>
    <row r="832" spans="1:29" s="3" customFormat="1" ht="15" customHeight="1">
      <c r="A832" s="49" t="s">
        <v>212</v>
      </c>
      <c r="B832" s="49" t="s">
        <v>3666</v>
      </c>
      <c r="C832" s="50" t="s">
        <v>1882</v>
      </c>
      <c r="D832" s="50" t="s">
        <v>3667</v>
      </c>
      <c r="E832" s="50" t="s">
        <v>4529</v>
      </c>
      <c r="F832" s="53" t="s">
        <v>4530</v>
      </c>
      <c r="G832" s="51" t="s">
        <v>34</v>
      </c>
      <c r="H832" s="50" t="s">
        <v>4540</v>
      </c>
      <c r="I832" s="53" t="e">
        <f>VLOOKUP(H832,合同高级查询数据!$A$2:$A$51,1,FALSE)</f>
        <v>#N/A</v>
      </c>
      <c r="J832" s="52" t="s">
        <v>36</v>
      </c>
      <c r="K832" s="54" t="s">
        <v>4532</v>
      </c>
      <c r="L832" s="55" t="s">
        <v>4541</v>
      </c>
      <c r="M832" s="55" t="s">
        <v>4542</v>
      </c>
      <c r="N832" s="55" t="s">
        <v>4543</v>
      </c>
      <c r="O832" s="284" t="s">
        <v>3263</v>
      </c>
      <c r="P832" s="58">
        <v>0</v>
      </c>
      <c r="Q832" s="57">
        <v>0</v>
      </c>
      <c r="R832" s="58">
        <f t="shared" si="56"/>
        <v>0</v>
      </c>
      <c r="S832" s="59">
        <v>202306</v>
      </c>
      <c r="T832" s="60" t="s">
        <v>4544</v>
      </c>
      <c r="U832" s="61"/>
      <c r="V832" s="62">
        <v>0</v>
      </c>
      <c r="W832" s="255"/>
      <c r="X832" s="55">
        <v>44562</v>
      </c>
      <c r="Y832" s="55"/>
      <c r="Z832" s="201" t="s">
        <v>4545</v>
      </c>
      <c r="AA832" s="201">
        <v>0</v>
      </c>
      <c r="AB832" s="263">
        <v>0</v>
      </c>
      <c r="AC832" s="263">
        <f t="shared" si="59"/>
        <v>0</v>
      </c>
    </row>
    <row r="833" spans="1:29" s="2" customFormat="1" ht="15" customHeight="1">
      <c r="A833" s="8" t="s">
        <v>212</v>
      </c>
      <c r="B833" s="8" t="s">
        <v>3666</v>
      </c>
      <c r="C833" s="9" t="s">
        <v>1747</v>
      </c>
      <c r="D833" s="9" t="s">
        <v>3667</v>
      </c>
      <c r="E833" s="9" t="s">
        <v>4546</v>
      </c>
      <c r="F833" s="11" t="s">
        <v>4547</v>
      </c>
      <c r="G833" s="12" t="s">
        <v>34</v>
      </c>
      <c r="H833" s="9" t="s">
        <v>4548</v>
      </c>
      <c r="I833" s="11" t="e">
        <f>VLOOKUP(H833,合同高级查询数据!$A$2:$A$51,1,FALSE)</f>
        <v>#N/A</v>
      </c>
      <c r="J833" s="15" t="s">
        <v>36</v>
      </c>
      <c r="K833" s="16" t="s">
        <v>2268</v>
      </c>
      <c r="L833" s="21" t="s">
        <v>4549</v>
      </c>
      <c r="M833" s="21"/>
      <c r="N833" s="21" t="s">
        <v>4550</v>
      </c>
      <c r="O833" s="285" t="s">
        <v>4551</v>
      </c>
      <c r="P833" s="27">
        <v>9000</v>
      </c>
      <c r="Q833" s="30">
        <v>0</v>
      </c>
      <c r="R833" s="27">
        <f t="shared" si="56"/>
        <v>0</v>
      </c>
      <c r="S833" s="28">
        <v>202306</v>
      </c>
      <c r="T833" s="31" t="s">
        <v>4552</v>
      </c>
      <c r="U833" s="274"/>
      <c r="V833" s="38">
        <v>0</v>
      </c>
      <c r="W833" s="39"/>
      <c r="X833" s="21">
        <v>44378</v>
      </c>
      <c r="Y833" s="21">
        <v>45291</v>
      </c>
      <c r="Z833" s="44" t="s">
        <v>4553</v>
      </c>
      <c r="AA833" s="44">
        <v>0.3</v>
      </c>
      <c r="AB833" s="46">
        <v>0</v>
      </c>
      <c r="AC833" s="46">
        <f t="shared" si="59"/>
        <v>0</v>
      </c>
    </row>
    <row r="834" spans="1:29" s="2" customFormat="1" ht="15" customHeight="1">
      <c r="A834" s="8" t="s">
        <v>212</v>
      </c>
      <c r="B834" s="8" t="s">
        <v>3666</v>
      </c>
      <c r="C834" s="9" t="s">
        <v>1747</v>
      </c>
      <c r="D834" s="9" t="s">
        <v>3667</v>
      </c>
      <c r="E834" s="9" t="s">
        <v>4546</v>
      </c>
      <c r="F834" s="11" t="s">
        <v>4547</v>
      </c>
      <c r="G834" s="12" t="s">
        <v>34</v>
      </c>
      <c r="H834" s="9" t="s">
        <v>4548</v>
      </c>
      <c r="I834" s="11" t="e">
        <f>VLOOKUP(H834,合同高级查询数据!$A$2:$A$51,1,FALSE)</f>
        <v>#N/A</v>
      </c>
      <c r="J834" s="15" t="s">
        <v>36</v>
      </c>
      <c r="K834" s="16" t="s">
        <v>4554</v>
      </c>
      <c r="L834" s="21" t="s">
        <v>4555</v>
      </c>
      <c r="M834" s="21"/>
      <c r="N834" s="21" t="s">
        <v>4556</v>
      </c>
      <c r="O834" s="285" t="s">
        <v>1395</v>
      </c>
      <c r="P834" s="27">
        <v>9000</v>
      </c>
      <c r="Q834" s="30">
        <v>0</v>
      </c>
      <c r="R834" s="27">
        <f t="shared" si="56"/>
        <v>0</v>
      </c>
      <c r="S834" s="28">
        <v>202306</v>
      </c>
      <c r="T834" s="31" t="s">
        <v>4557</v>
      </c>
      <c r="U834" s="274"/>
      <c r="V834" s="38">
        <v>0</v>
      </c>
      <c r="W834" s="39"/>
      <c r="X834" s="21">
        <v>44378</v>
      </c>
      <c r="Y834" s="21">
        <v>45291</v>
      </c>
      <c r="Z834" s="44" t="s">
        <v>4558</v>
      </c>
      <c r="AA834" s="44">
        <v>0.3</v>
      </c>
      <c r="AB834" s="46">
        <v>0</v>
      </c>
      <c r="AC834" s="46">
        <f t="shared" si="59"/>
        <v>0</v>
      </c>
    </row>
    <row r="835" spans="1:29" s="2" customFormat="1" ht="15" customHeight="1">
      <c r="A835" s="8" t="s">
        <v>212</v>
      </c>
      <c r="B835" s="8" t="s">
        <v>3666</v>
      </c>
      <c r="C835" s="9" t="s">
        <v>1747</v>
      </c>
      <c r="D835" s="9" t="s">
        <v>3667</v>
      </c>
      <c r="E835" s="9" t="s">
        <v>4546</v>
      </c>
      <c r="F835" s="11" t="s">
        <v>4547</v>
      </c>
      <c r="G835" s="12" t="s">
        <v>34</v>
      </c>
      <c r="H835" s="9" t="s">
        <v>4548</v>
      </c>
      <c r="I835" s="11" t="e">
        <f>VLOOKUP(H835,合同高级查询数据!$A$2:$A$51,1,FALSE)</f>
        <v>#N/A</v>
      </c>
      <c r="J835" s="15" t="s">
        <v>440</v>
      </c>
      <c r="K835" s="16" t="s">
        <v>2268</v>
      </c>
      <c r="L835" s="21" t="s">
        <v>4559</v>
      </c>
      <c r="M835" s="21"/>
      <c r="N835" s="21" t="s">
        <v>4560</v>
      </c>
      <c r="O835" s="285" t="s">
        <v>4561</v>
      </c>
      <c r="P835" s="27">
        <v>9000</v>
      </c>
      <c r="Q835" s="30">
        <v>3</v>
      </c>
      <c r="R835" s="27">
        <f t="shared" si="56"/>
        <v>27000</v>
      </c>
      <c r="S835" s="28">
        <v>202306</v>
      </c>
      <c r="T835" s="31" t="s">
        <v>4562</v>
      </c>
      <c r="U835" s="274"/>
      <c r="V835" s="38">
        <v>2.2799999999999998</v>
      </c>
      <c r="W835" s="39"/>
      <c r="X835" s="21">
        <v>44378</v>
      </c>
      <c r="Y835" s="21">
        <v>45291</v>
      </c>
      <c r="Z835" s="44" t="s">
        <v>4563</v>
      </c>
      <c r="AA835" s="44">
        <v>0.3</v>
      </c>
      <c r="AB835" s="46">
        <v>10</v>
      </c>
      <c r="AC835" s="46">
        <f t="shared" si="59"/>
        <v>3</v>
      </c>
    </row>
    <row r="836" spans="1:29" s="2" customFormat="1" ht="15" customHeight="1">
      <c r="A836" s="8" t="s">
        <v>212</v>
      </c>
      <c r="B836" s="8" t="s">
        <v>3666</v>
      </c>
      <c r="C836" s="9" t="s">
        <v>1747</v>
      </c>
      <c r="D836" s="9" t="s">
        <v>3667</v>
      </c>
      <c r="E836" s="9" t="s">
        <v>4546</v>
      </c>
      <c r="F836" s="11" t="s">
        <v>4547</v>
      </c>
      <c r="G836" s="12" t="s">
        <v>34</v>
      </c>
      <c r="H836" s="9" t="s">
        <v>4548</v>
      </c>
      <c r="I836" s="11" t="e">
        <f>VLOOKUP(H836,合同高级查询数据!$A$2:$A$51,1,FALSE)</f>
        <v>#N/A</v>
      </c>
      <c r="J836" s="15" t="s">
        <v>36</v>
      </c>
      <c r="K836" s="16" t="s">
        <v>2268</v>
      </c>
      <c r="L836" s="21" t="s">
        <v>4564</v>
      </c>
      <c r="M836" s="21" t="s">
        <v>4565</v>
      </c>
      <c r="N836" s="21" t="s">
        <v>4566</v>
      </c>
      <c r="O836" s="285" t="s">
        <v>4567</v>
      </c>
      <c r="P836" s="27">
        <v>9000</v>
      </c>
      <c r="Q836" s="30">
        <v>0</v>
      </c>
      <c r="R836" s="27">
        <f t="shared" si="56"/>
        <v>0</v>
      </c>
      <c r="S836" s="28">
        <v>202306</v>
      </c>
      <c r="T836" s="31" t="s">
        <v>4568</v>
      </c>
      <c r="U836" s="274"/>
      <c r="V836" s="38">
        <v>0</v>
      </c>
      <c r="W836" s="39"/>
      <c r="X836" s="21">
        <v>44378</v>
      </c>
      <c r="Y836" s="21">
        <v>45291</v>
      </c>
      <c r="Z836" s="44" t="s">
        <v>4569</v>
      </c>
      <c r="AA836" s="44">
        <v>0.3</v>
      </c>
      <c r="AB836" s="46">
        <v>0</v>
      </c>
      <c r="AC836" s="46">
        <f t="shared" si="59"/>
        <v>0</v>
      </c>
    </row>
    <row r="837" spans="1:29" s="3" customFormat="1" ht="15" customHeight="1">
      <c r="A837" s="49" t="s">
        <v>212</v>
      </c>
      <c r="B837" s="49" t="s">
        <v>3666</v>
      </c>
      <c r="C837" s="50" t="s">
        <v>2174</v>
      </c>
      <c r="D837" s="50" t="s">
        <v>3667</v>
      </c>
      <c r="E837" s="50" t="s">
        <v>4570</v>
      </c>
      <c r="F837" s="53" t="s">
        <v>4571</v>
      </c>
      <c r="G837" s="51" t="s">
        <v>34</v>
      </c>
      <c r="H837" s="50" t="s">
        <v>4572</v>
      </c>
      <c r="I837" s="53" t="e">
        <f>VLOOKUP(H837,合同高级查询数据!$A$2:$A$51,1,FALSE)</f>
        <v>#N/A</v>
      </c>
      <c r="J837" s="52" t="s">
        <v>36</v>
      </c>
      <c r="K837" s="54" t="s">
        <v>4573</v>
      </c>
      <c r="L837" s="55" t="s">
        <v>4574</v>
      </c>
      <c r="M837" s="55"/>
      <c r="N837" s="55" t="s">
        <v>4575</v>
      </c>
      <c r="O837" s="284" t="s">
        <v>4576</v>
      </c>
      <c r="P837" s="58">
        <v>9000</v>
      </c>
      <c r="Q837" s="57">
        <v>12</v>
      </c>
      <c r="R837" s="58">
        <f t="shared" si="56"/>
        <v>108000</v>
      </c>
      <c r="S837" s="59">
        <v>202306</v>
      </c>
      <c r="T837" s="60" t="s">
        <v>4577</v>
      </c>
      <c r="U837" s="61"/>
      <c r="V837" s="62">
        <v>11.208358401</v>
      </c>
      <c r="W837" s="255"/>
      <c r="X837" s="55">
        <v>44927</v>
      </c>
      <c r="Y837" s="55"/>
      <c r="Z837" s="201" t="s">
        <v>4578</v>
      </c>
      <c r="AA837" s="295">
        <v>0.3</v>
      </c>
      <c r="AB837" s="263">
        <v>40</v>
      </c>
      <c r="AC837" s="263">
        <f t="shared" si="59"/>
        <v>12</v>
      </c>
    </row>
    <row r="838" spans="1:29" s="3" customFormat="1" ht="15" customHeight="1">
      <c r="A838" s="49" t="s">
        <v>212</v>
      </c>
      <c r="B838" s="49" t="s">
        <v>3666</v>
      </c>
      <c r="C838" s="50" t="s">
        <v>2174</v>
      </c>
      <c r="D838" s="50" t="s">
        <v>3667</v>
      </c>
      <c r="E838" s="50" t="s">
        <v>4570</v>
      </c>
      <c r="F838" s="53" t="s">
        <v>4571</v>
      </c>
      <c r="G838" s="51" t="s">
        <v>34</v>
      </c>
      <c r="H838" s="50" t="s">
        <v>4572</v>
      </c>
      <c r="I838" s="53" t="e">
        <f>VLOOKUP(H838,合同高级查询数据!$A$2:$A$51,1,FALSE)</f>
        <v>#N/A</v>
      </c>
      <c r="J838" s="52" t="s">
        <v>440</v>
      </c>
      <c r="K838" s="54" t="s">
        <v>4579</v>
      </c>
      <c r="L838" s="55" t="s">
        <v>4580</v>
      </c>
      <c r="M838" s="55"/>
      <c r="N838" s="55">
        <v>44392</v>
      </c>
      <c r="O838" s="284" t="s">
        <v>542</v>
      </c>
      <c r="P838" s="58">
        <v>9000</v>
      </c>
      <c r="Q838" s="57">
        <v>3</v>
      </c>
      <c r="R838" s="58">
        <f t="shared" si="56"/>
        <v>27000</v>
      </c>
      <c r="S838" s="59">
        <v>202306</v>
      </c>
      <c r="T838" s="60" t="s">
        <v>4581</v>
      </c>
      <c r="U838" s="61"/>
      <c r="V838" s="62">
        <v>1.95</v>
      </c>
      <c r="W838" s="255"/>
      <c r="X838" s="55">
        <v>44927</v>
      </c>
      <c r="Y838" s="55"/>
      <c r="Z838" s="201" t="s">
        <v>4582</v>
      </c>
      <c r="AA838" s="295">
        <v>0.3</v>
      </c>
      <c r="AB838" s="263">
        <v>10</v>
      </c>
      <c r="AC838" s="263">
        <f t="shared" si="59"/>
        <v>3</v>
      </c>
    </row>
    <row r="839" spans="1:29" s="3" customFormat="1" ht="15" customHeight="1">
      <c r="A839" s="49" t="s">
        <v>212</v>
      </c>
      <c r="B839" s="49" t="s">
        <v>3666</v>
      </c>
      <c r="C839" s="50" t="s">
        <v>2174</v>
      </c>
      <c r="D839" s="50" t="s">
        <v>3667</v>
      </c>
      <c r="E839" s="50" t="s">
        <v>4570</v>
      </c>
      <c r="F839" s="53" t="s">
        <v>4571</v>
      </c>
      <c r="G839" s="51" t="s">
        <v>34</v>
      </c>
      <c r="H839" s="50" t="s">
        <v>4572</v>
      </c>
      <c r="I839" s="53" t="e">
        <f>VLOOKUP(H839,合同高级查询数据!$A$2:$A$51,1,FALSE)</f>
        <v>#N/A</v>
      </c>
      <c r="J839" s="52" t="s">
        <v>36</v>
      </c>
      <c r="K839" s="54" t="s">
        <v>2174</v>
      </c>
      <c r="L839" s="55" t="s">
        <v>4583</v>
      </c>
      <c r="M839" s="55" t="s">
        <v>4579</v>
      </c>
      <c r="N839" s="55">
        <v>44228</v>
      </c>
      <c r="O839" s="284" t="s">
        <v>1880</v>
      </c>
      <c r="P839" s="58">
        <v>0</v>
      </c>
      <c r="Q839" s="57">
        <v>0</v>
      </c>
      <c r="R839" s="58">
        <f t="shared" si="56"/>
        <v>0</v>
      </c>
      <c r="S839" s="59">
        <v>202306</v>
      </c>
      <c r="T839" s="60" t="s">
        <v>4584</v>
      </c>
      <c r="U839" s="61"/>
      <c r="V839" s="62">
        <v>0</v>
      </c>
      <c r="W839" s="255"/>
      <c r="X839" s="55">
        <v>44927</v>
      </c>
      <c r="Y839" s="55"/>
      <c r="Z839" s="201" t="s">
        <v>4585</v>
      </c>
      <c r="AA839" s="295">
        <v>0.3</v>
      </c>
      <c r="AB839" s="263">
        <v>0</v>
      </c>
      <c r="AC839" s="263">
        <f t="shared" si="59"/>
        <v>0</v>
      </c>
    </row>
    <row r="840" spans="1:29" s="2" customFormat="1" ht="15" customHeight="1">
      <c r="A840" s="8" t="s">
        <v>212</v>
      </c>
      <c r="B840" s="8" t="s">
        <v>3666</v>
      </c>
      <c r="C840" s="9" t="s">
        <v>2174</v>
      </c>
      <c r="D840" s="9" t="s">
        <v>3667</v>
      </c>
      <c r="E840" s="9" t="s">
        <v>4570</v>
      </c>
      <c r="F840" s="11" t="s">
        <v>4571</v>
      </c>
      <c r="G840" s="12" t="s">
        <v>34</v>
      </c>
      <c r="H840" s="9" t="s">
        <v>4586</v>
      </c>
      <c r="I840" s="11" t="e">
        <f>VLOOKUP(H840,合同高级查询数据!$A$2:$A$51,1,FALSE)</f>
        <v>#N/A</v>
      </c>
      <c r="J840" s="15" t="s">
        <v>36</v>
      </c>
      <c r="K840" s="16" t="s">
        <v>4587</v>
      </c>
      <c r="L840" s="21" t="s">
        <v>4588</v>
      </c>
      <c r="M840" s="21" t="s">
        <v>4589</v>
      </c>
      <c r="N840" s="131" t="s">
        <v>4590</v>
      </c>
      <c r="O840" s="285" t="s">
        <v>1407</v>
      </c>
      <c r="P840" s="27">
        <v>9000</v>
      </c>
      <c r="Q840" s="30">
        <v>60</v>
      </c>
      <c r="R840" s="27">
        <f t="shared" si="56"/>
        <v>540000</v>
      </c>
      <c r="S840" s="28">
        <v>202306</v>
      </c>
      <c r="T840" s="31" t="s">
        <v>4591</v>
      </c>
      <c r="U840" s="274"/>
      <c r="V840" s="38">
        <v>34.435569458000003</v>
      </c>
      <c r="W840" s="39"/>
      <c r="X840" s="21">
        <v>44927</v>
      </c>
      <c r="Y840" s="21">
        <v>45291</v>
      </c>
      <c r="Z840" s="44" t="s">
        <v>4592</v>
      </c>
      <c r="AA840" s="301">
        <v>0.3</v>
      </c>
      <c r="AB840" s="46">
        <v>200</v>
      </c>
      <c r="AC840" s="46">
        <f t="shared" si="59"/>
        <v>60</v>
      </c>
    </row>
    <row r="841" spans="1:29" s="3" customFormat="1" ht="15" customHeight="1">
      <c r="A841" s="49" t="s">
        <v>212</v>
      </c>
      <c r="B841" s="49" t="s">
        <v>3666</v>
      </c>
      <c r="C841" s="50" t="s">
        <v>2174</v>
      </c>
      <c r="D841" s="50" t="s">
        <v>3667</v>
      </c>
      <c r="E841" s="50" t="s">
        <v>4570</v>
      </c>
      <c r="F841" s="53" t="s">
        <v>4571</v>
      </c>
      <c r="G841" s="51" t="s">
        <v>34</v>
      </c>
      <c r="H841" s="50" t="s">
        <v>4593</v>
      </c>
      <c r="I841" s="53" t="e">
        <f>VLOOKUP(H841,合同高级查询数据!$A$2:$A$51,1,FALSE)</f>
        <v>#N/A</v>
      </c>
      <c r="J841" s="52" t="s">
        <v>36</v>
      </c>
      <c r="K841" s="124" t="s">
        <v>4594</v>
      </c>
      <c r="L841" s="55" t="s">
        <v>4595</v>
      </c>
      <c r="M841" s="55" t="s">
        <v>4579</v>
      </c>
      <c r="N841" s="94">
        <v>45058</v>
      </c>
      <c r="O841" s="284" t="s">
        <v>4596</v>
      </c>
      <c r="P841" s="58">
        <v>9000</v>
      </c>
      <c r="Q841" s="57">
        <v>118.5</v>
      </c>
      <c r="R841" s="58">
        <f t="shared" si="56"/>
        <v>1066500</v>
      </c>
      <c r="S841" s="59">
        <v>202306</v>
      </c>
      <c r="T841" s="60" t="s">
        <v>4597</v>
      </c>
      <c r="U841" s="61"/>
      <c r="V841" s="62">
        <v>118.431136779</v>
      </c>
      <c r="W841" s="255"/>
      <c r="X841" s="55"/>
      <c r="Y841" s="55"/>
      <c r="Z841" s="201" t="s">
        <v>4598</v>
      </c>
      <c r="AA841" s="295">
        <v>0.3</v>
      </c>
      <c r="AB841" s="263">
        <v>310</v>
      </c>
      <c r="AC841" s="263">
        <f>AB841*AA841</f>
        <v>93</v>
      </c>
    </row>
    <row r="842" spans="1:29" s="3" customFormat="1" ht="15" customHeight="1">
      <c r="A842" s="49" t="s">
        <v>212</v>
      </c>
      <c r="B842" s="49" t="s">
        <v>3666</v>
      </c>
      <c r="C842" s="50" t="s">
        <v>2174</v>
      </c>
      <c r="D842" s="50" t="s">
        <v>3667</v>
      </c>
      <c r="E842" s="50" t="s">
        <v>4570</v>
      </c>
      <c r="F842" s="53" t="s">
        <v>4571</v>
      </c>
      <c r="G842" s="51" t="s">
        <v>34</v>
      </c>
      <c r="H842" s="50" t="s">
        <v>4593</v>
      </c>
      <c r="I842" s="53" t="e">
        <f>VLOOKUP(H842,合同高级查询数据!$A$2:$A$51,1,FALSE)</f>
        <v>#N/A</v>
      </c>
      <c r="J842" s="52" t="s">
        <v>36</v>
      </c>
      <c r="K842" s="124" t="s">
        <v>4599</v>
      </c>
      <c r="L842" s="55" t="s">
        <v>4600</v>
      </c>
      <c r="M842" s="55" t="s">
        <v>4579</v>
      </c>
      <c r="N842" s="94">
        <v>45058</v>
      </c>
      <c r="O842" s="284" t="s">
        <v>250</v>
      </c>
      <c r="P842" s="58">
        <v>9000</v>
      </c>
      <c r="Q842" s="57"/>
      <c r="R842" s="58">
        <f t="shared" si="56"/>
        <v>0</v>
      </c>
      <c r="S842" s="59">
        <v>202306</v>
      </c>
      <c r="T842" s="60" t="s">
        <v>4601</v>
      </c>
      <c r="U842" s="61"/>
      <c r="V842" s="62">
        <v>0</v>
      </c>
      <c r="W842" s="255"/>
      <c r="X842" s="55"/>
      <c r="Y842" s="55"/>
      <c r="Z842" s="201" t="s">
        <v>4602</v>
      </c>
      <c r="AA842" s="295">
        <v>0.3</v>
      </c>
      <c r="AB842" s="263">
        <v>0</v>
      </c>
      <c r="AC842" s="263">
        <f>AB842*AA842</f>
        <v>0</v>
      </c>
    </row>
    <row r="843" spans="1:29" s="2" customFormat="1" ht="15" customHeight="1">
      <c r="A843" s="8" t="s">
        <v>267</v>
      </c>
      <c r="B843" s="8" t="s">
        <v>3666</v>
      </c>
      <c r="C843" s="9" t="s">
        <v>1882</v>
      </c>
      <c r="D843" s="9" t="s">
        <v>3667</v>
      </c>
      <c r="E843" s="9" t="s">
        <v>4603</v>
      </c>
      <c r="F843" s="11" t="s">
        <v>4604</v>
      </c>
      <c r="G843" s="12" t="s">
        <v>34</v>
      </c>
      <c r="H843" s="9" t="s">
        <v>4605</v>
      </c>
      <c r="I843" s="11" t="str">
        <f>VLOOKUP(H843,合同高级查询数据!$A$2:$A$51,1,FALSE)</f>
        <v>182315IDC00255</v>
      </c>
      <c r="J843" s="15" t="s">
        <v>36</v>
      </c>
      <c r="K843" s="16" t="s">
        <v>2126</v>
      </c>
      <c r="L843" s="21" t="s">
        <v>4606</v>
      </c>
      <c r="M843" s="21"/>
      <c r="N843" s="131" t="s">
        <v>4607</v>
      </c>
      <c r="O843" s="297" t="s">
        <v>4608</v>
      </c>
      <c r="P843" s="27">
        <v>6740</v>
      </c>
      <c r="Q843" s="30">
        <v>64.239999999999995</v>
      </c>
      <c r="R843" s="27">
        <f t="shared" ref="R843:R885" si="60">ROUND(P843*Q843,2)</f>
        <v>432977.6</v>
      </c>
      <c r="S843" s="28">
        <v>202306</v>
      </c>
      <c r="T843" s="299" t="s">
        <v>4609</v>
      </c>
      <c r="U843" s="274"/>
      <c r="V843" s="38">
        <v>64.244110106999997</v>
      </c>
      <c r="W843" s="39"/>
      <c r="X843" s="21">
        <v>44927</v>
      </c>
      <c r="Y843" s="21">
        <v>45107</v>
      </c>
      <c r="Z843" s="44" t="s">
        <v>4610</v>
      </c>
      <c r="AA843" s="301">
        <v>0.4</v>
      </c>
      <c r="AB843" s="46">
        <v>160</v>
      </c>
      <c r="AC843" s="46">
        <f t="shared" ref="AC843:AC867" si="61">AA843*AB843</f>
        <v>64</v>
      </c>
    </row>
    <row r="844" spans="1:29" s="3" customFormat="1" ht="15" customHeight="1">
      <c r="A844" s="49" t="s">
        <v>267</v>
      </c>
      <c r="B844" s="49" t="s">
        <v>3666</v>
      </c>
      <c r="C844" s="50" t="s">
        <v>1882</v>
      </c>
      <c r="D844" s="50" t="s">
        <v>3667</v>
      </c>
      <c r="E844" s="50" t="s">
        <v>4603</v>
      </c>
      <c r="F844" s="53" t="s">
        <v>4604</v>
      </c>
      <c r="G844" s="51" t="s">
        <v>34</v>
      </c>
      <c r="H844" s="50" t="s">
        <v>4611</v>
      </c>
      <c r="I844" s="53" t="e">
        <f>VLOOKUP(H844,合同高级查询数据!$A$2:$A$51,1,FALSE)</f>
        <v>#N/A</v>
      </c>
      <c r="J844" s="52" t="s">
        <v>36</v>
      </c>
      <c r="K844" s="54" t="s">
        <v>2126</v>
      </c>
      <c r="L844" s="55" t="s">
        <v>4612</v>
      </c>
      <c r="M844" s="55" t="s">
        <v>4613</v>
      </c>
      <c r="N844" s="55">
        <v>45078</v>
      </c>
      <c r="O844" s="284" t="s">
        <v>458</v>
      </c>
      <c r="P844" s="58">
        <v>6740</v>
      </c>
      <c r="Q844" s="57">
        <v>56</v>
      </c>
      <c r="R844" s="58">
        <f t="shared" si="60"/>
        <v>377440</v>
      </c>
      <c r="S844" s="59">
        <v>202306</v>
      </c>
      <c r="T844" s="60" t="s">
        <v>4614</v>
      </c>
      <c r="U844" s="61"/>
      <c r="V844" s="62">
        <v>51.267139434999997</v>
      </c>
      <c r="W844" s="255"/>
      <c r="X844" s="55"/>
      <c r="Y844" s="55"/>
      <c r="Z844" s="201" t="s">
        <v>4615</v>
      </c>
      <c r="AA844" s="295">
        <v>0.4</v>
      </c>
      <c r="AB844" s="263">
        <v>140</v>
      </c>
      <c r="AC844" s="263">
        <f t="shared" si="61"/>
        <v>56</v>
      </c>
    </row>
    <row r="845" spans="1:29" s="2" customFormat="1" ht="15" customHeight="1">
      <c r="A845" s="8" t="s">
        <v>267</v>
      </c>
      <c r="B845" s="8" t="s">
        <v>3666</v>
      </c>
      <c r="C845" s="9" t="s">
        <v>2246</v>
      </c>
      <c r="D845" s="9" t="s">
        <v>3667</v>
      </c>
      <c r="E845" s="9" t="s">
        <v>4616</v>
      </c>
      <c r="F845" s="11" t="s">
        <v>4617</v>
      </c>
      <c r="G845" s="12" t="s">
        <v>34</v>
      </c>
      <c r="H845" s="9" t="s">
        <v>4618</v>
      </c>
      <c r="I845" s="11" t="e">
        <f>VLOOKUP(H845,合同高级查询数据!$A$2:$A$51,1,FALSE)</f>
        <v>#N/A</v>
      </c>
      <c r="J845" s="15" t="s">
        <v>36</v>
      </c>
      <c r="K845" s="16" t="s">
        <v>4619</v>
      </c>
      <c r="L845" s="21" t="s">
        <v>4620</v>
      </c>
      <c r="M845" s="21"/>
      <c r="N845" s="21" t="s">
        <v>4621</v>
      </c>
      <c r="O845" s="285" t="s">
        <v>1422</v>
      </c>
      <c r="P845" s="27">
        <v>6740</v>
      </c>
      <c r="Q845" s="30">
        <v>0</v>
      </c>
      <c r="R845" s="27">
        <f t="shared" si="60"/>
        <v>0</v>
      </c>
      <c r="S845" s="28">
        <v>202306</v>
      </c>
      <c r="T845" s="31" t="s">
        <v>4622</v>
      </c>
      <c r="U845" s="274"/>
      <c r="V845" s="38">
        <v>0</v>
      </c>
      <c r="W845" s="39"/>
      <c r="X845" s="21"/>
      <c r="Y845" s="21"/>
      <c r="Z845" s="44" t="s">
        <v>4623</v>
      </c>
      <c r="AA845" s="301">
        <v>0.4</v>
      </c>
      <c r="AB845" s="46">
        <v>0</v>
      </c>
      <c r="AC845" s="46">
        <f t="shared" si="61"/>
        <v>0</v>
      </c>
    </row>
    <row r="846" spans="1:29" s="2" customFormat="1" ht="15" customHeight="1">
      <c r="A846" s="8" t="s">
        <v>267</v>
      </c>
      <c r="B846" s="8" t="s">
        <v>3666</v>
      </c>
      <c r="C846" s="9" t="s">
        <v>2246</v>
      </c>
      <c r="D846" s="9" t="s">
        <v>3667</v>
      </c>
      <c r="E846" s="9" t="s">
        <v>4616</v>
      </c>
      <c r="F846" s="11" t="s">
        <v>4617</v>
      </c>
      <c r="G846" s="12" t="s">
        <v>34</v>
      </c>
      <c r="H846" s="9" t="s">
        <v>4624</v>
      </c>
      <c r="I846" s="11" t="e">
        <f>VLOOKUP(H846,合同高级查询数据!$A$2:$A$51,1,FALSE)</f>
        <v>#N/A</v>
      </c>
      <c r="J846" s="15" t="s">
        <v>36</v>
      </c>
      <c r="K846" s="16" t="s">
        <v>4619</v>
      </c>
      <c r="L846" s="21" t="s">
        <v>4625</v>
      </c>
      <c r="M846" s="21"/>
      <c r="N846" s="131" t="s">
        <v>4626</v>
      </c>
      <c r="O846" s="297" t="s">
        <v>4627</v>
      </c>
      <c r="P846" s="27">
        <v>6740</v>
      </c>
      <c r="Q846" s="30">
        <v>16.32</v>
      </c>
      <c r="R846" s="27">
        <f t="shared" si="60"/>
        <v>109996.8</v>
      </c>
      <c r="S846" s="28">
        <v>202306</v>
      </c>
      <c r="T846" s="31" t="s">
        <v>4628</v>
      </c>
      <c r="U846" s="274"/>
      <c r="V846" s="38">
        <v>16.317073822000001</v>
      </c>
      <c r="W846" s="39"/>
      <c r="X846" s="21">
        <v>44562</v>
      </c>
      <c r="Y846" s="21">
        <v>45107</v>
      </c>
      <c r="Z846" s="44" t="s">
        <v>4629</v>
      </c>
      <c r="AA846" s="301">
        <v>0.4</v>
      </c>
      <c r="AB846" s="46">
        <v>40</v>
      </c>
      <c r="AC846" s="46">
        <f t="shared" si="61"/>
        <v>16</v>
      </c>
    </row>
    <row r="847" spans="1:29" s="2" customFormat="1" ht="15" customHeight="1">
      <c r="A847" s="8" t="s">
        <v>267</v>
      </c>
      <c r="B847" s="8" t="s">
        <v>3666</v>
      </c>
      <c r="C847" s="9" t="s">
        <v>1747</v>
      </c>
      <c r="D847" s="9" t="s">
        <v>3667</v>
      </c>
      <c r="E847" s="9" t="s">
        <v>4630</v>
      </c>
      <c r="F847" s="11" t="s">
        <v>4631</v>
      </c>
      <c r="G847" s="12" t="s">
        <v>34</v>
      </c>
      <c r="H847" s="9" t="s">
        <v>4632</v>
      </c>
      <c r="I847" s="11" t="e">
        <f>VLOOKUP(H847,合同高级查询数据!$A$2:$A$51,1,FALSE)</f>
        <v>#N/A</v>
      </c>
      <c r="J847" s="15" t="s">
        <v>36</v>
      </c>
      <c r="K847" s="16" t="s">
        <v>4633</v>
      </c>
      <c r="L847" s="21" t="s">
        <v>4634</v>
      </c>
      <c r="M847" s="21"/>
      <c r="N847" s="21" t="s">
        <v>4635</v>
      </c>
      <c r="O847" s="285" t="s">
        <v>4636</v>
      </c>
      <c r="P847" s="27">
        <v>6740</v>
      </c>
      <c r="Q847" s="30">
        <v>64.53</v>
      </c>
      <c r="R847" s="27">
        <f t="shared" si="60"/>
        <v>434932.2</v>
      </c>
      <c r="S847" s="28">
        <v>202306</v>
      </c>
      <c r="T847" s="31" t="s">
        <v>4637</v>
      </c>
      <c r="U847" s="274"/>
      <c r="V847" s="38">
        <v>64.529418945000003</v>
      </c>
      <c r="W847" s="39"/>
      <c r="X847" s="21">
        <v>44927</v>
      </c>
      <c r="Y847" s="21">
        <v>45107</v>
      </c>
      <c r="Z847" s="44" t="s">
        <v>4638</v>
      </c>
      <c r="AA847" s="301">
        <v>0.4</v>
      </c>
      <c r="AB847" s="46">
        <v>160</v>
      </c>
      <c r="AC847" s="46">
        <f t="shared" si="61"/>
        <v>64</v>
      </c>
    </row>
    <row r="848" spans="1:29" s="2" customFormat="1" ht="15" customHeight="1">
      <c r="A848" s="8" t="s">
        <v>267</v>
      </c>
      <c r="B848" s="8" t="s">
        <v>3666</v>
      </c>
      <c r="C848" s="9" t="s">
        <v>1747</v>
      </c>
      <c r="D848" s="9" t="s">
        <v>3667</v>
      </c>
      <c r="E848" s="9" t="s">
        <v>4630</v>
      </c>
      <c r="F848" s="11" t="s">
        <v>4631</v>
      </c>
      <c r="G848" s="12" t="s">
        <v>34</v>
      </c>
      <c r="H848" s="9" t="s">
        <v>4632</v>
      </c>
      <c r="I848" s="11" t="e">
        <f>VLOOKUP(H848,合同高级查询数据!$A$2:$A$51,1,FALSE)</f>
        <v>#N/A</v>
      </c>
      <c r="J848" s="15" t="s">
        <v>36</v>
      </c>
      <c r="K848" s="16"/>
      <c r="L848" s="21" t="s">
        <v>4639</v>
      </c>
      <c r="M848" s="21"/>
      <c r="N848" s="21">
        <v>44958</v>
      </c>
      <c r="O848" s="285" t="s">
        <v>582</v>
      </c>
      <c r="P848" s="27">
        <v>6740</v>
      </c>
      <c r="Q848" s="30">
        <v>130.41999999999999</v>
      </c>
      <c r="R848" s="27">
        <f t="shared" si="60"/>
        <v>879030.8</v>
      </c>
      <c r="S848" s="28">
        <v>202306</v>
      </c>
      <c r="T848" s="31" t="s">
        <v>4640</v>
      </c>
      <c r="U848" s="274"/>
      <c r="V848" s="38">
        <v>130.41549682600001</v>
      </c>
      <c r="W848" s="39"/>
      <c r="X848" s="21">
        <v>44927</v>
      </c>
      <c r="Y848" s="21">
        <v>45107</v>
      </c>
      <c r="Z848" s="44" t="s">
        <v>4641</v>
      </c>
      <c r="AA848" s="301">
        <v>0.4</v>
      </c>
      <c r="AB848" s="46">
        <v>300</v>
      </c>
      <c r="AC848" s="46">
        <f t="shared" si="61"/>
        <v>120</v>
      </c>
    </row>
    <row r="849" spans="1:29" s="3" customFormat="1" ht="15" customHeight="1">
      <c r="A849" s="49" t="s">
        <v>267</v>
      </c>
      <c r="B849" s="49" t="s">
        <v>3666</v>
      </c>
      <c r="C849" s="50" t="s">
        <v>2174</v>
      </c>
      <c r="D849" s="50" t="s">
        <v>3667</v>
      </c>
      <c r="E849" s="50" t="s">
        <v>4642</v>
      </c>
      <c r="F849" s="53" t="s">
        <v>4643</v>
      </c>
      <c r="G849" s="51" t="s">
        <v>34</v>
      </c>
      <c r="H849" s="50" t="s">
        <v>4644</v>
      </c>
      <c r="I849" s="53" t="e">
        <f>VLOOKUP(H849,合同高级查询数据!$A$2:$A$51,1,FALSE)</f>
        <v>#N/A</v>
      </c>
      <c r="J849" s="52" t="s">
        <v>36</v>
      </c>
      <c r="K849" s="54" t="s">
        <v>2174</v>
      </c>
      <c r="L849" s="55" t="s">
        <v>4643</v>
      </c>
      <c r="M849" s="55"/>
      <c r="N849" s="55">
        <v>42659</v>
      </c>
      <c r="O849" s="284" t="s">
        <v>1422</v>
      </c>
      <c r="P849" s="58">
        <v>6740</v>
      </c>
      <c r="Q849" s="57">
        <v>0</v>
      </c>
      <c r="R849" s="58">
        <f t="shared" si="60"/>
        <v>0</v>
      </c>
      <c r="S849" s="59">
        <v>202306</v>
      </c>
      <c r="T849" s="60" t="s">
        <v>4645</v>
      </c>
      <c r="U849" s="61"/>
      <c r="V849" s="62">
        <v>0</v>
      </c>
      <c r="W849" s="255"/>
      <c r="X849" s="55">
        <v>44927</v>
      </c>
      <c r="Y849" s="55"/>
      <c r="Z849" s="201" t="s">
        <v>4646</v>
      </c>
      <c r="AA849" s="295">
        <v>0.4</v>
      </c>
      <c r="AB849" s="263">
        <v>0</v>
      </c>
      <c r="AC849" s="263">
        <f t="shared" si="61"/>
        <v>0</v>
      </c>
    </row>
    <row r="850" spans="1:29" s="3" customFormat="1" ht="15" customHeight="1">
      <c r="A850" s="49" t="s">
        <v>267</v>
      </c>
      <c r="B850" s="49" t="s">
        <v>3666</v>
      </c>
      <c r="C850" s="50" t="s">
        <v>2174</v>
      </c>
      <c r="D850" s="50" t="s">
        <v>3667</v>
      </c>
      <c r="E850" s="50" t="s">
        <v>4642</v>
      </c>
      <c r="F850" s="53" t="s">
        <v>4643</v>
      </c>
      <c r="G850" s="51" t="s">
        <v>34</v>
      </c>
      <c r="H850" s="50" t="s">
        <v>4644</v>
      </c>
      <c r="I850" s="53" t="e">
        <f>VLOOKUP(H850,合同高级查询数据!$A$2:$A$51,1,FALSE)</f>
        <v>#N/A</v>
      </c>
      <c r="J850" s="52" t="s">
        <v>36</v>
      </c>
      <c r="K850" s="54" t="s">
        <v>4647</v>
      </c>
      <c r="L850" s="55" t="s">
        <v>4648</v>
      </c>
      <c r="M850" s="55"/>
      <c r="N850" s="55" t="s">
        <v>4649</v>
      </c>
      <c r="O850" s="284" t="s">
        <v>4650</v>
      </c>
      <c r="P850" s="58">
        <v>6740</v>
      </c>
      <c r="Q850" s="57">
        <v>0</v>
      </c>
      <c r="R850" s="58">
        <f t="shared" si="60"/>
        <v>0</v>
      </c>
      <c r="S850" s="59">
        <v>202306</v>
      </c>
      <c r="T850" s="60" t="s">
        <v>4651</v>
      </c>
      <c r="U850" s="61"/>
      <c r="V850" s="62">
        <v>0</v>
      </c>
      <c r="W850" s="255"/>
      <c r="X850" s="55">
        <v>44927</v>
      </c>
      <c r="Y850" s="55"/>
      <c r="Z850" s="201" t="s">
        <v>4652</v>
      </c>
      <c r="AA850" s="295">
        <v>0.4</v>
      </c>
      <c r="AB850" s="263">
        <v>10</v>
      </c>
      <c r="AC850" s="263">
        <f t="shared" si="61"/>
        <v>4</v>
      </c>
    </row>
    <row r="851" spans="1:29" s="3" customFormat="1" ht="15" customHeight="1">
      <c r="A851" s="49" t="s">
        <v>267</v>
      </c>
      <c r="B851" s="49" t="s">
        <v>3666</v>
      </c>
      <c r="C851" s="50" t="s">
        <v>2174</v>
      </c>
      <c r="D851" s="50" t="s">
        <v>3667</v>
      </c>
      <c r="E851" s="50" t="s">
        <v>4642</v>
      </c>
      <c r="F851" s="53" t="s">
        <v>4643</v>
      </c>
      <c r="G851" s="51" t="s">
        <v>34</v>
      </c>
      <c r="H851" s="50" t="s">
        <v>4644</v>
      </c>
      <c r="I851" s="53" t="e">
        <f>VLOOKUP(H851,合同高级查询数据!$A$2:$A$51,1,FALSE)</f>
        <v>#N/A</v>
      </c>
      <c r="J851" s="52" t="s">
        <v>36</v>
      </c>
      <c r="K851" s="54" t="s">
        <v>4653</v>
      </c>
      <c r="L851" s="55" t="s">
        <v>4654</v>
      </c>
      <c r="M851" s="55"/>
      <c r="N851" s="55">
        <v>45017</v>
      </c>
      <c r="O851" s="284" t="s">
        <v>542</v>
      </c>
      <c r="P851" s="58">
        <v>6740</v>
      </c>
      <c r="Q851" s="57">
        <v>6.92</v>
      </c>
      <c r="R851" s="58">
        <f t="shared" si="60"/>
        <v>46640.800000000003</v>
      </c>
      <c r="S851" s="59">
        <v>202306</v>
      </c>
      <c r="T851" s="60" t="s">
        <v>4655</v>
      </c>
      <c r="U851" s="61"/>
      <c r="V851" s="62">
        <v>6.91834259</v>
      </c>
      <c r="W851" s="255"/>
      <c r="X851" s="55">
        <v>44927</v>
      </c>
      <c r="Y851" s="55"/>
      <c r="Z851" s="201" t="s">
        <v>4656</v>
      </c>
      <c r="AA851" s="295">
        <v>0.4</v>
      </c>
      <c r="AB851" s="263">
        <v>10</v>
      </c>
      <c r="AC851" s="263">
        <f t="shared" si="61"/>
        <v>4</v>
      </c>
    </row>
    <row r="852" spans="1:29" s="3" customFormat="1" ht="15" customHeight="1">
      <c r="A852" s="49" t="s">
        <v>267</v>
      </c>
      <c r="B852" s="49" t="s">
        <v>3666</v>
      </c>
      <c r="C852" s="50" t="s">
        <v>2174</v>
      </c>
      <c r="D852" s="50" t="s">
        <v>3667</v>
      </c>
      <c r="E852" s="50" t="s">
        <v>4642</v>
      </c>
      <c r="F852" s="53" t="s">
        <v>4643</v>
      </c>
      <c r="G852" s="51" t="s">
        <v>34</v>
      </c>
      <c r="H852" s="50" t="s">
        <v>4644</v>
      </c>
      <c r="I852" s="53" t="e">
        <f>VLOOKUP(H852,合同高级查询数据!$A$2:$A$51,1,FALSE)</f>
        <v>#N/A</v>
      </c>
      <c r="J852" s="52" t="s">
        <v>440</v>
      </c>
      <c r="K852" s="54" t="s">
        <v>2174</v>
      </c>
      <c r="L852" s="55" t="s">
        <v>4657</v>
      </c>
      <c r="M852" s="55" t="s">
        <v>4658</v>
      </c>
      <c r="N852" s="55">
        <v>42733</v>
      </c>
      <c r="O852" s="284" t="s">
        <v>542</v>
      </c>
      <c r="P852" s="58">
        <v>6740</v>
      </c>
      <c r="Q852" s="57">
        <v>2.13</v>
      </c>
      <c r="R852" s="58">
        <f t="shared" si="60"/>
        <v>14356.2</v>
      </c>
      <c r="S852" s="59">
        <v>202306</v>
      </c>
      <c r="T852" s="60" t="s">
        <v>4659</v>
      </c>
      <c r="U852" s="61"/>
      <c r="V852" s="62">
        <v>2.13</v>
      </c>
      <c r="W852" s="255"/>
      <c r="X852" s="55">
        <v>44927</v>
      </c>
      <c r="Y852" s="55"/>
      <c r="Z852" s="201" t="s">
        <v>4660</v>
      </c>
      <c r="AA852" s="295">
        <v>0.4</v>
      </c>
      <c r="AB852" s="263">
        <v>10</v>
      </c>
      <c r="AC852" s="263">
        <f t="shared" si="61"/>
        <v>4</v>
      </c>
    </row>
    <row r="853" spans="1:29" s="2" customFormat="1" ht="15" customHeight="1">
      <c r="A853" s="8" t="s">
        <v>28</v>
      </c>
      <c r="B853" s="9" t="s">
        <v>3666</v>
      </c>
      <c r="C853" s="9" t="s">
        <v>30</v>
      </c>
      <c r="D853" s="9" t="s">
        <v>71</v>
      </c>
      <c r="E853" s="9" t="s">
        <v>4661</v>
      </c>
      <c r="F853" s="12" t="s">
        <v>4662</v>
      </c>
      <c r="G853" s="9" t="s">
        <v>34</v>
      </c>
      <c r="H853" s="15" t="s">
        <v>4663</v>
      </c>
      <c r="I853" s="11" t="e">
        <f>VLOOKUP(H853,合同高级查询数据!$A$2:$A$51,1,FALSE)</f>
        <v>#N/A</v>
      </c>
      <c r="J853" s="16" t="s">
        <v>36</v>
      </c>
      <c r="K853" s="21" t="s">
        <v>70</v>
      </c>
      <c r="L853" s="21" t="s">
        <v>4664</v>
      </c>
      <c r="M853" s="21" t="s">
        <v>4665</v>
      </c>
      <c r="N853" s="21" t="s">
        <v>4666</v>
      </c>
      <c r="O853" s="298" t="s">
        <v>4667</v>
      </c>
      <c r="P853" s="30">
        <v>500</v>
      </c>
      <c r="Q853" s="27">
        <v>140</v>
      </c>
      <c r="R853" s="27">
        <f t="shared" si="60"/>
        <v>70000</v>
      </c>
      <c r="S853" s="28">
        <v>202306</v>
      </c>
      <c r="T853" s="299" t="s">
        <v>4668</v>
      </c>
      <c r="U853" s="274"/>
      <c r="V853" s="38">
        <v>41.054285430999997</v>
      </c>
      <c r="W853" s="300"/>
      <c r="X853" s="36">
        <v>44197</v>
      </c>
      <c r="Y853" s="36">
        <v>45291</v>
      </c>
      <c r="Z853" s="5" t="s">
        <v>4669</v>
      </c>
      <c r="AA853" s="260">
        <v>1</v>
      </c>
      <c r="AB853" s="38">
        <v>140</v>
      </c>
      <c r="AC853" s="46">
        <f t="shared" si="61"/>
        <v>140</v>
      </c>
    </row>
    <row r="854" spans="1:29" s="2" customFormat="1" ht="15" customHeight="1">
      <c r="A854" s="8" t="s">
        <v>28</v>
      </c>
      <c r="B854" s="9" t="s">
        <v>3666</v>
      </c>
      <c r="C854" s="9" t="s">
        <v>30</v>
      </c>
      <c r="D854" s="9" t="s">
        <v>71</v>
      </c>
      <c r="E854" s="9" t="s">
        <v>4661</v>
      </c>
      <c r="F854" s="12" t="s">
        <v>4662</v>
      </c>
      <c r="G854" s="9" t="s">
        <v>34</v>
      </c>
      <c r="H854" s="15" t="s">
        <v>4663</v>
      </c>
      <c r="I854" s="11" t="e">
        <f>VLOOKUP(H854,合同高级查询数据!$A$2:$A$51,1,FALSE)</f>
        <v>#N/A</v>
      </c>
      <c r="J854" s="16" t="s">
        <v>36</v>
      </c>
      <c r="K854" s="21" t="s">
        <v>1727</v>
      </c>
      <c r="L854" s="21" t="s">
        <v>4670</v>
      </c>
      <c r="M854" s="21" t="s">
        <v>4671</v>
      </c>
      <c r="N854" s="21" t="s">
        <v>4666</v>
      </c>
      <c r="O854" s="298" t="s">
        <v>1395</v>
      </c>
      <c r="P854" s="30">
        <v>500</v>
      </c>
      <c r="Q854" s="27">
        <v>0</v>
      </c>
      <c r="R854" s="27">
        <f t="shared" si="60"/>
        <v>0</v>
      </c>
      <c r="S854" s="28">
        <v>202306</v>
      </c>
      <c r="T854" s="31" t="s">
        <v>4672</v>
      </c>
      <c r="U854" s="274"/>
      <c r="V854" s="38"/>
      <c r="W854" s="300"/>
      <c r="X854" s="36">
        <v>44197</v>
      </c>
      <c r="Y854" s="36">
        <v>45291</v>
      </c>
      <c r="Z854" s="302">
        <v>0</v>
      </c>
      <c r="AA854" s="302">
        <v>0</v>
      </c>
      <c r="AB854" s="302">
        <v>0</v>
      </c>
      <c r="AC854" s="46">
        <f t="shared" si="61"/>
        <v>0</v>
      </c>
    </row>
    <row r="855" spans="1:29" s="2" customFormat="1" ht="15" customHeight="1">
      <c r="A855" s="8" t="s">
        <v>28</v>
      </c>
      <c r="B855" s="9" t="s">
        <v>3666</v>
      </c>
      <c r="C855" s="9" t="s">
        <v>30</v>
      </c>
      <c r="D855" s="9" t="s">
        <v>71</v>
      </c>
      <c r="E855" s="9" t="s">
        <v>4661</v>
      </c>
      <c r="F855" s="12" t="s">
        <v>4662</v>
      </c>
      <c r="G855" s="9" t="s">
        <v>34</v>
      </c>
      <c r="H855" s="15" t="s">
        <v>4663</v>
      </c>
      <c r="I855" s="11" t="e">
        <f>VLOOKUP(H855,合同高级查询数据!$A$2:$A$51,1,FALSE)</f>
        <v>#N/A</v>
      </c>
      <c r="J855" s="16" t="s">
        <v>36</v>
      </c>
      <c r="K855" s="21" t="s">
        <v>545</v>
      </c>
      <c r="L855" s="21" t="s">
        <v>4673</v>
      </c>
      <c r="M855" s="21" t="s">
        <v>4674</v>
      </c>
      <c r="N855" s="21">
        <v>44197</v>
      </c>
      <c r="O855" s="298" t="s">
        <v>1941</v>
      </c>
      <c r="P855" s="30">
        <v>500</v>
      </c>
      <c r="Q855" s="27">
        <v>80</v>
      </c>
      <c r="R855" s="27">
        <f t="shared" si="60"/>
        <v>40000</v>
      </c>
      <c r="S855" s="28">
        <v>202306</v>
      </c>
      <c r="T855" s="31" t="s">
        <v>4675</v>
      </c>
      <c r="U855" s="274"/>
      <c r="V855" s="38">
        <v>15.263668975</v>
      </c>
      <c r="W855" s="300"/>
      <c r="X855" s="36">
        <v>44197</v>
      </c>
      <c r="Y855" s="36">
        <v>45291</v>
      </c>
      <c r="Z855" s="5" t="s">
        <v>4676</v>
      </c>
      <c r="AA855" s="260">
        <v>1</v>
      </c>
      <c r="AB855" s="38">
        <v>80</v>
      </c>
      <c r="AC855" s="46">
        <f t="shared" si="61"/>
        <v>80</v>
      </c>
    </row>
    <row r="856" spans="1:29" s="2" customFormat="1" ht="15" customHeight="1">
      <c r="A856" s="8" t="s">
        <v>28</v>
      </c>
      <c r="B856" s="9" t="s">
        <v>3666</v>
      </c>
      <c r="C856" s="9" t="s">
        <v>30</v>
      </c>
      <c r="D856" s="9" t="s">
        <v>71</v>
      </c>
      <c r="E856" s="9" t="s">
        <v>4661</v>
      </c>
      <c r="F856" s="12" t="s">
        <v>4662</v>
      </c>
      <c r="G856" s="9" t="s">
        <v>34</v>
      </c>
      <c r="H856" s="15" t="s">
        <v>4663</v>
      </c>
      <c r="I856" s="11" t="e">
        <f>VLOOKUP(H856,合同高级查询数据!$A$2:$A$51,1,FALSE)</f>
        <v>#N/A</v>
      </c>
      <c r="J856" s="16" t="s">
        <v>36</v>
      </c>
      <c r="K856" s="21" t="s">
        <v>2865</v>
      </c>
      <c r="L856" s="21" t="s">
        <v>4677</v>
      </c>
      <c r="M856" s="21" t="s">
        <v>4678</v>
      </c>
      <c r="N856" s="21">
        <v>44197</v>
      </c>
      <c r="O856" s="298" t="s">
        <v>1798</v>
      </c>
      <c r="P856" s="30">
        <v>500</v>
      </c>
      <c r="Q856" s="27">
        <v>40</v>
      </c>
      <c r="R856" s="27">
        <f t="shared" si="60"/>
        <v>20000</v>
      </c>
      <c r="S856" s="28">
        <v>202306</v>
      </c>
      <c r="T856" s="31" t="s">
        <v>4675</v>
      </c>
      <c r="U856" s="274"/>
      <c r="V856" s="38">
        <v>15.201003989</v>
      </c>
      <c r="W856" s="300"/>
      <c r="X856" s="36">
        <v>44197</v>
      </c>
      <c r="Y856" s="36">
        <v>45291</v>
      </c>
      <c r="Z856" s="5" t="s">
        <v>4679</v>
      </c>
      <c r="AA856" s="260">
        <v>1</v>
      </c>
      <c r="AB856" s="38">
        <v>40</v>
      </c>
      <c r="AC856" s="46">
        <f t="shared" si="61"/>
        <v>40</v>
      </c>
    </row>
    <row r="857" spans="1:29" s="2" customFormat="1" ht="15" customHeight="1">
      <c r="A857" s="8" t="s">
        <v>28</v>
      </c>
      <c r="B857" s="9" t="s">
        <v>3666</v>
      </c>
      <c r="C857" s="9" t="s">
        <v>30</v>
      </c>
      <c r="D857" s="9" t="s">
        <v>71</v>
      </c>
      <c r="E857" s="9" t="s">
        <v>4661</v>
      </c>
      <c r="F857" s="12" t="s">
        <v>4662</v>
      </c>
      <c r="G857" s="9" t="s">
        <v>34</v>
      </c>
      <c r="H857" s="15" t="s">
        <v>4663</v>
      </c>
      <c r="I857" s="11" t="e">
        <f>VLOOKUP(H857,合同高级查询数据!$A$2:$A$51,1,FALSE)</f>
        <v>#N/A</v>
      </c>
      <c r="J857" s="16" t="s">
        <v>36</v>
      </c>
      <c r="K857" s="21" t="s">
        <v>2268</v>
      </c>
      <c r="L857" s="21" t="s">
        <v>4680</v>
      </c>
      <c r="M857" s="21" t="s">
        <v>4681</v>
      </c>
      <c r="N857" s="21" t="s">
        <v>4666</v>
      </c>
      <c r="O857" s="298" t="s">
        <v>4682</v>
      </c>
      <c r="P857" s="30">
        <v>500</v>
      </c>
      <c r="Q857" s="27">
        <v>80</v>
      </c>
      <c r="R857" s="27">
        <f t="shared" si="60"/>
        <v>40000</v>
      </c>
      <c r="S857" s="28">
        <v>202306</v>
      </c>
      <c r="T857" s="299" t="s">
        <v>4683</v>
      </c>
      <c r="U857" s="274"/>
      <c r="V857" s="38">
        <v>24.374868162999999</v>
      </c>
      <c r="W857" s="300"/>
      <c r="X857" s="36">
        <v>44197</v>
      </c>
      <c r="Y857" s="36">
        <v>45291</v>
      </c>
      <c r="Z857" s="5" t="s">
        <v>4684</v>
      </c>
      <c r="AA857" s="260">
        <v>1</v>
      </c>
      <c r="AB857" s="38">
        <v>80</v>
      </c>
      <c r="AC857" s="46">
        <f t="shared" si="61"/>
        <v>80</v>
      </c>
    </row>
    <row r="858" spans="1:29" s="2" customFormat="1" ht="15" customHeight="1">
      <c r="A858" s="8" t="s">
        <v>28</v>
      </c>
      <c r="B858" s="9" t="s">
        <v>3666</v>
      </c>
      <c r="C858" s="9" t="s">
        <v>30</v>
      </c>
      <c r="D858" s="9" t="s">
        <v>71</v>
      </c>
      <c r="E858" s="9" t="s">
        <v>4661</v>
      </c>
      <c r="F858" s="12" t="s">
        <v>4662</v>
      </c>
      <c r="G858" s="9" t="s">
        <v>34</v>
      </c>
      <c r="H858" s="15" t="s">
        <v>4663</v>
      </c>
      <c r="I858" s="11" t="e">
        <f>VLOOKUP(H858,合同高级查询数据!$A$2:$A$51,1,FALSE)</f>
        <v>#N/A</v>
      </c>
      <c r="J858" s="16" t="s">
        <v>36</v>
      </c>
      <c r="K858" s="21" t="s">
        <v>1342</v>
      </c>
      <c r="L858" s="21" t="s">
        <v>4685</v>
      </c>
      <c r="M858" s="21" t="s">
        <v>4686</v>
      </c>
      <c r="N858" s="21" t="s">
        <v>4666</v>
      </c>
      <c r="O858" s="298" t="s">
        <v>4687</v>
      </c>
      <c r="P858" s="30">
        <v>500</v>
      </c>
      <c r="Q858" s="27">
        <v>140</v>
      </c>
      <c r="R858" s="27">
        <f t="shared" si="60"/>
        <v>70000</v>
      </c>
      <c r="S858" s="28">
        <v>202306</v>
      </c>
      <c r="T858" s="299" t="s">
        <v>4688</v>
      </c>
      <c r="U858" s="274"/>
      <c r="V858" s="38">
        <v>26.837522658000001</v>
      </c>
      <c r="W858" s="300"/>
      <c r="X858" s="36">
        <v>44197</v>
      </c>
      <c r="Y858" s="36">
        <v>45291</v>
      </c>
      <c r="Z858" s="5" t="s">
        <v>4689</v>
      </c>
      <c r="AA858" s="260">
        <v>1</v>
      </c>
      <c r="AB858" s="38">
        <v>140</v>
      </c>
      <c r="AC858" s="46">
        <f t="shared" si="61"/>
        <v>140</v>
      </c>
    </row>
    <row r="859" spans="1:29" s="2" customFormat="1" ht="15" customHeight="1">
      <c r="A859" s="8" t="s">
        <v>28</v>
      </c>
      <c r="B859" s="9" t="s">
        <v>3666</v>
      </c>
      <c r="C859" s="9" t="s">
        <v>30</v>
      </c>
      <c r="D859" s="9" t="s">
        <v>71</v>
      </c>
      <c r="E859" s="9" t="s">
        <v>4661</v>
      </c>
      <c r="F859" s="12" t="s">
        <v>4662</v>
      </c>
      <c r="G859" s="9" t="s">
        <v>34</v>
      </c>
      <c r="H859" s="15" t="s">
        <v>4663</v>
      </c>
      <c r="I859" s="11" t="e">
        <f>VLOOKUP(H859,合同高级查询数据!$A$2:$A$51,1,FALSE)</f>
        <v>#N/A</v>
      </c>
      <c r="J859" s="16" t="s">
        <v>36</v>
      </c>
      <c r="K859" s="21" t="s">
        <v>1428</v>
      </c>
      <c r="L859" s="21" t="s">
        <v>4690</v>
      </c>
      <c r="M859" s="21" t="s">
        <v>4691</v>
      </c>
      <c r="N859" s="21" t="s">
        <v>4666</v>
      </c>
      <c r="O859" s="298" t="s">
        <v>4692</v>
      </c>
      <c r="P859" s="30">
        <v>500</v>
      </c>
      <c r="Q859" s="27">
        <v>40</v>
      </c>
      <c r="R859" s="27">
        <f t="shared" si="60"/>
        <v>20000</v>
      </c>
      <c r="S859" s="28">
        <v>202306</v>
      </c>
      <c r="T859" s="299" t="s">
        <v>4693</v>
      </c>
      <c r="U859" s="274"/>
      <c r="V859" s="38">
        <v>5.0998877519999999</v>
      </c>
      <c r="W859" s="300"/>
      <c r="X859" s="36">
        <v>44197</v>
      </c>
      <c r="Y859" s="36">
        <v>45291</v>
      </c>
      <c r="Z859" s="5" t="s">
        <v>4694</v>
      </c>
      <c r="AA859" s="260">
        <v>1</v>
      </c>
      <c r="AB859" s="38">
        <v>40</v>
      </c>
      <c r="AC859" s="46">
        <f t="shared" si="61"/>
        <v>40</v>
      </c>
    </row>
    <row r="860" spans="1:29" s="2" customFormat="1" ht="15" customHeight="1">
      <c r="A860" s="8" t="s">
        <v>28</v>
      </c>
      <c r="B860" s="9" t="s">
        <v>3666</v>
      </c>
      <c r="C860" s="9" t="s">
        <v>30</v>
      </c>
      <c r="D860" s="9" t="s">
        <v>71</v>
      </c>
      <c r="E860" s="9" t="s">
        <v>4661</v>
      </c>
      <c r="F860" s="12" t="s">
        <v>4662</v>
      </c>
      <c r="G860" s="9" t="s">
        <v>34</v>
      </c>
      <c r="H860" s="15" t="s">
        <v>4663</v>
      </c>
      <c r="I860" s="11" t="e">
        <f>VLOOKUP(H860,合同高级查询数据!$A$2:$A$51,1,FALSE)</f>
        <v>#N/A</v>
      </c>
      <c r="J860" s="16" t="s">
        <v>36</v>
      </c>
      <c r="K860" s="21" t="s">
        <v>1445</v>
      </c>
      <c r="L860" s="21" t="s">
        <v>4695</v>
      </c>
      <c r="M860" s="21" t="s">
        <v>4696</v>
      </c>
      <c r="N860" s="21" t="s">
        <v>4666</v>
      </c>
      <c r="O860" s="298" t="s">
        <v>702</v>
      </c>
      <c r="P860" s="30">
        <v>500</v>
      </c>
      <c r="Q860" s="27">
        <v>20</v>
      </c>
      <c r="R860" s="27">
        <f t="shared" si="60"/>
        <v>10000</v>
      </c>
      <c r="S860" s="28">
        <v>202306</v>
      </c>
      <c r="T860" s="299" t="s">
        <v>4697</v>
      </c>
      <c r="U860" s="274"/>
      <c r="V860" s="38">
        <v>3.8603217650000001</v>
      </c>
      <c r="W860" s="300"/>
      <c r="X860" s="36">
        <v>44197</v>
      </c>
      <c r="Y860" s="36">
        <v>45291</v>
      </c>
      <c r="Z860" s="5" t="s">
        <v>4698</v>
      </c>
      <c r="AA860" s="260">
        <v>1</v>
      </c>
      <c r="AB860" s="38">
        <v>20</v>
      </c>
      <c r="AC860" s="178">
        <f t="shared" si="61"/>
        <v>20</v>
      </c>
    </row>
    <row r="861" spans="1:29" s="2" customFormat="1" ht="15" customHeight="1">
      <c r="A861" s="8" t="s">
        <v>28</v>
      </c>
      <c r="B861" s="9" t="s">
        <v>3666</v>
      </c>
      <c r="C861" s="9" t="s">
        <v>70</v>
      </c>
      <c r="D861" s="9" t="s">
        <v>71</v>
      </c>
      <c r="E861" s="9" t="s">
        <v>4699</v>
      </c>
      <c r="F861" s="12" t="s">
        <v>4700</v>
      </c>
      <c r="G861" s="9" t="s">
        <v>34</v>
      </c>
      <c r="H861" s="15" t="s">
        <v>4701</v>
      </c>
      <c r="I861" s="11" t="e">
        <f>VLOOKUP(H861,合同高级查询数据!$A$2:$A$51,1,FALSE)</f>
        <v>#N/A</v>
      </c>
      <c r="J861" s="16" t="s">
        <v>75</v>
      </c>
      <c r="K861" s="21" t="s">
        <v>4702</v>
      </c>
      <c r="L861" s="21" t="s">
        <v>4703</v>
      </c>
      <c r="M861" s="21" t="s">
        <v>4704</v>
      </c>
      <c r="N861" s="21" t="s">
        <v>4705</v>
      </c>
      <c r="O861" s="298" t="s">
        <v>4706</v>
      </c>
      <c r="P861" s="30">
        <v>1000</v>
      </c>
      <c r="Q861" s="27">
        <v>51.7</v>
      </c>
      <c r="R861" s="27">
        <f t="shared" si="60"/>
        <v>51700</v>
      </c>
      <c r="S861" s="28">
        <v>202306</v>
      </c>
      <c r="T861" s="31" t="s">
        <v>4707</v>
      </c>
      <c r="U861" s="274"/>
      <c r="V861" s="38">
        <v>51.644410436000001</v>
      </c>
      <c r="W861" s="300"/>
      <c r="X861" s="36">
        <v>44501</v>
      </c>
      <c r="Y861" s="36">
        <v>45291</v>
      </c>
      <c r="Z861" s="5" t="s">
        <v>4708</v>
      </c>
      <c r="AA861" s="260">
        <v>0</v>
      </c>
      <c r="AB861" s="38">
        <v>200</v>
      </c>
      <c r="AC861" s="178">
        <f t="shared" si="61"/>
        <v>0</v>
      </c>
    </row>
    <row r="862" spans="1:29" s="2" customFormat="1" ht="15" customHeight="1">
      <c r="A862" s="8" t="s">
        <v>28</v>
      </c>
      <c r="B862" s="9" t="s">
        <v>3666</v>
      </c>
      <c r="C862" s="9" t="s">
        <v>1727</v>
      </c>
      <c r="D862" s="9" t="s">
        <v>71</v>
      </c>
      <c r="E862" s="9" t="s">
        <v>4699</v>
      </c>
      <c r="F862" s="12" t="s">
        <v>4700</v>
      </c>
      <c r="G862" s="9" t="s">
        <v>34</v>
      </c>
      <c r="H862" s="15" t="s">
        <v>4701</v>
      </c>
      <c r="I862" s="11" t="e">
        <f>VLOOKUP(H862,合同高级查询数据!$A$2:$A$51,1,FALSE)</f>
        <v>#N/A</v>
      </c>
      <c r="J862" s="16" t="s">
        <v>75</v>
      </c>
      <c r="K862" s="21" t="s">
        <v>4709</v>
      </c>
      <c r="L862" s="21" t="s">
        <v>4710</v>
      </c>
      <c r="M862" s="21" t="s">
        <v>4711</v>
      </c>
      <c r="N862" s="21" t="s">
        <v>4712</v>
      </c>
      <c r="O862" s="298" t="s">
        <v>4713</v>
      </c>
      <c r="P862" s="30">
        <v>1000</v>
      </c>
      <c r="Q862" s="27">
        <v>14.2</v>
      </c>
      <c r="R862" s="27">
        <f t="shared" si="60"/>
        <v>14200</v>
      </c>
      <c r="S862" s="28">
        <v>202306</v>
      </c>
      <c r="T862" s="31" t="s">
        <v>4714</v>
      </c>
      <c r="U862" s="274"/>
      <c r="V862" s="38">
        <v>14.122822788000001</v>
      </c>
      <c r="W862" s="300"/>
      <c r="X862" s="36">
        <v>44501</v>
      </c>
      <c r="Y862" s="36">
        <v>45291</v>
      </c>
      <c r="Z862" s="5" t="s">
        <v>4715</v>
      </c>
      <c r="AA862" s="260">
        <v>0</v>
      </c>
      <c r="AB862" s="38">
        <v>80</v>
      </c>
      <c r="AC862" s="178">
        <f t="shared" si="61"/>
        <v>0</v>
      </c>
    </row>
    <row r="863" spans="1:29" s="3" customFormat="1" ht="15" customHeight="1">
      <c r="A863" s="49" t="s">
        <v>28</v>
      </c>
      <c r="B863" s="50" t="s">
        <v>3666</v>
      </c>
      <c r="C863" s="50" t="s">
        <v>30</v>
      </c>
      <c r="D863" s="50" t="s">
        <v>71</v>
      </c>
      <c r="E863" s="50" t="s">
        <v>4716</v>
      </c>
      <c r="F863" s="51" t="s">
        <v>4717</v>
      </c>
      <c r="G863" s="50" t="s">
        <v>34</v>
      </c>
      <c r="H863" s="52" t="s">
        <v>4718</v>
      </c>
      <c r="I863" s="53" t="e">
        <f>VLOOKUP(H863,合同高级查询数据!$A$2:$A$51,1,FALSE)</f>
        <v>#N/A</v>
      </c>
      <c r="J863" s="54" t="s">
        <v>75</v>
      </c>
      <c r="K863" s="55" t="s">
        <v>4719</v>
      </c>
      <c r="L863" s="55" t="s">
        <v>4720</v>
      </c>
      <c r="M863" s="55" t="s">
        <v>4721</v>
      </c>
      <c r="N863" s="55">
        <v>39630</v>
      </c>
      <c r="O863" s="56" t="s">
        <v>1798</v>
      </c>
      <c r="P863" s="57">
        <v>50000</v>
      </c>
      <c r="Q863" s="58">
        <v>8.5</v>
      </c>
      <c r="R863" s="58">
        <f t="shared" si="60"/>
        <v>425000</v>
      </c>
      <c r="S863" s="59">
        <v>202306</v>
      </c>
      <c r="T863" s="60" t="s">
        <v>4722</v>
      </c>
      <c r="U863" s="61"/>
      <c r="V863" s="62">
        <v>17.380517264000002</v>
      </c>
      <c r="W863" s="63"/>
      <c r="X863" s="64"/>
      <c r="Y863" s="64"/>
      <c r="Z863" s="65" t="s">
        <v>4723</v>
      </c>
      <c r="AA863" s="66">
        <v>0.21249999999999999</v>
      </c>
      <c r="AB863" s="62">
        <v>40</v>
      </c>
      <c r="AC863" s="196">
        <f t="shared" si="61"/>
        <v>8.5</v>
      </c>
    </row>
    <row r="864" spans="1:29" s="3" customFormat="1" ht="15" customHeight="1">
      <c r="A864" s="49" t="s">
        <v>28</v>
      </c>
      <c r="B864" s="50" t="s">
        <v>3666</v>
      </c>
      <c r="C864" s="50" t="s">
        <v>30</v>
      </c>
      <c r="D864" s="50" t="s">
        <v>71</v>
      </c>
      <c r="E864" s="50" t="s">
        <v>4716</v>
      </c>
      <c r="F864" s="51" t="s">
        <v>4717</v>
      </c>
      <c r="G864" s="50" t="s">
        <v>34</v>
      </c>
      <c r="H864" s="52" t="s">
        <v>4724</v>
      </c>
      <c r="I864" s="53" t="e">
        <f>VLOOKUP(H864,合同高级查询数据!$A$2:$A$51,1,FALSE)</f>
        <v>#N/A</v>
      </c>
      <c r="J864" s="54" t="s">
        <v>75</v>
      </c>
      <c r="K864" s="55" t="s">
        <v>4725</v>
      </c>
      <c r="L864" s="55" t="s">
        <v>4726</v>
      </c>
      <c r="M864" s="55" t="s">
        <v>1361</v>
      </c>
      <c r="N864" s="55">
        <v>42347</v>
      </c>
      <c r="O864" s="56" t="s">
        <v>222</v>
      </c>
      <c r="P864" s="57">
        <v>50000</v>
      </c>
      <c r="Q864" s="58">
        <v>0</v>
      </c>
      <c r="R864" s="58">
        <f t="shared" si="60"/>
        <v>0</v>
      </c>
      <c r="S864" s="59">
        <v>202306</v>
      </c>
      <c r="T864" s="60" t="s">
        <v>4727</v>
      </c>
      <c r="U864" s="61"/>
      <c r="V864" s="62">
        <v>1.667859722</v>
      </c>
      <c r="W864" s="63"/>
      <c r="X864" s="64"/>
      <c r="Y864" s="65"/>
      <c r="Z864" s="65" t="s">
        <v>4728</v>
      </c>
      <c r="AA864" s="66">
        <v>0</v>
      </c>
      <c r="AB864" s="62">
        <v>20</v>
      </c>
      <c r="AC864" s="196">
        <f t="shared" si="61"/>
        <v>0</v>
      </c>
    </row>
    <row r="865" spans="1:29" s="3" customFormat="1" ht="15" customHeight="1">
      <c r="A865" s="49" t="s">
        <v>28</v>
      </c>
      <c r="B865" s="50" t="s">
        <v>3666</v>
      </c>
      <c r="C865" s="50" t="s">
        <v>30</v>
      </c>
      <c r="D865" s="50" t="s">
        <v>71</v>
      </c>
      <c r="E865" s="50" t="s">
        <v>4716</v>
      </c>
      <c r="F865" s="51" t="s">
        <v>4717</v>
      </c>
      <c r="G865" s="50" t="s">
        <v>34</v>
      </c>
      <c r="H865" s="52" t="s">
        <v>4718</v>
      </c>
      <c r="I865" s="53" t="e">
        <f>VLOOKUP(H865,合同高级查询数据!$A$2:$A$51,1,FALSE)</f>
        <v>#N/A</v>
      </c>
      <c r="J865" s="54" t="s">
        <v>36</v>
      </c>
      <c r="K865" s="55" t="s">
        <v>4729</v>
      </c>
      <c r="L865" s="55" t="s">
        <v>4730</v>
      </c>
      <c r="M865" s="55" t="s">
        <v>4731</v>
      </c>
      <c r="N865" s="55" t="s">
        <v>4732</v>
      </c>
      <c r="O865" s="56" t="s">
        <v>277</v>
      </c>
      <c r="P865" s="57">
        <v>8500</v>
      </c>
      <c r="Q865" s="58">
        <v>24.2</v>
      </c>
      <c r="R865" s="58">
        <f t="shared" si="60"/>
        <v>205700</v>
      </c>
      <c r="S865" s="59">
        <v>202306</v>
      </c>
      <c r="T865" s="60" t="s">
        <v>4733</v>
      </c>
      <c r="U865" s="61"/>
      <c r="V865" s="62">
        <v>24.192409781999999</v>
      </c>
      <c r="W865" s="63"/>
      <c r="X865" s="64"/>
      <c r="Y865" s="64"/>
      <c r="Z865" s="65" t="s">
        <v>4734</v>
      </c>
      <c r="AA865" s="66">
        <v>0.24</v>
      </c>
      <c r="AB865" s="62">
        <v>100</v>
      </c>
      <c r="AC865" s="196">
        <f t="shared" si="61"/>
        <v>24</v>
      </c>
    </row>
    <row r="866" spans="1:29" s="3" customFormat="1" ht="15" customHeight="1">
      <c r="A866" s="49" t="s">
        <v>28</v>
      </c>
      <c r="B866" s="50" t="s">
        <v>3666</v>
      </c>
      <c r="C866" s="50" t="s">
        <v>70</v>
      </c>
      <c r="D866" s="50" t="s">
        <v>71</v>
      </c>
      <c r="E866" s="50" t="s">
        <v>4716</v>
      </c>
      <c r="F866" s="51" t="s">
        <v>4717</v>
      </c>
      <c r="G866" s="50" t="s">
        <v>34</v>
      </c>
      <c r="H866" s="52" t="s">
        <v>4735</v>
      </c>
      <c r="I866" s="53" t="e">
        <f>VLOOKUP(H866,合同高级查询数据!$A$2:$A$51,1,FALSE)</f>
        <v>#N/A</v>
      </c>
      <c r="J866" s="54" t="s">
        <v>36</v>
      </c>
      <c r="K866" s="55"/>
      <c r="L866" s="55" t="s">
        <v>4736</v>
      </c>
      <c r="M866" s="55" t="s">
        <v>4737</v>
      </c>
      <c r="N866" s="55" t="s">
        <v>4738</v>
      </c>
      <c r="O866" s="56" t="s">
        <v>542</v>
      </c>
      <c r="P866" s="57">
        <v>0</v>
      </c>
      <c r="Q866" s="58">
        <v>0</v>
      </c>
      <c r="R866" s="58">
        <f t="shared" si="60"/>
        <v>0</v>
      </c>
      <c r="S866" s="59">
        <v>202306</v>
      </c>
      <c r="T866" s="60" t="s">
        <v>4739</v>
      </c>
      <c r="U866" s="61"/>
      <c r="V866" s="62">
        <v>0</v>
      </c>
      <c r="W866" s="63"/>
      <c r="X866" s="64"/>
      <c r="Y866" s="65"/>
      <c r="Z866" s="65" t="s">
        <v>4740</v>
      </c>
      <c r="AA866" s="66">
        <v>0</v>
      </c>
      <c r="AB866" s="62">
        <v>10</v>
      </c>
      <c r="AC866" s="196">
        <f t="shared" si="61"/>
        <v>0</v>
      </c>
    </row>
    <row r="867" spans="1:29" s="2" customFormat="1" ht="15" customHeight="1">
      <c r="A867" s="8" t="s">
        <v>28</v>
      </c>
      <c r="B867" s="9" t="s">
        <v>3762</v>
      </c>
      <c r="C867" s="9" t="s">
        <v>860</v>
      </c>
      <c r="D867" s="9" t="s">
        <v>71</v>
      </c>
      <c r="E867" s="9" t="s">
        <v>4741</v>
      </c>
      <c r="F867" s="12" t="s">
        <v>4742</v>
      </c>
      <c r="G867" s="9" t="s">
        <v>34</v>
      </c>
      <c r="H867" s="15" t="s">
        <v>4743</v>
      </c>
      <c r="I867" s="11" t="e">
        <f>VLOOKUP(H867,合同高级查询数据!$A$2:$A$51,1,FALSE)</f>
        <v>#N/A</v>
      </c>
      <c r="J867" s="16" t="s">
        <v>36</v>
      </c>
      <c r="K867" s="21" t="s">
        <v>4744</v>
      </c>
      <c r="L867" s="21" t="s">
        <v>4745</v>
      </c>
      <c r="M867" s="21" t="s">
        <v>4746</v>
      </c>
      <c r="N867" s="21">
        <v>44819</v>
      </c>
      <c r="O867" s="298" t="s">
        <v>222</v>
      </c>
      <c r="P867" s="30">
        <v>0</v>
      </c>
      <c r="Q867" s="27">
        <v>0</v>
      </c>
      <c r="R867" s="27">
        <f t="shared" si="60"/>
        <v>0</v>
      </c>
      <c r="S867" s="28">
        <v>202306</v>
      </c>
      <c r="T867" s="31" t="s">
        <v>4747</v>
      </c>
      <c r="U867" s="274"/>
      <c r="V867" s="38">
        <v>0</v>
      </c>
      <c r="W867" s="300"/>
      <c r="X867" s="36">
        <v>44774</v>
      </c>
      <c r="Y867" s="36">
        <v>45138</v>
      </c>
      <c r="Z867" s="5" t="s">
        <v>4748</v>
      </c>
      <c r="AA867" s="260">
        <v>0</v>
      </c>
      <c r="AB867" s="38">
        <v>20</v>
      </c>
      <c r="AC867" s="302">
        <f t="shared" si="61"/>
        <v>0</v>
      </c>
    </row>
    <row r="868" spans="1:29" s="2" customFormat="1" ht="15" customHeight="1">
      <c r="A868" s="8" t="s">
        <v>260</v>
      </c>
      <c r="B868" s="9" t="s">
        <v>4749</v>
      </c>
      <c r="C868" s="9" t="s">
        <v>70</v>
      </c>
      <c r="D868" s="9" t="s">
        <v>3667</v>
      </c>
      <c r="E868" s="9" t="s">
        <v>4750</v>
      </c>
      <c r="F868" s="12" t="s">
        <v>4751</v>
      </c>
      <c r="G868" s="9" t="s">
        <v>34</v>
      </c>
      <c r="H868" s="15" t="s">
        <v>4752</v>
      </c>
      <c r="I868" s="11" t="e">
        <f>VLOOKUP(H868,合同高级查询数据!$A$2:$A$51,1,FALSE)</f>
        <v>#N/A</v>
      </c>
      <c r="J868" s="16" t="s">
        <v>1359</v>
      </c>
      <c r="K868" s="21" t="s">
        <v>4753</v>
      </c>
      <c r="L868" s="21" t="s">
        <v>4754</v>
      </c>
      <c r="M868" s="21"/>
      <c r="N868" s="21" t="s">
        <v>4755</v>
      </c>
      <c r="O868" s="298" t="s">
        <v>4756</v>
      </c>
      <c r="P868" s="30">
        <v>21000</v>
      </c>
      <c r="Q868" s="27">
        <v>106</v>
      </c>
      <c r="R868" s="27">
        <f t="shared" si="60"/>
        <v>2226000</v>
      </c>
      <c r="S868" s="28">
        <v>202306</v>
      </c>
      <c r="T868" s="31" t="s">
        <v>4757</v>
      </c>
      <c r="U868" s="274"/>
      <c r="V868" s="38">
        <v>105.946754325</v>
      </c>
      <c r="W868" s="300"/>
      <c r="X868" s="36">
        <v>44013</v>
      </c>
      <c r="Y868" s="36">
        <v>45107</v>
      </c>
      <c r="Z868" s="5" t="s">
        <v>4758</v>
      </c>
      <c r="AA868" s="260">
        <f>AC868/AB868</f>
        <v>0.38461538461538464</v>
      </c>
      <c r="AB868" s="38">
        <v>260</v>
      </c>
      <c r="AC868" s="302">
        <v>100</v>
      </c>
    </row>
    <row r="869" spans="1:29" s="2" customFormat="1" ht="15" customHeight="1">
      <c r="A869" s="8" t="s">
        <v>260</v>
      </c>
      <c r="B869" s="9" t="s">
        <v>4749</v>
      </c>
      <c r="C869" s="9" t="s">
        <v>70</v>
      </c>
      <c r="D869" s="9" t="s">
        <v>3667</v>
      </c>
      <c r="E869" s="9" t="s">
        <v>4750</v>
      </c>
      <c r="F869" s="12" t="s">
        <v>4751</v>
      </c>
      <c r="G869" s="9" t="s">
        <v>34</v>
      </c>
      <c r="H869" s="15" t="s">
        <v>4752</v>
      </c>
      <c r="I869" s="11" t="e">
        <f>VLOOKUP(H869,合同高级查询数据!$A$2:$A$51,1,FALSE)</f>
        <v>#N/A</v>
      </c>
      <c r="J869" s="16" t="s">
        <v>1359</v>
      </c>
      <c r="K869" s="21" t="s">
        <v>4753</v>
      </c>
      <c r="L869" s="21" t="s">
        <v>4754</v>
      </c>
      <c r="M869" s="21"/>
      <c r="N869" s="21" t="s">
        <v>4755</v>
      </c>
      <c r="O869" s="298" t="s">
        <v>4756</v>
      </c>
      <c r="P869" s="30">
        <v>21000</v>
      </c>
      <c r="Q869" s="27">
        <f>102-100</f>
        <v>2</v>
      </c>
      <c r="R869" s="27">
        <f t="shared" si="60"/>
        <v>42000</v>
      </c>
      <c r="S869" s="28">
        <v>202305</v>
      </c>
      <c r="T869" s="31" t="s">
        <v>4759</v>
      </c>
      <c r="U869" s="274"/>
      <c r="V869" s="38">
        <v>96.933200811999995</v>
      </c>
      <c r="W869" s="300">
        <v>105.2</v>
      </c>
      <c r="X869" s="36">
        <v>44013</v>
      </c>
      <c r="Y869" s="36">
        <v>45107</v>
      </c>
      <c r="Z869" s="5" t="s">
        <v>4758</v>
      </c>
      <c r="AA869" s="260">
        <f>AC869/AB869</f>
        <v>0.38461538461538464</v>
      </c>
      <c r="AB869" s="38">
        <v>260</v>
      </c>
      <c r="AC869" s="302">
        <v>100</v>
      </c>
    </row>
    <row r="870" spans="1:29" s="2" customFormat="1" ht="15" customHeight="1">
      <c r="A870" s="8" t="s">
        <v>260</v>
      </c>
      <c r="B870" s="9" t="s">
        <v>4749</v>
      </c>
      <c r="C870" s="9" t="s">
        <v>70</v>
      </c>
      <c r="D870" s="9" t="s">
        <v>3667</v>
      </c>
      <c r="E870" s="9" t="s">
        <v>4750</v>
      </c>
      <c r="F870" s="12" t="s">
        <v>4751</v>
      </c>
      <c r="G870" s="9" t="s">
        <v>34</v>
      </c>
      <c r="H870" s="15" t="s">
        <v>4752</v>
      </c>
      <c r="I870" s="11" t="e">
        <f>VLOOKUP(H870,合同高级查询数据!$A$2:$A$51,1,FALSE)</f>
        <v>#N/A</v>
      </c>
      <c r="J870" s="16" t="s">
        <v>1359</v>
      </c>
      <c r="K870" s="21" t="s">
        <v>4760</v>
      </c>
      <c r="L870" s="21" t="s">
        <v>4761</v>
      </c>
      <c r="M870" s="21"/>
      <c r="N870" s="21">
        <v>39326</v>
      </c>
      <c r="O870" s="298" t="s">
        <v>2086</v>
      </c>
      <c r="P870" s="30">
        <v>21000</v>
      </c>
      <c r="Q870" s="27">
        <v>0</v>
      </c>
      <c r="R870" s="27">
        <f t="shared" si="60"/>
        <v>0</v>
      </c>
      <c r="S870" s="28">
        <v>202306</v>
      </c>
      <c r="T870" s="31" t="s">
        <v>4762</v>
      </c>
      <c r="U870" s="274"/>
      <c r="V870" s="38">
        <v>0</v>
      </c>
      <c r="W870" s="300"/>
      <c r="X870" s="36">
        <v>44013</v>
      </c>
      <c r="Y870" s="36">
        <v>45107</v>
      </c>
      <c r="Z870" s="5" t="s">
        <v>4763</v>
      </c>
      <c r="AA870" s="260">
        <v>0</v>
      </c>
      <c r="AB870" s="38">
        <v>0</v>
      </c>
      <c r="AC870" s="302">
        <v>0</v>
      </c>
    </row>
    <row r="871" spans="1:29" s="2" customFormat="1" ht="15" customHeight="1">
      <c r="A871" s="8" t="s">
        <v>260</v>
      </c>
      <c r="B871" s="9" t="s">
        <v>4749</v>
      </c>
      <c r="C871" s="9" t="s">
        <v>70</v>
      </c>
      <c r="D871" s="9" t="s">
        <v>3667</v>
      </c>
      <c r="E871" s="9" t="s">
        <v>4750</v>
      </c>
      <c r="F871" s="12" t="s">
        <v>4751</v>
      </c>
      <c r="G871" s="9" t="s">
        <v>34</v>
      </c>
      <c r="H871" s="15" t="s">
        <v>4752</v>
      </c>
      <c r="I871" s="11" t="e">
        <f>VLOOKUP(H871,合同高级查询数据!$A$2:$A$51,1,FALSE)</f>
        <v>#N/A</v>
      </c>
      <c r="J871" s="16" t="s">
        <v>1359</v>
      </c>
      <c r="K871" s="21" t="s">
        <v>4764</v>
      </c>
      <c r="L871" s="21" t="s">
        <v>4765</v>
      </c>
      <c r="M871" s="21"/>
      <c r="N871" s="21">
        <v>43435</v>
      </c>
      <c r="O871" s="298" t="s">
        <v>1745</v>
      </c>
      <c r="P871" s="30">
        <v>15000</v>
      </c>
      <c r="Q871" s="27">
        <v>0</v>
      </c>
      <c r="R871" s="27">
        <f t="shared" si="60"/>
        <v>0</v>
      </c>
      <c r="S871" s="28">
        <v>202306</v>
      </c>
      <c r="T871" s="31" t="s">
        <v>4766</v>
      </c>
      <c r="U871" s="274"/>
      <c r="V871" s="38">
        <v>0</v>
      </c>
      <c r="W871" s="300"/>
      <c r="X871" s="36">
        <v>44013</v>
      </c>
      <c r="Y871" s="36">
        <v>45107</v>
      </c>
      <c r="Z871" s="5" t="s">
        <v>4767</v>
      </c>
      <c r="AA871" s="260" t="s">
        <v>4768</v>
      </c>
      <c r="AB871" s="38">
        <v>0</v>
      </c>
      <c r="AC871" s="302">
        <v>0</v>
      </c>
    </row>
    <row r="872" spans="1:29" s="2" customFormat="1" ht="15" customHeight="1">
      <c r="A872" s="8" t="s">
        <v>260</v>
      </c>
      <c r="B872" s="9" t="s">
        <v>4749</v>
      </c>
      <c r="C872" s="9" t="s">
        <v>70</v>
      </c>
      <c r="D872" s="9" t="s">
        <v>3667</v>
      </c>
      <c r="E872" s="9" t="s">
        <v>4750</v>
      </c>
      <c r="F872" s="12" t="s">
        <v>4751</v>
      </c>
      <c r="G872" s="9" t="s">
        <v>34</v>
      </c>
      <c r="H872" s="15" t="s">
        <v>4752</v>
      </c>
      <c r="I872" s="11" t="e">
        <f>VLOOKUP(H872,合同高级查询数据!$A$2:$A$51,1,FALSE)</f>
        <v>#N/A</v>
      </c>
      <c r="J872" s="16" t="s">
        <v>36</v>
      </c>
      <c r="K872" s="21" t="s">
        <v>4769</v>
      </c>
      <c r="L872" s="21" t="s">
        <v>4751</v>
      </c>
      <c r="M872" s="21"/>
      <c r="N872" s="21" t="s">
        <v>4770</v>
      </c>
      <c r="O872" s="298" t="s">
        <v>4771</v>
      </c>
      <c r="P872" s="30">
        <v>6000</v>
      </c>
      <c r="Q872" s="27">
        <v>42</v>
      </c>
      <c r="R872" s="27">
        <f t="shared" si="60"/>
        <v>252000</v>
      </c>
      <c r="S872" s="28">
        <v>202306</v>
      </c>
      <c r="T872" s="31" t="s">
        <v>4772</v>
      </c>
      <c r="U872" s="274"/>
      <c r="V872" s="38">
        <v>39.852194365999999</v>
      </c>
      <c r="W872" s="300"/>
      <c r="X872" s="36">
        <v>44013</v>
      </c>
      <c r="Y872" s="36">
        <v>45107</v>
      </c>
      <c r="Z872" s="5" t="s">
        <v>4773</v>
      </c>
      <c r="AA872" s="260">
        <v>0.3</v>
      </c>
      <c r="AB872" s="38">
        <v>140</v>
      </c>
      <c r="AC872" s="302">
        <v>42</v>
      </c>
    </row>
    <row r="873" spans="1:29" s="2" customFormat="1" ht="15" customHeight="1">
      <c r="A873" s="8" t="s">
        <v>260</v>
      </c>
      <c r="B873" s="9" t="s">
        <v>4749</v>
      </c>
      <c r="C873" s="9" t="s">
        <v>70</v>
      </c>
      <c r="D873" s="9" t="s">
        <v>3667</v>
      </c>
      <c r="E873" s="9" t="s">
        <v>4750</v>
      </c>
      <c r="F873" s="12" t="s">
        <v>4751</v>
      </c>
      <c r="G873" s="9" t="s">
        <v>34</v>
      </c>
      <c r="H873" s="15" t="s">
        <v>4752</v>
      </c>
      <c r="I873" s="11" t="e">
        <f>VLOOKUP(H873,合同高级查询数据!$A$2:$A$51,1,FALSE)</f>
        <v>#N/A</v>
      </c>
      <c r="J873" s="16" t="s">
        <v>1359</v>
      </c>
      <c r="K873" s="21" t="s">
        <v>4774</v>
      </c>
      <c r="L873" s="21" t="s">
        <v>4775</v>
      </c>
      <c r="M873" s="21"/>
      <c r="N873" s="21" t="s">
        <v>4776</v>
      </c>
      <c r="O873" s="298" t="s">
        <v>4777</v>
      </c>
      <c r="P873" s="30">
        <v>15000</v>
      </c>
      <c r="Q873" s="27">
        <v>0</v>
      </c>
      <c r="R873" s="27">
        <f t="shared" si="60"/>
        <v>0</v>
      </c>
      <c r="S873" s="28">
        <v>202306</v>
      </c>
      <c r="T873" s="31" t="s">
        <v>4778</v>
      </c>
      <c r="U873" s="274"/>
      <c r="V873" s="38">
        <v>0</v>
      </c>
      <c r="W873" s="300"/>
      <c r="X873" s="36">
        <v>44013</v>
      </c>
      <c r="Y873" s="36">
        <v>45107</v>
      </c>
      <c r="Z873" s="5" t="s">
        <v>4779</v>
      </c>
      <c r="AA873" s="260">
        <v>0.3</v>
      </c>
      <c r="AB873" s="38">
        <v>0</v>
      </c>
      <c r="AC873" s="302">
        <v>0</v>
      </c>
    </row>
    <row r="874" spans="1:29" s="2" customFormat="1" ht="15" customHeight="1">
      <c r="A874" s="8" t="s">
        <v>260</v>
      </c>
      <c r="B874" s="9" t="s">
        <v>4749</v>
      </c>
      <c r="C874" s="9" t="s">
        <v>70</v>
      </c>
      <c r="D874" s="9" t="s">
        <v>3667</v>
      </c>
      <c r="E874" s="9" t="s">
        <v>4750</v>
      </c>
      <c r="F874" s="12" t="s">
        <v>4751</v>
      </c>
      <c r="G874" s="9" t="s">
        <v>34</v>
      </c>
      <c r="H874" s="15" t="s">
        <v>4752</v>
      </c>
      <c r="I874" s="11" t="e">
        <f>VLOOKUP(H874,合同高级查询数据!$A$2:$A$51,1,FALSE)</f>
        <v>#N/A</v>
      </c>
      <c r="J874" s="16" t="s">
        <v>1359</v>
      </c>
      <c r="K874" s="21" t="s">
        <v>4780</v>
      </c>
      <c r="L874" s="21" t="s">
        <v>4781</v>
      </c>
      <c r="M874" s="21" t="s">
        <v>4782</v>
      </c>
      <c r="N874" s="21">
        <v>44682</v>
      </c>
      <c r="O874" s="298" t="s">
        <v>833</v>
      </c>
      <c r="P874" s="30">
        <v>6000</v>
      </c>
      <c r="Q874" s="27">
        <v>246.5</v>
      </c>
      <c r="R874" s="27">
        <f t="shared" si="60"/>
        <v>1479000</v>
      </c>
      <c r="S874" s="28">
        <v>202306</v>
      </c>
      <c r="T874" s="31" t="s">
        <v>4783</v>
      </c>
      <c r="U874" s="274"/>
      <c r="V874" s="38">
        <v>246.47844679299999</v>
      </c>
      <c r="W874" s="300"/>
      <c r="X874" s="36">
        <v>44013</v>
      </c>
      <c r="Y874" s="36">
        <v>45107</v>
      </c>
      <c r="Z874" s="5" t="s">
        <v>4784</v>
      </c>
      <c r="AA874" s="260">
        <v>0.2</v>
      </c>
      <c r="AB874" s="38">
        <v>600</v>
      </c>
      <c r="AC874" s="302">
        <v>120</v>
      </c>
    </row>
    <row r="875" spans="1:29" s="2" customFormat="1" ht="15" customHeight="1">
      <c r="A875" s="8" t="s">
        <v>260</v>
      </c>
      <c r="B875" s="9" t="s">
        <v>4749</v>
      </c>
      <c r="C875" s="9" t="s">
        <v>70</v>
      </c>
      <c r="D875" s="9" t="s">
        <v>3667</v>
      </c>
      <c r="E875" s="9" t="s">
        <v>4750</v>
      </c>
      <c r="F875" s="12" t="s">
        <v>4751</v>
      </c>
      <c r="G875" s="9" t="s">
        <v>34</v>
      </c>
      <c r="H875" s="15" t="s">
        <v>4752</v>
      </c>
      <c r="I875" s="11" t="e">
        <f>VLOOKUP(H875,合同高级查询数据!$A$2:$A$51,1,FALSE)</f>
        <v>#N/A</v>
      </c>
      <c r="J875" s="16" t="s">
        <v>1359</v>
      </c>
      <c r="K875" s="21" t="s">
        <v>4780</v>
      </c>
      <c r="L875" s="21" t="s">
        <v>4781</v>
      </c>
      <c r="M875" s="21" t="s">
        <v>4782</v>
      </c>
      <c r="N875" s="21">
        <v>44682</v>
      </c>
      <c r="O875" s="298" t="s">
        <v>833</v>
      </c>
      <c r="P875" s="30">
        <v>6000</v>
      </c>
      <c r="Q875" s="27">
        <f>232.4-228</f>
        <v>4.4000000000000057</v>
      </c>
      <c r="R875" s="27">
        <f t="shared" si="60"/>
        <v>26400</v>
      </c>
      <c r="S875" s="28">
        <v>202305</v>
      </c>
      <c r="T875" s="31" t="s">
        <v>4785</v>
      </c>
      <c r="U875" s="274"/>
      <c r="V875" s="38">
        <v>227.991781629</v>
      </c>
      <c r="W875" s="300">
        <v>236.7</v>
      </c>
      <c r="X875" s="36">
        <v>44013</v>
      </c>
      <c r="Y875" s="36">
        <v>45107</v>
      </c>
      <c r="Z875" s="5" t="s">
        <v>4784</v>
      </c>
      <c r="AA875" s="260">
        <v>0.2</v>
      </c>
      <c r="AB875" s="38">
        <v>600</v>
      </c>
      <c r="AC875" s="302">
        <v>120</v>
      </c>
    </row>
    <row r="876" spans="1:29" s="2" customFormat="1" ht="15" customHeight="1">
      <c r="A876" s="8" t="s">
        <v>260</v>
      </c>
      <c r="B876" s="9" t="s">
        <v>4749</v>
      </c>
      <c r="C876" s="9" t="s">
        <v>70</v>
      </c>
      <c r="D876" s="9" t="s">
        <v>3667</v>
      </c>
      <c r="E876" s="9" t="s">
        <v>4750</v>
      </c>
      <c r="F876" s="12" t="s">
        <v>4751</v>
      </c>
      <c r="G876" s="9" t="s">
        <v>34</v>
      </c>
      <c r="H876" s="15" t="s">
        <v>4752</v>
      </c>
      <c r="I876" s="11" t="e">
        <f>VLOOKUP(H876,合同高级查询数据!$A$2:$A$51,1,FALSE)</f>
        <v>#N/A</v>
      </c>
      <c r="J876" s="16" t="s">
        <v>75</v>
      </c>
      <c r="K876" s="21" t="s">
        <v>4786</v>
      </c>
      <c r="L876" s="21" t="s">
        <v>4787</v>
      </c>
      <c r="M876" s="21"/>
      <c r="N876" s="21" t="s">
        <v>4788</v>
      </c>
      <c r="O876" s="298" t="s">
        <v>4789</v>
      </c>
      <c r="P876" s="30">
        <v>120000</v>
      </c>
      <c r="Q876" s="27">
        <v>20</v>
      </c>
      <c r="R876" s="27">
        <f t="shared" si="60"/>
        <v>2400000</v>
      </c>
      <c r="S876" s="28">
        <v>202306</v>
      </c>
      <c r="T876" s="31" t="s">
        <v>4790</v>
      </c>
      <c r="U876" s="274"/>
      <c r="V876" s="38">
        <v>15.050285436999999</v>
      </c>
      <c r="W876" s="300"/>
      <c r="X876" s="36">
        <v>44013</v>
      </c>
      <c r="Y876" s="36">
        <v>45107</v>
      </c>
      <c r="Z876" s="5" t="s">
        <v>4791</v>
      </c>
      <c r="AA876" s="260">
        <v>0.25</v>
      </c>
      <c r="AB876" s="38">
        <v>80</v>
      </c>
      <c r="AC876" s="302">
        <v>20</v>
      </c>
    </row>
    <row r="877" spans="1:29" s="2" customFormat="1" ht="15" customHeight="1">
      <c r="A877" s="8" t="s">
        <v>260</v>
      </c>
      <c r="B877" s="9" t="s">
        <v>4749</v>
      </c>
      <c r="C877" s="9" t="s">
        <v>1838</v>
      </c>
      <c r="D877" s="9" t="s">
        <v>3667</v>
      </c>
      <c r="E877" s="9" t="s">
        <v>4792</v>
      </c>
      <c r="F877" s="12" t="s">
        <v>4793</v>
      </c>
      <c r="G877" s="9" t="s">
        <v>34</v>
      </c>
      <c r="H877" s="15" t="s">
        <v>4794</v>
      </c>
      <c r="I877" s="11" t="e">
        <f>VLOOKUP(H877,合同高级查询数据!$A$2:$A$51,1,FALSE)</f>
        <v>#N/A</v>
      </c>
      <c r="J877" s="16" t="s">
        <v>36</v>
      </c>
      <c r="K877" s="21" t="s">
        <v>3106</v>
      </c>
      <c r="L877" s="21" t="s">
        <v>4793</v>
      </c>
      <c r="M877" s="21"/>
      <c r="N877" s="21">
        <v>43095</v>
      </c>
      <c r="O877" s="298" t="s">
        <v>4795</v>
      </c>
      <c r="P877" s="30">
        <v>9500</v>
      </c>
      <c r="Q877" s="27">
        <v>0</v>
      </c>
      <c r="R877" s="27">
        <f t="shared" si="60"/>
        <v>0</v>
      </c>
      <c r="S877" s="28">
        <v>202306</v>
      </c>
      <c r="T877" s="31" t="s">
        <v>4796</v>
      </c>
      <c r="U877" s="274"/>
      <c r="V877" s="38">
        <v>0</v>
      </c>
      <c r="W877" s="300"/>
      <c r="X877" s="36">
        <v>44774</v>
      </c>
      <c r="Y877" s="36">
        <v>45138</v>
      </c>
      <c r="Z877" s="5" t="s">
        <v>4797</v>
      </c>
      <c r="AA877" s="260" t="s">
        <v>4798</v>
      </c>
      <c r="AB877" s="38">
        <v>0</v>
      </c>
      <c r="AC877" s="302">
        <v>0</v>
      </c>
    </row>
    <row r="878" spans="1:29" s="2" customFormat="1" ht="15" customHeight="1">
      <c r="A878" s="8" t="s">
        <v>260</v>
      </c>
      <c r="B878" s="9" t="s">
        <v>4749</v>
      </c>
      <c r="C878" s="9" t="s">
        <v>1838</v>
      </c>
      <c r="D878" s="9" t="s">
        <v>3667</v>
      </c>
      <c r="E878" s="9" t="s">
        <v>4792</v>
      </c>
      <c r="F878" s="12" t="s">
        <v>4793</v>
      </c>
      <c r="G878" s="9" t="s">
        <v>34</v>
      </c>
      <c r="H878" s="15" t="s">
        <v>4794</v>
      </c>
      <c r="I878" s="11" t="e">
        <f>VLOOKUP(H878,合同高级查询数据!$A$2:$A$51,1,FALSE)</f>
        <v>#N/A</v>
      </c>
      <c r="J878" s="16" t="s">
        <v>36</v>
      </c>
      <c r="K878" s="21" t="s">
        <v>4799</v>
      </c>
      <c r="L878" s="21" t="s">
        <v>4800</v>
      </c>
      <c r="M878" s="21"/>
      <c r="N878" s="21">
        <v>43205</v>
      </c>
      <c r="O878" s="298" t="s">
        <v>1068</v>
      </c>
      <c r="P878" s="30">
        <v>9500</v>
      </c>
      <c r="Q878" s="27">
        <v>0</v>
      </c>
      <c r="R878" s="27">
        <f t="shared" si="60"/>
        <v>0</v>
      </c>
      <c r="S878" s="28">
        <v>202306</v>
      </c>
      <c r="T878" s="31" t="s">
        <v>4801</v>
      </c>
      <c r="U878" s="274"/>
      <c r="V878" s="38">
        <v>0</v>
      </c>
      <c r="W878" s="300"/>
      <c r="X878" s="36">
        <v>44774</v>
      </c>
      <c r="Y878" s="36">
        <v>45138</v>
      </c>
      <c r="Z878" s="5" t="s">
        <v>4802</v>
      </c>
      <c r="AA878" s="260" t="s">
        <v>4798</v>
      </c>
      <c r="AB878" s="38">
        <v>0</v>
      </c>
      <c r="AC878" s="302">
        <v>0</v>
      </c>
    </row>
    <row r="879" spans="1:29" s="2" customFormat="1" ht="15" customHeight="1">
      <c r="A879" s="8" t="s">
        <v>260</v>
      </c>
      <c r="B879" s="9" t="s">
        <v>4749</v>
      </c>
      <c r="C879" s="9" t="s">
        <v>1838</v>
      </c>
      <c r="D879" s="9" t="s">
        <v>3667</v>
      </c>
      <c r="E879" s="9" t="s">
        <v>4792</v>
      </c>
      <c r="F879" s="12" t="s">
        <v>4793</v>
      </c>
      <c r="G879" s="9" t="s">
        <v>34</v>
      </c>
      <c r="H879" s="15" t="s">
        <v>4794</v>
      </c>
      <c r="I879" s="11" t="e">
        <f>VLOOKUP(H879,合同高级查询数据!$A$2:$A$51,1,FALSE)</f>
        <v>#N/A</v>
      </c>
      <c r="J879" s="16" t="s">
        <v>36</v>
      </c>
      <c r="K879" s="21" t="s">
        <v>4803</v>
      </c>
      <c r="L879" s="21" t="s">
        <v>4804</v>
      </c>
      <c r="M879" s="21"/>
      <c r="N879" s="21" t="s">
        <v>4805</v>
      </c>
      <c r="O879" s="298" t="s">
        <v>4806</v>
      </c>
      <c r="P879" s="30">
        <v>9500</v>
      </c>
      <c r="Q879" s="27">
        <v>24</v>
      </c>
      <c r="R879" s="27">
        <f t="shared" si="60"/>
        <v>228000</v>
      </c>
      <c r="S879" s="28">
        <v>202306</v>
      </c>
      <c r="T879" s="31" t="s">
        <v>4807</v>
      </c>
      <c r="U879" s="274"/>
      <c r="V879" s="38">
        <v>22.930540085000001</v>
      </c>
      <c r="W879" s="300"/>
      <c r="X879" s="36">
        <v>44774</v>
      </c>
      <c r="Y879" s="36">
        <v>45138</v>
      </c>
      <c r="Z879" s="5" t="s">
        <v>4808</v>
      </c>
      <c r="AA879" s="260">
        <v>0.3</v>
      </c>
      <c r="AB879" s="38">
        <v>80</v>
      </c>
      <c r="AC879" s="302">
        <v>24</v>
      </c>
    </row>
    <row r="880" spans="1:29" s="2" customFormat="1" ht="15" customHeight="1">
      <c r="A880" s="8" t="s">
        <v>260</v>
      </c>
      <c r="B880" s="9" t="s">
        <v>4749</v>
      </c>
      <c r="C880" s="9" t="s">
        <v>1838</v>
      </c>
      <c r="D880" s="9" t="s">
        <v>3667</v>
      </c>
      <c r="E880" s="9" t="s">
        <v>4792</v>
      </c>
      <c r="F880" s="12" t="s">
        <v>4793</v>
      </c>
      <c r="G880" s="9" t="s">
        <v>34</v>
      </c>
      <c r="H880" s="15" t="s">
        <v>4794</v>
      </c>
      <c r="I880" s="11" t="e">
        <f>VLOOKUP(H880,合同高级查询数据!$A$2:$A$51,1,FALSE)</f>
        <v>#N/A</v>
      </c>
      <c r="J880" s="16" t="s">
        <v>36</v>
      </c>
      <c r="K880" s="21" t="s">
        <v>4809</v>
      </c>
      <c r="L880" s="21" t="s">
        <v>4810</v>
      </c>
      <c r="M880" s="21"/>
      <c r="N880" s="21" t="s">
        <v>4811</v>
      </c>
      <c r="O880" s="298" t="s">
        <v>1395</v>
      </c>
      <c r="P880" s="30">
        <v>9500</v>
      </c>
      <c r="Q880" s="27">
        <v>0</v>
      </c>
      <c r="R880" s="27">
        <f t="shared" si="60"/>
        <v>0</v>
      </c>
      <c r="S880" s="28">
        <v>202306</v>
      </c>
      <c r="T880" s="31" t="s">
        <v>4812</v>
      </c>
      <c r="U880" s="274"/>
      <c r="V880" s="38">
        <v>0</v>
      </c>
      <c r="W880" s="300"/>
      <c r="X880" s="36">
        <v>44774</v>
      </c>
      <c r="Y880" s="36">
        <v>45138</v>
      </c>
      <c r="Z880" s="5" t="s">
        <v>4813</v>
      </c>
      <c r="AA880" s="260" t="s">
        <v>4798</v>
      </c>
      <c r="AB880" s="38">
        <v>0</v>
      </c>
      <c r="AC880" s="302">
        <v>0</v>
      </c>
    </row>
    <row r="881" spans="1:29" s="2" customFormat="1" ht="15" customHeight="1">
      <c r="A881" s="8" t="s">
        <v>260</v>
      </c>
      <c r="B881" s="9" t="s">
        <v>4749</v>
      </c>
      <c r="C881" s="9" t="s">
        <v>1838</v>
      </c>
      <c r="D881" s="9" t="s">
        <v>3667</v>
      </c>
      <c r="E881" s="9" t="s">
        <v>4792</v>
      </c>
      <c r="F881" s="12" t="s">
        <v>4814</v>
      </c>
      <c r="G881" s="9" t="s">
        <v>34</v>
      </c>
      <c r="H881" s="15" t="s">
        <v>4794</v>
      </c>
      <c r="I881" s="11" t="e">
        <f>VLOOKUP(H881,合同高级查询数据!$A$2:$A$51,1,FALSE)</f>
        <v>#N/A</v>
      </c>
      <c r="J881" s="16" t="s">
        <v>36</v>
      </c>
      <c r="K881" s="21" t="s">
        <v>4815</v>
      </c>
      <c r="L881" s="21" t="s">
        <v>4816</v>
      </c>
      <c r="M881" s="21"/>
      <c r="N881" s="21" t="s">
        <v>4817</v>
      </c>
      <c r="O881" s="298" t="s">
        <v>1395</v>
      </c>
      <c r="P881" s="30">
        <v>9500</v>
      </c>
      <c r="Q881" s="27">
        <v>0</v>
      </c>
      <c r="R881" s="27">
        <f t="shared" si="60"/>
        <v>0</v>
      </c>
      <c r="S881" s="28">
        <v>202306</v>
      </c>
      <c r="T881" s="31" t="s">
        <v>4818</v>
      </c>
      <c r="U881" s="274"/>
      <c r="V881" s="38">
        <v>0</v>
      </c>
      <c r="W881" s="300"/>
      <c r="X881" s="36">
        <v>44774</v>
      </c>
      <c r="Y881" s="36">
        <v>45138</v>
      </c>
      <c r="Z881" s="5" t="s">
        <v>4819</v>
      </c>
      <c r="AA881" s="260">
        <v>0.3</v>
      </c>
      <c r="AB881" s="38">
        <v>0</v>
      </c>
      <c r="AC881" s="302">
        <v>0</v>
      </c>
    </row>
    <row r="882" spans="1:29" s="2" customFormat="1" ht="15" customHeight="1">
      <c r="A882" s="8" t="s">
        <v>260</v>
      </c>
      <c r="B882" s="9" t="s">
        <v>4749</v>
      </c>
      <c r="C882" s="9" t="s">
        <v>1838</v>
      </c>
      <c r="D882" s="9" t="s">
        <v>3667</v>
      </c>
      <c r="E882" s="9" t="s">
        <v>4792</v>
      </c>
      <c r="F882" s="12" t="s">
        <v>4814</v>
      </c>
      <c r="G882" s="9" t="s">
        <v>34</v>
      </c>
      <c r="H882" s="15" t="s">
        <v>4794</v>
      </c>
      <c r="I882" s="11" t="e">
        <f>VLOOKUP(H882,合同高级查询数据!$A$2:$A$51,1,FALSE)</f>
        <v>#N/A</v>
      </c>
      <c r="J882" s="16" t="s">
        <v>36</v>
      </c>
      <c r="K882" s="21" t="s">
        <v>4820</v>
      </c>
      <c r="L882" s="21" t="s">
        <v>4821</v>
      </c>
      <c r="M882" s="21"/>
      <c r="N882" s="21" t="s">
        <v>4822</v>
      </c>
      <c r="O882" s="298" t="s">
        <v>4823</v>
      </c>
      <c r="P882" s="30">
        <v>9500</v>
      </c>
      <c r="Q882" s="27">
        <v>12</v>
      </c>
      <c r="R882" s="27">
        <f t="shared" si="60"/>
        <v>114000</v>
      </c>
      <c r="S882" s="28">
        <v>202306</v>
      </c>
      <c r="T882" s="31" t="s">
        <v>4824</v>
      </c>
      <c r="U882" s="274"/>
      <c r="V882" s="38">
        <v>11.196529388</v>
      </c>
      <c r="W882" s="300"/>
      <c r="X882" s="36">
        <v>44774</v>
      </c>
      <c r="Y882" s="36">
        <v>45138</v>
      </c>
      <c r="Z882" s="5" t="s">
        <v>4825</v>
      </c>
      <c r="AA882" s="260">
        <v>0.3</v>
      </c>
      <c r="AB882" s="38">
        <v>40</v>
      </c>
      <c r="AC882" s="302">
        <v>12</v>
      </c>
    </row>
    <row r="883" spans="1:29" s="2" customFormat="1" ht="15" customHeight="1">
      <c r="A883" s="8" t="s">
        <v>260</v>
      </c>
      <c r="B883" s="9" t="s">
        <v>4749</v>
      </c>
      <c r="C883" s="9" t="s">
        <v>1838</v>
      </c>
      <c r="D883" s="9" t="s">
        <v>3667</v>
      </c>
      <c r="E883" s="9" t="s">
        <v>4792</v>
      </c>
      <c r="F883" s="12" t="s">
        <v>4814</v>
      </c>
      <c r="G883" s="9" t="s">
        <v>34</v>
      </c>
      <c r="H883" s="15" t="s">
        <v>4794</v>
      </c>
      <c r="I883" s="11" t="e">
        <f>VLOOKUP(H883,合同高级查询数据!$A$2:$A$51,1,FALSE)</f>
        <v>#N/A</v>
      </c>
      <c r="J883" s="16" t="s">
        <v>36</v>
      </c>
      <c r="K883" s="21" t="s">
        <v>4820</v>
      </c>
      <c r="L883" s="21" t="s">
        <v>4821</v>
      </c>
      <c r="M883" s="21"/>
      <c r="N883" s="21" t="s">
        <v>4822</v>
      </c>
      <c r="O883" s="298" t="s">
        <v>4823</v>
      </c>
      <c r="P883" s="30">
        <v>9500</v>
      </c>
      <c r="Q883" s="27">
        <f>12.25-12.1</f>
        <v>0.15000000000000036</v>
      </c>
      <c r="R883" s="27">
        <f t="shared" si="60"/>
        <v>1425</v>
      </c>
      <c r="S883" s="28">
        <v>202305</v>
      </c>
      <c r="T883" s="31" t="s">
        <v>4826</v>
      </c>
      <c r="U883" s="274"/>
      <c r="V883" s="38">
        <v>12.095718384</v>
      </c>
      <c r="W883" s="300">
        <v>12.4</v>
      </c>
      <c r="X883" s="36">
        <v>44774</v>
      </c>
      <c r="Y883" s="36">
        <v>45138</v>
      </c>
      <c r="Z883" s="5" t="s">
        <v>4825</v>
      </c>
      <c r="AA883" s="260">
        <v>0.3</v>
      </c>
      <c r="AB883" s="38">
        <v>40</v>
      </c>
      <c r="AC883" s="302">
        <v>12</v>
      </c>
    </row>
    <row r="884" spans="1:29" s="2" customFormat="1" ht="15" customHeight="1">
      <c r="A884" s="8" t="s">
        <v>260</v>
      </c>
      <c r="B884" s="9" t="s">
        <v>4749</v>
      </c>
      <c r="C884" s="9" t="s">
        <v>1838</v>
      </c>
      <c r="D884" s="9" t="s">
        <v>3667</v>
      </c>
      <c r="E884" s="9" t="s">
        <v>4792</v>
      </c>
      <c r="F884" s="12" t="s">
        <v>4814</v>
      </c>
      <c r="G884" s="9" t="s">
        <v>34</v>
      </c>
      <c r="H884" s="15" t="s">
        <v>4794</v>
      </c>
      <c r="I884" s="11" t="e">
        <f>VLOOKUP(H884,合同高级查询数据!$A$2:$A$51,1,FALSE)</f>
        <v>#N/A</v>
      </c>
      <c r="J884" s="16" t="s">
        <v>36</v>
      </c>
      <c r="K884" s="21" t="s">
        <v>4827</v>
      </c>
      <c r="L884" s="21" t="s">
        <v>4828</v>
      </c>
      <c r="M884" s="21"/>
      <c r="N884" s="21" t="s">
        <v>4829</v>
      </c>
      <c r="O884" s="298" t="s">
        <v>4830</v>
      </c>
      <c r="P884" s="30">
        <v>9500</v>
      </c>
      <c r="Q884" s="27">
        <v>0</v>
      </c>
      <c r="R884" s="27">
        <f t="shared" si="60"/>
        <v>0</v>
      </c>
      <c r="S884" s="28">
        <v>202306</v>
      </c>
      <c r="T884" s="31" t="s">
        <v>4831</v>
      </c>
      <c r="U884" s="274"/>
      <c r="V884" s="38">
        <v>0</v>
      </c>
      <c r="W884" s="300"/>
      <c r="X884" s="36">
        <v>44774</v>
      </c>
      <c r="Y884" s="36">
        <v>45138</v>
      </c>
      <c r="Z884" s="5" t="s">
        <v>4832</v>
      </c>
      <c r="AA884" s="260" t="s">
        <v>4833</v>
      </c>
      <c r="AB884" s="38">
        <v>0</v>
      </c>
      <c r="AC884" s="302">
        <v>0</v>
      </c>
    </row>
    <row r="885" spans="1:29" s="2" customFormat="1" ht="15" customHeight="1">
      <c r="A885" s="8" t="s">
        <v>260</v>
      </c>
      <c r="B885" s="9" t="s">
        <v>4749</v>
      </c>
      <c r="C885" s="9" t="s">
        <v>1838</v>
      </c>
      <c r="D885" s="9" t="s">
        <v>3667</v>
      </c>
      <c r="E885" s="9" t="s">
        <v>4792</v>
      </c>
      <c r="F885" s="12" t="s">
        <v>4814</v>
      </c>
      <c r="G885" s="9" t="s">
        <v>34</v>
      </c>
      <c r="H885" s="15" t="s">
        <v>4794</v>
      </c>
      <c r="I885" s="11" t="e">
        <f>VLOOKUP(H885,合同高级查询数据!$A$2:$A$51,1,FALSE)</f>
        <v>#N/A</v>
      </c>
      <c r="J885" s="16" t="s">
        <v>36</v>
      </c>
      <c r="K885" s="21" t="s">
        <v>4834</v>
      </c>
      <c r="L885" s="21" t="s">
        <v>4835</v>
      </c>
      <c r="M885" s="21"/>
      <c r="N885" s="21" t="s">
        <v>4836</v>
      </c>
      <c r="O885" s="298" t="s">
        <v>4830</v>
      </c>
      <c r="P885" s="30">
        <v>9500</v>
      </c>
      <c r="Q885" s="27">
        <v>0</v>
      </c>
      <c r="R885" s="27">
        <f t="shared" si="60"/>
        <v>0</v>
      </c>
      <c r="S885" s="28">
        <v>202306</v>
      </c>
      <c r="T885" s="31" t="s">
        <v>4837</v>
      </c>
      <c r="U885" s="274"/>
      <c r="V885" s="38">
        <v>0</v>
      </c>
      <c r="W885" s="300"/>
      <c r="X885" s="36">
        <v>44774</v>
      </c>
      <c r="Y885" s="36">
        <v>45138</v>
      </c>
      <c r="Z885" s="5" t="s">
        <v>4838</v>
      </c>
      <c r="AA885" s="260">
        <v>0.3</v>
      </c>
      <c r="AB885" s="38">
        <v>0</v>
      </c>
      <c r="AC885" s="302">
        <v>0</v>
      </c>
    </row>
    <row r="886" spans="1:29" s="2" customFormat="1" ht="15" customHeight="1">
      <c r="A886" s="8" t="s">
        <v>260</v>
      </c>
      <c r="B886" s="9" t="s">
        <v>4749</v>
      </c>
      <c r="C886" s="9" t="s">
        <v>1838</v>
      </c>
      <c r="D886" s="9" t="s">
        <v>3667</v>
      </c>
      <c r="E886" s="9" t="s">
        <v>4792</v>
      </c>
      <c r="F886" s="12" t="s">
        <v>4839</v>
      </c>
      <c r="G886" s="9" t="s">
        <v>34</v>
      </c>
      <c r="H886" s="15" t="s">
        <v>4794</v>
      </c>
      <c r="I886" s="11" t="e">
        <f>VLOOKUP(H886,合同高级查询数据!$A$2:$A$51,1,FALSE)</f>
        <v>#N/A</v>
      </c>
      <c r="J886" s="16" t="s">
        <v>36</v>
      </c>
      <c r="K886" s="21" t="s">
        <v>4840</v>
      </c>
      <c r="L886" s="21" t="s">
        <v>4839</v>
      </c>
      <c r="M886" s="21"/>
      <c r="N886" s="21">
        <v>43405</v>
      </c>
      <c r="O886" s="298" t="s">
        <v>1880</v>
      </c>
      <c r="P886" s="30">
        <v>9500</v>
      </c>
      <c r="Q886" s="27">
        <v>0</v>
      </c>
      <c r="R886" s="27">
        <f t="shared" ref="R886:R913" si="62">ROUND(P886*Q886,2)</f>
        <v>0</v>
      </c>
      <c r="S886" s="28">
        <v>202306</v>
      </c>
      <c r="T886" s="31" t="s">
        <v>4841</v>
      </c>
      <c r="U886" s="274"/>
      <c r="V886" s="38">
        <v>0</v>
      </c>
      <c r="W886" s="300"/>
      <c r="X886" s="36">
        <v>44774</v>
      </c>
      <c r="Y886" s="36">
        <v>45138</v>
      </c>
      <c r="Z886" s="5" t="s">
        <v>4842</v>
      </c>
      <c r="AA886" s="260" t="s">
        <v>4798</v>
      </c>
      <c r="AB886" s="38">
        <v>0</v>
      </c>
      <c r="AC886" s="302">
        <v>0</v>
      </c>
    </row>
    <row r="887" spans="1:29" s="2" customFormat="1" ht="15" customHeight="1">
      <c r="A887" s="8" t="s">
        <v>260</v>
      </c>
      <c r="B887" s="9" t="s">
        <v>4749</v>
      </c>
      <c r="C887" s="9" t="s">
        <v>1838</v>
      </c>
      <c r="D887" s="9" t="s">
        <v>3667</v>
      </c>
      <c r="E887" s="9" t="s">
        <v>4792</v>
      </c>
      <c r="F887" s="12" t="s">
        <v>4839</v>
      </c>
      <c r="G887" s="9" t="s">
        <v>34</v>
      </c>
      <c r="H887" s="15" t="s">
        <v>4794</v>
      </c>
      <c r="I887" s="11" t="e">
        <f>VLOOKUP(H887,合同高级查询数据!$A$2:$A$51,1,FALSE)</f>
        <v>#N/A</v>
      </c>
      <c r="J887" s="16" t="s">
        <v>36</v>
      </c>
      <c r="K887" s="21" t="s">
        <v>4843</v>
      </c>
      <c r="L887" s="21" t="s">
        <v>4844</v>
      </c>
      <c r="M887" s="21"/>
      <c r="N887" s="21" t="s">
        <v>4845</v>
      </c>
      <c r="O887" s="298" t="s">
        <v>4846</v>
      </c>
      <c r="P887" s="30">
        <v>9500</v>
      </c>
      <c r="Q887" s="27">
        <v>12</v>
      </c>
      <c r="R887" s="27">
        <f t="shared" si="62"/>
        <v>114000</v>
      </c>
      <c r="S887" s="28">
        <v>202306</v>
      </c>
      <c r="T887" s="31" t="s">
        <v>4847</v>
      </c>
      <c r="U887" s="274"/>
      <c r="V887" s="38">
        <v>11.17056942</v>
      </c>
      <c r="W887" s="300"/>
      <c r="X887" s="36">
        <v>44774</v>
      </c>
      <c r="Y887" s="36">
        <v>45138</v>
      </c>
      <c r="Z887" s="5" t="s">
        <v>4848</v>
      </c>
      <c r="AA887" s="260">
        <v>0.3</v>
      </c>
      <c r="AB887" s="38">
        <v>40</v>
      </c>
      <c r="AC887" s="302">
        <v>12</v>
      </c>
    </row>
    <row r="888" spans="1:29" s="2" customFormat="1" ht="15" customHeight="1">
      <c r="A888" s="8" t="s">
        <v>212</v>
      </c>
      <c r="B888" s="9" t="s">
        <v>4749</v>
      </c>
      <c r="C888" s="9" t="s">
        <v>1838</v>
      </c>
      <c r="D888" s="9" t="s">
        <v>3667</v>
      </c>
      <c r="E888" s="9" t="s">
        <v>4849</v>
      </c>
      <c r="F888" s="12" t="s">
        <v>4850</v>
      </c>
      <c r="G888" s="9" t="s">
        <v>34</v>
      </c>
      <c r="H888" s="15" t="s">
        <v>4851</v>
      </c>
      <c r="I888" s="11" t="str">
        <f>VLOOKUP(H888,合同高级查询数据!$A$2:$A$51,1,FALSE)</f>
        <v>182315IDC00235</v>
      </c>
      <c r="J888" s="16" t="s">
        <v>440</v>
      </c>
      <c r="K888" s="21" t="s">
        <v>4852</v>
      </c>
      <c r="L888" s="21" t="s">
        <v>4853</v>
      </c>
      <c r="M888" s="21"/>
      <c r="N888" s="21" t="s">
        <v>4854</v>
      </c>
      <c r="O888" s="298" t="s">
        <v>645</v>
      </c>
      <c r="P888" s="30">
        <v>9000</v>
      </c>
      <c r="Q888" s="27">
        <v>0</v>
      </c>
      <c r="R888" s="27">
        <f t="shared" si="62"/>
        <v>0</v>
      </c>
      <c r="S888" s="28">
        <v>202306</v>
      </c>
      <c r="T888" s="31" t="s">
        <v>4855</v>
      </c>
      <c r="U888" s="274"/>
      <c r="V888" s="38">
        <v>0</v>
      </c>
      <c r="W888" s="300"/>
      <c r="X888" s="36">
        <v>44927</v>
      </c>
      <c r="Y888" s="36"/>
      <c r="Z888" s="5" t="s">
        <v>4856</v>
      </c>
      <c r="AA888" s="260">
        <v>0</v>
      </c>
      <c r="AB888" s="38">
        <v>0</v>
      </c>
      <c r="AC888" s="302">
        <v>0</v>
      </c>
    </row>
    <row r="889" spans="1:29" s="2" customFormat="1" ht="15" customHeight="1">
      <c r="A889" s="8" t="s">
        <v>212</v>
      </c>
      <c r="B889" s="9" t="s">
        <v>4749</v>
      </c>
      <c r="C889" s="9" t="s">
        <v>1838</v>
      </c>
      <c r="D889" s="9" t="s">
        <v>3667</v>
      </c>
      <c r="E889" s="9" t="s">
        <v>4849</v>
      </c>
      <c r="F889" s="12" t="s">
        <v>4850</v>
      </c>
      <c r="G889" s="9" t="s">
        <v>34</v>
      </c>
      <c r="H889" s="15" t="s">
        <v>4851</v>
      </c>
      <c r="I889" s="11" t="str">
        <f>VLOOKUP(H889,合同高级查询数据!$A$2:$A$51,1,FALSE)</f>
        <v>182315IDC00235</v>
      </c>
      <c r="J889" s="16" t="s">
        <v>440</v>
      </c>
      <c r="K889" s="21" t="s">
        <v>4857</v>
      </c>
      <c r="L889" s="21" t="s">
        <v>4858</v>
      </c>
      <c r="M889" s="21"/>
      <c r="N889" s="21" t="s">
        <v>4859</v>
      </c>
      <c r="O889" s="298" t="s">
        <v>4860</v>
      </c>
      <c r="P889" s="30">
        <v>9000</v>
      </c>
      <c r="Q889" s="27">
        <v>0</v>
      </c>
      <c r="R889" s="27">
        <f t="shared" si="62"/>
        <v>0</v>
      </c>
      <c r="S889" s="28">
        <v>202306</v>
      </c>
      <c r="T889" s="31" t="s">
        <v>4861</v>
      </c>
      <c r="U889" s="274"/>
      <c r="V889" s="38">
        <v>0</v>
      </c>
      <c r="W889" s="300"/>
      <c r="X889" s="36">
        <v>44927</v>
      </c>
      <c r="Y889" s="36"/>
      <c r="Z889" s="5" t="s">
        <v>4862</v>
      </c>
      <c r="AA889" s="260" t="s">
        <v>4863</v>
      </c>
      <c r="AB889" s="38">
        <v>0</v>
      </c>
      <c r="AC889" s="302">
        <v>0</v>
      </c>
    </row>
    <row r="890" spans="1:29" s="2" customFormat="1" ht="15" customHeight="1">
      <c r="A890" s="8" t="s">
        <v>212</v>
      </c>
      <c r="B890" s="9" t="s">
        <v>4749</v>
      </c>
      <c r="C890" s="9" t="s">
        <v>1838</v>
      </c>
      <c r="D890" s="9" t="s">
        <v>3667</v>
      </c>
      <c r="E890" s="9" t="s">
        <v>4849</v>
      </c>
      <c r="F890" s="12" t="s">
        <v>4850</v>
      </c>
      <c r="G890" s="9" t="s">
        <v>34</v>
      </c>
      <c r="H890" s="15" t="s">
        <v>4851</v>
      </c>
      <c r="I890" s="11" t="str">
        <f>VLOOKUP(H890,合同高级查询数据!$A$2:$A$51,1,FALSE)</f>
        <v>182315IDC00235</v>
      </c>
      <c r="J890" s="16" t="s">
        <v>36</v>
      </c>
      <c r="K890" s="21" t="s">
        <v>4864</v>
      </c>
      <c r="L890" s="21" t="s">
        <v>4865</v>
      </c>
      <c r="M890" s="21"/>
      <c r="N890" s="21"/>
      <c r="O890" s="298" t="s">
        <v>1664</v>
      </c>
      <c r="P890" s="30">
        <v>9000</v>
      </c>
      <c r="Q890" s="27">
        <v>48</v>
      </c>
      <c r="R890" s="27">
        <f t="shared" si="62"/>
        <v>432000</v>
      </c>
      <c r="S890" s="28">
        <v>202306</v>
      </c>
      <c r="T890" s="31" t="s">
        <v>4866</v>
      </c>
      <c r="U890" s="274"/>
      <c r="V890" s="38">
        <v>45.479553068999998</v>
      </c>
      <c r="W890" s="300"/>
      <c r="X890" s="36">
        <v>44927</v>
      </c>
      <c r="Y890" s="36"/>
      <c r="Z890" s="5" t="s">
        <v>4867</v>
      </c>
      <c r="AA890" s="260">
        <v>0.3</v>
      </c>
      <c r="AB890" s="38">
        <v>160</v>
      </c>
      <c r="AC890" s="302">
        <v>48</v>
      </c>
    </row>
    <row r="891" spans="1:29" s="2" customFormat="1" ht="15" customHeight="1">
      <c r="A891" s="8" t="s">
        <v>212</v>
      </c>
      <c r="B891" s="9" t="s">
        <v>4749</v>
      </c>
      <c r="C891" s="9" t="s">
        <v>1838</v>
      </c>
      <c r="D891" s="9" t="s">
        <v>3667</v>
      </c>
      <c r="E891" s="9" t="s">
        <v>4849</v>
      </c>
      <c r="F891" s="12" t="s">
        <v>4850</v>
      </c>
      <c r="G891" s="9" t="s">
        <v>34</v>
      </c>
      <c r="H891" s="15" t="s">
        <v>4851</v>
      </c>
      <c r="I891" s="11" t="str">
        <f>VLOOKUP(H891,合同高级查询数据!$A$2:$A$51,1,FALSE)</f>
        <v>182315IDC00235</v>
      </c>
      <c r="J891" s="16" t="s">
        <v>36</v>
      </c>
      <c r="K891" s="21" t="s">
        <v>4868</v>
      </c>
      <c r="L891" s="21" t="s">
        <v>4869</v>
      </c>
      <c r="M891" s="21"/>
      <c r="N891" s="21" t="s">
        <v>4870</v>
      </c>
      <c r="O891" s="298" t="s">
        <v>4318</v>
      </c>
      <c r="P891" s="30">
        <v>9000</v>
      </c>
      <c r="Q891" s="27">
        <v>90</v>
      </c>
      <c r="R891" s="27">
        <f t="shared" si="62"/>
        <v>810000</v>
      </c>
      <c r="S891" s="28">
        <v>202306</v>
      </c>
      <c r="T891" s="31" t="s">
        <v>4871</v>
      </c>
      <c r="U891" s="274"/>
      <c r="V891" s="38">
        <v>86.607821501999993</v>
      </c>
      <c r="W891" s="300"/>
      <c r="X891" s="36">
        <v>44927</v>
      </c>
      <c r="Y891" s="36"/>
      <c r="Z891" s="5" t="s">
        <v>4872</v>
      </c>
      <c r="AA891" s="260">
        <v>0.3</v>
      </c>
      <c r="AB891" s="38">
        <v>300</v>
      </c>
      <c r="AC891" s="302">
        <v>90</v>
      </c>
    </row>
    <row r="892" spans="1:29" s="2" customFormat="1" ht="15" customHeight="1">
      <c r="A892" s="8" t="s">
        <v>212</v>
      </c>
      <c r="B892" s="9" t="s">
        <v>4749</v>
      </c>
      <c r="C892" s="9" t="s">
        <v>1838</v>
      </c>
      <c r="D892" s="9" t="s">
        <v>3667</v>
      </c>
      <c r="E892" s="9" t="s">
        <v>4849</v>
      </c>
      <c r="F892" s="12" t="s">
        <v>4850</v>
      </c>
      <c r="G892" s="9" t="s">
        <v>34</v>
      </c>
      <c r="H892" s="15" t="s">
        <v>4851</v>
      </c>
      <c r="I892" s="11" t="str">
        <f>VLOOKUP(H892,合同高级查询数据!$A$2:$A$51,1,FALSE)</f>
        <v>182315IDC00235</v>
      </c>
      <c r="J892" s="16" t="s">
        <v>36</v>
      </c>
      <c r="K892" s="21" t="s">
        <v>4873</v>
      </c>
      <c r="L892" s="21" t="s">
        <v>4874</v>
      </c>
      <c r="M892" s="21"/>
      <c r="N892" s="21">
        <v>43008</v>
      </c>
      <c r="O892" s="298" t="s">
        <v>1941</v>
      </c>
      <c r="P892" s="30">
        <v>9000</v>
      </c>
      <c r="Q892" s="27">
        <v>24</v>
      </c>
      <c r="R892" s="27">
        <f t="shared" si="62"/>
        <v>216000</v>
      </c>
      <c r="S892" s="28">
        <v>202306</v>
      </c>
      <c r="T892" s="31" t="s">
        <v>4875</v>
      </c>
      <c r="U892" s="274"/>
      <c r="V892" s="38">
        <v>22.792551574000001</v>
      </c>
      <c r="W892" s="300"/>
      <c r="X892" s="36">
        <v>44927</v>
      </c>
      <c r="Y892" s="36"/>
      <c r="Z892" s="5" t="s">
        <v>4876</v>
      </c>
      <c r="AA892" s="260">
        <v>0.3</v>
      </c>
      <c r="AB892" s="38">
        <v>80</v>
      </c>
      <c r="AC892" s="302">
        <v>24</v>
      </c>
    </row>
    <row r="893" spans="1:29" s="2" customFormat="1" ht="15" customHeight="1">
      <c r="A893" s="8" t="s">
        <v>212</v>
      </c>
      <c r="B893" s="9" t="s">
        <v>4749</v>
      </c>
      <c r="C893" s="9" t="s">
        <v>1838</v>
      </c>
      <c r="D893" s="9" t="s">
        <v>3667</v>
      </c>
      <c r="E893" s="9" t="s">
        <v>4849</v>
      </c>
      <c r="F893" s="12" t="s">
        <v>4850</v>
      </c>
      <c r="G893" s="9" t="s">
        <v>34</v>
      </c>
      <c r="H893" s="15" t="s">
        <v>4851</v>
      </c>
      <c r="I893" s="11" t="str">
        <f>VLOOKUP(H893,合同高级查询数据!$A$2:$A$51,1,FALSE)</f>
        <v>182315IDC00235</v>
      </c>
      <c r="J893" s="16" t="s">
        <v>36</v>
      </c>
      <c r="K893" s="21" t="s">
        <v>4873</v>
      </c>
      <c r="L893" s="21" t="s">
        <v>4874</v>
      </c>
      <c r="M893" s="21"/>
      <c r="N893" s="21">
        <v>43008</v>
      </c>
      <c r="O893" s="298" t="s">
        <v>1941</v>
      </c>
      <c r="P893" s="30">
        <v>9000</v>
      </c>
      <c r="Q893" s="27">
        <f>26.6-26.1</f>
        <v>0.5</v>
      </c>
      <c r="R893" s="27">
        <f t="shared" si="62"/>
        <v>4500</v>
      </c>
      <c r="S893" s="28">
        <v>202301</v>
      </c>
      <c r="T893" s="31" t="s">
        <v>4877</v>
      </c>
      <c r="U893" s="274"/>
      <c r="V893" s="38">
        <v>26.072505150000001</v>
      </c>
      <c r="W893" s="300">
        <v>26.6</v>
      </c>
      <c r="X893" s="36">
        <v>44927</v>
      </c>
      <c r="Y893" s="36"/>
      <c r="Z893" s="5" t="s">
        <v>4876</v>
      </c>
      <c r="AA893" s="260">
        <v>0.3</v>
      </c>
      <c r="AB893" s="38">
        <v>80</v>
      </c>
      <c r="AC893" s="302">
        <v>24</v>
      </c>
    </row>
    <row r="894" spans="1:29" s="2" customFormat="1" ht="15" customHeight="1">
      <c r="A894" s="8" t="s">
        <v>212</v>
      </c>
      <c r="B894" s="9" t="s">
        <v>4749</v>
      </c>
      <c r="C894" s="9" t="s">
        <v>1838</v>
      </c>
      <c r="D894" s="9" t="s">
        <v>3667</v>
      </c>
      <c r="E894" s="9" t="s">
        <v>4849</v>
      </c>
      <c r="F894" s="12" t="s">
        <v>4850</v>
      </c>
      <c r="G894" s="9" t="s">
        <v>34</v>
      </c>
      <c r="H894" s="15" t="s">
        <v>4851</v>
      </c>
      <c r="I894" s="11" t="str">
        <f>VLOOKUP(H894,合同高级查询数据!$A$2:$A$51,1,FALSE)</f>
        <v>182315IDC00235</v>
      </c>
      <c r="J894" s="16" t="s">
        <v>36</v>
      </c>
      <c r="K894" s="21" t="s">
        <v>4878</v>
      </c>
      <c r="L894" s="21" t="s">
        <v>4879</v>
      </c>
      <c r="M894" s="21"/>
      <c r="N894" s="21">
        <v>43008</v>
      </c>
      <c r="O894" s="298" t="s">
        <v>1664</v>
      </c>
      <c r="P894" s="30">
        <v>9000</v>
      </c>
      <c r="Q894" s="27">
        <v>48</v>
      </c>
      <c r="R894" s="27">
        <f t="shared" si="62"/>
        <v>432000</v>
      </c>
      <c r="S894" s="28">
        <v>202306</v>
      </c>
      <c r="T894" s="31" t="s">
        <v>4880</v>
      </c>
      <c r="U894" s="274"/>
      <c r="V894" s="38">
        <v>46.021034620999998</v>
      </c>
      <c r="W894" s="300"/>
      <c r="X894" s="36">
        <v>44927</v>
      </c>
      <c r="Y894" s="36"/>
      <c r="Z894" s="5" t="s">
        <v>4881</v>
      </c>
      <c r="AA894" s="260">
        <v>0.3</v>
      </c>
      <c r="AB894" s="38">
        <v>160</v>
      </c>
      <c r="AC894" s="302">
        <v>48</v>
      </c>
    </row>
    <row r="895" spans="1:29" s="2" customFormat="1" ht="15" customHeight="1">
      <c r="A895" s="8" t="s">
        <v>212</v>
      </c>
      <c r="B895" s="9" t="s">
        <v>4749</v>
      </c>
      <c r="C895" s="9" t="s">
        <v>1838</v>
      </c>
      <c r="D895" s="9" t="s">
        <v>3667</v>
      </c>
      <c r="E895" s="9" t="s">
        <v>4849</v>
      </c>
      <c r="F895" s="12" t="s">
        <v>4850</v>
      </c>
      <c r="G895" s="9" t="s">
        <v>34</v>
      </c>
      <c r="H895" s="15" t="s">
        <v>4851</v>
      </c>
      <c r="I895" s="11" t="str">
        <f>VLOOKUP(H895,合同高级查询数据!$A$2:$A$51,1,FALSE)</f>
        <v>182315IDC00235</v>
      </c>
      <c r="J895" s="16" t="s">
        <v>36</v>
      </c>
      <c r="K895" s="21" t="s">
        <v>4882</v>
      </c>
      <c r="L895" s="21" t="s">
        <v>4883</v>
      </c>
      <c r="M895" s="21" t="s">
        <v>4884</v>
      </c>
      <c r="N895" s="21" t="s">
        <v>4885</v>
      </c>
      <c r="O895" s="298" t="s">
        <v>4886</v>
      </c>
      <c r="P895" s="30">
        <v>9000</v>
      </c>
      <c r="Q895" s="27">
        <v>60</v>
      </c>
      <c r="R895" s="27">
        <f t="shared" si="62"/>
        <v>540000</v>
      </c>
      <c r="S895" s="28">
        <v>202306</v>
      </c>
      <c r="T895" s="31" t="s">
        <v>4887</v>
      </c>
      <c r="U895" s="274"/>
      <c r="V895" s="38">
        <v>57.429546203000001</v>
      </c>
      <c r="W895" s="300"/>
      <c r="X895" s="36">
        <v>44927</v>
      </c>
      <c r="Y895" s="36"/>
      <c r="Z895" s="5" t="s">
        <v>4888</v>
      </c>
      <c r="AA895" s="260">
        <v>0.3</v>
      </c>
      <c r="AB895" s="38">
        <v>200</v>
      </c>
      <c r="AC895" s="302">
        <v>60</v>
      </c>
    </row>
    <row r="896" spans="1:29" s="2" customFormat="1" ht="15" customHeight="1">
      <c r="A896" s="8" t="s">
        <v>212</v>
      </c>
      <c r="B896" s="9" t="s">
        <v>4749</v>
      </c>
      <c r="C896" s="9" t="s">
        <v>1838</v>
      </c>
      <c r="D896" s="9" t="s">
        <v>3667</v>
      </c>
      <c r="E896" s="9" t="s">
        <v>4849</v>
      </c>
      <c r="F896" s="12" t="s">
        <v>4850</v>
      </c>
      <c r="G896" s="9" t="s">
        <v>34</v>
      </c>
      <c r="H896" s="15" t="s">
        <v>4851</v>
      </c>
      <c r="I896" s="11" t="str">
        <f>VLOOKUP(H896,合同高级查询数据!$A$2:$A$51,1,FALSE)</f>
        <v>182315IDC00235</v>
      </c>
      <c r="J896" s="16" t="s">
        <v>36</v>
      </c>
      <c r="K896" s="21" t="s">
        <v>4889</v>
      </c>
      <c r="L896" s="21" t="s">
        <v>4890</v>
      </c>
      <c r="M896" s="21" t="s">
        <v>4891</v>
      </c>
      <c r="N896" s="21">
        <v>44927</v>
      </c>
      <c r="O896" s="298" t="s">
        <v>434</v>
      </c>
      <c r="P896" s="30">
        <v>9000</v>
      </c>
      <c r="Q896" s="27">
        <v>60</v>
      </c>
      <c r="R896" s="27">
        <f t="shared" ref="R896" si="63">ROUND(P896*Q896,2)</f>
        <v>540000</v>
      </c>
      <c r="S896" s="28">
        <v>202306</v>
      </c>
      <c r="T896" s="31" t="s">
        <v>4892</v>
      </c>
      <c r="U896" s="274"/>
      <c r="V896" s="38">
        <v>56.996216658999998</v>
      </c>
      <c r="W896" s="300"/>
      <c r="X896" s="36">
        <v>44927</v>
      </c>
      <c r="Y896" s="36"/>
      <c r="Z896" s="5" t="s">
        <v>4893</v>
      </c>
      <c r="AA896" s="260">
        <v>0.3</v>
      </c>
      <c r="AB896" s="38">
        <v>200</v>
      </c>
      <c r="AC896" s="302">
        <v>60</v>
      </c>
    </row>
    <row r="897" spans="1:29" s="3" customFormat="1" ht="15" customHeight="1">
      <c r="A897" s="49" t="s">
        <v>212</v>
      </c>
      <c r="B897" s="50" t="s">
        <v>4749</v>
      </c>
      <c r="C897" s="50" t="s">
        <v>1838</v>
      </c>
      <c r="D897" s="50" t="s">
        <v>3667</v>
      </c>
      <c r="E897" s="50" t="s">
        <v>4849</v>
      </c>
      <c r="F897" s="51" t="s">
        <v>4850</v>
      </c>
      <c r="G897" s="50" t="s">
        <v>34</v>
      </c>
      <c r="H897" s="52" t="s">
        <v>4894</v>
      </c>
      <c r="I897" s="53" t="e">
        <f>VLOOKUP(H897,合同高级查询数据!$A$2:$A$51,1,FALSE)</f>
        <v>#N/A</v>
      </c>
      <c r="J897" s="54" t="s">
        <v>36</v>
      </c>
      <c r="K897" s="55" t="s">
        <v>4895</v>
      </c>
      <c r="L897" s="55" t="s">
        <v>4896</v>
      </c>
      <c r="M897" s="55" t="s">
        <v>4897</v>
      </c>
      <c r="N897" s="55" t="s">
        <v>4898</v>
      </c>
      <c r="O897" s="56" t="s">
        <v>4899</v>
      </c>
      <c r="P897" s="57">
        <v>9000</v>
      </c>
      <c r="Q897" s="58">
        <v>0</v>
      </c>
      <c r="R897" s="58">
        <f t="shared" si="62"/>
        <v>0</v>
      </c>
      <c r="S897" s="59">
        <v>202306</v>
      </c>
      <c r="T897" s="60" t="s">
        <v>4900</v>
      </c>
      <c r="U897" s="61"/>
      <c r="V897" s="62">
        <v>0</v>
      </c>
      <c r="W897" s="63"/>
      <c r="X897" s="64">
        <v>44041</v>
      </c>
      <c r="Y897" s="64"/>
      <c r="Z897" s="65" t="s">
        <v>4897</v>
      </c>
      <c r="AA897" s="66">
        <v>0</v>
      </c>
      <c r="AB897" s="62">
        <v>200</v>
      </c>
      <c r="AC897" s="67">
        <v>0</v>
      </c>
    </row>
    <row r="898" spans="1:29" s="2" customFormat="1" ht="15" customHeight="1">
      <c r="A898" s="8" t="s">
        <v>212</v>
      </c>
      <c r="B898" s="9" t="s">
        <v>4749</v>
      </c>
      <c r="C898" s="9" t="s">
        <v>1838</v>
      </c>
      <c r="D898" s="9" t="s">
        <v>3667</v>
      </c>
      <c r="E898" s="9" t="s">
        <v>4849</v>
      </c>
      <c r="F898" s="12" t="s">
        <v>4850</v>
      </c>
      <c r="G898" s="9" t="s">
        <v>34</v>
      </c>
      <c r="H898" s="15" t="s">
        <v>4851</v>
      </c>
      <c r="I898" s="11" t="str">
        <f>VLOOKUP(H898,合同高级查询数据!$A$2:$A$51,1,FALSE)</f>
        <v>182315IDC00235</v>
      </c>
      <c r="J898" s="16" t="s">
        <v>36</v>
      </c>
      <c r="K898" s="21" t="s">
        <v>4901</v>
      </c>
      <c r="L898" s="21" t="s">
        <v>4902</v>
      </c>
      <c r="M898" s="21"/>
      <c r="N898" s="21" t="s">
        <v>4903</v>
      </c>
      <c r="O898" s="298" t="s">
        <v>727</v>
      </c>
      <c r="P898" s="30">
        <v>9000</v>
      </c>
      <c r="Q898" s="27">
        <v>0</v>
      </c>
      <c r="R898" s="27">
        <f t="shared" si="62"/>
        <v>0</v>
      </c>
      <c r="S898" s="28">
        <v>202306</v>
      </c>
      <c r="T898" s="31" t="s">
        <v>4904</v>
      </c>
      <c r="U898" s="274"/>
      <c r="V898" s="38">
        <v>0</v>
      </c>
      <c r="W898" s="300"/>
      <c r="X898" s="36">
        <v>44927</v>
      </c>
      <c r="Y898" s="36"/>
      <c r="Z898" s="5" t="s">
        <v>4905</v>
      </c>
      <c r="AA898" s="260">
        <v>0.3</v>
      </c>
      <c r="AB898" s="38">
        <v>0</v>
      </c>
      <c r="AC898" s="302">
        <v>0</v>
      </c>
    </row>
    <row r="899" spans="1:29" s="2" customFormat="1" ht="15" customHeight="1">
      <c r="A899" s="8" t="s">
        <v>212</v>
      </c>
      <c r="B899" s="9" t="s">
        <v>4749</v>
      </c>
      <c r="C899" s="9" t="s">
        <v>1838</v>
      </c>
      <c r="D899" s="9" t="s">
        <v>3667</v>
      </c>
      <c r="E899" s="9" t="s">
        <v>4849</v>
      </c>
      <c r="F899" s="12" t="s">
        <v>4850</v>
      </c>
      <c r="G899" s="9" t="s">
        <v>34</v>
      </c>
      <c r="H899" s="15" t="s">
        <v>4851</v>
      </c>
      <c r="I899" s="11" t="str">
        <f>VLOOKUP(H899,合同高级查询数据!$A$2:$A$51,1,FALSE)</f>
        <v>182315IDC00235</v>
      </c>
      <c r="J899" s="16" t="s">
        <v>1359</v>
      </c>
      <c r="K899" s="21" t="s">
        <v>4906</v>
      </c>
      <c r="L899" s="21" t="s">
        <v>4907</v>
      </c>
      <c r="M899" s="21" t="s">
        <v>4908</v>
      </c>
      <c r="N899" s="21">
        <v>44470</v>
      </c>
      <c r="O899" s="298" t="s">
        <v>434</v>
      </c>
      <c r="P899" s="30">
        <v>9000</v>
      </c>
      <c r="Q899" s="27">
        <v>69.900000000000006</v>
      </c>
      <c r="R899" s="27">
        <f t="shared" si="62"/>
        <v>629100</v>
      </c>
      <c r="S899" s="28">
        <v>202306</v>
      </c>
      <c r="T899" s="31" t="s">
        <v>4909</v>
      </c>
      <c r="U899" s="274"/>
      <c r="V899" s="38">
        <v>69.882665802999995</v>
      </c>
      <c r="W899" s="300"/>
      <c r="X899" s="36">
        <v>44927</v>
      </c>
      <c r="Y899" s="36"/>
      <c r="Z899" s="5" t="s">
        <v>4910</v>
      </c>
      <c r="AA899" s="260">
        <v>0.3</v>
      </c>
      <c r="AB899" s="38">
        <v>200</v>
      </c>
      <c r="AC899" s="302">
        <v>60</v>
      </c>
    </row>
    <row r="900" spans="1:29" s="2" customFormat="1" ht="15" customHeight="1">
      <c r="A900" s="8" t="s">
        <v>212</v>
      </c>
      <c r="B900" s="9" t="s">
        <v>4749</v>
      </c>
      <c r="C900" s="9" t="s">
        <v>1838</v>
      </c>
      <c r="D900" s="9" t="s">
        <v>3667</v>
      </c>
      <c r="E900" s="9" t="s">
        <v>4849</v>
      </c>
      <c r="F900" s="12" t="s">
        <v>4850</v>
      </c>
      <c r="G900" s="9" t="s">
        <v>34</v>
      </c>
      <c r="H900" s="15" t="s">
        <v>4911</v>
      </c>
      <c r="I900" s="11" t="e">
        <f>VLOOKUP(H900,合同高级查询数据!$A$2:$A$51,1,FALSE)</f>
        <v>#N/A</v>
      </c>
      <c r="J900" s="16" t="s">
        <v>1359</v>
      </c>
      <c r="K900" s="21" t="s">
        <v>4912</v>
      </c>
      <c r="L900" s="21" t="s">
        <v>4913</v>
      </c>
      <c r="M900" s="21"/>
      <c r="N900" s="21" t="s">
        <v>4914</v>
      </c>
      <c r="O900" s="298" t="s">
        <v>1871</v>
      </c>
      <c r="P900" s="30">
        <v>10000</v>
      </c>
      <c r="Q900" s="27">
        <v>164.8</v>
      </c>
      <c r="R900" s="27">
        <f t="shared" si="62"/>
        <v>1648000</v>
      </c>
      <c r="S900" s="28">
        <v>202306</v>
      </c>
      <c r="T900" s="31" t="s">
        <v>4915</v>
      </c>
      <c r="U900" s="274"/>
      <c r="V900" s="38">
        <v>164.78537877900001</v>
      </c>
      <c r="W900" s="300"/>
      <c r="X900" s="36">
        <v>44136</v>
      </c>
      <c r="Y900" s="36">
        <v>45230</v>
      </c>
      <c r="Z900" s="5" t="s">
        <v>4916</v>
      </c>
      <c r="AA900" s="260">
        <v>0.2</v>
      </c>
      <c r="AB900" s="38">
        <v>400</v>
      </c>
      <c r="AC900" s="302">
        <v>80</v>
      </c>
    </row>
    <row r="901" spans="1:29" s="2" customFormat="1" ht="15" customHeight="1">
      <c r="A901" s="8" t="s">
        <v>212</v>
      </c>
      <c r="B901" s="9" t="s">
        <v>4749</v>
      </c>
      <c r="C901" s="9" t="s">
        <v>1838</v>
      </c>
      <c r="D901" s="9" t="s">
        <v>3667</v>
      </c>
      <c r="E901" s="9" t="s">
        <v>4849</v>
      </c>
      <c r="F901" s="12" t="s">
        <v>4850</v>
      </c>
      <c r="G901" s="9" t="s">
        <v>34</v>
      </c>
      <c r="H901" s="15" t="s">
        <v>4911</v>
      </c>
      <c r="I901" s="11" t="e">
        <f>VLOOKUP(H901,合同高级查询数据!$A$2:$A$51,1,FALSE)</f>
        <v>#N/A</v>
      </c>
      <c r="J901" s="16" t="s">
        <v>1359</v>
      </c>
      <c r="K901" s="21" t="s">
        <v>4912</v>
      </c>
      <c r="L901" s="21" t="s">
        <v>4913</v>
      </c>
      <c r="M901" s="21"/>
      <c r="N901" s="21" t="s">
        <v>4914</v>
      </c>
      <c r="O901" s="298" t="s">
        <v>1871</v>
      </c>
      <c r="P901" s="30">
        <v>10000</v>
      </c>
      <c r="Q901" s="27">
        <f>105.7-103.6</f>
        <v>2.1000000000000085</v>
      </c>
      <c r="R901" s="27">
        <f t="shared" si="62"/>
        <v>21000</v>
      </c>
      <c r="S901" s="28">
        <v>202305</v>
      </c>
      <c r="T901" s="31" t="s">
        <v>4917</v>
      </c>
      <c r="U901" s="274"/>
      <c r="V901" s="38">
        <v>103.55028356299999</v>
      </c>
      <c r="W901" s="300">
        <v>107.8</v>
      </c>
      <c r="X901" s="36">
        <v>44136</v>
      </c>
      <c r="Y901" s="36">
        <v>45230</v>
      </c>
      <c r="Z901" s="5" t="s">
        <v>4916</v>
      </c>
      <c r="AA901" s="260">
        <v>0.2</v>
      </c>
      <c r="AB901" s="38">
        <v>400</v>
      </c>
      <c r="AC901" s="302">
        <v>80</v>
      </c>
    </row>
    <row r="902" spans="1:29" s="2" customFormat="1" ht="15" customHeight="1">
      <c r="A902" s="8" t="s">
        <v>212</v>
      </c>
      <c r="B902" s="9" t="s">
        <v>4749</v>
      </c>
      <c r="C902" s="9" t="s">
        <v>1838</v>
      </c>
      <c r="D902" s="9" t="s">
        <v>3667</v>
      </c>
      <c r="E902" s="9" t="s">
        <v>4849</v>
      </c>
      <c r="F902" s="12" t="s">
        <v>4850</v>
      </c>
      <c r="G902" s="9" t="s">
        <v>34</v>
      </c>
      <c r="H902" s="15" t="s">
        <v>4918</v>
      </c>
      <c r="I902" s="11" t="e">
        <f>VLOOKUP(H902,合同高级查询数据!$A$2:$A$51,1,FALSE)</f>
        <v>#N/A</v>
      </c>
      <c r="J902" s="16" t="s">
        <v>75</v>
      </c>
      <c r="K902" s="21" t="s">
        <v>4919</v>
      </c>
      <c r="L902" s="21" t="s">
        <v>4920</v>
      </c>
      <c r="M902" s="21"/>
      <c r="N902" s="21">
        <v>44233</v>
      </c>
      <c r="O902" s="298" t="s">
        <v>222</v>
      </c>
      <c r="P902" s="30">
        <v>210000</v>
      </c>
      <c r="Q902" s="27">
        <v>1</v>
      </c>
      <c r="R902" s="27">
        <f t="shared" si="62"/>
        <v>210000</v>
      </c>
      <c r="S902" s="28">
        <v>202306</v>
      </c>
      <c r="T902" s="31" t="s">
        <v>4921</v>
      </c>
      <c r="U902" s="274"/>
      <c r="V902" s="38">
        <v>1.0754000000000001E-5</v>
      </c>
      <c r="W902" s="300"/>
      <c r="X902" s="36">
        <v>44233</v>
      </c>
      <c r="Y902" s="36">
        <v>45230</v>
      </c>
      <c r="Z902" s="5" t="s">
        <v>4922</v>
      </c>
      <c r="AA902" s="260">
        <f>AC902/AB902</f>
        <v>0.05</v>
      </c>
      <c r="AB902" s="38">
        <v>20</v>
      </c>
      <c r="AC902" s="302">
        <v>1</v>
      </c>
    </row>
    <row r="903" spans="1:29" s="2" customFormat="1" ht="15" customHeight="1">
      <c r="A903" s="8" t="s">
        <v>212</v>
      </c>
      <c r="B903" s="9" t="s">
        <v>4749</v>
      </c>
      <c r="C903" s="9" t="s">
        <v>1838</v>
      </c>
      <c r="D903" s="9" t="s">
        <v>3667</v>
      </c>
      <c r="E903" s="9" t="s">
        <v>4849</v>
      </c>
      <c r="F903" s="12" t="s">
        <v>4850</v>
      </c>
      <c r="G903" s="9" t="s">
        <v>34</v>
      </c>
      <c r="H903" s="15" t="s">
        <v>4851</v>
      </c>
      <c r="I903" s="11" t="str">
        <f>VLOOKUP(H903,合同高级查询数据!$A$2:$A$51,1,FALSE)</f>
        <v>182315IDC00235</v>
      </c>
      <c r="J903" s="16" t="s">
        <v>36</v>
      </c>
      <c r="K903" s="21" t="s">
        <v>4923</v>
      </c>
      <c r="L903" s="21" t="s">
        <v>4924</v>
      </c>
      <c r="M903" s="21" t="s">
        <v>4925</v>
      </c>
      <c r="N903" s="21">
        <v>45047</v>
      </c>
      <c r="O903" s="298" t="s">
        <v>4926</v>
      </c>
      <c r="P903" s="30">
        <v>9000</v>
      </c>
      <c r="Q903" s="27">
        <v>177.5</v>
      </c>
      <c r="R903" s="27">
        <f t="shared" ref="R903:R908" si="64">ROUND(P903*Q903,2)</f>
        <v>1597500</v>
      </c>
      <c r="S903" s="28">
        <v>202306</v>
      </c>
      <c r="T903" s="31" t="s">
        <v>4927</v>
      </c>
      <c r="U903" s="274"/>
      <c r="V903" s="38">
        <v>177.47375915399999</v>
      </c>
      <c r="W903" s="300"/>
      <c r="X903" s="36">
        <v>45047</v>
      </c>
      <c r="Y903" s="36"/>
      <c r="Z903" s="5" t="s">
        <v>4928</v>
      </c>
      <c r="AA903" s="260">
        <f t="shared" ref="AA903:AA908" si="65">AC903/AB903</f>
        <v>0.3</v>
      </c>
      <c r="AB903" s="38">
        <v>450</v>
      </c>
      <c r="AC903" s="302">
        <v>135</v>
      </c>
    </row>
    <row r="904" spans="1:29" s="2" customFormat="1" ht="15" customHeight="1">
      <c r="A904" s="8" t="s">
        <v>212</v>
      </c>
      <c r="B904" s="9" t="s">
        <v>4749</v>
      </c>
      <c r="C904" s="9" t="s">
        <v>1838</v>
      </c>
      <c r="D904" s="9" t="s">
        <v>3667</v>
      </c>
      <c r="E904" s="9" t="s">
        <v>4849</v>
      </c>
      <c r="F904" s="12" t="s">
        <v>4850</v>
      </c>
      <c r="G904" s="9" t="s">
        <v>34</v>
      </c>
      <c r="H904" s="15" t="s">
        <v>4851</v>
      </c>
      <c r="I904" s="11" t="str">
        <f>VLOOKUP(H904,合同高级查询数据!$A$2:$A$51,1,FALSE)</f>
        <v>182315IDC00235</v>
      </c>
      <c r="J904" s="16" t="s">
        <v>36</v>
      </c>
      <c r="K904" s="21" t="s">
        <v>4923</v>
      </c>
      <c r="L904" s="21" t="s">
        <v>4924</v>
      </c>
      <c r="M904" s="21" t="s">
        <v>4925</v>
      </c>
      <c r="N904" s="21">
        <v>45047</v>
      </c>
      <c r="O904" s="298" t="s">
        <v>4926</v>
      </c>
      <c r="P904" s="30">
        <v>9000</v>
      </c>
      <c r="Q904" s="27">
        <f>173-169.2</f>
        <v>3.8000000000000114</v>
      </c>
      <c r="R904" s="27">
        <f t="shared" si="64"/>
        <v>34200</v>
      </c>
      <c r="S904" s="28">
        <v>202305</v>
      </c>
      <c r="T904" s="31" t="s">
        <v>4929</v>
      </c>
      <c r="U904" s="274"/>
      <c r="V904" s="38">
        <v>169.139617004</v>
      </c>
      <c r="W904" s="300"/>
      <c r="X904" s="36">
        <v>45047</v>
      </c>
      <c r="Y904" s="36"/>
      <c r="Z904" s="5" t="s">
        <v>4928</v>
      </c>
      <c r="AA904" s="260">
        <f t="shared" si="65"/>
        <v>0.3</v>
      </c>
      <c r="AB904" s="38">
        <v>450</v>
      </c>
      <c r="AC904" s="302">
        <v>135</v>
      </c>
    </row>
    <row r="905" spans="1:29" s="2" customFormat="1" ht="15" customHeight="1">
      <c r="A905" s="8" t="s">
        <v>212</v>
      </c>
      <c r="B905" s="9" t="s">
        <v>4749</v>
      </c>
      <c r="C905" s="9" t="s">
        <v>1838</v>
      </c>
      <c r="D905" s="9" t="s">
        <v>3667</v>
      </c>
      <c r="E905" s="9" t="s">
        <v>4849</v>
      </c>
      <c r="F905" s="12" t="s">
        <v>4850</v>
      </c>
      <c r="G905" s="9" t="s">
        <v>34</v>
      </c>
      <c r="H905" s="15" t="s">
        <v>4851</v>
      </c>
      <c r="I905" s="11" t="str">
        <f>VLOOKUP(H905,合同高级查询数据!$A$2:$A$51,1,FALSE)</f>
        <v>182315IDC00235</v>
      </c>
      <c r="J905" s="16" t="s">
        <v>36</v>
      </c>
      <c r="K905" s="21" t="s">
        <v>4930</v>
      </c>
      <c r="L905" s="21" t="s">
        <v>4931</v>
      </c>
      <c r="M905" s="21" t="s">
        <v>4932</v>
      </c>
      <c r="N905" s="21">
        <v>45047</v>
      </c>
      <c r="O905" s="298" t="s">
        <v>4933</v>
      </c>
      <c r="P905" s="30">
        <v>9000</v>
      </c>
      <c r="Q905" s="27">
        <v>75</v>
      </c>
      <c r="R905" s="27">
        <f t="shared" si="64"/>
        <v>675000</v>
      </c>
      <c r="S905" s="28">
        <v>202306</v>
      </c>
      <c r="T905" s="31" t="s">
        <v>4934</v>
      </c>
      <c r="U905" s="274"/>
      <c r="V905" s="38">
        <v>73.088857879000003</v>
      </c>
      <c r="W905" s="300"/>
      <c r="X905" s="36">
        <v>45047</v>
      </c>
      <c r="Y905" s="36"/>
      <c r="Z905" s="5" t="s">
        <v>4935</v>
      </c>
      <c r="AA905" s="260">
        <f t="shared" si="65"/>
        <v>0.3</v>
      </c>
      <c r="AB905" s="38">
        <v>250</v>
      </c>
      <c r="AC905" s="302">
        <v>75</v>
      </c>
    </row>
    <row r="906" spans="1:29" s="2" customFormat="1" ht="15" customHeight="1">
      <c r="A906" s="8" t="s">
        <v>212</v>
      </c>
      <c r="B906" s="9" t="s">
        <v>4749</v>
      </c>
      <c r="C906" s="9" t="s">
        <v>1838</v>
      </c>
      <c r="D906" s="9" t="s">
        <v>3667</v>
      </c>
      <c r="E906" s="9" t="s">
        <v>4849</v>
      </c>
      <c r="F906" s="12" t="s">
        <v>4850</v>
      </c>
      <c r="G906" s="9" t="s">
        <v>34</v>
      </c>
      <c r="H906" s="15" t="s">
        <v>4851</v>
      </c>
      <c r="I906" s="11" t="str">
        <f>VLOOKUP(H906,合同高级查询数据!$A$2:$A$51,1,FALSE)</f>
        <v>182315IDC00235</v>
      </c>
      <c r="J906" s="16" t="s">
        <v>36</v>
      </c>
      <c r="K906" s="21" t="s">
        <v>4930</v>
      </c>
      <c r="L906" s="21" t="s">
        <v>4931</v>
      </c>
      <c r="M906" s="21" t="s">
        <v>4932</v>
      </c>
      <c r="N906" s="21">
        <v>45047</v>
      </c>
      <c r="O906" s="298" t="s">
        <v>4933</v>
      </c>
      <c r="P906" s="30">
        <v>9000</v>
      </c>
      <c r="Q906" s="27">
        <f>78.301-76.7</f>
        <v>1.6009999999999991</v>
      </c>
      <c r="R906" s="27">
        <f t="shared" si="64"/>
        <v>14409</v>
      </c>
      <c r="S906" s="28">
        <v>202305</v>
      </c>
      <c r="T906" s="31" t="s">
        <v>4936</v>
      </c>
      <c r="U906" s="274"/>
      <c r="V906" s="38">
        <v>76.679751280999994</v>
      </c>
      <c r="W906" s="300"/>
      <c r="X906" s="36">
        <v>45047</v>
      </c>
      <c r="Y906" s="36"/>
      <c r="Z906" s="5" t="s">
        <v>4935</v>
      </c>
      <c r="AA906" s="260">
        <f t="shared" si="65"/>
        <v>0.3</v>
      </c>
      <c r="AB906" s="38">
        <v>250</v>
      </c>
      <c r="AC906" s="302">
        <v>75</v>
      </c>
    </row>
    <row r="907" spans="1:29" s="2" customFormat="1" ht="15" customHeight="1">
      <c r="A907" s="8" t="s">
        <v>212</v>
      </c>
      <c r="B907" s="9" t="s">
        <v>4749</v>
      </c>
      <c r="C907" s="9" t="s">
        <v>1838</v>
      </c>
      <c r="D907" s="9" t="s">
        <v>3667</v>
      </c>
      <c r="E907" s="9" t="s">
        <v>4849</v>
      </c>
      <c r="F907" s="12" t="s">
        <v>4850</v>
      </c>
      <c r="G907" s="9" t="s">
        <v>34</v>
      </c>
      <c r="H907" s="15" t="s">
        <v>4851</v>
      </c>
      <c r="I907" s="11" t="str">
        <f>VLOOKUP(H907,合同高级查询数据!$A$2:$A$51,1,FALSE)</f>
        <v>182315IDC00235</v>
      </c>
      <c r="J907" s="16" t="s">
        <v>36</v>
      </c>
      <c r="K907" s="21" t="s">
        <v>4937</v>
      </c>
      <c r="L907" s="21" t="s">
        <v>4938</v>
      </c>
      <c r="M907" s="21" t="s">
        <v>4939</v>
      </c>
      <c r="N907" s="21">
        <v>45047</v>
      </c>
      <c r="O907" s="298" t="s">
        <v>434</v>
      </c>
      <c r="P907" s="30">
        <v>9000</v>
      </c>
      <c r="Q907" s="27">
        <v>62.1</v>
      </c>
      <c r="R907" s="27">
        <f t="shared" si="64"/>
        <v>558900</v>
      </c>
      <c r="S907" s="28">
        <v>202306</v>
      </c>
      <c r="T907" s="31" t="s">
        <v>4940</v>
      </c>
      <c r="U907" s="274"/>
      <c r="V907" s="38">
        <v>62.095372619000003</v>
      </c>
      <c r="W907" s="300"/>
      <c r="X907" s="36">
        <v>45047</v>
      </c>
      <c r="Y907" s="36"/>
      <c r="Z907" s="5" t="s">
        <v>4941</v>
      </c>
      <c r="AA907" s="260">
        <f t="shared" si="65"/>
        <v>0.3</v>
      </c>
      <c r="AB907" s="38">
        <v>200</v>
      </c>
      <c r="AC907" s="302">
        <v>60</v>
      </c>
    </row>
    <row r="908" spans="1:29" s="2" customFormat="1" ht="15" customHeight="1">
      <c r="A908" s="8" t="s">
        <v>212</v>
      </c>
      <c r="B908" s="9" t="s">
        <v>4749</v>
      </c>
      <c r="C908" s="9" t="s">
        <v>1838</v>
      </c>
      <c r="D908" s="9" t="s">
        <v>3667</v>
      </c>
      <c r="E908" s="9" t="s">
        <v>4849</v>
      </c>
      <c r="F908" s="12" t="s">
        <v>4850</v>
      </c>
      <c r="G908" s="9" t="s">
        <v>34</v>
      </c>
      <c r="H908" s="15" t="s">
        <v>4851</v>
      </c>
      <c r="I908" s="11" t="str">
        <f>VLOOKUP(H908,合同高级查询数据!$A$2:$A$51,1,FALSE)</f>
        <v>182315IDC00235</v>
      </c>
      <c r="J908" s="16" t="s">
        <v>36</v>
      </c>
      <c r="K908" s="21" t="s">
        <v>4937</v>
      </c>
      <c r="L908" s="21" t="s">
        <v>4938</v>
      </c>
      <c r="M908" s="21" t="s">
        <v>4939</v>
      </c>
      <c r="N908" s="21">
        <v>45047</v>
      </c>
      <c r="O908" s="298" t="s">
        <v>434</v>
      </c>
      <c r="P908" s="30">
        <v>9000</v>
      </c>
      <c r="Q908" s="27">
        <f>93-60.7</f>
        <v>32.299999999999997</v>
      </c>
      <c r="R908" s="27">
        <f t="shared" si="64"/>
        <v>290700</v>
      </c>
      <c r="S908" s="28">
        <v>202305</v>
      </c>
      <c r="T908" s="31" t="s">
        <v>4942</v>
      </c>
      <c r="U908" s="274"/>
      <c r="V908" s="38">
        <v>60.605226364000004</v>
      </c>
      <c r="W908" s="300">
        <v>60.91</v>
      </c>
      <c r="X908" s="36">
        <v>45047</v>
      </c>
      <c r="Y908" s="36"/>
      <c r="Z908" s="5" t="s">
        <v>4941</v>
      </c>
      <c r="AA908" s="260">
        <f t="shared" si="65"/>
        <v>0.3</v>
      </c>
      <c r="AB908" s="38">
        <v>200</v>
      </c>
      <c r="AC908" s="302">
        <v>60</v>
      </c>
    </row>
    <row r="909" spans="1:29" s="2" customFormat="1" ht="15" customHeight="1">
      <c r="A909" s="8" t="s">
        <v>267</v>
      </c>
      <c r="B909" s="9" t="s">
        <v>4749</v>
      </c>
      <c r="C909" s="9" t="s">
        <v>1838</v>
      </c>
      <c r="D909" s="9" t="s">
        <v>3667</v>
      </c>
      <c r="E909" s="9" t="s">
        <v>4943</v>
      </c>
      <c r="F909" s="12" t="s">
        <v>4944</v>
      </c>
      <c r="G909" s="9" t="s">
        <v>4945</v>
      </c>
      <c r="H909" s="15" t="s">
        <v>4946</v>
      </c>
      <c r="I909" s="11" t="e">
        <f>VLOOKUP(H909,合同高级查询数据!$A$2:$A$51,1,FALSE)</f>
        <v>#N/A</v>
      </c>
      <c r="J909" s="16" t="s">
        <v>36</v>
      </c>
      <c r="K909" s="21" t="s">
        <v>4947</v>
      </c>
      <c r="L909" s="21" t="s">
        <v>4948</v>
      </c>
      <c r="M909" s="21"/>
      <c r="N909" s="21" t="s">
        <v>4949</v>
      </c>
      <c r="O909" s="298" t="s">
        <v>4950</v>
      </c>
      <c r="P909" s="30">
        <v>6740</v>
      </c>
      <c r="Q909" s="27">
        <v>146.76</v>
      </c>
      <c r="R909" s="27">
        <f t="shared" si="62"/>
        <v>989162.4</v>
      </c>
      <c r="S909" s="28">
        <v>202306</v>
      </c>
      <c r="T909" s="31" t="s">
        <v>4951</v>
      </c>
      <c r="U909" s="274"/>
      <c r="V909" s="38">
        <v>146.76345825199999</v>
      </c>
      <c r="W909" s="300"/>
      <c r="X909" s="36">
        <v>44866</v>
      </c>
      <c r="Y909" s="36">
        <v>45230</v>
      </c>
      <c r="Z909" s="5" t="s">
        <v>4952</v>
      </c>
      <c r="AA909" s="260">
        <v>0.4</v>
      </c>
      <c r="AB909" s="38">
        <v>360</v>
      </c>
      <c r="AC909" s="302">
        <v>144</v>
      </c>
    </row>
    <row r="910" spans="1:29" s="2" customFormat="1" ht="15" customHeight="1">
      <c r="A910" s="8" t="s">
        <v>267</v>
      </c>
      <c r="B910" s="9" t="s">
        <v>4749</v>
      </c>
      <c r="C910" s="9" t="s">
        <v>1838</v>
      </c>
      <c r="D910" s="9" t="s">
        <v>3667</v>
      </c>
      <c r="E910" s="9" t="s">
        <v>4943</v>
      </c>
      <c r="F910" s="12" t="s">
        <v>4944</v>
      </c>
      <c r="G910" s="9" t="s">
        <v>34</v>
      </c>
      <c r="H910" s="15" t="s">
        <v>4946</v>
      </c>
      <c r="I910" s="11" t="e">
        <f>VLOOKUP(H910,合同高级查询数据!$A$2:$A$51,1,FALSE)</f>
        <v>#N/A</v>
      </c>
      <c r="J910" s="16" t="s">
        <v>422</v>
      </c>
      <c r="K910" s="21" t="s">
        <v>4953</v>
      </c>
      <c r="L910" s="21" t="s">
        <v>4954</v>
      </c>
      <c r="M910" s="21"/>
      <c r="N910" s="21">
        <v>44958</v>
      </c>
      <c r="O910" s="298" t="s">
        <v>1798</v>
      </c>
      <c r="P910" s="30">
        <v>6740</v>
      </c>
      <c r="Q910" s="27">
        <v>0</v>
      </c>
      <c r="R910" s="27">
        <f t="shared" si="62"/>
        <v>0</v>
      </c>
      <c r="S910" s="28">
        <v>202306</v>
      </c>
      <c r="T910" s="31" t="s">
        <v>4955</v>
      </c>
      <c r="U910" s="274"/>
      <c r="V910" s="38">
        <v>0</v>
      </c>
      <c r="W910" s="300"/>
      <c r="X910" s="36">
        <v>44866</v>
      </c>
      <c r="Y910" s="36">
        <v>45230</v>
      </c>
      <c r="Z910" s="5" t="s">
        <v>4956</v>
      </c>
      <c r="AA910" s="260">
        <v>0.4</v>
      </c>
      <c r="AB910" s="38">
        <v>0</v>
      </c>
      <c r="AC910" s="302">
        <v>0</v>
      </c>
    </row>
    <row r="911" spans="1:29" s="2" customFormat="1" ht="15" customHeight="1">
      <c r="A911" s="8" t="s">
        <v>267</v>
      </c>
      <c r="B911" s="9" t="s">
        <v>4749</v>
      </c>
      <c r="C911" s="9" t="s">
        <v>1838</v>
      </c>
      <c r="D911" s="9" t="s">
        <v>3667</v>
      </c>
      <c r="E911" s="9" t="s">
        <v>4943</v>
      </c>
      <c r="F911" s="12" t="s">
        <v>4944</v>
      </c>
      <c r="G911" s="9" t="s">
        <v>34</v>
      </c>
      <c r="H911" s="15" t="s">
        <v>4946</v>
      </c>
      <c r="I911" s="11" t="e">
        <f>VLOOKUP(H911,合同高级查询数据!$A$2:$A$51,1,FALSE)</f>
        <v>#N/A</v>
      </c>
      <c r="J911" s="16" t="s">
        <v>1359</v>
      </c>
      <c r="K911" s="21" t="s">
        <v>4957</v>
      </c>
      <c r="L911" s="21" t="s">
        <v>4958</v>
      </c>
      <c r="M911" s="21"/>
      <c r="N911" s="21">
        <v>43439</v>
      </c>
      <c r="O911" s="298" t="s">
        <v>1745</v>
      </c>
      <c r="P911" s="30">
        <v>6000</v>
      </c>
      <c r="Q911" s="27">
        <v>0</v>
      </c>
      <c r="R911" s="27">
        <f t="shared" si="62"/>
        <v>0</v>
      </c>
      <c r="S911" s="28">
        <v>202306</v>
      </c>
      <c r="T911" s="31" t="s">
        <v>4959</v>
      </c>
      <c r="U911" s="274"/>
      <c r="V911" s="38">
        <v>0</v>
      </c>
      <c r="W911" s="300"/>
      <c r="X911" s="36">
        <v>44866</v>
      </c>
      <c r="Y911" s="36">
        <v>45230</v>
      </c>
      <c r="Z911" s="5" t="s">
        <v>4960</v>
      </c>
      <c r="AA911" s="260" t="s">
        <v>4798</v>
      </c>
      <c r="AB911" s="38">
        <v>0</v>
      </c>
      <c r="AC911" s="302">
        <v>0</v>
      </c>
    </row>
    <row r="912" spans="1:29" s="2" customFormat="1" ht="15" customHeight="1">
      <c r="A912" s="8" t="s">
        <v>267</v>
      </c>
      <c r="B912" s="9" t="s">
        <v>4749</v>
      </c>
      <c r="C912" s="9" t="s">
        <v>1838</v>
      </c>
      <c r="D912" s="9" t="s">
        <v>3667</v>
      </c>
      <c r="E912" s="9" t="s">
        <v>4943</v>
      </c>
      <c r="F912" s="12" t="s">
        <v>4944</v>
      </c>
      <c r="G912" s="9" t="s">
        <v>34</v>
      </c>
      <c r="H912" s="15" t="s">
        <v>4946</v>
      </c>
      <c r="I912" s="11" t="e">
        <f>VLOOKUP(H912,合同高级查询数据!$A$2:$A$51,1,FALSE)</f>
        <v>#N/A</v>
      </c>
      <c r="J912" s="16" t="s">
        <v>75</v>
      </c>
      <c r="K912" s="21" t="s">
        <v>4961</v>
      </c>
      <c r="L912" s="21" t="s">
        <v>4962</v>
      </c>
      <c r="M912" s="21"/>
      <c r="N912" s="21">
        <v>43398</v>
      </c>
      <c r="O912" s="298" t="s">
        <v>222</v>
      </c>
      <c r="P912" s="30">
        <v>110000</v>
      </c>
      <c r="Q912" s="27">
        <v>2</v>
      </c>
      <c r="R912" s="27">
        <f t="shared" si="62"/>
        <v>220000</v>
      </c>
      <c r="S912" s="28">
        <v>202306</v>
      </c>
      <c r="T912" s="31" t="s">
        <v>4963</v>
      </c>
      <c r="U912" s="274"/>
      <c r="V912" s="38">
        <v>0.82033299199999998</v>
      </c>
      <c r="W912" s="300"/>
      <c r="X912" s="36">
        <v>44866</v>
      </c>
      <c r="Y912" s="36">
        <v>45230</v>
      </c>
      <c r="Z912" s="5" t="s">
        <v>4964</v>
      </c>
      <c r="AA912" s="260">
        <v>0.1</v>
      </c>
      <c r="AB912" s="38">
        <v>20</v>
      </c>
      <c r="AC912" s="302">
        <v>2</v>
      </c>
    </row>
    <row r="913" spans="1:29" s="2" customFormat="1" ht="15" customHeight="1">
      <c r="A913" s="8" t="s">
        <v>267</v>
      </c>
      <c r="B913" s="9" t="s">
        <v>4749</v>
      </c>
      <c r="C913" s="9" t="s">
        <v>1838</v>
      </c>
      <c r="D913" s="9" t="s">
        <v>3667</v>
      </c>
      <c r="E913" s="9" t="s">
        <v>4965</v>
      </c>
      <c r="F913" s="12" t="s">
        <v>4966</v>
      </c>
      <c r="G913" s="9" t="s">
        <v>34</v>
      </c>
      <c r="H913" s="15" t="s">
        <v>4967</v>
      </c>
      <c r="I913" s="11" t="str">
        <f>VLOOKUP(H913,合同高级查询数据!$A$2:$A$51,1,FALSE)</f>
        <v>182315IDC00244</v>
      </c>
      <c r="J913" s="16" t="s">
        <v>4151</v>
      </c>
      <c r="K913" s="21" t="s">
        <v>4968</v>
      </c>
      <c r="L913" s="21" t="s">
        <v>4969</v>
      </c>
      <c r="M913" s="21" t="s">
        <v>4970</v>
      </c>
      <c r="N913" s="21">
        <v>44935</v>
      </c>
      <c r="O913" s="298" t="s">
        <v>434</v>
      </c>
      <c r="P913" s="30">
        <v>6740</v>
      </c>
      <c r="Q913" s="27">
        <v>92.71</v>
      </c>
      <c r="R913" s="27">
        <f t="shared" si="62"/>
        <v>624865.4</v>
      </c>
      <c r="S913" s="28">
        <v>202306</v>
      </c>
      <c r="T913" s="31" t="s">
        <v>4971</v>
      </c>
      <c r="U913" s="274"/>
      <c r="V913" s="38">
        <v>92.712989807</v>
      </c>
      <c r="W913" s="300"/>
      <c r="X913" s="36">
        <v>44935</v>
      </c>
      <c r="Y913" s="36">
        <v>45107</v>
      </c>
      <c r="Z913" s="5" t="s">
        <v>4972</v>
      </c>
      <c r="AA913" s="260">
        <v>0.4</v>
      </c>
      <c r="AB913" s="38">
        <v>200</v>
      </c>
      <c r="AC913" s="302">
        <v>80</v>
      </c>
    </row>
    <row r="914" spans="1:29" s="2" customFormat="1" ht="15" customHeight="1">
      <c r="A914" s="8" t="s">
        <v>267</v>
      </c>
      <c r="B914" s="9" t="s">
        <v>4749</v>
      </c>
      <c r="C914" s="9" t="s">
        <v>1838</v>
      </c>
      <c r="D914" s="9" t="s">
        <v>3667</v>
      </c>
      <c r="E914" s="9" t="s">
        <v>4973</v>
      </c>
      <c r="F914" s="12" t="s">
        <v>4974</v>
      </c>
      <c r="G914" s="9" t="s">
        <v>34</v>
      </c>
      <c r="H914" s="15" t="s">
        <v>4975</v>
      </c>
      <c r="I914" s="11" t="e">
        <f>VLOOKUP(H914,合同高级查询数据!$A$2:$A$51,1,FALSE)</f>
        <v>#N/A</v>
      </c>
      <c r="J914" s="16" t="s">
        <v>1359</v>
      </c>
      <c r="K914" s="21" t="s">
        <v>4976</v>
      </c>
      <c r="L914" s="21" t="s">
        <v>4977</v>
      </c>
      <c r="M914" s="21"/>
      <c r="N914" s="21" t="s">
        <v>4978</v>
      </c>
      <c r="O914" s="298" t="s">
        <v>4979</v>
      </c>
      <c r="P914" s="30">
        <v>6740</v>
      </c>
      <c r="Q914" s="27">
        <v>359.66</v>
      </c>
      <c r="R914" s="27">
        <f t="shared" ref="R914:R945" si="66">ROUND(P914*Q914,2)</f>
        <v>2424108.4</v>
      </c>
      <c r="S914" s="28">
        <v>202306</v>
      </c>
      <c r="T914" s="31" t="s">
        <v>4980</v>
      </c>
      <c r="U914" s="274"/>
      <c r="V914" s="38">
        <v>359.66405910998998</v>
      </c>
      <c r="W914" s="300">
        <v>384.99</v>
      </c>
      <c r="X914" s="36">
        <v>44927</v>
      </c>
      <c r="Y914" s="36">
        <v>45107</v>
      </c>
      <c r="Z914" s="5" t="s">
        <v>4981</v>
      </c>
      <c r="AA914" s="260">
        <v>0.4</v>
      </c>
      <c r="AB914" s="38">
        <v>860</v>
      </c>
      <c r="AC914" s="302">
        <v>344</v>
      </c>
    </row>
    <row r="915" spans="1:29" s="2" customFormat="1" ht="15" customHeight="1">
      <c r="A915" s="8" t="s">
        <v>267</v>
      </c>
      <c r="B915" s="9" t="s">
        <v>4749</v>
      </c>
      <c r="C915" s="9" t="s">
        <v>1838</v>
      </c>
      <c r="D915" s="9" t="s">
        <v>3667</v>
      </c>
      <c r="E915" s="9" t="s">
        <v>4973</v>
      </c>
      <c r="F915" s="12" t="s">
        <v>4974</v>
      </c>
      <c r="G915" s="9" t="s">
        <v>34</v>
      </c>
      <c r="H915" s="15" t="s">
        <v>4975</v>
      </c>
      <c r="I915" s="11" t="e">
        <f>VLOOKUP(H915,合同高级查询数据!$A$2:$A$51,1,FALSE)</f>
        <v>#N/A</v>
      </c>
      <c r="J915" s="16" t="s">
        <v>36</v>
      </c>
      <c r="K915" s="21" t="s">
        <v>4982</v>
      </c>
      <c r="L915" s="21" t="s">
        <v>4983</v>
      </c>
      <c r="M915" s="21"/>
      <c r="N915" s="21" t="s">
        <v>4984</v>
      </c>
      <c r="O915" s="298" t="s">
        <v>2294</v>
      </c>
      <c r="P915" s="30">
        <v>6740</v>
      </c>
      <c r="Q915" s="27">
        <v>0</v>
      </c>
      <c r="R915" s="27">
        <f t="shared" si="66"/>
        <v>0</v>
      </c>
      <c r="S915" s="28">
        <v>202306</v>
      </c>
      <c r="T915" s="31" t="s">
        <v>4985</v>
      </c>
      <c r="U915" s="274"/>
      <c r="V915" s="38">
        <v>0</v>
      </c>
      <c r="W915" s="300"/>
      <c r="X915" s="36">
        <v>44927</v>
      </c>
      <c r="Y915" s="36">
        <v>45107</v>
      </c>
      <c r="Z915" s="5" t="s">
        <v>4986</v>
      </c>
      <c r="AA915" s="260">
        <v>0.4</v>
      </c>
      <c r="AB915" s="38">
        <v>0</v>
      </c>
      <c r="AC915" s="302">
        <v>0</v>
      </c>
    </row>
    <row r="916" spans="1:29" s="2" customFormat="1" ht="15" customHeight="1">
      <c r="A916" s="8" t="s">
        <v>267</v>
      </c>
      <c r="B916" s="9" t="s">
        <v>4749</v>
      </c>
      <c r="C916" s="9" t="s">
        <v>1838</v>
      </c>
      <c r="D916" s="9" t="s">
        <v>3667</v>
      </c>
      <c r="E916" s="9" t="s">
        <v>4973</v>
      </c>
      <c r="F916" s="12" t="s">
        <v>4974</v>
      </c>
      <c r="G916" s="9" t="s">
        <v>34</v>
      </c>
      <c r="H916" s="15" t="s">
        <v>4975</v>
      </c>
      <c r="I916" s="11" t="e">
        <f>VLOOKUP(H916,合同高级查询数据!$A$2:$A$51,1,FALSE)</f>
        <v>#N/A</v>
      </c>
      <c r="J916" s="16" t="s">
        <v>422</v>
      </c>
      <c r="K916" s="21" t="s">
        <v>4953</v>
      </c>
      <c r="L916" s="21" t="s">
        <v>4954</v>
      </c>
      <c r="M916" s="21"/>
      <c r="N916" s="21" t="s">
        <v>4987</v>
      </c>
      <c r="O916" s="298" t="s">
        <v>1422</v>
      </c>
      <c r="P916" s="30">
        <v>6740</v>
      </c>
      <c r="Q916" s="27">
        <v>0</v>
      </c>
      <c r="R916" s="27">
        <f t="shared" si="66"/>
        <v>0</v>
      </c>
      <c r="S916" s="28">
        <v>202306</v>
      </c>
      <c r="T916" s="31" t="s">
        <v>4955</v>
      </c>
      <c r="U916" s="274"/>
      <c r="V916" s="38">
        <v>0</v>
      </c>
      <c r="W916" s="300"/>
      <c r="X916" s="36">
        <v>44927</v>
      </c>
      <c r="Y916" s="36">
        <v>45107</v>
      </c>
      <c r="Z916" s="5" t="s">
        <v>4956</v>
      </c>
      <c r="AA916" s="260">
        <v>0.4</v>
      </c>
      <c r="AB916" s="38">
        <v>0</v>
      </c>
      <c r="AC916" s="302">
        <v>0</v>
      </c>
    </row>
    <row r="917" spans="1:29" s="2" customFormat="1" ht="15" customHeight="1">
      <c r="A917" s="8" t="s">
        <v>267</v>
      </c>
      <c r="B917" s="9" t="s">
        <v>4749</v>
      </c>
      <c r="C917" s="9" t="s">
        <v>1838</v>
      </c>
      <c r="D917" s="9" t="s">
        <v>3667</v>
      </c>
      <c r="E917" s="9" t="s">
        <v>4973</v>
      </c>
      <c r="F917" s="12" t="s">
        <v>4974</v>
      </c>
      <c r="G917" s="9" t="s">
        <v>34</v>
      </c>
      <c r="H917" s="15" t="s">
        <v>4975</v>
      </c>
      <c r="I917" s="11" t="e">
        <f>VLOOKUP(H917,合同高级查询数据!$A$2:$A$51,1,FALSE)</f>
        <v>#N/A</v>
      </c>
      <c r="J917" s="16" t="s">
        <v>36</v>
      </c>
      <c r="K917" s="21" t="s">
        <v>4988</v>
      </c>
      <c r="L917" s="21" t="s">
        <v>4989</v>
      </c>
      <c r="M917" s="21"/>
      <c r="N917" s="21" t="s">
        <v>4990</v>
      </c>
      <c r="O917" s="298" t="s">
        <v>4991</v>
      </c>
      <c r="P917" s="30">
        <v>6740</v>
      </c>
      <c r="Q917" s="27">
        <v>0</v>
      </c>
      <c r="R917" s="27">
        <f t="shared" si="66"/>
        <v>0</v>
      </c>
      <c r="S917" s="28">
        <v>202306</v>
      </c>
      <c r="T917" s="31" t="s">
        <v>4992</v>
      </c>
      <c r="U917" s="274"/>
      <c r="V917" s="38">
        <v>0</v>
      </c>
      <c r="W917" s="300"/>
      <c r="X917" s="36">
        <v>44927</v>
      </c>
      <c r="Y917" s="36">
        <v>45107</v>
      </c>
      <c r="Z917" s="5" t="s">
        <v>4993</v>
      </c>
      <c r="AA917" s="260">
        <v>0.4</v>
      </c>
      <c r="AB917" s="38">
        <v>0</v>
      </c>
      <c r="AC917" s="302">
        <v>0</v>
      </c>
    </row>
    <row r="918" spans="1:29" s="2" customFormat="1" ht="15" customHeight="1">
      <c r="A918" s="8" t="s">
        <v>260</v>
      </c>
      <c r="B918" s="9" t="s">
        <v>4749</v>
      </c>
      <c r="C918" s="9" t="s">
        <v>1838</v>
      </c>
      <c r="D918" s="9" t="s">
        <v>3667</v>
      </c>
      <c r="E918" s="9" t="s">
        <v>4994</v>
      </c>
      <c r="F918" s="12" t="s">
        <v>4995</v>
      </c>
      <c r="G918" s="9" t="s">
        <v>34</v>
      </c>
      <c r="H918" s="15" t="s">
        <v>4996</v>
      </c>
      <c r="I918" s="11" t="e">
        <f>VLOOKUP(H918,合同高级查询数据!$A$2:$A$51,1,FALSE)</f>
        <v>#N/A</v>
      </c>
      <c r="J918" s="16" t="s">
        <v>1359</v>
      </c>
      <c r="K918" s="21" t="s">
        <v>4997</v>
      </c>
      <c r="L918" s="21" t="s">
        <v>4998</v>
      </c>
      <c r="M918" s="21"/>
      <c r="N918" s="21">
        <v>44131</v>
      </c>
      <c r="O918" s="298" t="s">
        <v>434</v>
      </c>
      <c r="P918" s="30">
        <v>20000</v>
      </c>
      <c r="Q918" s="27">
        <v>59.9</v>
      </c>
      <c r="R918" s="27">
        <f t="shared" si="66"/>
        <v>1198000</v>
      </c>
      <c r="S918" s="28">
        <v>202306</v>
      </c>
      <c r="T918" s="31" t="s">
        <v>4999</v>
      </c>
      <c r="U918" s="274"/>
      <c r="V918" s="38">
        <v>59.817433561000001</v>
      </c>
      <c r="W918" s="300"/>
      <c r="X918" s="36">
        <v>44166</v>
      </c>
      <c r="Y918" s="36">
        <v>45260</v>
      </c>
      <c r="Z918" s="5" t="s">
        <v>5000</v>
      </c>
      <c r="AA918" s="260">
        <v>0.1</v>
      </c>
      <c r="AB918" s="38">
        <v>200</v>
      </c>
      <c r="AC918" s="302">
        <v>20</v>
      </c>
    </row>
    <row r="919" spans="1:29" s="2" customFormat="1" ht="15" customHeight="1">
      <c r="A919" s="8" t="s">
        <v>260</v>
      </c>
      <c r="B919" s="9" t="s">
        <v>4749</v>
      </c>
      <c r="C919" s="9" t="s">
        <v>1838</v>
      </c>
      <c r="D919" s="9" t="s">
        <v>3667</v>
      </c>
      <c r="E919" s="9" t="s">
        <v>4792</v>
      </c>
      <c r="F919" s="12" t="s">
        <v>4995</v>
      </c>
      <c r="G919" s="9" t="s">
        <v>34</v>
      </c>
      <c r="H919" s="15" t="s">
        <v>4794</v>
      </c>
      <c r="I919" s="11" t="e">
        <f>VLOOKUP(H919,合同高级查询数据!$A$2:$A$51,1,FALSE)</f>
        <v>#N/A</v>
      </c>
      <c r="J919" s="16" t="s">
        <v>1359</v>
      </c>
      <c r="K919" s="21" t="s">
        <v>5001</v>
      </c>
      <c r="L919" s="21" t="s">
        <v>5002</v>
      </c>
      <c r="M919" s="21" t="s">
        <v>5003</v>
      </c>
      <c r="N919" s="21" t="s">
        <v>5004</v>
      </c>
      <c r="O919" s="298" t="s">
        <v>5005</v>
      </c>
      <c r="P919" s="30">
        <v>9500</v>
      </c>
      <c r="Q919" s="27">
        <v>113.9</v>
      </c>
      <c r="R919" s="27">
        <f t="shared" si="66"/>
        <v>1082050</v>
      </c>
      <c r="S919" s="28">
        <v>202306</v>
      </c>
      <c r="T919" s="31" t="s">
        <v>5006</v>
      </c>
      <c r="U919" s="274"/>
      <c r="V919" s="38">
        <v>113.87337622698</v>
      </c>
      <c r="W919" s="300"/>
      <c r="X919" s="36">
        <v>44774</v>
      </c>
      <c r="Y919" s="36">
        <v>45138</v>
      </c>
      <c r="Z919" s="5" t="s">
        <v>5007</v>
      </c>
      <c r="AA919" s="260">
        <v>0.3</v>
      </c>
      <c r="AB919" s="38">
        <v>400</v>
      </c>
      <c r="AC919" s="302">
        <v>108</v>
      </c>
    </row>
    <row r="920" spans="1:29" s="2" customFormat="1" ht="15" customHeight="1">
      <c r="A920" s="8" t="s">
        <v>260</v>
      </c>
      <c r="B920" s="9" t="s">
        <v>4749</v>
      </c>
      <c r="C920" s="9" t="s">
        <v>1838</v>
      </c>
      <c r="D920" s="9" t="s">
        <v>3667</v>
      </c>
      <c r="E920" s="9" t="s">
        <v>4792</v>
      </c>
      <c r="F920" s="12" t="s">
        <v>4995</v>
      </c>
      <c r="G920" s="9" t="s">
        <v>34</v>
      </c>
      <c r="H920" s="15" t="s">
        <v>4794</v>
      </c>
      <c r="I920" s="11" t="e">
        <f>VLOOKUP(H920,合同高级查询数据!$A$2:$A$51,1,FALSE)</f>
        <v>#N/A</v>
      </c>
      <c r="J920" s="16" t="s">
        <v>1359</v>
      </c>
      <c r="K920" s="21" t="s">
        <v>5001</v>
      </c>
      <c r="L920" s="21" t="s">
        <v>5002</v>
      </c>
      <c r="M920" s="21" t="s">
        <v>5003</v>
      </c>
      <c r="N920" s="21" t="s">
        <v>5004</v>
      </c>
      <c r="O920" s="298" t="s">
        <v>5005</v>
      </c>
      <c r="P920" s="30">
        <v>9500</v>
      </c>
      <c r="Q920" s="27">
        <f>118.78-117.1</f>
        <v>1.6800000000000068</v>
      </c>
      <c r="R920" s="27">
        <f t="shared" si="66"/>
        <v>15960</v>
      </c>
      <c r="S920" s="28">
        <v>202305</v>
      </c>
      <c r="T920" s="31" t="s">
        <v>5008</v>
      </c>
      <c r="U920" s="274"/>
      <c r="V920" s="38">
        <v>117.06268154271</v>
      </c>
      <c r="W920" s="300">
        <v>120.5</v>
      </c>
      <c r="X920" s="36">
        <v>44774</v>
      </c>
      <c r="Y920" s="36">
        <v>45138</v>
      </c>
      <c r="Z920" s="5" t="s">
        <v>5007</v>
      </c>
      <c r="AA920" s="260">
        <v>0.3</v>
      </c>
      <c r="AB920" s="38">
        <v>400</v>
      </c>
      <c r="AC920" s="302">
        <v>108</v>
      </c>
    </row>
    <row r="921" spans="1:29" s="2" customFormat="1" ht="15" customHeight="1">
      <c r="A921" s="8" t="s">
        <v>260</v>
      </c>
      <c r="B921" s="9" t="s">
        <v>4749</v>
      </c>
      <c r="C921" s="9" t="s">
        <v>1838</v>
      </c>
      <c r="D921" s="9" t="s">
        <v>3667</v>
      </c>
      <c r="E921" s="9" t="s">
        <v>4792</v>
      </c>
      <c r="F921" s="12" t="s">
        <v>4995</v>
      </c>
      <c r="G921" s="9" t="s">
        <v>34</v>
      </c>
      <c r="H921" s="15" t="s">
        <v>4794</v>
      </c>
      <c r="I921" s="11" t="e">
        <f>VLOOKUP(H921,合同高级查询数据!$A$2:$A$51,1,FALSE)</f>
        <v>#N/A</v>
      </c>
      <c r="J921" s="16" t="s">
        <v>1359</v>
      </c>
      <c r="K921" s="21" t="s">
        <v>5009</v>
      </c>
      <c r="L921" s="21" t="s">
        <v>5010</v>
      </c>
      <c r="M921" s="21" t="s">
        <v>5003</v>
      </c>
      <c r="N921" s="21">
        <v>44501</v>
      </c>
      <c r="O921" s="298" t="s">
        <v>470</v>
      </c>
      <c r="P921" s="30">
        <v>9500</v>
      </c>
      <c r="Q921" s="27">
        <v>120</v>
      </c>
      <c r="R921" s="27">
        <f t="shared" si="66"/>
        <v>1140000</v>
      </c>
      <c r="S921" s="28">
        <v>202306</v>
      </c>
      <c r="T921" s="31" t="s">
        <v>5011</v>
      </c>
      <c r="U921" s="274"/>
      <c r="V921" s="38">
        <v>118.63477608933999</v>
      </c>
      <c r="W921" s="300"/>
      <c r="X921" s="36">
        <v>44774</v>
      </c>
      <c r="Y921" s="36">
        <v>45138</v>
      </c>
      <c r="Z921" s="5" t="s">
        <v>5012</v>
      </c>
      <c r="AA921" s="260">
        <v>0.3</v>
      </c>
      <c r="AB921" s="38">
        <v>400</v>
      </c>
      <c r="AC921" s="302">
        <v>120</v>
      </c>
    </row>
    <row r="922" spans="1:29" s="2" customFormat="1" ht="15" customHeight="1">
      <c r="A922" s="8" t="s">
        <v>260</v>
      </c>
      <c r="B922" s="9" t="s">
        <v>4749</v>
      </c>
      <c r="C922" s="9" t="s">
        <v>1838</v>
      </c>
      <c r="D922" s="9" t="s">
        <v>3667</v>
      </c>
      <c r="E922" s="9" t="s">
        <v>4792</v>
      </c>
      <c r="F922" s="12" t="s">
        <v>4995</v>
      </c>
      <c r="G922" s="9" t="s">
        <v>34</v>
      </c>
      <c r="H922" s="15" t="s">
        <v>4794</v>
      </c>
      <c r="I922" s="11" t="e">
        <f>VLOOKUP(H922,合同高级查询数据!$A$2:$A$51,1,FALSE)</f>
        <v>#N/A</v>
      </c>
      <c r="J922" s="16" t="s">
        <v>1359</v>
      </c>
      <c r="K922" s="21" t="s">
        <v>5009</v>
      </c>
      <c r="L922" s="21" t="s">
        <v>5010</v>
      </c>
      <c r="M922" s="21" t="s">
        <v>5003</v>
      </c>
      <c r="N922" s="21">
        <v>44501</v>
      </c>
      <c r="O922" s="298" t="s">
        <v>470</v>
      </c>
      <c r="P922" s="30">
        <v>9500</v>
      </c>
      <c r="Q922" s="27">
        <f>125.93-122.6</f>
        <v>3.3300000000000125</v>
      </c>
      <c r="R922" s="27">
        <f t="shared" si="66"/>
        <v>31635</v>
      </c>
      <c r="S922" s="28">
        <v>202305</v>
      </c>
      <c r="T922" s="31" t="s">
        <v>5013</v>
      </c>
      <c r="U922" s="274"/>
      <c r="V922" s="38">
        <v>122.51747249719</v>
      </c>
      <c r="W922" s="300">
        <v>129.34</v>
      </c>
      <c r="X922" s="36">
        <v>44774</v>
      </c>
      <c r="Y922" s="36">
        <v>45138</v>
      </c>
      <c r="Z922" s="5" t="s">
        <v>5012</v>
      </c>
      <c r="AA922" s="260">
        <v>0.3</v>
      </c>
      <c r="AB922" s="38">
        <v>400</v>
      </c>
      <c r="AC922" s="302">
        <v>120</v>
      </c>
    </row>
    <row r="923" spans="1:29" s="2" customFormat="1" ht="15" customHeight="1">
      <c r="A923" s="8" t="s">
        <v>260</v>
      </c>
      <c r="B923" s="9" t="s">
        <v>4749</v>
      </c>
      <c r="C923" s="9" t="s">
        <v>1838</v>
      </c>
      <c r="D923" s="9" t="s">
        <v>3667</v>
      </c>
      <c r="E923" s="9" t="s">
        <v>4994</v>
      </c>
      <c r="F923" s="12" t="s">
        <v>4995</v>
      </c>
      <c r="G923" s="9" t="s">
        <v>34</v>
      </c>
      <c r="H923" s="15" t="s">
        <v>4996</v>
      </c>
      <c r="I923" s="11" t="e">
        <f>VLOOKUP(H923,合同高级查询数据!$A$2:$A$51,1,FALSE)</f>
        <v>#N/A</v>
      </c>
      <c r="J923" s="16" t="s">
        <v>75</v>
      </c>
      <c r="K923" s="21" t="s">
        <v>5014</v>
      </c>
      <c r="L923" s="21" t="s">
        <v>5015</v>
      </c>
      <c r="M923" s="21"/>
      <c r="N923" s="21">
        <v>44228</v>
      </c>
      <c r="O923" s="298" t="s">
        <v>222</v>
      </c>
      <c r="P923" s="30">
        <v>200000</v>
      </c>
      <c r="Q923" s="27">
        <v>1</v>
      </c>
      <c r="R923" s="27">
        <f t="shared" si="66"/>
        <v>200000</v>
      </c>
      <c r="S923" s="28">
        <v>202306</v>
      </c>
      <c r="T923" s="31" t="s">
        <v>5016</v>
      </c>
      <c r="U923" s="274"/>
      <c r="V923" s="38">
        <v>5.9159999999999998E-6</v>
      </c>
      <c r="W923" s="300"/>
      <c r="X923" s="36">
        <v>44166</v>
      </c>
      <c r="Y923" s="36">
        <v>45260</v>
      </c>
      <c r="Z923" s="5" t="s">
        <v>5017</v>
      </c>
      <c r="AA923" s="260">
        <f>AC923/AB923</f>
        <v>0.05</v>
      </c>
      <c r="AB923" s="38">
        <v>20</v>
      </c>
      <c r="AC923" s="302">
        <v>1</v>
      </c>
    </row>
    <row r="924" spans="1:29" s="2" customFormat="1" ht="15" customHeight="1">
      <c r="A924" s="8" t="s">
        <v>212</v>
      </c>
      <c r="B924" s="9" t="s">
        <v>5018</v>
      </c>
      <c r="C924" s="9" t="s">
        <v>1790</v>
      </c>
      <c r="D924" s="9" t="s">
        <v>418</v>
      </c>
      <c r="E924" s="9" t="s">
        <v>5019</v>
      </c>
      <c r="F924" s="12" t="s">
        <v>5020</v>
      </c>
      <c r="G924" s="9" t="s">
        <v>34</v>
      </c>
      <c r="H924" s="15" t="s">
        <v>5021</v>
      </c>
      <c r="I924" s="11" t="e">
        <f>VLOOKUP(H924,合同高级查询数据!$A$2:$A$51,1,FALSE)</f>
        <v>#N/A</v>
      </c>
      <c r="J924" s="16" t="s">
        <v>75</v>
      </c>
      <c r="K924" s="21" t="s">
        <v>5022</v>
      </c>
      <c r="L924" s="21" t="s">
        <v>5023</v>
      </c>
      <c r="M924" s="21"/>
      <c r="N924" s="21" t="s">
        <v>5024</v>
      </c>
      <c r="O924" s="298" t="s">
        <v>542</v>
      </c>
      <c r="P924" s="30">
        <v>210000</v>
      </c>
      <c r="Q924" s="27">
        <v>1</v>
      </c>
      <c r="R924" s="27">
        <f t="shared" si="66"/>
        <v>210000</v>
      </c>
      <c r="S924" s="28">
        <v>202306</v>
      </c>
      <c r="T924" s="31" t="s">
        <v>5025</v>
      </c>
      <c r="U924" s="274"/>
      <c r="V924" s="38">
        <v>0</v>
      </c>
      <c r="W924" s="300">
        <v>1</v>
      </c>
      <c r="X924" s="36">
        <v>43617</v>
      </c>
      <c r="Y924" s="36">
        <v>45443</v>
      </c>
      <c r="Z924" s="5" t="s">
        <v>5026</v>
      </c>
      <c r="AA924" s="260">
        <v>0.1</v>
      </c>
      <c r="AB924" s="38">
        <v>10</v>
      </c>
      <c r="AC924" s="302">
        <v>1</v>
      </c>
    </row>
    <row r="925" spans="1:29" s="3" customFormat="1" ht="15" customHeight="1">
      <c r="A925" s="49" t="s">
        <v>260</v>
      </c>
      <c r="B925" s="50" t="s">
        <v>5018</v>
      </c>
      <c r="C925" s="50" t="s">
        <v>1790</v>
      </c>
      <c r="D925" s="50" t="s">
        <v>418</v>
      </c>
      <c r="E925" s="50" t="s">
        <v>5027</v>
      </c>
      <c r="F925" s="51" t="s">
        <v>5028</v>
      </c>
      <c r="G925" s="50" t="s">
        <v>34</v>
      </c>
      <c r="H925" s="52" t="s">
        <v>5029</v>
      </c>
      <c r="I925" s="53" t="e">
        <f>VLOOKUP(H925,合同高级查询数据!$A$2:$A$51,1,FALSE)</f>
        <v>#N/A</v>
      </c>
      <c r="J925" s="54" t="s">
        <v>36</v>
      </c>
      <c r="K925" s="55" t="s">
        <v>5030</v>
      </c>
      <c r="L925" s="55" t="s">
        <v>5028</v>
      </c>
      <c r="M925" s="55"/>
      <c r="N925" s="55" t="s">
        <v>5031</v>
      </c>
      <c r="O925" s="56" t="s">
        <v>5032</v>
      </c>
      <c r="P925" s="57">
        <v>9500</v>
      </c>
      <c r="Q925" s="58">
        <v>54.2</v>
      </c>
      <c r="R925" s="58">
        <f t="shared" si="66"/>
        <v>514900</v>
      </c>
      <c r="S925" s="59">
        <v>202306</v>
      </c>
      <c r="T925" s="60" t="s">
        <v>5033</v>
      </c>
      <c r="U925" s="61"/>
      <c r="V925" s="62">
        <v>54.159275055000002</v>
      </c>
      <c r="W925" s="63"/>
      <c r="X925" s="64">
        <v>45017</v>
      </c>
      <c r="Y925" s="64"/>
      <c r="Z925" s="65" t="s">
        <v>5034</v>
      </c>
      <c r="AA925" s="66">
        <v>0.25</v>
      </c>
      <c r="AB925" s="62">
        <v>200</v>
      </c>
      <c r="AC925" s="67">
        <v>50</v>
      </c>
    </row>
    <row r="926" spans="1:29" s="3" customFormat="1" ht="15" customHeight="1">
      <c r="A926" s="49" t="s">
        <v>260</v>
      </c>
      <c r="B926" s="50" t="s">
        <v>5018</v>
      </c>
      <c r="C926" s="50" t="s">
        <v>1790</v>
      </c>
      <c r="D926" s="50" t="s">
        <v>418</v>
      </c>
      <c r="E926" s="50" t="s">
        <v>5027</v>
      </c>
      <c r="F926" s="51" t="s">
        <v>5028</v>
      </c>
      <c r="G926" s="50" t="s">
        <v>34</v>
      </c>
      <c r="H926" s="52" t="s">
        <v>5029</v>
      </c>
      <c r="I926" s="53" t="e">
        <f>VLOOKUP(H926,合同高级查询数据!$A$2:$A$51,1,FALSE)</f>
        <v>#N/A</v>
      </c>
      <c r="J926" s="54" t="s">
        <v>440</v>
      </c>
      <c r="K926" s="55" t="s">
        <v>5035</v>
      </c>
      <c r="L926" s="55" t="s">
        <v>5036</v>
      </c>
      <c r="M926" s="55"/>
      <c r="N926" s="55" t="s">
        <v>5037</v>
      </c>
      <c r="O926" s="56" t="s">
        <v>5038</v>
      </c>
      <c r="P926" s="57">
        <v>9500</v>
      </c>
      <c r="Q926" s="58">
        <v>2.2000000000000002</v>
      </c>
      <c r="R926" s="58">
        <f t="shared" si="66"/>
        <v>20900</v>
      </c>
      <c r="S926" s="59">
        <v>202306</v>
      </c>
      <c r="T926" s="60" t="s">
        <v>5039</v>
      </c>
      <c r="U926" s="61"/>
      <c r="V926" s="62">
        <v>2.12</v>
      </c>
      <c r="W926" s="63"/>
      <c r="X926" s="64">
        <v>45017</v>
      </c>
      <c r="Y926" s="64"/>
      <c r="Z926" s="65" t="s">
        <v>5040</v>
      </c>
      <c r="AA926" s="66">
        <v>0.3</v>
      </c>
      <c r="AB926" s="62">
        <v>10</v>
      </c>
      <c r="AC926" s="67">
        <v>3</v>
      </c>
    </row>
    <row r="927" spans="1:29" s="3" customFormat="1" ht="15" customHeight="1">
      <c r="A927" s="49" t="s">
        <v>260</v>
      </c>
      <c r="B927" s="50" t="s">
        <v>5018</v>
      </c>
      <c r="C927" s="50" t="s">
        <v>1790</v>
      </c>
      <c r="D927" s="50" t="s">
        <v>418</v>
      </c>
      <c r="E927" s="50" t="s">
        <v>5027</v>
      </c>
      <c r="F927" s="51" t="s">
        <v>5028</v>
      </c>
      <c r="G927" s="50" t="s">
        <v>34</v>
      </c>
      <c r="H927" s="52" t="s">
        <v>5029</v>
      </c>
      <c r="I927" s="53" t="e">
        <f>VLOOKUP(H927,合同高级查询数据!$A$2:$A$51,1,FALSE)</f>
        <v>#N/A</v>
      </c>
      <c r="J927" s="54" t="s">
        <v>36</v>
      </c>
      <c r="K927" s="55" t="s">
        <v>5041</v>
      </c>
      <c r="L927" s="55" t="s">
        <v>5042</v>
      </c>
      <c r="M927" s="55"/>
      <c r="N927" s="55">
        <v>43368</v>
      </c>
      <c r="O927" s="56" t="s">
        <v>1941</v>
      </c>
      <c r="P927" s="57">
        <v>9500</v>
      </c>
      <c r="Q927" s="58">
        <v>21.5</v>
      </c>
      <c r="R927" s="58">
        <f t="shared" si="66"/>
        <v>204250</v>
      </c>
      <c r="S927" s="59">
        <v>202306</v>
      </c>
      <c r="T927" s="60" t="s">
        <v>5043</v>
      </c>
      <c r="U927" s="61"/>
      <c r="V927" s="62">
        <v>21.413728714000001</v>
      </c>
      <c r="W927" s="63"/>
      <c r="X927" s="64">
        <v>45017</v>
      </c>
      <c r="Y927" s="64"/>
      <c r="Z927" s="65" t="s">
        <v>5044</v>
      </c>
      <c r="AA927" s="66">
        <v>0.25</v>
      </c>
      <c r="AB927" s="62">
        <v>80</v>
      </c>
      <c r="AC927" s="67">
        <v>20</v>
      </c>
    </row>
    <row r="928" spans="1:29" s="3" customFormat="1" ht="15" customHeight="1">
      <c r="A928" s="49" t="s">
        <v>260</v>
      </c>
      <c r="B928" s="50" t="s">
        <v>5018</v>
      </c>
      <c r="C928" s="50" t="s">
        <v>1790</v>
      </c>
      <c r="D928" s="50" t="s">
        <v>418</v>
      </c>
      <c r="E928" s="50" t="s">
        <v>5027</v>
      </c>
      <c r="F928" s="51" t="s">
        <v>5028</v>
      </c>
      <c r="G928" s="50" t="s">
        <v>34</v>
      </c>
      <c r="H928" s="52" t="s">
        <v>5029</v>
      </c>
      <c r="I928" s="53" t="e">
        <f>VLOOKUP(H928,合同高级查询数据!$A$2:$A$51,1,FALSE)</f>
        <v>#N/A</v>
      </c>
      <c r="J928" s="54" t="s">
        <v>36</v>
      </c>
      <c r="K928" s="55" t="s">
        <v>5045</v>
      </c>
      <c r="L928" s="55" t="s">
        <v>5046</v>
      </c>
      <c r="M928" s="55"/>
      <c r="N928" s="55">
        <v>43449</v>
      </c>
      <c r="O928" s="56" t="s">
        <v>277</v>
      </c>
      <c r="P928" s="57">
        <v>9500</v>
      </c>
      <c r="Q928" s="58">
        <v>27.7</v>
      </c>
      <c r="R928" s="58">
        <f t="shared" si="66"/>
        <v>263150</v>
      </c>
      <c r="S928" s="59">
        <v>202306</v>
      </c>
      <c r="T928" s="60" t="s">
        <v>5047</v>
      </c>
      <c r="U928" s="61"/>
      <c r="V928" s="62">
        <v>27.692394257</v>
      </c>
      <c r="W928" s="63"/>
      <c r="X928" s="64">
        <v>45017</v>
      </c>
      <c r="Y928" s="64"/>
      <c r="Z928" s="65" t="s">
        <v>5048</v>
      </c>
      <c r="AA928" s="66">
        <v>0.25</v>
      </c>
      <c r="AB928" s="62">
        <v>100</v>
      </c>
      <c r="AC928" s="67">
        <v>25</v>
      </c>
    </row>
    <row r="929" spans="1:29" s="3" customFormat="1" ht="15" customHeight="1">
      <c r="A929" s="49" t="s">
        <v>260</v>
      </c>
      <c r="B929" s="50" t="s">
        <v>5018</v>
      </c>
      <c r="C929" s="50" t="s">
        <v>1790</v>
      </c>
      <c r="D929" s="50" t="s">
        <v>418</v>
      </c>
      <c r="E929" s="50" t="s">
        <v>5027</v>
      </c>
      <c r="F929" s="51" t="s">
        <v>5049</v>
      </c>
      <c r="G929" s="50" t="s">
        <v>34</v>
      </c>
      <c r="H929" s="52" t="s">
        <v>5029</v>
      </c>
      <c r="I929" s="53" t="e">
        <f>VLOOKUP(H929,合同高级查询数据!$A$2:$A$51,1,FALSE)</f>
        <v>#N/A</v>
      </c>
      <c r="J929" s="54" t="s">
        <v>36</v>
      </c>
      <c r="K929" s="55" t="s">
        <v>5050</v>
      </c>
      <c r="L929" s="55" t="s">
        <v>5051</v>
      </c>
      <c r="M929" s="55"/>
      <c r="N929" s="55" t="s">
        <v>5052</v>
      </c>
      <c r="O929" s="56" t="s">
        <v>5053</v>
      </c>
      <c r="P929" s="57">
        <v>9500</v>
      </c>
      <c r="Q929" s="58">
        <v>99.4</v>
      </c>
      <c r="R929" s="58">
        <f t="shared" si="66"/>
        <v>944300</v>
      </c>
      <c r="S929" s="59">
        <v>202306</v>
      </c>
      <c r="T929" s="60" t="s">
        <v>5054</v>
      </c>
      <c r="U929" s="61"/>
      <c r="V929" s="62">
        <v>99.307067871000001</v>
      </c>
      <c r="W929" s="63"/>
      <c r="X929" s="64">
        <v>45017</v>
      </c>
      <c r="Y929" s="64"/>
      <c r="Z929" s="65" t="s">
        <v>5055</v>
      </c>
      <c r="AA929" s="66">
        <v>0.25</v>
      </c>
      <c r="AB929" s="62">
        <v>360</v>
      </c>
      <c r="AC929" s="67">
        <v>90</v>
      </c>
    </row>
    <row r="930" spans="1:29" s="3" customFormat="1" ht="15" customHeight="1">
      <c r="A930" s="49" t="s">
        <v>260</v>
      </c>
      <c r="B930" s="50" t="s">
        <v>5018</v>
      </c>
      <c r="C930" s="50" t="s">
        <v>1790</v>
      </c>
      <c r="D930" s="50" t="s">
        <v>418</v>
      </c>
      <c r="E930" s="50" t="s">
        <v>5027</v>
      </c>
      <c r="F930" s="51" t="s">
        <v>5049</v>
      </c>
      <c r="G930" s="50" t="s">
        <v>34</v>
      </c>
      <c r="H930" s="52" t="s">
        <v>5029</v>
      </c>
      <c r="I930" s="53" t="e">
        <f>VLOOKUP(H930,合同高级查询数据!$A$2:$A$51,1,FALSE)</f>
        <v>#N/A</v>
      </c>
      <c r="J930" s="54" t="s">
        <v>36</v>
      </c>
      <c r="K930" s="55" t="s">
        <v>5056</v>
      </c>
      <c r="L930" s="55" t="s">
        <v>5057</v>
      </c>
      <c r="M930" s="55"/>
      <c r="N930" s="55">
        <v>43245</v>
      </c>
      <c r="O930" s="56" t="s">
        <v>1664</v>
      </c>
      <c r="P930" s="57">
        <v>9500</v>
      </c>
      <c r="Q930" s="58">
        <v>43.3</v>
      </c>
      <c r="R930" s="58">
        <f t="shared" si="66"/>
        <v>411350</v>
      </c>
      <c r="S930" s="59">
        <v>202306</v>
      </c>
      <c r="T930" s="60" t="s">
        <v>5058</v>
      </c>
      <c r="U930" s="61"/>
      <c r="V930" s="62">
        <v>43.222057343000003</v>
      </c>
      <c r="W930" s="63"/>
      <c r="X930" s="64">
        <v>45017</v>
      </c>
      <c r="Y930" s="64"/>
      <c r="Z930" s="65" t="s">
        <v>5059</v>
      </c>
      <c r="AA930" s="66">
        <v>0.25</v>
      </c>
      <c r="AB930" s="62">
        <v>160</v>
      </c>
      <c r="AC930" s="67">
        <v>40</v>
      </c>
    </row>
    <row r="931" spans="1:29" s="3" customFormat="1" ht="15" customHeight="1">
      <c r="A931" s="49" t="s">
        <v>260</v>
      </c>
      <c r="B931" s="50" t="s">
        <v>5018</v>
      </c>
      <c r="C931" s="50" t="s">
        <v>1790</v>
      </c>
      <c r="D931" s="50" t="s">
        <v>418</v>
      </c>
      <c r="E931" s="50" t="s">
        <v>5027</v>
      </c>
      <c r="F931" s="51" t="s">
        <v>5049</v>
      </c>
      <c r="G931" s="50" t="s">
        <v>34</v>
      </c>
      <c r="H931" s="52" t="s">
        <v>5029</v>
      </c>
      <c r="I931" s="53" t="e">
        <f>VLOOKUP(H931,合同高级查询数据!$A$2:$A$51,1,FALSE)</f>
        <v>#N/A</v>
      </c>
      <c r="J931" s="54" t="s">
        <v>36</v>
      </c>
      <c r="K931" s="55" t="s">
        <v>5060</v>
      </c>
      <c r="L931" s="55" t="s">
        <v>5061</v>
      </c>
      <c r="M931" s="55"/>
      <c r="N931" s="55">
        <v>43671</v>
      </c>
      <c r="O931" s="56" t="s">
        <v>1664</v>
      </c>
      <c r="P931" s="57">
        <v>9500</v>
      </c>
      <c r="Q931" s="58">
        <v>63</v>
      </c>
      <c r="R931" s="58">
        <f t="shared" si="66"/>
        <v>598500</v>
      </c>
      <c r="S931" s="59">
        <v>202306</v>
      </c>
      <c r="T931" s="60" t="s">
        <v>5062</v>
      </c>
      <c r="U931" s="61"/>
      <c r="V931" s="62">
        <v>62.973999999999997</v>
      </c>
      <c r="W931" s="63"/>
      <c r="X931" s="64">
        <v>45017</v>
      </c>
      <c r="Y931" s="64"/>
      <c r="Z931" s="65" t="s">
        <v>5063</v>
      </c>
      <c r="AA931" s="66">
        <v>0.25</v>
      </c>
      <c r="AB931" s="62">
        <v>160</v>
      </c>
      <c r="AC931" s="67">
        <v>40</v>
      </c>
    </row>
    <row r="932" spans="1:29" s="3" customFormat="1" ht="15" customHeight="1">
      <c r="A932" s="49" t="s">
        <v>260</v>
      </c>
      <c r="B932" s="50" t="s">
        <v>5018</v>
      </c>
      <c r="C932" s="50" t="s">
        <v>1790</v>
      </c>
      <c r="D932" s="50" t="s">
        <v>418</v>
      </c>
      <c r="E932" s="50" t="s">
        <v>5027</v>
      </c>
      <c r="F932" s="51" t="s">
        <v>5049</v>
      </c>
      <c r="G932" s="50" t="s">
        <v>34</v>
      </c>
      <c r="H932" s="52" t="s">
        <v>5029</v>
      </c>
      <c r="I932" s="53" t="e">
        <f>VLOOKUP(H932,合同高级查询数据!$A$2:$A$51,1,FALSE)</f>
        <v>#N/A</v>
      </c>
      <c r="J932" s="54" t="s">
        <v>36</v>
      </c>
      <c r="K932" s="55" t="s">
        <v>5060</v>
      </c>
      <c r="L932" s="55" t="s">
        <v>5064</v>
      </c>
      <c r="M932" s="55"/>
      <c r="N932" s="55">
        <v>44812</v>
      </c>
      <c r="O932" s="56" t="s">
        <v>670</v>
      </c>
      <c r="P932" s="57">
        <v>9500</v>
      </c>
      <c r="Q932" s="58">
        <v>47.3</v>
      </c>
      <c r="R932" s="58">
        <f t="shared" si="66"/>
        <v>449350</v>
      </c>
      <c r="S932" s="59">
        <v>202306</v>
      </c>
      <c r="T932" s="60" t="s">
        <v>5065</v>
      </c>
      <c r="U932" s="61"/>
      <c r="V932" s="62">
        <v>47.283000000000001</v>
      </c>
      <c r="W932" s="63"/>
      <c r="X932" s="64">
        <v>45017</v>
      </c>
      <c r="Y932" s="64"/>
      <c r="Z932" s="65" t="s">
        <v>5066</v>
      </c>
      <c r="AA932" s="66">
        <v>0.25</v>
      </c>
      <c r="AB932" s="62">
        <v>120</v>
      </c>
      <c r="AC932" s="67">
        <v>30</v>
      </c>
    </row>
    <row r="933" spans="1:29" s="2" customFormat="1" ht="15" customHeight="1">
      <c r="A933" s="8" t="s">
        <v>212</v>
      </c>
      <c r="B933" s="9" t="s">
        <v>5018</v>
      </c>
      <c r="C933" s="9" t="s">
        <v>1790</v>
      </c>
      <c r="D933" s="9" t="s">
        <v>418</v>
      </c>
      <c r="E933" s="9" t="s">
        <v>5067</v>
      </c>
      <c r="F933" s="12" t="s">
        <v>5068</v>
      </c>
      <c r="G933" s="9" t="s">
        <v>34</v>
      </c>
      <c r="H933" s="15" t="s">
        <v>5069</v>
      </c>
      <c r="I933" s="11" t="e">
        <f>VLOOKUP(H933,合同高级查询数据!$A$2:$A$51,1,FALSE)</f>
        <v>#N/A</v>
      </c>
      <c r="J933" s="16" t="s">
        <v>36</v>
      </c>
      <c r="K933" s="21" t="s">
        <v>5068</v>
      </c>
      <c r="L933" s="21" t="s">
        <v>5068</v>
      </c>
      <c r="M933" s="21"/>
      <c r="N933" s="21">
        <v>44835</v>
      </c>
      <c r="O933" s="298" t="s">
        <v>277</v>
      </c>
      <c r="P933" s="30">
        <v>9000</v>
      </c>
      <c r="Q933" s="27">
        <v>79.147000000000006</v>
      </c>
      <c r="R933" s="27">
        <f t="shared" si="66"/>
        <v>712323</v>
      </c>
      <c r="S933" s="28">
        <v>202306</v>
      </c>
      <c r="T933" s="31" t="s">
        <v>5070</v>
      </c>
      <c r="U933" s="274"/>
      <c r="V933" s="38">
        <v>79.147119903999993</v>
      </c>
      <c r="W933" s="300"/>
      <c r="X933" s="36">
        <v>44835</v>
      </c>
      <c r="Y933" s="36">
        <v>45199</v>
      </c>
      <c r="Z933" s="5" t="s">
        <v>5071</v>
      </c>
      <c r="AA933" s="260">
        <v>0.3</v>
      </c>
      <c r="AB933" s="38">
        <v>100</v>
      </c>
      <c r="AC933" s="302">
        <v>30</v>
      </c>
    </row>
    <row r="934" spans="1:29" s="2" customFormat="1" ht="15" customHeight="1">
      <c r="A934" s="8" t="s">
        <v>212</v>
      </c>
      <c r="B934" s="9" t="s">
        <v>5018</v>
      </c>
      <c r="C934" s="9" t="s">
        <v>1790</v>
      </c>
      <c r="D934" s="9" t="s">
        <v>418</v>
      </c>
      <c r="E934" s="9" t="s">
        <v>5067</v>
      </c>
      <c r="F934" s="12" t="s">
        <v>5068</v>
      </c>
      <c r="G934" s="9" t="s">
        <v>34</v>
      </c>
      <c r="H934" s="15" t="s">
        <v>5069</v>
      </c>
      <c r="I934" s="11" t="e">
        <f>VLOOKUP(H934,合同高级查询数据!$A$2:$A$51,1,FALSE)</f>
        <v>#N/A</v>
      </c>
      <c r="J934" s="16" t="s">
        <v>36</v>
      </c>
      <c r="K934" s="21" t="s">
        <v>5068</v>
      </c>
      <c r="L934" s="21" t="s">
        <v>5068</v>
      </c>
      <c r="M934" s="21"/>
      <c r="N934" s="21">
        <v>44835</v>
      </c>
      <c r="O934" s="298" t="s">
        <v>277</v>
      </c>
      <c r="P934" s="30">
        <v>9000</v>
      </c>
      <c r="Q934" s="27">
        <f>84.26-80</f>
        <v>4.2600000000000051</v>
      </c>
      <c r="R934" s="27">
        <f t="shared" si="66"/>
        <v>38340</v>
      </c>
      <c r="S934" s="28">
        <v>202304</v>
      </c>
      <c r="T934" s="31" t="s">
        <v>5072</v>
      </c>
      <c r="U934" s="274"/>
      <c r="V934" s="38">
        <v>84.26</v>
      </c>
      <c r="W934" s="300">
        <v>84.266999999999996</v>
      </c>
      <c r="X934" s="36">
        <v>44835</v>
      </c>
      <c r="Y934" s="36">
        <v>45199</v>
      </c>
      <c r="Z934" s="5" t="s">
        <v>5071</v>
      </c>
      <c r="AA934" s="260">
        <v>0.3</v>
      </c>
      <c r="AB934" s="38">
        <v>100</v>
      </c>
      <c r="AC934" s="302">
        <v>30</v>
      </c>
    </row>
    <row r="935" spans="1:29" s="2" customFormat="1" ht="15" customHeight="1">
      <c r="A935" s="8" t="s">
        <v>212</v>
      </c>
      <c r="B935" s="9" t="s">
        <v>5018</v>
      </c>
      <c r="C935" s="9" t="s">
        <v>1790</v>
      </c>
      <c r="D935" s="9" t="s">
        <v>418</v>
      </c>
      <c r="E935" s="9" t="s">
        <v>5019</v>
      </c>
      <c r="F935" s="12" t="s">
        <v>5020</v>
      </c>
      <c r="G935" s="9" t="s">
        <v>34</v>
      </c>
      <c r="H935" s="15" t="s">
        <v>5073</v>
      </c>
      <c r="I935" s="11" t="e">
        <f>VLOOKUP(H935,合同高级查询数据!$A$2:$A$51,1,FALSE)</f>
        <v>#N/A</v>
      </c>
      <c r="J935" s="16" t="s">
        <v>440</v>
      </c>
      <c r="K935" s="21" t="s">
        <v>5074</v>
      </c>
      <c r="L935" s="21" t="s">
        <v>5074</v>
      </c>
      <c r="M935" s="21"/>
      <c r="N935" s="21" t="s">
        <v>5075</v>
      </c>
      <c r="O935" s="298" t="s">
        <v>5076</v>
      </c>
      <c r="P935" s="30">
        <v>9000</v>
      </c>
      <c r="Q935" s="27">
        <v>0</v>
      </c>
      <c r="R935" s="27">
        <f t="shared" si="66"/>
        <v>0</v>
      </c>
      <c r="S935" s="28">
        <v>202306</v>
      </c>
      <c r="T935" s="31" t="s">
        <v>5077</v>
      </c>
      <c r="U935" s="274"/>
      <c r="V935" s="38">
        <v>0</v>
      </c>
      <c r="W935" s="300"/>
      <c r="X935" s="36"/>
      <c r="Y935" s="36"/>
      <c r="Z935" s="5" t="s">
        <v>5078</v>
      </c>
      <c r="AA935" s="260">
        <v>0</v>
      </c>
      <c r="AB935" s="38">
        <v>0</v>
      </c>
      <c r="AC935" s="302">
        <v>0</v>
      </c>
    </row>
    <row r="936" spans="1:29" s="3" customFormat="1" ht="15" customHeight="1">
      <c r="A936" s="49" t="s">
        <v>212</v>
      </c>
      <c r="B936" s="50" t="s">
        <v>5018</v>
      </c>
      <c r="C936" s="50" t="s">
        <v>1790</v>
      </c>
      <c r="D936" s="50" t="s">
        <v>418</v>
      </c>
      <c r="E936" s="50" t="s">
        <v>5019</v>
      </c>
      <c r="F936" s="51" t="s">
        <v>5020</v>
      </c>
      <c r="G936" s="50" t="s">
        <v>34</v>
      </c>
      <c r="H936" s="52" t="s">
        <v>5079</v>
      </c>
      <c r="I936" s="53" t="e">
        <f>VLOOKUP(H936,合同高级查询数据!$A$2:$A$51,1,FALSE)</f>
        <v>#N/A</v>
      </c>
      <c r="J936" s="54" t="s">
        <v>36</v>
      </c>
      <c r="K936" s="55" t="s">
        <v>5080</v>
      </c>
      <c r="L936" s="55" t="s">
        <v>5081</v>
      </c>
      <c r="M936" s="55" t="s">
        <v>5082</v>
      </c>
      <c r="N936" s="55">
        <v>44805</v>
      </c>
      <c r="O936" s="56" t="s">
        <v>1798</v>
      </c>
      <c r="P936" s="57">
        <v>9000</v>
      </c>
      <c r="Q936" s="58">
        <v>13.4</v>
      </c>
      <c r="R936" s="58">
        <f t="shared" si="66"/>
        <v>120600</v>
      </c>
      <c r="S936" s="59">
        <v>202306</v>
      </c>
      <c r="T936" s="60" t="s">
        <v>5083</v>
      </c>
      <c r="U936" s="61"/>
      <c r="V936" s="62">
        <v>13.066338310000001</v>
      </c>
      <c r="W936" s="63">
        <v>13.6</v>
      </c>
      <c r="X936" s="64">
        <v>44927</v>
      </c>
      <c r="Y936" s="64"/>
      <c r="Z936" s="65" t="s">
        <v>5084</v>
      </c>
      <c r="AA936" s="66">
        <v>0.3</v>
      </c>
      <c r="AB936" s="62">
        <v>40</v>
      </c>
      <c r="AC936" s="67">
        <v>12</v>
      </c>
    </row>
    <row r="937" spans="1:29" s="3" customFormat="1" ht="15" customHeight="1">
      <c r="A937" s="49" t="s">
        <v>212</v>
      </c>
      <c r="B937" s="50" t="s">
        <v>5018</v>
      </c>
      <c r="C937" s="50" t="s">
        <v>1790</v>
      </c>
      <c r="D937" s="50" t="s">
        <v>418</v>
      </c>
      <c r="E937" s="50" t="s">
        <v>5019</v>
      </c>
      <c r="F937" s="51" t="s">
        <v>5020</v>
      </c>
      <c r="G937" s="50" t="s">
        <v>34</v>
      </c>
      <c r="H937" s="52" t="s">
        <v>5079</v>
      </c>
      <c r="I937" s="53" t="e">
        <f>VLOOKUP(H937,合同高级查询数据!$A$2:$A$51,1,FALSE)</f>
        <v>#N/A</v>
      </c>
      <c r="J937" s="54" t="s">
        <v>36</v>
      </c>
      <c r="K937" s="55" t="s">
        <v>5080</v>
      </c>
      <c r="L937" s="55" t="s">
        <v>5085</v>
      </c>
      <c r="M937" s="55" t="s">
        <v>5086</v>
      </c>
      <c r="N937" s="55" t="s">
        <v>5087</v>
      </c>
      <c r="O937" s="56" t="s">
        <v>5088</v>
      </c>
      <c r="P937" s="57">
        <v>9000</v>
      </c>
      <c r="Q937" s="58">
        <v>0</v>
      </c>
      <c r="R937" s="58">
        <f t="shared" si="66"/>
        <v>0</v>
      </c>
      <c r="S937" s="59">
        <v>202306</v>
      </c>
      <c r="T937" s="60" t="s">
        <v>5089</v>
      </c>
      <c r="U937" s="61"/>
      <c r="V937" s="62">
        <v>0</v>
      </c>
      <c r="W937" s="63"/>
      <c r="X937" s="64">
        <v>44927</v>
      </c>
      <c r="Y937" s="64"/>
      <c r="Z937" s="65" t="s">
        <v>5090</v>
      </c>
      <c r="AA937" s="66">
        <v>0</v>
      </c>
      <c r="AB937" s="62">
        <v>140</v>
      </c>
      <c r="AC937" s="67">
        <v>0</v>
      </c>
    </row>
    <row r="938" spans="1:29" s="3" customFormat="1" ht="15" customHeight="1">
      <c r="A938" s="49" t="s">
        <v>212</v>
      </c>
      <c r="B938" s="50" t="s">
        <v>5018</v>
      </c>
      <c r="C938" s="50" t="s">
        <v>1790</v>
      </c>
      <c r="D938" s="50" t="s">
        <v>418</v>
      </c>
      <c r="E938" s="50" t="s">
        <v>5019</v>
      </c>
      <c r="F938" s="51" t="s">
        <v>5020</v>
      </c>
      <c r="G938" s="50" t="s">
        <v>34</v>
      </c>
      <c r="H938" s="52" t="s">
        <v>5079</v>
      </c>
      <c r="I938" s="53" t="e">
        <f>VLOOKUP(H938,合同高级查询数据!$A$2:$A$51,1,FALSE)</f>
        <v>#N/A</v>
      </c>
      <c r="J938" s="54" t="s">
        <v>36</v>
      </c>
      <c r="K938" s="55" t="s">
        <v>5080</v>
      </c>
      <c r="L938" s="55" t="s">
        <v>5091</v>
      </c>
      <c r="M938" s="55" t="s">
        <v>5092</v>
      </c>
      <c r="N938" s="55">
        <v>45085</v>
      </c>
      <c r="O938" s="56" t="s">
        <v>222</v>
      </c>
      <c r="P938" s="57">
        <v>4666.67</v>
      </c>
      <c r="Q938" s="58">
        <f>6*23/30</f>
        <v>4.5999999999999996</v>
      </c>
      <c r="R938" s="58">
        <f t="shared" si="66"/>
        <v>21466.68</v>
      </c>
      <c r="S938" s="59">
        <v>202306</v>
      </c>
      <c r="T938" s="60" t="s">
        <v>5093</v>
      </c>
      <c r="U938" s="61"/>
      <c r="V938" s="62">
        <v>2.0853849999999999E-3</v>
      </c>
      <c r="W938" s="63"/>
      <c r="X938" s="64">
        <v>44927</v>
      </c>
      <c r="Y938" s="64"/>
      <c r="Z938" s="65" t="s">
        <v>5094</v>
      </c>
      <c r="AA938" s="66">
        <v>0.3</v>
      </c>
      <c r="AB938" s="62">
        <v>20</v>
      </c>
      <c r="AC938" s="67">
        <v>6</v>
      </c>
    </row>
    <row r="939" spans="1:29" s="3" customFormat="1" ht="15" customHeight="1">
      <c r="A939" s="49" t="s">
        <v>212</v>
      </c>
      <c r="B939" s="50" t="s">
        <v>5018</v>
      </c>
      <c r="C939" s="50" t="s">
        <v>1790</v>
      </c>
      <c r="D939" s="50" t="s">
        <v>418</v>
      </c>
      <c r="E939" s="50" t="s">
        <v>5095</v>
      </c>
      <c r="F939" s="51" t="s">
        <v>5096</v>
      </c>
      <c r="G939" s="50" t="s">
        <v>34</v>
      </c>
      <c r="H939" s="52" t="s">
        <v>5097</v>
      </c>
      <c r="I939" s="53" t="e">
        <f>VLOOKUP(H939,合同高级查询数据!$A$2:$A$51,1,FALSE)</f>
        <v>#N/A</v>
      </c>
      <c r="J939" s="54" t="s">
        <v>36</v>
      </c>
      <c r="K939" s="55" t="s">
        <v>5098</v>
      </c>
      <c r="L939" s="55" t="s">
        <v>5099</v>
      </c>
      <c r="M939" s="55" t="s">
        <v>5100</v>
      </c>
      <c r="N939" s="55" t="s">
        <v>5101</v>
      </c>
      <c r="O939" s="56" t="s">
        <v>5102</v>
      </c>
      <c r="P939" s="57">
        <v>9000</v>
      </c>
      <c r="Q939" s="58">
        <v>32.667999999999999</v>
      </c>
      <c r="R939" s="58">
        <f t="shared" si="66"/>
        <v>294012</v>
      </c>
      <c r="S939" s="59">
        <v>202306</v>
      </c>
      <c r="T939" s="60" t="s">
        <v>5103</v>
      </c>
      <c r="U939" s="61"/>
      <c r="V939" s="62">
        <v>32.667999999999999</v>
      </c>
      <c r="W939" s="63"/>
      <c r="X939" s="64">
        <v>45047</v>
      </c>
      <c r="Y939" s="64"/>
      <c r="Z939" s="65" t="s">
        <v>5100</v>
      </c>
      <c r="AA939" s="66">
        <v>0.3</v>
      </c>
      <c r="AB939" s="62">
        <v>100</v>
      </c>
      <c r="AC939" s="67">
        <v>30</v>
      </c>
    </row>
    <row r="940" spans="1:29" s="3" customFormat="1" ht="15" customHeight="1">
      <c r="A940" s="49" t="s">
        <v>871</v>
      </c>
      <c r="B940" s="50" t="s">
        <v>5018</v>
      </c>
      <c r="C940" s="50" t="s">
        <v>1790</v>
      </c>
      <c r="D940" s="50" t="s">
        <v>418</v>
      </c>
      <c r="E940" s="50" t="s">
        <v>5104</v>
      </c>
      <c r="F940" s="51" t="s">
        <v>5105</v>
      </c>
      <c r="G940" s="50" t="s">
        <v>34</v>
      </c>
      <c r="H940" s="52" t="s">
        <v>5106</v>
      </c>
      <c r="I940" s="53" t="e">
        <f>VLOOKUP(H940,合同高级查询数据!$A$2:$A$51,1,FALSE)</f>
        <v>#N/A</v>
      </c>
      <c r="J940" s="54" t="s">
        <v>36</v>
      </c>
      <c r="K940" s="55" t="s">
        <v>5098</v>
      </c>
      <c r="L940" s="55" t="s">
        <v>5107</v>
      </c>
      <c r="M940" s="55" t="s">
        <v>5100</v>
      </c>
      <c r="N940" s="55">
        <v>44682</v>
      </c>
      <c r="O940" s="56" t="s">
        <v>1941</v>
      </c>
      <c r="P940" s="57">
        <v>7500</v>
      </c>
      <c r="Q940" s="58">
        <v>27.1</v>
      </c>
      <c r="R940" s="58">
        <f t="shared" si="66"/>
        <v>203250</v>
      </c>
      <c r="S940" s="59">
        <v>202306</v>
      </c>
      <c r="T940" s="60" t="s">
        <v>5108</v>
      </c>
      <c r="U940" s="61"/>
      <c r="V940" s="62">
        <v>27.036000000000001</v>
      </c>
      <c r="W940" s="63"/>
      <c r="X940" s="64">
        <v>45047</v>
      </c>
      <c r="Y940" s="64"/>
      <c r="Z940" s="65" t="s">
        <v>5109</v>
      </c>
      <c r="AA940" s="66">
        <v>0.3</v>
      </c>
      <c r="AB940" s="62">
        <v>80</v>
      </c>
      <c r="AC940" s="67">
        <v>24</v>
      </c>
    </row>
    <row r="941" spans="1:29" s="2" customFormat="1" ht="15" customHeight="1">
      <c r="A941" s="8" t="s">
        <v>267</v>
      </c>
      <c r="B941" s="9" t="s">
        <v>5018</v>
      </c>
      <c r="C941" s="9" t="s">
        <v>1790</v>
      </c>
      <c r="D941" s="9" t="s">
        <v>418</v>
      </c>
      <c r="E941" s="9" t="s">
        <v>5110</v>
      </c>
      <c r="F941" s="12" t="s">
        <v>5111</v>
      </c>
      <c r="G941" s="9" t="s">
        <v>34</v>
      </c>
      <c r="H941" s="15" t="s">
        <v>5112</v>
      </c>
      <c r="I941" s="11" t="e">
        <f>VLOOKUP(H941,合同高级查询数据!$A$2:$A$51,1,FALSE)</f>
        <v>#N/A</v>
      </c>
      <c r="J941" s="16" t="s">
        <v>36</v>
      </c>
      <c r="K941" s="21" t="s">
        <v>5113</v>
      </c>
      <c r="L941" s="21" t="s">
        <v>5114</v>
      </c>
      <c r="M941" s="21"/>
      <c r="N941" s="21" t="s">
        <v>5115</v>
      </c>
      <c r="O941" s="298" t="s">
        <v>5116</v>
      </c>
      <c r="P941" s="30">
        <v>6740</v>
      </c>
      <c r="Q941" s="27">
        <v>51.63</v>
      </c>
      <c r="R941" s="27">
        <f t="shared" si="66"/>
        <v>347986.2</v>
      </c>
      <c r="S941" s="28">
        <v>202306</v>
      </c>
      <c r="T941" s="31" t="s">
        <v>5117</v>
      </c>
      <c r="U941" s="274"/>
      <c r="V941" s="38">
        <v>51.632572174000003</v>
      </c>
      <c r="W941" s="300"/>
      <c r="X941" s="36">
        <v>44927</v>
      </c>
      <c r="Y941" s="36">
        <v>45107</v>
      </c>
      <c r="Z941" s="5" t="s">
        <v>5118</v>
      </c>
      <c r="AA941" s="260">
        <v>0.4</v>
      </c>
      <c r="AB941" s="38">
        <v>120</v>
      </c>
      <c r="AC941" s="302">
        <v>48</v>
      </c>
    </row>
    <row r="942" spans="1:29" s="2" customFormat="1" ht="15" customHeight="1">
      <c r="A942" s="8" t="s">
        <v>267</v>
      </c>
      <c r="B942" s="9" t="s">
        <v>5018</v>
      </c>
      <c r="C942" s="9" t="s">
        <v>1790</v>
      </c>
      <c r="D942" s="9" t="s">
        <v>418</v>
      </c>
      <c r="E942" s="9" t="s">
        <v>5110</v>
      </c>
      <c r="F942" s="12" t="s">
        <v>5111</v>
      </c>
      <c r="G942" s="9" t="s">
        <v>34</v>
      </c>
      <c r="H942" s="15" t="s">
        <v>5112</v>
      </c>
      <c r="I942" s="11" t="e">
        <f>VLOOKUP(H942,合同高级查询数据!$A$2:$A$51,1,FALSE)</f>
        <v>#N/A</v>
      </c>
      <c r="J942" s="16" t="s">
        <v>36</v>
      </c>
      <c r="K942" s="21" t="s">
        <v>5119</v>
      </c>
      <c r="L942" s="21" t="s">
        <v>5120</v>
      </c>
      <c r="M942" s="21"/>
      <c r="N942" s="21">
        <v>44470</v>
      </c>
      <c r="O942" s="298" t="s">
        <v>3816</v>
      </c>
      <c r="P942" s="30">
        <v>6740</v>
      </c>
      <c r="Q942" s="27">
        <v>0</v>
      </c>
      <c r="R942" s="27">
        <f t="shared" si="66"/>
        <v>0</v>
      </c>
      <c r="S942" s="28">
        <v>202306</v>
      </c>
      <c r="T942" s="31" t="s">
        <v>5121</v>
      </c>
      <c r="U942" s="274"/>
      <c r="V942" s="38">
        <v>0</v>
      </c>
      <c r="W942" s="300"/>
      <c r="X942" s="36">
        <v>44927</v>
      </c>
      <c r="Y942" s="36">
        <v>45107</v>
      </c>
      <c r="Z942" s="5" t="s">
        <v>5122</v>
      </c>
      <c r="AA942" s="260">
        <v>0.4</v>
      </c>
      <c r="AB942" s="38">
        <v>0</v>
      </c>
      <c r="AC942" s="302">
        <v>0</v>
      </c>
    </row>
    <row r="943" spans="1:29" s="2" customFormat="1" ht="15" customHeight="1">
      <c r="A943" s="8" t="s">
        <v>267</v>
      </c>
      <c r="B943" s="9" t="s">
        <v>5018</v>
      </c>
      <c r="C943" s="9" t="s">
        <v>1790</v>
      </c>
      <c r="D943" s="9" t="s">
        <v>418</v>
      </c>
      <c r="E943" s="9" t="s">
        <v>5110</v>
      </c>
      <c r="F943" s="12" t="s">
        <v>5111</v>
      </c>
      <c r="G943" s="9" t="s">
        <v>34</v>
      </c>
      <c r="H943" s="15" t="s">
        <v>5112</v>
      </c>
      <c r="I943" s="11" t="e">
        <f>VLOOKUP(H943,合同高级查询数据!$A$2:$A$51,1,FALSE)</f>
        <v>#N/A</v>
      </c>
      <c r="J943" s="16" t="s">
        <v>36</v>
      </c>
      <c r="K943" s="21" t="s">
        <v>5123</v>
      </c>
      <c r="L943" s="21" t="s">
        <v>5124</v>
      </c>
      <c r="M943" s="21"/>
      <c r="N943" s="21" t="s">
        <v>5125</v>
      </c>
      <c r="O943" s="298" t="s">
        <v>5126</v>
      </c>
      <c r="P943" s="30">
        <v>6740</v>
      </c>
      <c r="Q943" s="27">
        <v>127.37</v>
      </c>
      <c r="R943" s="27">
        <f t="shared" si="66"/>
        <v>858473.8</v>
      </c>
      <c r="S943" s="28">
        <v>202306</v>
      </c>
      <c r="T943" s="31" t="s">
        <v>5127</v>
      </c>
      <c r="U943" s="274"/>
      <c r="V943" s="38">
        <v>127.367149353</v>
      </c>
      <c r="W943" s="300"/>
      <c r="X943" s="36">
        <v>44927</v>
      </c>
      <c r="Y943" s="36">
        <v>45107</v>
      </c>
      <c r="Z943" s="5" t="s">
        <v>5128</v>
      </c>
      <c r="AA943" s="260">
        <v>0.4</v>
      </c>
      <c r="AB943" s="38">
        <v>260</v>
      </c>
      <c r="AC943" s="302">
        <v>104</v>
      </c>
    </row>
    <row r="944" spans="1:29" s="2" customFormat="1" ht="15" customHeight="1">
      <c r="A944" s="8" t="s">
        <v>212</v>
      </c>
      <c r="B944" s="9" t="s">
        <v>5018</v>
      </c>
      <c r="C944" s="9" t="s">
        <v>1790</v>
      </c>
      <c r="D944" s="9" t="s">
        <v>418</v>
      </c>
      <c r="E944" s="9" t="s">
        <v>5129</v>
      </c>
      <c r="F944" s="12" t="s">
        <v>5130</v>
      </c>
      <c r="G944" s="9" t="s">
        <v>34</v>
      </c>
      <c r="H944" s="15" t="s">
        <v>5131</v>
      </c>
      <c r="I944" s="11" t="str">
        <f>VLOOKUP(H944,合同高级查询数据!$A$2:$A$51,1,FALSE)</f>
        <v>182315IDC00225</v>
      </c>
      <c r="J944" s="16" t="s">
        <v>36</v>
      </c>
      <c r="K944" s="21" t="s">
        <v>5132</v>
      </c>
      <c r="L944" s="21" t="s">
        <v>5130</v>
      </c>
      <c r="M944" s="21"/>
      <c r="N944" s="21">
        <v>45017</v>
      </c>
      <c r="O944" s="298" t="s">
        <v>434</v>
      </c>
      <c r="P944" s="30">
        <v>9000</v>
      </c>
      <c r="Q944" s="27">
        <v>113.07899999999999</v>
      </c>
      <c r="R944" s="27">
        <f t="shared" si="66"/>
        <v>1017711</v>
      </c>
      <c r="S944" s="28">
        <v>202306</v>
      </c>
      <c r="T944" s="31" t="s">
        <v>5133</v>
      </c>
      <c r="U944" s="274"/>
      <c r="V944" s="38">
        <v>110.665800171</v>
      </c>
      <c r="W944" s="300">
        <v>113.07899999999999</v>
      </c>
      <c r="X944" s="36">
        <v>45017</v>
      </c>
      <c r="Y944" s="36">
        <v>45382</v>
      </c>
      <c r="Z944" s="5" t="s">
        <v>5134</v>
      </c>
      <c r="AA944" s="260">
        <v>0.3</v>
      </c>
      <c r="AB944" s="38">
        <v>200</v>
      </c>
      <c r="AC944" s="302">
        <v>60</v>
      </c>
    </row>
    <row r="945" spans="1:29" s="3" customFormat="1" ht="15" customHeight="1">
      <c r="A945" s="49" t="s">
        <v>260</v>
      </c>
      <c r="B945" s="50" t="s">
        <v>5018</v>
      </c>
      <c r="C945" s="50" t="s">
        <v>1790</v>
      </c>
      <c r="D945" s="50" t="s">
        <v>418</v>
      </c>
      <c r="E945" s="50" t="s">
        <v>5135</v>
      </c>
      <c r="F945" s="51" t="s">
        <v>5136</v>
      </c>
      <c r="G945" s="50" t="s">
        <v>34</v>
      </c>
      <c r="H945" s="52" t="s">
        <v>5137</v>
      </c>
      <c r="I945" s="53" t="e">
        <f>VLOOKUP(H945,合同高级查询数据!$A$2:$A$51,1,FALSE)</f>
        <v>#N/A</v>
      </c>
      <c r="J945" s="54" t="s">
        <v>1359</v>
      </c>
      <c r="K945" s="55" t="s">
        <v>2865</v>
      </c>
      <c r="L945" s="55" t="s">
        <v>5138</v>
      </c>
      <c r="M945" s="55" t="s">
        <v>2867</v>
      </c>
      <c r="N945" s="55">
        <v>45039</v>
      </c>
      <c r="O945" s="56" t="s">
        <v>1798</v>
      </c>
      <c r="P945" s="57">
        <v>9500</v>
      </c>
      <c r="Q945" s="58">
        <v>12</v>
      </c>
      <c r="R945" s="58">
        <f t="shared" si="66"/>
        <v>114000</v>
      </c>
      <c r="S945" s="59">
        <v>202306</v>
      </c>
      <c r="T945" s="60" t="s">
        <v>5139</v>
      </c>
      <c r="U945" s="61"/>
      <c r="V945" s="62">
        <v>10.200806659646</v>
      </c>
      <c r="W945" s="63"/>
      <c r="X945" s="64">
        <v>45039</v>
      </c>
      <c r="Y945" s="64"/>
      <c r="Z945" s="65" t="s">
        <v>5140</v>
      </c>
      <c r="AA945" s="66">
        <v>0.3</v>
      </c>
      <c r="AB945" s="62">
        <v>40</v>
      </c>
      <c r="AC945" s="67">
        <v>12</v>
      </c>
    </row>
    <row r="946" spans="1:29" s="3" customFormat="1" ht="15" customHeight="1">
      <c r="A946" s="49" t="s">
        <v>260</v>
      </c>
      <c r="B946" s="50" t="s">
        <v>5141</v>
      </c>
      <c r="C946" s="50" t="s">
        <v>2374</v>
      </c>
      <c r="D946" s="50" t="s">
        <v>418</v>
      </c>
      <c r="E946" s="50" t="s">
        <v>5142</v>
      </c>
      <c r="F946" s="51" t="s">
        <v>5143</v>
      </c>
      <c r="G946" s="50" t="s">
        <v>34</v>
      </c>
      <c r="H946" s="52" t="s">
        <v>5144</v>
      </c>
      <c r="I946" s="53" t="e">
        <f>VLOOKUP(H946,合同高级查询数据!$A$2:$A$51,1,FALSE)</f>
        <v>#N/A</v>
      </c>
      <c r="J946" s="54" t="s">
        <v>440</v>
      </c>
      <c r="K946" s="55" t="s">
        <v>5145</v>
      </c>
      <c r="L946" s="55" t="s">
        <v>5145</v>
      </c>
      <c r="M946" s="55" t="s">
        <v>5146</v>
      </c>
      <c r="N946" s="55" t="s">
        <v>5147</v>
      </c>
      <c r="O946" s="56" t="s">
        <v>645</v>
      </c>
      <c r="P946" s="57">
        <v>9500</v>
      </c>
      <c r="Q946" s="58">
        <v>0</v>
      </c>
      <c r="R946" s="58">
        <f t="shared" ref="R946" si="67">ROUND(Q946*P946,2)</f>
        <v>0</v>
      </c>
      <c r="S946" s="59">
        <v>202306</v>
      </c>
      <c r="T946" s="60" t="s">
        <v>5148</v>
      </c>
      <c r="U946" s="61"/>
      <c r="V946" s="62">
        <v>0</v>
      </c>
      <c r="W946" s="63"/>
      <c r="X946" s="64">
        <v>45047</v>
      </c>
      <c r="Y946" s="64"/>
      <c r="Z946" s="65" t="s">
        <v>5149</v>
      </c>
      <c r="AA946" s="66">
        <v>0.3</v>
      </c>
      <c r="AB946" s="62">
        <v>0</v>
      </c>
      <c r="AC946" s="67">
        <v>0</v>
      </c>
    </row>
    <row r="947" spans="1:29" s="3" customFormat="1" ht="15" customHeight="1">
      <c r="A947" s="49" t="s">
        <v>260</v>
      </c>
      <c r="B947" s="50" t="s">
        <v>5141</v>
      </c>
      <c r="C947" s="50" t="s">
        <v>2374</v>
      </c>
      <c r="D947" s="50" t="s">
        <v>418</v>
      </c>
      <c r="E947" s="50" t="s">
        <v>5142</v>
      </c>
      <c r="F947" s="51" t="s">
        <v>5143</v>
      </c>
      <c r="G947" s="50" t="s">
        <v>34</v>
      </c>
      <c r="H947" s="52" t="s">
        <v>5144</v>
      </c>
      <c r="I947" s="53" t="e">
        <f>VLOOKUP(H947,合同高级查询数据!$A$2:$A$51,1,FALSE)</f>
        <v>#N/A</v>
      </c>
      <c r="J947" s="54" t="s">
        <v>36</v>
      </c>
      <c r="K947" s="55" t="s">
        <v>5150</v>
      </c>
      <c r="L947" s="55" t="s">
        <v>5151</v>
      </c>
      <c r="M947" s="55" t="s">
        <v>5146</v>
      </c>
      <c r="N947" s="55" t="s">
        <v>5152</v>
      </c>
      <c r="O947" s="56" t="s">
        <v>5153</v>
      </c>
      <c r="P947" s="57">
        <v>9500</v>
      </c>
      <c r="Q947" s="58">
        <v>15.7</v>
      </c>
      <c r="R947" s="58">
        <f t="shared" ref="R947:R978" si="68">ROUND(P947*Q947,2)</f>
        <v>149150</v>
      </c>
      <c r="S947" s="59">
        <v>202306</v>
      </c>
      <c r="T947" s="60" t="s">
        <v>5154</v>
      </c>
      <c r="U947" s="61"/>
      <c r="V947" s="62">
        <v>15.685302734</v>
      </c>
      <c r="W947" s="63"/>
      <c r="X947" s="64">
        <v>45047</v>
      </c>
      <c r="Y947" s="64"/>
      <c r="Z947" s="65" t="s">
        <v>5155</v>
      </c>
      <c r="AA947" s="66">
        <v>0.3</v>
      </c>
      <c r="AB947" s="62">
        <v>40</v>
      </c>
      <c r="AC947" s="67">
        <f>AA947*AB947</f>
        <v>12</v>
      </c>
    </row>
    <row r="948" spans="1:29" s="3" customFormat="1" ht="15" customHeight="1">
      <c r="A948" s="49" t="s">
        <v>260</v>
      </c>
      <c r="B948" s="50" t="s">
        <v>5141</v>
      </c>
      <c r="C948" s="50" t="s">
        <v>2374</v>
      </c>
      <c r="D948" s="50" t="s">
        <v>418</v>
      </c>
      <c r="E948" s="50" t="s">
        <v>5142</v>
      </c>
      <c r="F948" s="51" t="s">
        <v>5143</v>
      </c>
      <c r="G948" s="50" t="s">
        <v>34</v>
      </c>
      <c r="H948" s="52" t="s">
        <v>5144</v>
      </c>
      <c r="I948" s="53" t="e">
        <f>VLOOKUP(H948,合同高级查询数据!$A$2:$A$51,1,FALSE)</f>
        <v>#N/A</v>
      </c>
      <c r="J948" s="54" t="s">
        <v>36</v>
      </c>
      <c r="K948" s="55" t="s">
        <v>5156</v>
      </c>
      <c r="L948" s="55" t="s">
        <v>5156</v>
      </c>
      <c r="M948" s="55" t="s">
        <v>5157</v>
      </c>
      <c r="N948" s="55" t="s">
        <v>5158</v>
      </c>
      <c r="O948" s="56" t="s">
        <v>2580</v>
      </c>
      <c r="P948" s="57">
        <v>9500</v>
      </c>
      <c r="Q948" s="58">
        <v>0</v>
      </c>
      <c r="R948" s="58">
        <f t="shared" si="68"/>
        <v>0</v>
      </c>
      <c r="S948" s="59">
        <v>202306</v>
      </c>
      <c r="T948" s="60" t="s">
        <v>5159</v>
      </c>
      <c r="U948" s="61"/>
      <c r="V948" s="62">
        <v>0</v>
      </c>
      <c r="W948" s="63"/>
      <c r="X948" s="64">
        <v>45047</v>
      </c>
      <c r="Y948" s="64"/>
      <c r="Z948" s="65" t="s">
        <v>5160</v>
      </c>
      <c r="AA948" s="66">
        <v>0.3</v>
      </c>
      <c r="AB948" s="62">
        <v>0</v>
      </c>
      <c r="AC948" s="67">
        <f>AA948*AB948</f>
        <v>0</v>
      </c>
    </row>
    <row r="949" spans="1:29" s="3" customFormat="1" ht="15" customHeight="1">
      <c r="A949" s="49" t="s">
        <v>212</v>
      </c>
      <c r="B949" s="50" t="s">
        <v>5141</v>
      </c>
      <c r="C949" s="50" t="s">
        <v>2374</v>
      </c>
      <c r="D949" s="50" t="s">
        <v>418</v>
      </c>
      <c r="E949" s="50" t="s">
        <v>5161</v>
      </c>
      <c r="F949" s="51" t="s">
        <v>5162</v>
      </c>
      <c r="G949" s="50" t="s">
        <v>34</v>
      </c>
      <c r="H949" s="52" t="s">
        <v>5163</v>
      </c>
      <c r="I949" s="53" t="e">
        <f>VLOOKUP(H949,合同高级查询数据!$A$2:$A$51,1,FALSE)</f>
        <v>#N/A</v>
      </c>
      <c r="J949" s="54" t="s">
        <v>36</v>
      </c>
      <c r="K949" s="55" t="s">
        <v>5164</v>
      </c>
      <c r="L949" s="55" t="s">
        <v>5165</v>
      </c>
      <c r="M949" s="55" t="s">
        <v>5166</v>
      </c>
      <c r="N949" s="55" t="s">
        <v>5167</v>
      </c>
      <c r="O949" s="56" t="s">
        <v>5168</v>
      </c>
      <c r="P949" s="57">
        <v>9000</v>
      </c>
      <c r="Q949" s="58">
        <v>32.1</v>
      </c>
      <c r="R949" s="58">
        <f t="shared" si="68"/>
        <v>288900</v>
      </c>
      <c r="S949" s="59">
        <v>202306</v>
      </c>
      <c r="T949" s="60" t="s">
        <v>5169</v>
      </c>
      <c r="U949" s="61"/>
      <c r="V949" s="62">
        <v>32.040449219000003</v>
      </c>
      <c r="W949" s="63"/>
      <c r="X949" s="64"/>
      <c r="Y949" s="64"/>
      <c r="Z949" s="65" t="s">
        <v>5170</v>
      </c>
      <c r="AA949" s="66">
        <v>0.3</v>
      </c>
      <c r="AB949" s="62">
        <v>100</v>
      </c>
      <c r="AC949" s="67">
        <f>AB949*AA949</f>
        <v>30</v>
      </c>
    </row>
    <row r="950" spans="1:29" s="3" customFormat="1" ht="15" customHeight="1">
      <c r="A950" s="49" t="s">
        <v>267</v>
      </c>
      <c r="B950" s="50" t="s">
        <v>5141</v>
      </c>
      <c r="C950" s="50" t="s">
        <v>2374</v>
      </c>
      <c r="D950" s="50" t="s">
        <v>418</v>
      </c>
      <c r="E950" s="50" t="s">
        <v>5171</v>
      </c>
      <c r="F950" s="51" t="s">
        <v>5172</v>
      </c>
      <c r="G950" s="50" t="s">
        <v>34</v>
      </c>
      <c r="H950" s="52" t="s">
        <v>5173</v>
      </c>
      <c r="I950" s="53" t="e">
        <f>VLOOKUP(H950,合同高级查询数据!$A$2:$A$51,1,FALSE)</f>
        <v>#N/A</v>
      </c>
      <c r="J950" s="54" t="s">
        <v>36</v>
      </c>
      <c r="K950" s="55" t="s">
        <v>2376</v>
      </c>
      <c r="L950" s="55" t="s">
        <v>5172</v>
      </c>
      <c r="M950" s="55" t="s">
        <v>5174</v>
      </c>
      <c r="N950" s="55" t="s">
        <v>5175</v>
      </c>
      <c r="O950" s="56" t="s">
        <v>5176</v>
      </c>
      <c r="P950" s="57">
        <v>6740</v>
      </c>
      <c r="Q950" s="58">
        <v>0</v>
      </c>
      <c r="R950" s="58">
        <f t="shared" si="68"/>
        <v>0</v>
      </c>
      <c r="S950" s="59">
        <v>202306</v>
      </c>
      <c r="T950" s="60" t="s">
        <v>5177</v>
      </c>
      <c r="U950" s="61"/>
      <c r="V950" s="62">
        <v>0</v>
      </c>
      <c r="W950" s="63"/>
      <c r="X950" s="64"/>
      <c r="Y950" s="64"/>
      <c r="Z950" s="65" t="s">
        <v>5178</v>
      </c>
      <c r="AA950" s="66">
        <v>0.4</v>
      </c>
      <c r="AB950" s="62">
        <v>0</v>
      </c>
      <c r="AC950" s="67">
        <f>AB950*AA950</f>
        <v>0</v>
      </c>
    </row>
    <row r="951" spans="1:29" s="3" customFormat="1" ht="15" customHeight="1">
      <c r="A951" s="49" t="s">
        <v>267</v>
      </c>
      <c r="B951" s="50" t="s">
        <v>5141</v>
      </c>
      <c r="C951" s="50" t="s">
        <v>2374</v>
      </c>
      <c r="D951" s="50" t="s">
        <v>418</v>
      </c>
      <c r="E951" s="50" t="s">
        <v>5171</v>
      </c>
      <c r="F951" s="51" t="s">
        <v>5172</v>
      </c>
      <c r="G951" s="50" t="s">
        <v>34</v>
      </c>
      <c r="H951" s="52" t="s">
        <v>5173</v>
      </c>
      <c r="I951" s="53" t="e">
        <f>VLOOKUP(H951,合同高级查询数据!$A$2:$A$51,1,FALSE)</f>
        <v>#N/A</v>
      </c>
      <c r="J951" s="54" t="s">
        <v>36</v>
      </c>
      <c r="K951" s="55" t="s">
        <v>2376</v>
      </c>
      <c r="L951" s="55" t="s">
        <v>5179</v>
      </c>
      <c r="M951" s="55" t="s">
        <v>5180</v>
      </c>
      <c r="N951" s="55" t="s">
        <v>5181</v>
      </c>
      <c r="O951" s="56" t="s">
        <v>5182</v>
      </c>
      <c r="P951" s="57">
        <v>6740</v>
      </c>
      <c r="Q951" s="58">
        <v>8.64</v>
      </c>
      <c r="R951" s="58">
        <f t="shared" si="68"/>
        <v>58233.599999999999</v>
      </c>
      <c r="S951" s="59">
        <v>202306</v>
      </c>
      <c r="T951" s="60" t="s">
        <v>5183</v>
      </c>
      <c r="U951" s="61"/>
      <c r="V951" s="62">
        <v>8.6434516909999992</v>
      </c>
      <c r="W951" s="63"/>
      <c r="X951" s="64"/>
      <c r="Y951" s="64"/>
      <c r="Z951" s="65" t="s">
        <v>5184</v>
      </c>
      <c r="AA951" s="66">
        <v>0.4</v>
      </c>
      <c r="AB951" s="62">
        <v>20</v>
      </c>
      <c r="AC951" s="67">
        <f>AB951*AA951</f>
        <v>8</v>
      </c>
    </row>
    <row r="952" spans="1:29" s="3" customFormat="1" ht="15" customHeight="1">
      <c r="A952" s="49" t="s">
        <v>267</v>
      </c>
      <c r="B952" s="50" t="s">
        <v>5141</v>
      </c>
      <c r="C952" s="50" t="s">
        <v>2374</v>
      </c>
      <c r="D952" s="50" t="s">
        <v>418</v>
      </c>
      <c r="E952" s="50" t="s">
        <v>5171</v>
      </c>
      <c r="F952" s="51" t="s">
        <v>5172</v>
      </c>
      <c r="G952" s="50" t="s">
        <v>34</v>
      </c>
      <c r="H952" s="52" t="s">
        <v>5173</v>
      </c>
      <c r="I952" s="53" t="e">
        <f>VLOOKUP(H952,合同高级查询数据!$A$2:$A$51,1,FALSE)</f>
        <v>#N/A</v>
      </c>
      <c r="J952" s="54" t="s">
        <v>36</v>
      </c>
      <c r="K952" s="55" t="s">
        <v>2376</v>
      </c>
      <c r="L952" s="55" t="s">
        <v>5185</v>
      </c>
      <c r="M952" s="55" t="s">
        <v>5180</v>
      </c>
      <c r="N952" s="55">
        <v>45051</v>
      </c>
      <c r="O952" s="56" t="s">
        <v>610</v>
      </c>
      <c r="P952" s="57">
        <v>6740</v>
      </c>
      <c r="Q952" s="58">
        <v>200.36</v>
      </c>
      <c r="R952" s="58">
        <f t="shared" si="68"/>
        <v>1350426.4</v>
      </c>
      <c r="S952" s="59">
        <v>202306</v>
      </c>
      <c r="T952" s="60" t="s">
        <v>5186</v>
      </c>
      <c r="U952" s="61"/>
      <c r="V952" s="62">
        <v>200.356292725</v>
      </c>
      <c r="W952" s="63"/>
      <c r="X952" s="64"/>
      <c r="Y952" s="64"/>
      <c r="Z952" s="65" t="s">
        <v>5187</v>
      </c>
      <c r="AA952" s="66">
        <v>0.4</v>
      </c>
      <c r="AB952" s="62">
        <v>500</v>
      </c>
      <c r="AC952" s="67">
        <f>AB952*AA952</f>
        <v>200</v>
      </c>
    </row>
    <row r="953" spans="1:29" s="3" customFormat="1" ht="15" customHeight="1">
      <c r="A953" s="49" t="s">
        <v>260</v>
      </c>
      <c r="B953" s="50" t="s">
        <v>5188</v>
      </c>
      <c r="C953" s="50" t="s">
        <v>2017</v>
      </c>
      <c r="D953" s="50" t="s">
        <v>418</v>
      </c>
      <c r="E953" s="50" t="s">
        <v>5189</v>
      </c>
      <c r="F953" s="51" t="s">
        <v>5190</v>
      </c>
      <c r="G953" s="50" t="s">
        <v>34</v>
      </c>
      <c r="H953" s="52" t="s">
        <v>5191</v>
      </c>
      <c r="I953" s="53" t="e">
        <f>VLOOKUP(H953,合同高级查询数据!$A$2:$A$51,1,FALSE)</f>
        <v>#N/A</v>
      </c>
      <c r="J953" s="54" t="s">
        <v>36</v>
      </c>
      <c r="K953" s="55" t="s">
        <v>5192</v>
      </c>
      <c r="L953" s="55" t="s">
        <v>5193</v>
      </c>
      <c r="M953" s="55" t="s">
        <v>5194</v>
      </c>
      <c r="N953" s="55">
        <v>43830</v>
      </c>
      <c r="O953" s="56" t="s">
        <v>5195</v>
      </c>
      <c r="P953" s="57">
        <v>0</v>
      </c>
      <c r="Q953" s="58">
        <v>0</v>
      </c>
      <c r="R953" s="58">
        <f t="shared" si="68"/>
        <v>0</v>
      </c>
      <c r="S953" s="59">
        <v>202306</v>
      </c>
      <c r="T953" s="60" t="s">
        <v>5196</v>
      </c>
      <c r="U953" s="61"/>
      <c r="V953" s="62">
        <v>0</v>
      </c>
      <c r="W953" s="63"/>
      <c r="X953" s="64">
        <v>45047</v>
      </c>
      <c r="Y953" s="64"/>
      <c r="Z953" s="65" t="s">
        <v>5197</v>
      </c>
      <c r="AA953" s="66"/>
      <c r="AB953" s="62">
        <v>0</v>
      </c>
      <c r="AC953" s="67">
        <v>0</v>
      </c>
    </row>
    <row r="954" spans="1:29" s="3" customFormat="1" ht="15" customHeight="1">
      <c r="A954" s="49" t="s">
        <v>260</v>
      </c>
      <c r="B954" s="50" t="s">
        <v>5188</v>
      </c>
      <c r="C954" s="50" t="s">
        <v>2017</v>
      </c>
      <c r="D954" s="50" t="s">
        <v>418</v>
      </c>
      <c r="E954" s="50" t="s">
        <v>5189</v>
      </c>
      <c r="F954" s="51" t="s">
        <v>5190</v>
      </c>
      <c r="G954" s="50" t="s">
        <v>34</v>
      </c>
      <c r="H954" s="52" t="s">
        <v>5191</v>
      </c>
      <c r="I954" s="53" t="e">
        <f>VLOOKUP(H954,合同高级查询数据!$A$2:$A$51,1,FALSE)</f>
        <v>#N/A</v>
      </c>
      <c r="J954" s="54" t="s">
        <v>36</v>
      </c>
      <c r="K954" s="55" t="s">
        <v>5198</v>
      </c>
      <c r="L954" s="55" t="s">
        <v>5199</v>
      </c>
      <c r="M954" s="55" t="s">
        <v>5200</v>
      </c>
      <c r="N954" s="55">
        <v>43830</v>
      </c>
      <c r="O954" s="56" t="s">
        <v>5195</v>
      </c>
      <c r="P954" s="57">
        <v>0</v>
      </c>
      <c r="Q954" s="58">
        <v>0</v>
      </c>
      <c r="R954" s="58">
        <f t="shared" si="68"/>
        <v>0</v>
      </c>
      <c r="S954" s="59">
        <v>202306</v>
      </c>
      <c r="T954" s="60" t="s">
        <v>5196</v>
      </c>
      <c r="U954" s="61"/>
      <c r="V954" s="62">
        <v>0</v>
      </c>
      <c r="W954" s="63"/>
      <c r="X954" s="64">
        <v>45047</v>
      </c>
      <c r="Y954" s="64"/>
      <c r="Z954" s="65" t="s">
        <v>5201</v>
      </c>
      <c r="AA954" s="66"/>
      <c r="AB954" s="62">
        <v>0</v>
      </c>
      <c r="AC954" s="67">
        <v>0</v>
      </c>
    </row>
    <row r="955" spans="1:29" s="3" customFormat="1" ht="15" customHeight="1">
      <c r="A955" s="49" t="s">
        <v>260</v>
      </c>
      <c r="B955" s="50" t="s">
        <v>5188</v>
      </c>
      <c r="C955" s="50" t="s">
        <v>2017</v>
      </c>
      <c r="D955" s="50" t="s">
        <v>418</v>
      </c>
      <c r="E955" s="50" t="s">
        <v>5189</v>
      </c>
      <c r="F955" s="51" t="s">
        <v>5190</v>
      </c>
      <c r="G955" s="50" t="s">
        <v>34</v>
      </c>
      <c r="H955" s="52" t="s">
        <v>5191</v>
      </c>
      <c r="I955" s="53" t="e">
        <f>VLOOKUP(H955,合同高级查询数据!$A$2:$A$51,1,FALSE)</f>
        <v>#N/A</v>
      </c>
      <c r="J955" s="54" t="s">
        <v>36</v>
      </c>
      <c r="K955" s="55" t="s">
        <v>5202</v>
      </c>
      <c r="L955" s="55" t="s">
        <v>5203</v>
      </c>
      <c r="M955" s="55" t="s">
        <v>5194</v>
      </c>
      <c r="N955" s="55" t="s">
        <v>5204</v>
      </c>
      <c r="O955" s="56" t="s">
        <v>5205</v>
      </c>
      <c r="P955" s="57">
        <v>7499.3</v>
      </c>
      <c r="Q955" s="58">
        <v>12</v>
      </c>
      <c r="R955" s="58">
        <f t="shared" si="68"/>
        <v>89991.6</v>
      </c>
      <c r="S955" s="59">
        <v>202306</v>
      </c>
      <c r="T955" s="60" t="s">
        <v>5206</v>
      </c>
      <c r="U955" s="61"/>
      <c r="V955" s="62">
        <v>11.702196121</v>
      </c>
      <c r="W955" s="63"/>
      <c r="X955" s="64">
        <v>45047</v>
      </c>
      <c r="Y955" s="64"/>
      <c r="Z955" s="65" t="s">
        <v>5207</v>
      </c>
      <c r="AA955" s="66">
        <v>0.3</v>
      </c>
      <c r="AB955" s="62">
        <v>40</v>
      </c>
      <c r="AC955" s="67">
        <f t="shared" ref="AC955:AC963" si="69">AB955*AA955</f>
        <v>12</v>
      </c>
    </row>
    <row r="956" spans="1:29" s="3" customFormat="1" ht="15" customHeight="1">
      <c r="A956" s="49" t="s">
        <v>260</v>
      </c>
      <c r="B956" s="50" t="s">
        <v>5188</v>
      </c>
      <c r="C956" s="50" t="s">
        <v>2017</v>
      </c>
      <c r="D956" s="50" t="s">
        <v>418</v>
      </c>
      <c r="E956" s="50" t="s">
        <v>5189</v>
      </c>
      <c r="F956" s="51" t="s">
        <v>5190</v>
      </c>
      <c r="G956" s="50" t="s">
        <v>34</v>
      </c>
      <c r="H956" s="52" t="s">
        <v>5191</v>
      </c>
      <c r="I956" s="53" t="e">
        <f>VLOOKUP(H956,合同高级查询数据!$A$2:$A$51,1,FALSE)</f>
        <v>#N/A</v>
      </c>
      <c r="J956" s="54" t="s">
        <v>36</v>
      </c>
      <c r="K956" s="55" t="s">
        <v>5208</v>
      </c>
      <c r="L956" s="55" t="s">
        <v>5209</v>
      </c>
      <c r="M956" s="55" t="s">
        <v>5200</v>
      </c>
      <c r="N956" s="55" t="s">
        <v>5210</v>
      </c>
      <c r="O956" s="56" t="s">
        <v>5211</v>
      </c>
      <c r="P956" s="57">
        <v>7499.3</v>
      </c>
      <c r="Q956" s="58">
        <v>0</v>
      </c>
      <c r="R956" s="58">
        <f t="shared" si="68"/>
        <v>0</v>
      </c>
      <c r="S956" s="59">
        <v>202306</v>
      </c>
      <c r="T956" s="60" t="s">
        <v>5212</v>
      </c>
      <c r="U956" s="61"/>
      <c r="V956" s="62">
        <v>0</v>
      </c>
      <c r="W956" s="63"/>
      <c r="X956" s="64">
        <v>45047</v>
      </c>
      <c r="Y956" s="64"/>
      <c r="Z956" s="65" t="s">
        <v>5213</v>
      </c>
      <c r="AA956" s="66">
        <v>0.3</v>
      </c>
      <c r="AB956" s="62">
        <v>0</v>
      </c>
      <c r="AC956" s="67">
        <f t="shared" si="69"/>
        <v>0</v>
      </c>
    </row>
    <row r="957" spans="1:29" s="2" customFormat="1" ht="15" customHeight="1">
      <c r="A957" s="8" t="s">
        <v>212</v>
      </c>
      <c r="B957" s="9" t="s">
        <v>5188</v>
      </c>
      <c r="C957" s="9" t="s">
        <v>2017</v>
      </c>
      <c r="D957" s="9" t="s">
        <v>418</v>
      </c>
      <c r="E957" s="9" t="s">
        <v>5214</v>
      </c>
      <c r="F957" s="12" t="s">
        <v>5215</v>
      </c>
      <c r="G957" s="9" t="s">
        <v>34</v>
      </c>
      <c r="H957" s="15" t="s">
        <v>5216</v>
      </c>
      <c r="I957" s="11" t="e">
        <f>VLOOKUP(H957,合同高级查询数据!$A$2:$A$51,1,FALSE)</f>
        <v>#N/A</v>
      </c>
      <c r="J957" s="16" t="s">
        <v>36</v>
      </c>
      <c r="K957" s="21" t="s">
        <v>2019</v>
      </c>
      <c r="L957" s="21" t="s">
        <v>5217</v>
      </c>
      <c r="M957" s="21" t="s">
        <v>5218</v>
      </c>
      <c r="N957" s="21">
        <v>42919</v>
      </c>
      <c r="O957" s="298" t="s">
        <v>1798</v>
      </c>
      <c r="P957" s="30">
        <v>5333.33</v>
      </c>
      <c r="Q957" s="27">
        <v>6.6529999999999996</v>
      </c>
      <c r="R957" s="27">
        <f t="shared" si="68"/>
        <v>35482.639999999999</v>
      </c>
      <c r="S957" s="28">
        <v>202306</v>
      </c>
      <c r="T957" s="31" t="s">
        <v>5219</v>
      </c>
      <c r="U957" s="274"/>
      <c r="V957" s="38">
        <v>6.6041207780000004</v>
      </c>
      <c r="W957" s="300">
        <v>6.7050000000000001</v>
      </c>
      <c r="X957" s="36">
        <v>44378</v>
      </c>
      <c r="Y957" s="36">
        <v>45107</v>
      </c>
      <c r="Z957" s="5" t="s">
        <v>5220</v>
      </c>
      <c r="AA957" s="260">
        <v>0.1</v>
      </c>
      <c r="AB957" s="38">
        <v>40</v>
      </c>
      <c r="AC957" s="302">
        <f t="shared" si="69"/>
        <v>4</v>
      </c>
    </row>
    <row r="958" spans="1:29" s="3" customFormat="1" ht="15" customHeight="1">
      <c r="A958" s="49" t="s">
        <v>212</v>
      </c>
      <c r="B958" s="50" t="s">
        <v>5188</v>
      </c>
      <c r="C958" s="50" t="s">
        <v>2017</v>
      </c>
      <c r="D958" s="50" t="s">
        <v>418</v>
      </c>
      <c r="E958" s="50" t="s">
        <v>5214</v>
      </c>
      <c r="F958" s="51" t="s">
        <v>5215</v>
      </c>
      <c r="G958" s="50" t="s">
        <v>34</v>
      </c>
      <c r="H958" s="52" t="s">
        <v>5221</v>
      </c>
      <c r="I958" s="53" t="e">
        <f>VLOOKUP(H958,合同高级查询数据!$A$2:$A$51,1,FALSE)</f>
        <v>#N/A</v>
      </c>
      <c r="J958" s="54" t="s">
        <v>36</v>
      </c>
      <c r="K958" s="55" t="s">
        <v>2019</v>
      </c>
      <c r="L958" s="55" t="s">
        <v>5222</v>
      </c>
      <c r="M958" s="55" t="s">
        <v>5223</v>
      </c>
      <c r="N958" s="55" t="s">
        <v>5224</v>
      </c>
      <c r="O958" s="56" t="s">
        <v>5225</v>
      </c>
      <c r="P958" s="57">
        <v>9000</v>
      </c>
      <c r="Q958" s="58">
        <v>14.9</v>
      </c>
      <c r="R958" s="58">
        <f t="shared" si="68"/>
        <v>134100</v>
      </c>
      <c r="S958" s="59">
        <v>202306</v>
      </c>
      <c r="T958" s="60" t="s">
        <v>5226</v>
      </c>
      <c r="U958" s="61"/>
      <c r="V958" s="62">
        <v>14.853553047</v>
      </c>
      <c r="W958" s="63"/>
      <c r="X958" s="64">
        <v>45047</v>
      </c>
      <c r="Y958" s="64"/>
      <c r="Z958" s="65" t="s">
        <v>5227</v>
      </c>
      <c r="AA958" s="66">
        <v>0.3</v>
      </c>
      <c r="AB958" s="62">
        <v>10</v>
      </c>
      <c r="AC958" s="67">
        <f t="shared" si="69"/>
        <v>3</v>
      </c>
    </row>
    <row r="959" spans="1:29" s="2" customFormat="1" ht="15" customHeight="1">
      <c r="A959" s="8" t="s">
        <v>212</v>
      </c>
      <c r="B959" s="9" t="s">
        <v>5188</v>
      </c>
      <c r="C959" s="9" t="s">
        <v>2017</v>
      </c>
      <c r="D959" s="9" t="s">
        <v>418</v>
      </c>
      <c r="E959" s="9" t="s">
        <v>5214</v>
      </c>
      <c r="F959" s="12" t="s">
        <v>5215</v>
      </c>
      <c r="G959" s="9" t="s">
        <v>34</v>
      </c>
      <c r="H959" s="15" t="s">
        <v>5216</v>
      </c>
      <c r="I959" s="11" t="e">
        <f>VLOOKUP(H959,合同高级查询数据!$A$2:$A$51,1,FALSE)</f>
        <v>#N/A</v>
      </c>
      <c r="J959" s="16" t="s">
        <v>36</v>
      </c>
      <c r="K959" s="21" t="s">
        <v>2019</v>
      </c>
      <c r="L959" s="21" t="s">
        <v>5228</v>
      </c>
      <c r="M959" s="21" t="s">
        <v>5229</v>
      </c>
      <c r="N959" s="21" t="s">
        <v>5230</v>
      </c>
      <c r="O959" s="298" t="s">
        <v>1498</v>
      </c>
      <c r="P959" s="30">
        <v>5333.33</v>
      </c>
      <c r="Q959" s="27">
        <v>0</v>
      </c>
      <c r="R959" s="27">
        <f t="shared" si="68"/>
        <v>0</v>
      </c>
      <c r="S959" s="28">
        <v>202306</v>
      </c>
      <c r="T959" s="31" t="s">
        <v>5231</v>
      </c>
      <c r="U959" s="274"/>
      <c r="V959" s="38">
        <v>0</v>
      </c>
      <c r="W959" s="300"/>
      <c r="X959" s="36">
        <v>44378</v>
      </c>
      <c r="Y959" s="36">
        <v>45107</v>
      </c>
      <c r="Z959" s="5" t="s">
        <v>5232</v>
      </c>
      <c r="AA959" s="260">
        <v>0.3</v>
      </c>
      <c r="AB959" s="38">
        <v>0</v>
      </c>
      <c r="AC959" s="302">
        <f t="shared" si="69"/>
        <v>0</v>
      </c>
    </row>
    <row r="960" spans="1:29" s="3" customFormat="1" ht="15" customHeight="1">
      <c r="A960" s="49" t="s">
        <v>212</v>
      </c>
      <c r="B960" s="50" t="s">
        <v>5188</v>
      </c>
      <c r="C960" s="50" t="s">
        <v>2017</v>
      </c>
      <c r="D960" s="50" t="s">
        <v>418</v>
      </c>
      <c r="E960" s="50" t="s">
        <v>5214</v>
      </c>
      <c r="F960" s="51" t="s">
        <v>5215</v>
      </c>
      <c r="G960" s="50" t="s">
        <v>34</v>
      </c>
      <c r="H960" s="52" t="s">
        <v>5233</v>
      </c>
      <c r="I960" s="53" t="e">
        <f>VLOOKUP(H960,合同高级查询数据!$A$2:$A$51,1,FALSE)</f>
        <v>#N/A</v>
      </c>
      <c r="J960" s="54" t="s">
        <v>36</v>
      </c>
      <c r="K960" s="55" t="s">
        <v>2019</v>
      </c>
      <c r="L960" s="55" t="s">
        <v>5234</v>
      </c>
      <c r="M960" s="55" t="s">
        <v>5229</v>
      </c>
      <c r="N960" s="55" t="s">
        <v>5235</v>
      </c>
      <c r="O960" s="56" t="s">
        <v>3263</v>
      </c>
      <c r="P960" s="57">
        <v>5333.33</v>
      </c>
      <c r="Q960" s="58">
        <v>0</v>
      </c>
      <c r="R960" s="58">
        <f t="shared" si="68"/>
        <v>0</v>
      </c>
      <c r="S960" s="59">
        <v>202306</v>
      </c>
      <c r="T960" s="60" t="s">
        <v>5236</v>
      </c>
      <c r="U960" s="61"/>
      <c r="V960" s="62">
        <v>0</v>
      </c>
      <c r="W960" s="63"/>
      <c r="X960" s="64"/>
      <c r="Y960" s="64"/>
      <c r="Z960" s="65" t="s">
        <v>5237</v>
      </c>
      <c r="AA960" s="66">
        <v>0.3</v>
      </c>
      <c r="AB960" s="62">
        <v>0</v>
      </c>
      <c r="AC960" s="67">
        <v>0</v>
      </c>
    </row>
    <row r="961" spans="1:29" s="3" customFormat="1" ht="15" customHeight="1">
      <c r="A961" s="49" t="s">
        <v>212</v>
      </c>
      <c r="B961" s="50" t="s">
        <v>5188</v>
      </c>
      <c r="C961" s="50" t="s">
        <v>2017</v>
      </c>
      <c r="D961" s="50" t="s">
        <v>418</v>
      </c>
      <c r="E961" s="50" t="s">
        <v>5214</v>
      </c>
      <c r="F961" s="51" t="s">
        <v>5215</v>
      </c>
      <c r="G961" s="50" t="s">
        <v>34</v>
      </c>
      <c r="H961" s="52" t="s">
        <v>5233</v>
      </c>
      <c r="I961" s="53" t="e">
        <f>VLOOKUP(H961,合同高级查询数据!$A$2:$A$51,1,FALSE)</f>
        <v>#N/A</v>
      </c>
      <c r="J961" s="54" t="s">
        <v>36</v>
      </c>
      <c r="K961" s="55" t="s">
        <v>2019</v>
      </c>
      <c r="L961" s="55" t="s">
        <v>5234</v>
      </c>
      <c r="M961" s="55" t="s">
        <v>5229</v>
      </c>
      <c r="N961" s="55">
        <v>45017</v>
      </c>
      <c r="O961" s="56" t="s">
        <v>1249</v>
      </c>
      <c r="P961" s="57">
        <v>5333.33</v>
      </c>
      <c r="Q961" s="58">
        <f>24.392-24.13</f>
        <v>0.26200000000000045</v>
      </c>
      <c r="R961" s="58">
        <f t="shared" si="68"/>
        <v>1397.33</v>
      </c>
      <c r="S961" s="59">
        <v>202305</v>
      </c>
      <c r="T961" s="60" t="s">
        <v>5238</v>
      </c>
      <c r="U961" s="61"/>
      <c r="V961" s="62">
        <v>23.874647369000002</v>
      </c>
      <c r="W961" s="63">
        <v>24.391999999999999</v>
      </c>
      <c r="X961" s="64"/>
      <c r="Y961" s="64"/>
      <c r="Z961" s="65" t="s">
        <v>5237</v>
      </c>
      <c r="AA961" s="66">
        <v>0.3</v>
      </c>
      <c r="AB961" s="62">
        <v>60</v>
      </c>
      <c r="AC961" s="67">
        <f t="shared" si="69"/>
        <v>18</v>
      </c>
    </row>
    <row r="962" spans="1:29" s="2" customFormat="1" ht="15" customHeight="1">
      <c r="A962" s="8" t="s">
        <v>267</v>
      </c>
      <c r="B962" s="9" t="s">
        <v>5188</v>
      </c>
      <c r="C962" s="9" t="s">
        <v>2017</v>
      </c>
      <c r="D962" s="9" t="s">
        <v>418</v>
      </c>
      <c r="E962" s="9" t="s">
        <v>5239</v>
      </c>
      <c r="F962" s="12" t="s">
        <v>5240</v>
      </c>
      <c r="G962" s="9" t="s">
        <v>34</v>
      </c>
      <c r="H962" s="15" t="s">
        <v>5241</v>
      </c>
      <c r="I962" s="11" t="str">
        <f>VLOOKUP(H962,合同高级查询数据!$A$2:$A$51,1,FALSE)</f>
        <v>182315IDC00247</v>
      </c>
      <c r="J962" s="16" t="s">
        <v>36</v>
      </c>
      <c r="K962" s="21" t="s">
        <v>2019</v>
      </c>
      <c r="L962" s="21" t="s">
        <v>5242</v>
      </c>
      <c r="M962" s="21" t="s">
        <v>5243</v>
      </c>
      <c r="N962" s="21" t="s">
        <v>5244</v>
      </c>
      <c r="O962" s="298" t="s">
        <v>5245</v>
      </c>
      <c r="P962" s="30">
        <v>6740</v>
      </c>
      <c r="Q962" s="27">
        <v>0</v>
      </c>
      <c r="R962" s="27">
        <f t="shared" si="68"/>
        <v>0</v>
      </c>
      <c r="S962" s="28">
        <v>202306</v>
      </c>
      <c r="T962" s="31" t="s">
        <v>5246</v>
      </c>
      <c r="U962" s="274"/>
      <c r="V962" s="38">
        <v>0</v>
      </c>
      <c r="W962" s="300"/>
      <c r="X962" s="36">
        <v>44927</v>
      </c>
      <c r="Y962" s="36">
        <v>45107</v>
      </c>
      <c r="Z962" s="5" t="s">
        <v>5247</v>
      </c>
      <c r="AA962" s="260">
        <v>0.4</v>
      </c>
      <c r="AB962" s="38">
        <v>0</v>
      </c>
      <c r="AC962" s="302">
        <f t="shared" si="69"/>
        <v>0</v>
      </c>
    </row>
    <row r="963" spans="1:29" s="2" customFormat="1" ht="15" customHeight="1">
      <c r="A963" s="8" t="s">
        <v>267</v>
      </c>
      <c r="B963" s="9" t="s">
        <v>5188</v>
      </c>
      <c r="C963" s="9" t="s">
        <v>2017</v>
      </c>
      <c r="D963" s="9" t="s">
        <v>418</v>
      </c>
      <c r="E963" s="9" t="s">
        <v>5239</v>
      </c>
      <c r="F963" s="12" t="s">
        <v>5240</v>
      </c>
      <c r="G963" s="9" t="s">
        <v>34</v>
      </c>
      <c r="H963" s="15" t="s">
        <v>5241</v>
      </c>
      <c r="I963" s="11" t="str">
        <f>VLOOKUP(H963,合同高级查询数据!$A$2:$A$51,1,FALSE)</f>
        <v>182315IDC00247</v>
      </c>
      <c r="J963" s="16" t="s">
        <v>36</v>
      </c>
      <c r="K963" s="21" t="s">
        <v>2019</v>
      </c>
      <c r="L963" s="21" t="s">
        <v>5248</v>
      </c>
      <c r="M963" s="21" t="s">
        <v>5249</v>
      </c>
      <c r="N963" s="21" t="s">
        <v>5250</v>
      </c>
      <c r="O963" s="298" t="s">
        <v>5251</v>
      </c>
      <c r="P963" s="30">
        <v>6740</v>
      </c>
      <c r="Q963" s="27">
        <v>100.51</v>
      </c>
      <c r="R963" s="27">
        <f t="shared" si="68"/>
        <v>677437.4</v>
      </c>
      <c r="S963" s="28">
        <v>202306</v>
      </c>
      <c r="T963" s="31" t="s">
        <v>5252</v>
      </c>
      <c r="U963" s="274"/>
      <c r="V963" s="38">
        <v>100.509933472</v>
      </c>
      <c r="W963" s="300"/>
      <c r="X963" s="36">
        <v>44927</v>
      </c>
      <c r="Y963" s="36">
        <v>45107</v>
      </c>
      <c r="Z963" s="5" t="s">
        <v>5253</v>
      </c>
      <c r="AA963" s="260">
        <v>0.4</v>
      </c>
      <c r="AB963" s="38">
        <v>220</v>
      </c>
      <c r="AC963" s="302">
        <f t="shared" si="69"/>
        <v>88</v>
      </c>
    </row>
    <row r="964" spans="1:29" s="3" customFormat="1" ht="15" customHeight="1">
      <c r="A964" s="49" t="s">
        <v>260</v>
      </c>
      <c r="B964" s="50" t="s">
        <v>5141</v>
      </c>
      <c r="C964" s="50" t="s">
        <v>5254</v>
      </c>
      <c r="D964" s="50" t="s">
        <v>418</v>
      </c>
      <c r="E964" s="50" t="s">
        <v>5255</v>
      </c>
      <c r="F964" s="51" t="s">
        <v>5256</v>
      </c>
      <c r="G964" s="50" t="s">
        <v>34</v>
      </c>
      <c r="H964" s="52" t="s">
        <v>5257</v>
      </c>
      <c r="I964" s="53" t="e">
        <f>VLOOKUP(H964,合同高级查询数据!$A$2:$A$51,1,FALSE)</f>
        <v>#N/A</v>
      </c>
      <c r="J964" s="54" t="s">
        <v>36</v>
      </c>
      <c r="K964" s="55" t="s">
        <v>5258</v>
      </c>
      <c r="L964" s="55" t="s">
        <v>5259</v>
      </c>
      <c r="M964" s="55" t="s">
        <v>5260</v>
      </c>
      <c r="N964" s="55" t="s">
        <v>5261</v>
      </c>
      <c r="O964" s="56">
        <v>0</v>
      </c>
      <c r="P964" s="57">
        <v>8333.33</v>
      </c>
      <c r="Q964" s="58">
        <v>0</v>
      </c>
      <c r="R964" s="58">
        <f t="shared" si="68"/>
        <v>0</v>
      </c>
      <c r="S964" s="59">
        <v>202306</v>
      </c>
      <c r="T964" s="60" t="s">
        <v>5262</v>
      </c>
      <c r="U964" s="61"/>
      <c r="V964" s="62">
        <v>0</v>
      </c>
      <c r="W964" s="63"/>
      <c r="X964" s="64">
        <v>45047</v>
      </c>
      <c r="Y964" s="64"/>
      <c r="Z964" s="65" t="s">
        <v>5263</v>
      </c>
      <c r="AA964" s="66"/>
      <c r="AB964" s="62">
        <v>0</v>
      </c>
      <c r="AC964" s="67">
        <v>0</v>
      </c>
    </row>
    <row r="965" spans="1:29" s="3" customFormat="1" ht="15" customHeight="1">
      <c r="A965" s="49" t="s">
        <v>260</v>
      </c>
      <c r="B965" s="50" t="s">
        <v>5141</v>
      </c>
      <c r="C965" s="50" t="s">
        <v>5254</v>
      </c>
      <c r="D965" s="50" t="s">
        <v>418</v>
      </c>
      <c r="E965" s="50" t="s">
        <v>5255</v>
      </c>
      <c r="F965" s="51" t="s">
        <v>5256</v>
      </c>
      <c r="G965" s="50" t="s">
        <v>34</v>
      </c>
      <c r="H965" s="52" t="s">
        <v>5257</v>
      </c>
      <c r="I965" s="53" t="e">
        <f>VLOOKUP(H965,合同高级查询数据!$A$2:$A$51,1,FALSE)</f>
        <v>#N/A</v>
      </c>
      <c r="J965" s="54" t="s">
        <v>36</v>
      </c>
      <c r="K965" s="55" t="s">
        <v>5264</v>
      </c>
      <c r="L965" s="55" t="s">
        <v>5265</v>
      </c>
      <c r="M965" s="55" t="s">
        <v>5266</v>
      </c>
      <c r="N965" s="55" t="s">
        <v>5267</v>
      </c>
      <c r="O965" s="56" t="s">
        <v>5268</v>
      </c>
      <c r="P965" s="57">
        <v>8333.33</v>
      </c>
      <c r="Q965" s="58">
        <v>24.8</v>
      </c>
      <c r="R965" s="58">
        <f t="shared" si="68"/>
        <v>206666.58</v>
      </c>
      <c r="S965" s="59">
        <v>202306</v>
      </c>
      <c r="T965" s="60" t="s">
        <v>5269</v>
      </c>
      <c r="U965" s="61"/>
      <c r="V965" s="62">
        <v>24.71821022</v>
      </c>
      <c r="W965" s="63"/>
      <c r="X965" s="64">
        <v>45047</v>
      </c>
      <c r="Y965" s="64"/>
      <c r="Z965" s="65" t="s">
        <v>5270</v>
      </c>
      <c r="AA965" s="66">
        <v>0.3</v>
      </c>
      <c r="AB965" s="62">
        <v>80</v>
      </c>
      <c r="AC965" s="67">
        <f>AB965*AA965</f>
        <v>24</v>
      </c>
    </row>
    <row r="966" spans="1:29" s="2" customFormat="1" ht="15" customHeight="1">
      <c r="A966" s="8" t="s">
        <v>260</v>
      </c>
      <c r="B966" s="9" t="s">
        <v>5141</v>
      </c>
      <c r="C966" s="9" t="s">
        <v>5254</v>
      </c>
      <c r="D966" s="9" t="s">
        <v>418</v>
      </c>
      <c r="E966" s="9" t="s">
        <v>5255</v>
      </c>
      <c r="F966" s="12" t="s">
        <v>5256</v>
      </c>
      <c r="G966" s="9" t="s">
        <v>34</v>
      </c>
      <c r="H966" s="15" t="s">
        <v>5271</v>
      </c>
      <c r="I966" s="11" t="e">
        <f>VLOOKUP(H966,合同高级查询数据!$A$2:$A$51,1,FALSE)</f>
        <v>#N/A</v>
      </c>
      <c r="J966" s="16" t="s">
        <v>36</v>
      </c>
      <c r="K966" s="21" t="s">
        <v>5264</v>
      </c>
      <c r="L966" s="21" t="s">
        <v>5265</v>
      </c>
      <c r="M966" s="21" t="s">
        <v>5266</v>
      </c>
      <c r="N966" s="21" t="s">
        <v>5267</v>
      </c>
      <c r="O966" s="298" t="s">
        <v>5268</v>
      </c>
      <c r="P966" s="30">
        <v>8333.33</v>
      </c>
      <c r="Q966" s="27">
        <f>27.2-26.9</f>
        <v>0.30000000000000071</v>
      </c>
      <c r="R966" s="27">
        <f t="shared" si="68"/>
        <v>2500</v>
      </c>
      <c r="S966" s="28">
        <v>202304</v>
      </c>
      <c r="T966" s="31" t="s">
        <v>5272</v>
      </c>
      <c r="U966" s="274"/>
      <c r="V966" s="38">
        <v>26.758766174000002</v>
      </c>
      <c r="W966" s="300"/>
      <c r="X966" s="36">
        <v>45047</v>
      </c>
      <c r="Y966" s="36"/>
      <c r="Z966" s="5" t="s">
        <v>5270</v>
      </c>
      <c r="AA966" s="260">
        <v>0.3</v>
      </c>
      <c r="AB966" s="38">
        <v>80</v>
      </c>
      <c r="AC966" s="302">
        <f t="shared" ref="AC966:AC970" si="70">AB966*AA966</f>
        <v>24</v>
      </c>
    </row>
    <row r="967" spans="1:29" s="3" customFormat="1" ht="15" customHeight="1">
      <c r="A967" s="49" t="s">
        <v>260</v>
      </c>
      <c r="B967" s="50" t="s">
        <v>5141</v>
      </c>
      <c r="C967" s="50" t="s">
        <v>5254</v>
      </c>
      <c r="D967" s="50" t="s">
        <v>418</v>
      </c>
      <c r="E967" s="50" t="s">
        <v>5255</v>
      </c>
      <c r="F967" s="51" t="s">
        <v>5256</v>
      </c>
      <c r="G967" s="50" t="s">
        <v>34</v>
      </c>
      <c r="H967" s="52" t="s">
        <v>5257</v>
      </c>
      <c r="I967" s="53" t="e">
        <f>VLOOKUP(H967,合同高级查询数据!$A$2:$A$51,1,FALSE)</f>
        <v>#N/A</v>
      </c>
      <c r="J967" s="54" t="s">
        <v>36</v>
      </c>
      <c r="K967" s="55" t="s">
        <v>5264</v>
      </c>
      <c r="L967" s="55" t="s">
        <v>5265</v>
      </c>
      <c r="M967" s="55" t="s">
        <v>5266</v>
      </c>
      <c r="N967" s="55" t="s">
        <v>5267</v>
      </c>
      <c r="O967" s="56" t="s">
        <v>5268</v>
      </c>
      <c r="P967" s="57">
        <v>8333.33</v>
      </c>
      <c r="Q967" s="58">
        <f>27-26.8</f>
        <v>0.19999999999999929</v>
      </c>
      <c r="R967" s="58">
        <f t="shared" si="68"/>
        <v>1666.67</v>
      </c>
      <c r="S967" s="59">
        <v>202305</v>
      </c>
      <c r="T967" s="60" t="s">
        <v>5273</v>
      </c>
      <c r="U967" s="61"/>
      <c r="V967" s="62">
        <v>26.758766174000002</v>
      </c>
      <c r="W967" s="63"/>
      <c r="X967" s="64">
        <v>45047</v>
      </c>
      <c r="Y967" s="64"/>
      <c r="Z967" s="65" t="s">
        <v>5270</v>
      </c>
      <c r="AA967" s="66">
        <v>0.3</v>
      </c>
      <c r="AB967" s="62">
        <v>80</v>
      </c>
      <c r="AC967" s="67">
        <f t="shared" si="70"/>
        <v>24</v>
      </c>
    </row>
    <row r="968" spans="1:29" s="2" customFormat="1" ht="15" customHeight="1">
      <c r="A968" s="8" t="s">
        <v>212</v>
      </c>
      <c r="B968" s="9" t="s">
        <v>5141</v>
      </c>
      <c r="C968" s="9" t="s">
        <v>5254</v>
      </c>
      <c r="D968" s="9" t="s">
        <v>418</v>
      </c>
      <c r="E968" s="9" t="s">
        <v>5274</v>
      </c>
      <c r="F968" s="12" t="s">
        <v>5275</v>
      </c>
      <c r="G968" s="9" t="s">
        <v>34</v>
      </c>
      <c r="H968" s="15" t="s">
        <v>5276</v>
      </c>
      <c r="I968" s="11" t="e">
        <f>VLOOKUP(H968,合同高级查询数据!$A$2:$A$51,1,FALSE)</f>
        <v>#N/A</v>
      </c>
      <c r="J968" s="16" t="s">
        <v>36</v>
      </c>
      <c r="K968" s="21" t="s">
        <v>5277</v>
      </c>
      <c r="L968" s="21" t="s">
        <v>5278</v>
      </c>
      <c r="M968" s="21" t="s">
        <v>5279</v>
      </c>
      <c r="N968" s="21" t="s">
        <v>5280</v>
      </c>
      <c r="O968" s="298" t="s">
        <v>5281</v>
      </c>
      <c r="P968" s="30">
        <v>9000</v>
      </c>
      <c r="Q968" s="27">
        <v>12.27</v>
      </c>
      <c r="R968" s="27">
        <f t="shared" si="68"/>
        <v>110430</v>
      </c>
      <c r="S968" s="28">
        <v>202306</v>
      </c>
      <c r="T968" s="31" t="s">
        <v>5282</v>
      </c>
      <c r="U968" s="274"/>
      <c r="V968" s="38">
        <v>12.272782764</v>
      </c>
      <c r="W968" s="300"/>
      <c r="X968" s="36">
        <v>44409</v>
      </c>
      <c r="Y968" s="36">
        <v>45138</v>
      </c>
      <c r="Z968" s="5" t="s">
        <v>5283</v>
      </c>
      <c r="AA968" s="260">
        <v>0.3</v>
      </c>
      <c r="AB968" s="38">
        <v>40</v>
      </c>
      <c r="AC968" s="302">
        <f t="shared" si="70"/>
        <v>12</v>
      </c>
    </row>
    <row r="969" spans="1:29" s="3" customFormat="1" ht="15" customHeight="1">
      <c r="A969" s="49" t="s">
        <v>267</v>
      </c>
      <c r="B969" s="50" t="s">
        <v>5141</v>
      </c>
      <c r="C969" s="50" t="s">
        <v>5254</v>
      </c>
      <c r="D969" s="50" t="s">
        <v>418</v>
      </c>
      <c r="E969" s="50" t="s">
        <v>5284</v>
      </c>
      <c r="F969" s="51" t="s">
        <v>5285</v>
      </c>
      <c r="G969" s="50" t="s">
        <v>34</v>
      </c>
      <c r="H969" s="52" t="s">
        <v>5286</v>
      </c>
      <c r="I969" s="53" t="e">
        <f>VLOOKUP(H969,合同高级查询数据!$A$2:$A$51,1,FALSE)</f>
        <v>#N/A</v>
      </c>
      <c r="J969" s="54" t="s">
        <v>36</v>
      </c>
      <c r="K969" s="55" t="s">
        <v>5287</v>
      </c>
      <c r="L969" s="55" t="s">
        <v>5288</v>
      </c>
      <c r="M969" s="55" t="s">
        <v>5289</v>
      </c>
      <c r="N969" s="55" t="s">
        <v>5290</v>
      </c>
      <c r="O969" s="56" t="s">
        <v>1498</v>
      </c>
      <c r="P969" s="57">
        <v>6740</v>
      </c>
      <c r="Q969" s="58">
        <v>0</v>
      </c>
      <c r="R969" s="58">
        <f t="shared" si="68"/>
        <v>0</v>
      </c>
      <c r="S969" s="59">
        <v>202306</v>
      </c>
      <c r="T969" s="60" t="s">
        <v>5291</v>
      </c>
      <c r="U969" s="61"/>
      <c r="V969" s="62">
        <v>0</v>
      </c>
      <c r="W969" s="63"/>
      <c r="X969" s="64"/>
      <c r="Y969" s="64"/>
      <c r="Z969" s="65" t="s">
        <v>5292</v>
      </c>
      <c r="AA969" s="66">
        <v>0.4</v>
      </c>
      <c r="AB969" s="62">
        <v>0</v>
      </c>
      <c r="AC969" s="67">
        <f t="shared" si="70"/>
        <v>0</v>
      </c>
    </row>
    <row r="970" spans="1:29" s="3" customFormat="1" ht="15" customHeight="1">
      <c r="A970" s="49" t="s">
        <v>267</v>
      </c>
      <c r="B970" s="50" t="s">
        <v>5141</v>
      </c>
      <c r="C970" s="50" t="s">
        <v>5254</v>
      </c>
      <c r="D970" s="50" t="s">
        <v>418</v>
      </c>
      <c r="E970" s="50" t="s">
        <v>5284</v>
      </c>
      <c r="F970" s="51" t="s">
        <v>5285</v>
      </c>
      <c r="G970" s="50" t="s">
        <v>34</v>
      </c>
      <c r="H970" s="52" t="s">
        <v>5286</v>
      </c>
      <c r="I970" s="53" t="e">
        <f>VLOOKUP(H970,合同高级查询数据!$A$2:$A$51,1,FALSE)</f>
        <v>#N/A</v>
      </c>
      <c r="J970" s="54" t="s">
        <v>36</v>
      </c>
      <c r="K970" s="55" t="s">
        <v>5287</v>
      </c>
      <c r="L970" s="55" t="s">
        <v>5293</v>
      </c>
      <c r="M970" s="55" t="s">
        <v>5289</v>
      </c>
      <c r="N970" s="55" t="s">
        <v>5294</v>
      </c>
      <c r="O970" s="56" t="s">
        <v>3769</v>
      </c>
      <c r="P970" s="57">
        <v>6740</v>
      </c>
      <c r="Q970" s="58">
        <v>11.95</v>
      </c>
      <c r="R970" s="58">
        <f t="shared" si="68"/>
        <v>80543</v>
      </c>
      <c r="S970" s="59">
        <v>202306</v>
      </c>
      <c r="T970" s="60" t="s">
        <v>5295</v>
      </c>
      <c r="U970" s="61"/>
      <c r="V970" s="62">
        <v>11.945772171</v>
      </c>
      <c r="W970" s="63"/>
      <c r="X970" s="64"/>
      <c r="Y970" s="64"/>
      <c r="Z970" s="65" t="s">
        <v>5296</v>
      </c>
      <c r="AA970" s="66">
        <v>0.4</v>
      </c>
      <c r="AB970" s="62">
        <v>20</v>
      </c>
      <c r="AC970" s="67">
        <f t="shared" si="70"/>
        <v>8</v>
      </c>
    </row>
    <row r="971" spans="1:29" s="3" customFormat="1" ht="15" customHeight="1">
      <c r="A971" s="49" t="s">
        <v>260</v>
      </c>
      <c r="B971" s="50" t="s">
        <v>5297</v>
      </c>
      <c r="C971" s="50" t="s">
        <v>1972</v>
      </c>
      <c r="D971" s="50" t="s">
        <v>418</v>
      </c>
      <c r="E971" s="50" t="s">
        <v>5298</v>
      </c>
      <c r="F971" s="51" t="s">
        <v>5299</v>
      </c>
      <c r="G971" s="50" t="s">
        <v>34</v>
      </c>
      <c r="H971" s="52" t="s">
        <v>5300</v>
      </c>
      <c r="I971" s="53" t="e">
        <f>VLOOKUP(H971,合同高级查询数据!$A$2:$A$51,1,FALSE)</f>
        <v>#N/A</v>
      </c>
      <c r="J971" s="54" t="s">
        <v>36</v>
      </c>
      <c r="K971" s="55" t="s">
        <v>5301</v>
      </c>
      <c r="L971" s="55" t="s">
        <v>5301</v>
      </c>
      <c r="M971" s="55" t="s">
        <v>5302</v>
      </c>
      <c r="N971" s="55" t="s">
        <v>5303</v>
      </c>
      <c r="O971" s="56" t="s">
        <v>5304</v>
      </c>
      <c r="P971" s="57">
        <v>6250</v>
      </c>
      <c r="Q971" s="58">
        <v>0</v>
      </c>
      <c r="R971" s="58">
        <f t="shared" si="68"/>
        <v>0</v>
      </c>
      <c r="S971" s="59">
        <v>202306</v>
      </c>
      <c r="T971" s="60" t="s">
        <v>5305</v>
      </c>
      <c r="U971" s="61"/>
      <c r="V971" s="62">
        <v>0</v>
      </c>
      <c r="W971" s="63"/>
      <c r="X971" s="64"/>
      <c r="Y971" s="64"/>
      <c r="Z971" s="65">
        <v>0</v>
      </c>
      <c r="AA971" s="66">
        <v>0</v>
      </c>
      <c r="AB971" s="62">
        <v>0</v>
      </c>
      <c r="AC971" s="67">
        <f t="shared" ref="AC971:AC977" si="71">AA971*AB971</f>
        <v>0</v>
      </c>
    </row>
    <row r="972" spans="1:29" s="3" customFormat="1" ht="15" customHeight="1">
      <c r="A972" s="49" t="s">
        <v>260</v>
      </c>
      <c r="B972" s="50" t="s">
        <v>5297</v>
      </c>
      <c r="C972" s="50" t="s">
        <v>1972</v>
      </c>
      <c r="D972" s="50" t="s">
        <v>418</v>
      </c>
      <c r="E972" s="50" t="s">
        <v>5298</v>
      </c>
      <c r="F972" s="51" t="s">
        <v>5299</v>
      </c>
      <c r="G972" s="50" t="s">
        <v>34</v>
      </c>
      <c r="H972" s="52" t="s">
        <v>5300</v>
      </c>
      <c r="I972" s="53" t="e">
        <f>VLOOKUP(H972,合同高级查询数据!$A$2:$A$51,1,FALSE)</f>
        <v>#N/A</v>
      </c>
      <c r="J972" s="54" t="s">
        <v>36</v>
      </c>
      <c r="K972" s="55" t="s">
        <v>5306</v>
      </c>
      <c r="L972" s="55" t="s">
        <v>5307</v>
      </c>
      <c r="M972" s="55" t="s">
        <v>5302</v>
      </c>
      <c r="N972" s="55" t="s">
        <v>5308</v>
      </c>
      <c r="O972" s="56" t="s">
        <v>5309</v>
      </c>
      <c r="P972" s="57">
        <v>6250</v>
      </c>
      <c r="Q972" s="58">
        <v>69</v>
      </c>
      <c r="R972" s="58">
        <f t="shared" si="68"/>
        <v>431250</v>
      </c>
      <c r="S972" s="59">
        <v>202306</v>
      </c>
      <c r="T972" s="60" t="s">
        <v>5310</v>
      </c>
      <c r="U972" s="61"/>
      <c r="V972" s="62">
        <v>68.922538756999998</v>
      </c>
      <c r="W972" s="63"/>
      <c r="X972" s="64"/>
      <c r="Y972" s="64"/>
      <c r="Z972" s="65" t="s">
        <v>5311</v>
      </c>
      <c r="AA972" s="66">
        <v>0.3</v>
      </c>
      <c r="AB972" s="62">
        <v>220</v>
      </c>
      <c r="AC972" s="67">
        <f t="shared" si="71"/>
        <v>66</v>
      </c>
    </row>
    <row r="973" spans="1:29" s="2" customFormat="1" ht="15" customHeight="1">
      <c r="A973" s="8" t="s">
        <v>260</v>
      </c>
      <c r="B973" s="9" t="s">
        <v>5297</v>
      </c>
      <c r="C973" s="9" t="s">
        <v>1972</v>
      </c>
      <c r="D973" s="9" t="s">
        <v>418</v>
      </c>
      <c r="E973" s="9" t="s">
        <v>5298</v>
      </c>
      <c r="F973" s="12" t="s">
        <v>5299</v>
      </c>
      <c r="G973" s="9" t="s">
        <v>34</v>
      </c>
      <c r="H973" s="15" t="s">
        <v>5312</v>
      </c>
      <c r="I973" s="11" t="e">
        <f>VLOOKUP(H973,合同高级查询数据!$A$2:$A$51,1,FALSE)</f>
        <v>#N/A</v>
      </c>
      <c r="J973" s="16" t="s">
        <v>36</v>
      </c>
      <c r="K973" s="21" t="s">
        <v>5306</v>
      </c>
      <c r="L973" s="21" t="s">
        <v>5307</v>
      </c>
      <c r="M973" s="21" t="s">
        <v>5302</v>
      </c>
      <c r="N973" s="21" t="s">
        <v>5308</v>
      </c>
      <c r="O973" s="298" t="s">
        <v>5309</v>
      </c>
      <c r="P973" s="30">
        <v>9500</v>
      </c>
      <c r="Q973" s="27">
        <f>69.72-69.7</f>
        <v>1.9999999999996021E-2</v>
      </c>
      <c r="R973" s="27">
        <f t="shared" si="68"/>
        <v>190</v>
      </c>
      <c r="S973" s="28">
        <v>202303</v>
      </c>
      <c r="T973" s="31" t="s">
        <v>5313</v>
      </c>
      <c r="U973" s="274"/>
      <c r="V973" s="38">
        <v>69.153732300000001</v>
      </c>
      <c r="W973" s="300">
        <v>70.28</v>
      </c>
      <c r="X973" s="36"/>
      <c r="Y973" s="36"/>
      <c r="Z973" s="5" t="s">
        <v>5311</v>
      </c>
      <c r="AA973" s="260">
        <v>0.3</v>
      </c>
      <c r="AB973" s="38">
        <v>220</v>
      </c>
      <c r="AC973" s="302">
        <f t="shared" si="71"/>
        <v>66</v>
      </c>
    </row>
    <row r="974" spans="1:29" s="3" customFormat="1" ht="15" customHeight="1">
      <c r="A974" s="49" t="s">
        <v>260</v>
      </c>
      <c r="B974" s="50" t="s">
        <v>5297</v>
      </c>
      <c r="C974" s="50" t="s">
        <v>1972</v>
      </c>
      <c r="D974" s="50" t="s">
        <v>418</v>
      </c>
      <c r="E974" s="50" t="s">
        <v>5298</v>
      </c>
      <c r="F974" s="51" t="s">
        <v>5299</v>
      </c>
      <c r="G974" s="50" t="s">
        <v>34</v>
      </c>
      <c r="H974" s="52" t="s">
        <v>5300</v>
      </c>
      <c r="I974" s="53" t="e">
        <f>VLOOKUP(H974,合同高级查询数据!$A$2:$A$51,1,FALSE)</f>
        <v>#N/A</v>
      </c>
      <c r="J974" s="54" t="s">
        <v>36</v>
      </c>
      <c r="K974" s="55" t="s">
        <v>5314</v>
      </c>
      <c r="L974" s="55" t="s">
        <v>5315</v>
      </c>
      <c r="M974" s="55" t="s">
        <v>5302</v>
      </c>
      <c r="N974" s="55" t="s">
        <v>5316</v>
      </c>
      <c r="O974" s="56" t="s">
        <v>5317</v>
      </c>
      <c r="P974" s="57">
        <v>6250</v>
      </c>
      <c r="Q974" s="58">
        <v>0</v>
      </c>
      <c r="R974" s="58">
        <f t="shared" si="68"/>
        <v>0</v>
      </c>
      <c r="S974" s="59">
        <v>202306</v>
      </c>
      <c r="T974" s="60" t="s">
        <v>5318</v>
      </c>
      <c r="U974" s="61"/>
      <c r="V974" s="62">
        <v>0</v>
      </c>
      <c r="W974" s="63"/>
      <c r="X974" s="64"/>
      <c r="Y974" s="64"/>
      <c r="Z974" s="65">
        <v>0</v>
      </c>
      <c r="AA974" s="66">
        <v>0</v>
      </c>
      <c r="AB974" s="62">
        <v>0</v>
      </c>
      <c r="AC974" s="67">
        <f t="shared" si="71"/>
        <v>0</v>
      </c>
    </row>
    <row r="975" spans="1:29" s="3" customFormat="1" ht="15" customHeight="1">
      <c r="A975" s="49" t="s">
        <v>260</v>
      </c>
      <c r="B975" s="50" t="s">
        <v>5297</v>
      </c>
      <c r="C975" s="50" t="s">
        <v>1972</v>
      </c>
      <c r="D975" s="50" t="s">
        <v>418</v>
      </c>
      <c r="E975" s="50" t="s">
        <v>5298</v>
      </c>
      <c r="F975" s="51" t="s">
        <v>5299</v>
      </c>
      <c r="G975" s="50" t="s">
        <v>34</v>
      </c>
      <c r="H975" s="52" t="s">
        <v>5319</v>
      </c>
      <c r="I975" s="53" t="e">
        <f>VLOOKUP(H975,合同高级查询数据!$A$2:$A$51,1,FALSE)</f>
        <v>#N/A</v>
      </c>
      <c r="J975" s="54" t="s">
        <v>36</v>
      </c>
      <c r="K975" s="55" t="s">
        <v>2653</v>
      </c>
      <c r="L975" s="55" t="s">
        <v>5320</v>
      </c>
      <c r="M975" s="55" t="s">
        <v>5321</v>
      </c>
      <c r="N975" s="55" t="s">
        <v>1867</v>
      </c>
      <c r="O975" s="56" t="s">
        <v>5322</v>
      </c>
      <c r="P975" s="57">
        <v>6250</v>
      </c>
      <c r="Q975" s="58">
        <v>0</v>
      </c>
      <c r="R975" s="58">
        <f t="shared" si="68"/>
        <v>0</v>
      </c>
      <c r="S975" s="59">
        <v>202306</v>
      </c>
      <c r="T975" s="60" t="s">
        <v>5323</v>
      </c>
      <c r="U975" s="61"/>
      <c r="V975" s="62">
        <v>0</v>
      </c>
      <c r="W975" s="63"/>
      <c r="X975" s="64"/>
      <c r="Y975" s="64"/>
      <c r="Z975" s="65">
        <v>0</v>
      </c>
      <c r="AA975" s="66">
        <v>0</v>
      </c>
      <c r="AB975" s="62">
        <v>0</v>
      </c>
      <c r="AC975" s="67">
        <f t="shared" si="71"/>
        <v>0</v>
      </c>
    </row>
    <row r="976" spans="1:29" s="3" customFormat="1" ht="15" customHeight="1">
      <c r="A976" s="49" t="s">
        <v>212</v>
      </c>
      <c r="B976" s="50" t="s">
        <v>5297</v>
      </c>
      <c r="C976" s="50" t="s">
        <v>1972</v>
      </c>
      <c r="D976" s="50" t="s">
        <v>418</v>
      </c>
      <c r="E976" s="50" t="s">
        <v>5324</v>
      </c>
      <c r="F976" s="51" t="s">
        <v>5325</v>
      </c>
      <c r="G976" s="50" t="s">
        <v>34</v>
      </c>
      <c r="H976" s="52" t="s">
        <v>5326</v>
      </c>
      <c r="I976" s="53" t="e">
        <f>VLOOKUP(H976,合同高级查询数据!$A$2:$A$51,1,FALSE)</f>
        <v>#N/A</v>
      </c>
      <c r="J976" s="54" t="s">
        <v>36</v>
      </c>
      <c r="K976" s="55" t="s">
        <v>5327</v>
      </c>
      <c r="L976" s="55" t="s">
        <v>5328</v>
      </c>
      <c r="M976" s="55" t="s">
        <v>5329</v>
      </c>
      <c r="N976" s="55" t="s">
        <v>5330</v>
      </c>
      <c r="O976" s="56" t="s">
        <v>5331</v>
      </c>
      <c r="P976" s="57">
        <v>8333.33</v>
      </c>
      <c r="Q976" s="58">
        <v>6.5</v>
      </c>
      <c r="R976" s="58">
        <f t="shared" si="68"/>
        <v>54166.65</v>
      </c>
      <c r="S976" s="59">
        <v>202306</v>
      </c>
      <c r="T976" s="60" t="s">
        <v>5332</v>
      </c>
      <c r="U976" s="61"/>
      <c r="V976" s="62">
        <v>6.4129818240000001</v>
      </c>
      <c r="W976" s="63"/>
      <c r="X976" s="64">
        <v>45078</v>
      </c>
      <c r="Y976" s="64"/>
      <c r="Z976" s="65" t="s">
        <v>5333</v>
      </c>
      <c r="AA976" s="66">
        <v>0.25</v>
      </c>
      <c r="AB976" s="62">
        <v>20</v>
      </c>
      <c r="AC976" s="67">
        <f t="shared" si="71"/>
        <v>5</v>
      </c>
    </row>
    <row r="977" spans="1:29" s="2" customFormat="1" ht="15" customHeight="1">
      <c r="A977" s="8" t="s">
        <v>267</v>
      </c>
      <c r="B977" s="9" t="s">
        <v>5297</v>
      </c>
      <c r="C977" s="9" t="s">
        <v>1972</v>
      </c>
      <c r="D977" s="9" t="s">
        <v>418</v>
      </c>
      <c r="E977" s="9" t="s">
        <v>5334</v>
      </c>
      <c r="F977" s="12" t="s">
        <v>5335</v>
      </c>
      <c r="G977" s="9" t="s">
        <v>34</v>
      </c>
      <c r="H977" s="15" t="s">
        <v>5336</v>
      </c>
      <c r="I977" s="11" t="e">
        <f>VLOOKUP(H977,合同高级查询数据!$A$2:$A$51,1,FALSE)</f>
        <v>#N/A</v>
      </c>
      <c r="J977" s="16" t="s">
        <v>36</v>
      </c>
      <c r="K977" s="21" t="s">
        <v>5337</v>
      </c>
      <c r="L977" s="21" t="s">
        <v>5338</v>
      </c>
      <c r="M977" s="21" t="s">
        <v>5339</v>
      </c>
      <c r="N977" s="21" t="s">
        <v>5340</v>
      </c>
      <c r="O977" s="298" t="s">
        <v>5341</v>
      </c>
      <c r="P977" s="30">
        <v>6740</v>
      </c>
      <c r="Q977" s="27">
        <v>8.6300000000000008</v>
      </c>
      <c r="R977" s="27">
        <f t="shared" si="68"/>
        <v>58166.2</v>
      </c>
      <c r="S977" s="28">
        <v>202306</v>
      </c>
      <c r="T977" s="31" t="s">
        <v>5342</v>
      </c>
      <c r="U977" s="274"/>
      <c r="V977" s="38">
        <v>8.6337766649999992</v>
      </c>
      <c r="W977" s="300"/>
      <c r="X977" s="36">
        <v>44927</v>
      </c>
      <c r="Y977" s="36">
        <v>45107</v>
      </c>
      <c r="Z977" s="5" t="s">
        <v>5343</v>
      </c>
      <c r="AA977" s="260">
        <v>0.4</v>
      </c>
      <c r="AB977" s="38">
        <v>20</v>
      </c>
      <c r="AC977" s="302">
        <f t="shared" si="71"/>
        <v>8</v>
      </c>
    </row>
    <row r="978" spans="1:29" s="3" customFormat="1" ht="15" customHeight="1">
      <c r="A978" s="49" t="s">
        <v>267</v>
      </c>
      <c r="B978" s="50" t="s">
        <v>5297</v>
      </c>
      <c r="C978" s="50" t="s">
        <v>1972</v>
      </c>
      <c r="D978" s="50" t="s">
        <v>418</v>
      </c>
      <c r="E978" s="50" t="s">
        <v>5334</v>
      </c>
      <c r="F978" s="51" t="s">
        <v>5335</v>
      </c>
      <c r="G978" s="50" t="s">
        <v>34</v>
      </c>
      <c r="H978" s="52" t="s">
        <v>5344</v>
      </c>
      <c r="I978" s="53" t="e">
        <f>VLOOKUP(H978,合同高级查询数据!$A$2:$A$51,1,FALSE)</f>
        <v>#N/A</v>
      </c>
      <c r="J978" s="54" t="s">
        <v>36</v>
      </c>
      <c r="K978" s="55" t="s">
        <v>5345</v>
      </c>
      <c r="L978" s="55" t="s">
        <v>5346</v>
      </c>
      <c r="M978" s="55" t="s">
        <v>5347</v>
      </c>
      <c r="N978" s="55">
        <v>45051</v>
      </c>
      <c r="O978" s="56" t="s">
        <v>833</v>
      </c>
      <c r="P978" s="57">
        <v>6740</v>
      </c>
      <c r="Q978" s="58">
        <v>264.12</v>
      </c>
      <c r="R978" s="58">
        <f t="shared" si="68"/>
        <v>1780168.8</v>
      </c>
      <c r="S978" s="59">
        <v>202306</v>
      </c>
      <c r="T978" s="60" t="s">
        <v>5348</v>
      </c>
      <c r="U978" s="61"/>
      <c r="V978" s="62">
        <v>264.12</v>
      </c>
      <c r="W978" s="63"/>
      <c r="X978" s="64"/>
      <c r="Y978" s="64"/>
      <c r="Z978" s="65" t="s">
        <v>5349</v>
      </c>
      <c r="AA978" s="66">
        <v>0.4</v>
      </c>
      <c r="AB978" s="62">
        <v>600</v>
      </c>
      <c r="AC978" s="67">
        <v>240</v>
      </c>
    </row>
    <row r="1030824" s="74" customFormat="1" ht="15" customHeight="1"/>
    <row r="1030825" s="74" customFormat="1" ht="15" customHeight="1"/>
    <row r="1030826" s="74" customFormat="1" ht="15" customHeight="1"/>
    <row r="1030827" s="74" customFormat="1" ht="15" customHeight="1"/>
    <row r="1030828" s="74" customFormat="1" ht="15" customHeight="1"/>
    <row r="1030829" s="74" customFormat="1" ht="15" customHeight="1"/>
    <row r="1030830" s="74" customFormat="1" ht="15" customHeight="1"/>
    <row r="1030831" s="74" customFormat="1" ht="15" customHeight="1"/>
    <row r="1030832" s="74" customFormat="1" ht="15" customHeight="1"/>
    <row r="1030833" s="74" customFormat="1" ht="15" customHeight="1"/>
    <row r="1030834" s="74" customFormat="1" ht="15" customHeight="1"/>
    <row r="1030835" s="74" customFormat="1" ht="15" customHeight="1"/>
    <row r="1030836" s="74" customFormat="1" ht="15" customHeight="1"/>
    <row r="1030837" s="74" customFormat="1" ht="15" customHeight="1"/>
    <row r="1030838" s="74" customFormat="1" ht="15" customHeight="1"/>
    <row r="1030839" s="74" customFormat="1" ht="15" customHeight="1"/>
    <row r="1030840" s="74" customFormat="1" ht="15" customHeight="1"/>
    <row r="1030841" s="74" customFormat="1" ht="15" customHeight="1"/>
    <row r="1030842" s="74" customFormat="1" ht="15" customHeight="1"/>
    <row r="1030843" s="74" customFormat="1" ht="15" customHeight="1"/>
    <row r="1030844" s="74" customFormat="1" ht="15" customHeight="1"/>
    <row r="1030845" s="74" customFormat="1" ht="15" customHeight="1"/>
    <row r="1030846" s="74" customFormat="1" ht="15" customHeight="1"/>
    <row r="1030847" s="74" customFormat="1" ht="15" customHeight="1"/>
    <row r="1030848" s="74" customFormat="1" ht="15" customHeight="1"/>
    <row r="1030849" s="74" customFormat="1" ht="15" customHeight="1"/>
    <row r="1030850" s="74" customFormat="1" ht="15" customHeight="1"/>
    <row r="1030851" s="74" customFormat="1" ht="15" customHeight="1"/>
    <row r="1030852" s="74" customFormat="1" ht="15" customHeight="1"/>
    <row r="1030853" s="74" customFormat="1" ht="15" customHeight="1"/>
    <row r="1030854" s="74" customFormat="1" ht="15" customHeight="1"/>
    <row r="1030855" s="74" customFormat="1" ht="15" customHeight="1"/>
    <row r="1030856" s="74" customFormat="1" ht="15" customHeight="1"/>
    <row r="1030857" s="74" customFormat="1" ht="15" customHeight="1"/>
    <row r="1030858" s="74" customFormat="1" ht="15" customHeight="1"/>
    <row r="1030859" s="74" customFormat="1" ht="15" customHeight="1"/>
    <row r="1030860" s="74" customFormat="1" ht="15" customHeight="1"/>
    <row r="1030861" s="74" customFormat="1" ht="15" customHeight="1"/>
    <row r="1030862" s="74" customFormat="1" ht="15" customHeight="1"/>
    <row r="1030863" s="74" customFormat="1" ht="15" customHeight="1"/>
    <row r="1030864" s="74" customFormat="1" ht="15" customHeight="1"/>
    <row r="1030865" s="74" customFormat="1" ht="15" customHeight="1"/>
    <row r="1030866" s="74" customFormat="1" ht="15" customHeight="1"/>
    <row r="1030867" s="74" customFormat="1" ht="15" customHeight="1"/>
    <row r="1030868" s="74" customFormat="1" ht="15" customHeight="1"/>
    <row r="1030869" s="74" customFormat="1" ht="15" customHeight="1"/>
    <row r="1030870" s="74" customFormat="1" ht="15" customHeight="1"/>
    <row r="1030871" s="74" customFormat="1" ht="15" customHeight="1"/>
    <row r="1030872" s="74" customFormat="1" ht="15" customHeight="1"/>
    <row r="1030873" s="74" customFormat="1" ht="15" customHeight="1"/>
    <row r="1030874" s="74" customFormat="1" ht="15" customHeight="1"/>
    <row r="1030875" s="74" customFormat="1" ht="15" customHeight="1"/>
    <row r="1030876" s="74" customFormat="1" ht="15" customHeight="1"/>
    <row r="1030877" s="74" customFormat="1" ht="15" customHeight="1"/>
    <row r="1030878" s="74" customFormat="1" ht="15" customHeight="1"/>
    <row r="1030879" s="74" customFormat="1" ht="15" customHeight="1"/>
    <row r="1030880" s="74" customFormat="1" ht="15" customHeight="1"/>
    <row r="1030881" s="74" customFormat="1" ht="15" customHeight="1"/>
    <row r="1030882" s="74" customFormat="1" ht="15" customHeight="1"/>
    <row r="1030883" s="74" customFormat="1" ht="15" customHeight="1"/>
    <row r="1030884" s="74" customFormat="1" ht="15" customHeight="1"/>
    <row r="1030885" s="74" customFormat="1" ht="15" customHeight="1"/>
    <row r="1030886" s="74" customFormat="1" ht="15" customHeight="1"/>
    <row r="1030887" s="74" customFormat="1" ht="15" customHeight="1"/>
    <row r="1030888" s="74" customFormat="1" ht="15" customHeight="1"/>
    <row r="1030889" s="74" customFormat="1" ht="15" customHeight="1"/>
    <row r="1030890" s="74" customFormat="1" ht="15" customHeight="1"/>
    <row r="1030891" s="74" customFormat="1" ht="15" customHeight="1"/>
    <row r="1030892" s="74" customFormat="1" ht="15" customHeight="1"/>
    <row r="1030893" s="74" customFormat="1" ht="15" customHeight="1"/>
    <row r="1030894" s="74" customFormat="1" ht="15" customHeight="1"/>
    <row r="1030895" s="74" customFormat="1" ht="15" customHeight="1"/>
    <row r="1030896" s="74" customFormat="1" ht="15" customHeight="1"/>
    <row r="1030897" s="74" customFormat="1" ht="15" customHeight="1"/>
    <row r="1030898" s="74" customFormat="1" ht="15" customHeight="1"/>
    <row r="1030899" s="74" customFormat="1" ht="15" customHeight="1"/>
    <row r="1030900" s="74" customFormat="1" ht="15" customHeight="1"/>
    <row r="1030901" s="74" customFormat="1" ht="15" customHeight="1"/>
    <row r="1030902" s="74" customFormat="1" ht="15" customHeight="1"/>
    <row r="1030903" s="74" customFormat="1" ht="15" customHeight="1"/>
    <row r="1030904" s="74" customFormat="1" ht="15" customHeight="1"/>
    <row r="1030905" s="74" customFormat="1" ht="15" customHeight="1"/>
    <row r="1030906" s="74" customFormat="1" ht="15" customHeight="1"/>
    <row r="1030907" s="74" customFormat="1" ht="15" customHeight="1"/>
    <row r="1030908" s="74" customFormat="1" ht="15" customHeight="1"/>
    <row r="1030909" s="74" customFormat="1" ht="15" customHeight="1"/>
    <row r="1030910" s="74" customFormat="1" ht="15" customHeight="1"/>
    <row r="1030911" s="74" customFormat="1" ht="15" customHeight="1"/>
    <row r="1030912" s="74" customFormat="1" ht="15" customHeight="1"/>
    <row r="1030913" s="74" customFormat="1" ht="15" customHeight="1"/>
    <row r="1030914" s="74" customFormat="1" ht="15" customHeight="1"/>
    <row r="1030915" s="74" customFormat="1" ht="15" customHeight="1"/>
    <row r="1030916" s="74" customFormat="1" ht="15" customHeight="1"/>
    <row r="1030917" s="74" customFormat="1" ht="15" customHeight="1"/>
    <row r="1030918" s="74" customFormat="1" ht="15" customHeight="1"/>
    <row r="1030919" s="74" customFormat="1" ht="15" customHeight="1"/>
    <row r="1030920" s="74" customFormat="1" ht="15" customHeight="1"/>
    <row r="1030921" s="74" customFormat="1" ht="15" customHeight="1"/>
    <row r="1030922" s="74" customFormat="1" ht="15" customHeight="1"/>
    <row r="1030923" s="74" customFormat="1" ht="15" customHeight="1"/>
    <row r="1030924" s="74" customFormat="1" ht="15" customHeight="1"/>
    <row r="1030925" s="74" customFormat="1" ht="15" customHeight="1"/>
    <row r="1030926" s="74" customFormat="1" ht="15" customHeight="1"/>
    <row r="1030927" s="74" customFormat="1" ht="15" customHeight="1"/>
    <row r="1030928" s="74" customFormat="1" ht="15" customHeight="1"/>
    <row r="1030929" s="74" customFormat="1" ht="15" customHeight="1"/>
    <row r="1030930" s="74" customFormat="1" ht="15" customHeight="1"/>
    <row r="1030931" s="74" customFormat="1" ht="15" customHeight="1"/>
    <row r="1030932" s="74" customFormat="1" ht="15" customHeight="1"/>
    <row r="1030933" s="74" customFormat="1" ht="15" customHeight="1"/>
    <row r="1030934" s="74" customFormat="1" ht="15" customHeight="1"/>
    <row r="1030935" s="74" customFormat="1" ht="15" customHeight="1"/>
    <row r="1030936" s="74" customFormat="1" ht="15" customHeight="1"/>
    <row r="1030937" s="74" customFormat="1" ht="15" customHeight="1"/>
    <row r="1030938" s="74" customFormat="1" ht="15" customHeight="1"/>
    <row r="1030939" s="74" customFormat="1" ht="15" customHeight="1"/>
    <row r="1030940" s="74" customFormat="1" ht="15" customHeight="1"/>
    <row r="1030941" s="74" customFormat="1" ht="15" customHeight="1"/>
    <row r="1030942" s="74" customFormat="1" ht="15" customHeight="1"/>
    <row r="1030943" s="74" customFormat="1" ht="15" customHeight="1"/>
    <row r="1030944" s="74" customFormat="1" ht="15" customHeight="1"/>
    <row r="1030945" s="74" customFormat="1" ht="15" customHeight="1"/>
    <row r="1030946" s="74" customFormat="1" ht="15" customHeight="1"/>
    <row r="1030947" s="74" customFormat="1" ht="15" customHeight="1"/>
    <row r="1030948" s="74" customFormat="1" ht="15" customHeight="1"/>
    <row r="1030949" s="74" customFormat="1" ht="15" customHeight="1"/>
    <row r="1030950" s="74" customFormat="1" ht="15" customHeight="1"/>
    <row r="1030951" s="74" customFormat="1" ht="15" customHeight="1"/>
    <row r="1030952" s="74" customFormat="1" ht="15" customHeight="1"/>
    <row r="1030953" s="74" customFormat="1" ht="15" customHeight="1"/>
    <row r="1030954" s="74" customFormat="1" ht="15" customHeight="1"/>
    <row r="1030955" s="74" customFormat="1" ht="15" customHeight="1"/>
    <row r="1030956" s="74" customFormat="1" ht="15" customHeight="1"/>
    <row r="1030957" s="74" customFormat="1" ht="15" customHeight="1"/>
    <row r="1030958" s="74" customFormat="1" ht="15" customHeight="1"/>
    <row r="1030959" s="74" customFormat="1" ht="15" customHeight="1"/>
    <row r="1030960" s="74" customFormat="1" ht="15" customHeight="1"/>
    <row r="1030961" s="74" customFormat="1" ht="15" customHeight="1"/>
    <row r="1030962" s="74" customFormat="1" ht="15" customHeight="1"/>
    <row r="1030963" s="74" customFormat="1" ht="15" customHeight="1"/>
    <row r="1030964" s="74" customFormat="1" ht="15" customHeight="1"/>
    <row r="1030965" s="74" customFormat="1" ht="15" customHeight="1"/>
    <row r="1030966" s="74" customFormat="1" ht="15" customHeight="1"/>
    <row r="1030967" s="74" customFormat="1" ht="15" customHeight="1"/>
    <row r="1030968" s="74" customFormat="1" ht="15" customHeight="1"/>
    <row r="1030969" s="74" customFormat="1" ht="15" customHeight="1"/>
    <row r="1030970" s="74" customFormat="1" ht="15" customHeight="1"/>
    <row r="1030971" s="74" customFormat="1" ht="15" customHeight="1"/>
    <row r="1030972" s="74" customFormat="1" ht="15" customHeight="1"/>
    <row r="1030973" s="74" customFormat="1" ht="15" customHeight="1"/>
    <row r="1030974" s="74" customFormat="1" ht="15" customHeight="1"/>
    <row r="1030975" s="74" customFormat="1" ht="15" customHeight="1"/>
    <row r="1030976" s="74" customFormat="1" ht="15" customHeight="1"/>
    <row r="1030977" s="74" customFormat="1" ht="15" customHeight="1"/>
    <row r="1030978" s="74" customFormat="1" ht="15" customHeight="1"/>
    <row r="1030979" s="74" customFormat="1" ht="15" customHeight="1"/>
    <row r="1030980" s="74" customFormat="1" ht="15" customHeight="1"/>
    <row r="1030981" s="74" customFormat="1" ht="15" customHeight="1"/>
  </sheetData>
  <sheetProtection formatCells="0" insertHyperlinks="0" autoFilter="0"/>
  <autoFilter ref="A1:AE978" xr:uid="{00000000-0009-0000-0000-000000000000}"/>
  <phoneticPr fontId="12" type="noConversion"/>
  <conditionalFormatting sqref="A114 C114 E114:H114 K114 M114:R114">
    <cfRule type="expression" dxfId="241" priority="1117">
      <formula>(#REF!&lt;&gt;"")*(#REF!&lt;&gt;"")</formula>
    </cfRule>
  </conditionalFormatting>
  <conditionalFormatting sqref="A116 K116 M116">
    <cfRule type="expression" dxfId="240" priority="1115">
      <formula>(#REF!&lt;&gt;"")*(A$1&lt;&gt;"")</formula>
    </cfRule>
  </conditionalFormatting>
  <conditionalFormatting sqref="A119 C119 E119:H119 J119:K119">
    <cfRule type="expression" dxfId="239" priority="1110">
      <formula>(#REF!&lt;&gt;"")*(#REF!&lt;&gt;"")</formula>
    </cfRule>
  </conditionalFormatting>
  <conditionalFormatting sqref="A177:A184 C177:C184">
    <cfRule type="expression" dxfId="238" priority="1055">
      <formula>(#REF!&lt;&gt;"")*(#REF!&lt;&gt;"")</formula>
    </cfRule>
  </conditionalFormatting>
  <conditionalFormatting sqref="A186 C186">
    <cfRule type="expression" dxfId="237" priority="1074">
      <formula>(#REF!&lt;&gt;"")*(#REF!&lt;&gt;"")</formula>
    </cfRule>
  </conditionalFormatting>
  <conditionalFormatting sqref="A194 C194">
    <cfRule type="expression" dxfId="236" priority="1063">
      <formula>(#REF!&lt;&gt;"")*(#REF!&lt;&gt;"")</formula>
    </cfRule>
  </conditionalFormatting>
  <conditionalFormatting sqref="A281 C281 E281:G281">
    <cfRule type="expression" dxfId="235" priority="1012">
      <formula>(#REF!&lt;&gt;"")*(#REF!&lt;&gt;"")</formula>
    </cfRule>
  </conditionalFormatting>
  <conditionalFormatting sqref="A667:A675 E667:H675 J667:O675">
    <cfRule type="expression" dxfId="234" priority="533">
      <formula>(#REF!&lt;&gt;"")*(#REF!&lt;&gt;"")</formula>
    </cfRule>
  </conditionalFormatting>
  <conditionalFormatting sqref="A676:A680 C680 E680:G680">
    <cfRule type="expression" dxfId="233" priority="671">
      <formula>(#REF!&lt;&gt;"")*(A$1&lt;&gt;"")</formula>
    </cfRule>
  </conditionalFormatting>
  <conditionalFormatting sqref="A679 C679 R711:R712 Z711:Z776 T727 T728:U728 P730:Q730 A742:A745 Z777:AC780 Z790:Z791 T791 J792:P793 Y792:Z793 Z794:Z797 Y798:Z798 Z799:Z805 Y806:Z807 Z809:Z817 J815:M817 AB824:AC826 Z824:AA836 AB827:AB836 Z837:AB840 Z841:AC842 AB849:AB852">
    <cfRule type="expression" dxfId="232" priority="914">
      <formula>(#REF!&lt;&gt;"")*(#REF!&lt;&gt;"")</formula>
    </cfRule>
  </conditionalFormatting>
  <conditionalFormatting sqref="A727:A728">
    <cfRule type="expression" dxfId="231" priority="857">
      <formula>(#REF!&lt;&gt;"")*(#REF!&lt;&gt;"")</formula>
    </cfRule>
  </conditionalFormatting>
  <conditionalFormatting sqref="A767:A791 C767:C791">
    <cfRule type="expression" dxfId="230" priority="658">
      <formula>(#REF!&lt;&gt;"")*(#REF!&lt;&gt;"")</formula>
    </cfRule>
  </conditionalFormatting>
  <conditionalFormatting sqref="A815:A852">
    <cfRule type="expression" dxfId="229" priority="675">
      <formula>(#REF!&lt;&gt;"")*(#REF!&lt;&gt;"")</formula>
    </cfRule>
  </conditionalFormatting>
  <conditionalFormatting sqref="B853:H978 J853:N978 P853:P978 Y867:AC978">
    <cfRule type="expression" dxfId="228" priority="13">
      <formula>(#REF!&lt;&gt;"")*(#REF!&lt;&gt;"")</formula>
    </cfRule>
  </conditionalFormatting>
  <conditionalFormatting sqref="C727">
    <cfRule type="expression" dxfId="227" priority="858">
      <formula>(#REF!&lt;&gt;"")*(#REF!&lt;&gt;"")</formula>
    </cfRule>
  </conditionalFormatting>
  <conditionalFormatting sqref="C742:C745 E742:G745 R745:R748 P746 A747 C747 P749:R750">
    <cfRule type="expression" dxfId="226" priority="866">
      <formula>(#REF!&lt;&gt;"")*(#REF!&lt;&gt;"")</formula>
    </cfRule>
  </conditionalFormatting>
  <conditionalFormatting sqref="C815:H852">
    <cfRule type="expression" dxfId="225" priority="673">
      <formula>(#REF!&lt;&gt;"")*(#REF!&lt;&gt;"")</formula>
    </cfRule>
  </conditionalFormatting>
  <conditionalFormatting sqref="D792:H814">
    <cfRule type="expression" dxfId="224" priority="1">
      <formula>(#REF!&lt;&gt;"")*(#REF!&lt;&gt;"")</formula>
    </cfRule>
  </conditionalFormatting>
  <conditionalFormatting sqref="E180">
    <cfRule type="expression" dxfId="223" priority="1090">
      <formula>(#REF!&lt;&gt;"")*(#REF!&lt;&gt;"")</formula>
    </cfRule>
  </conditionalFormatting>
  <conditionalFormatting sqref="E676:E680">
    <cfRule type="expression" dxfId="222" priority="670">
      <formula>(#REF!&lt;&gt;"")*(#REF!&lt;&gt;"")</formula>
    </cfRule>
  </conditionalFormatting>
  <conditionalFormatting sqref="E749:E756">
    <cfRule type="expression" dxfId="221" priority="537">
      <formula>(#REF!&lt;&gt;"")*(#REF!&lt;&gt;"")</formula>
    </cfRule>
  </conditionalFormatting>
  <conditionalFormatting sqref="E97:G97 J97:K97 M97:R97">
    <cfRule type="expression" dxfId="220" priority="1146">
      <formula>(#REF!&lt;&gt;"")*(#REF!&lt;&gt;"")</formula>
    </cfRule>
  </conditionalFormatting>
  <conditionalFormatting sqref="E676:G678">
    <cfRule type="expression" dxfId="219" priority="865">
      <formula>(#REF!&lt;&gt;"")*(E$1&lt;&gt;"")</formula>
    </cfRule>
  </conditionalFormatting>
  <conditionalFormatting sqref="E747:G747">
    <cfRule type="expression" dxfId="218" priority="827">
      <formula>(#REF!&lt;&gt;"")*(#REF!&lt;&gt;"")</formula>
    </cfRule>
  </conditionalFormatting>
  <conditionalFormatting sqref="E777:G782">
    <cfRule type="expression" dxfId="217" priority="777">
      <formula>(#REF!&lt;&gt;"")*(#REF!&lt;&gt;"")</formula>
    </cfRule>
  </conditionalFormatting>
  <conditionalFormatting sqref="E783:G786">
    <cfRule type="expression" dxfId="216" priority="655">
      <formula>(#REF!&lt;&gt;"")*(E$1&lt;&gt;"")</formula>
    </cfRule>
  </conditionalFormatting>
  <conditionalFormatting sqref="E790:G791">
    <cfRule type="expression" dxfId="215" priority="781">
      <formula>(#REF!&lt;&gt;"")*(#REF!&lt;&gt;"")</formula>
    </cfRule>
  </conditionalFormatting>
  <conditionalFormatting sqref="E116:H116 O116:Q116">
    <cfRule type="expression" dxfId="214" priority="1114">
      <formula>(#REF!&lt;&gt;"")*(E$1&lt;&gt;"")</formula>
    </cfRule>
  </conditionalFormatting>
  <conditionalFormatting sqref="E727:H728">
    <cfRule type="expression" dxfId="213" priority="838">
      <formula>(#REF!&lt;&gt;"")*(#REF!&lt;&gt;"")</formula>
    </cfRule>
  </conditionalFormatting>
  <conditionalFormatting sqref="E767:H776">
    <cfRule type="expression" dxfId="212" priority="663">
      <formula>(#REF!&lt;&gt;"")*(#REF!&lt;&gt;"")</formula>
    </cfRule>
  </conditionalFormatting>
  <conditionalFormatting sqref="E787:H788">
    <cfRule type="expression" dxfId="211" priority="745">
      <formula>(#REF!&lt;&gt;"")*(E$1&lt;&gt;"")</formula>
    </cfRule>
  </conditionalFormatting>
  <conditionalFormatting sqref="F93:F94">
    <cfRule type="expression" dxfId="210" priority="1065">
      <formula>(#REF!&lt;&gt;"")*(#REF!&lt;&gt;"")</formula>
    </cfRule>
  </conditionalFormatting>
  <conditionalFormatting sqref="F186 K186:L186">
    <cfRule type="expression" dxfId="209" priority="1072">
      <formula>(#REF!&lt;&gt;"")*(G$1&lt;&gt;"")</formula>
    </cfRule>
  </conditionalFormatting>
  <conditionalFormatting sqref="F194 K194:L194 N194">
    <cfRule type="expression" dxfId="208" priority="1061">
      <formula>(#REF!&lt;&gt;"")*(G$1&lt;&gt;"")</formula>
    </cfRule>
  </conditionalFormatting>
  <conditionalFormatting sqref="F678:G680">
    <cfRule type="expression" dxfId="207" priority="669">
      <formula>(#REF!&lt;&gt;"")*(#REF!&lt;&gt;"")</formula>
    </cfRule>
  </conditionalFormatting>
  <conditionalFormatting sqref="H97:H103 M98">
    <cfRule type="expression" dxfId="206" priority="1145">
      <formula>(#REF!&lt;&gt;"")*(#REF!&lt;&gt;"")</formula>
    </cfRule>
  </conditionalFormatting>
  <conditionalFormatting sqref="H274:H275">
    <cfRule type="expression" dxfId="205" priority="1020">
      <formula>(#REF!&lt;&gt;"")*(#REF!&lt;&gt;"")</formula>
    </cfRule>
  </conditionalFormatting>
  <conditionalFormatting sqref="H283">
    <cfRule type="expression" dxfId="204" priority="1007">
      <formula>(#REF!&lt;&gt;"")*(#REF!&lt;&gt;"")</formula>
    </cfRule>
  </conditionalFormatting>
  <conditionalFormatting sqref="H297">
    <cfRule type="expression" dxfId="203" priority="996">
      <formula>(#REF!&lt;&gt;"")*(#REF!&lt;&gt;"")</formula>
    </cfRule>
  </conditionalFormatting>
  <conditionalFormatting sqref="H676:H680">
    <cfRule type="expression" dxfId="202" priority="862">
      <formula>(#REF!&lt;&gt;"")*(#REF!&lt;&gt;"")</formula>
    </cfRule>
    <cfRule type="expression" dxfId="201" priority="863">
      <formula>(#REF!&lt;&gt;"")*(H$1&lt;&gt;"")</formula>
    </cfRule>
  </conditionalFormatting>
  <conditionalFormatting sqref="H749:H756">
    <cfRule type="expression" dxfId="200" priority="534">
      <formula>(#REF!&lt;&gt;"")*(#REF!&lt;&gt;"")</formula>
    </cfRule>
  </conditionalFormatting>
  <conditionalFormatting sqref="H789:H791">
    <cfRule type="expression" dxfId="199" priority="718">
      <formula>(#REF!&lt;&gt;"")*(H$1&lt;&gt;"")</formula>
    </cfRule>
  </conditionalFormatting>
  <conditionalFormatting sqref="J2:J19 P24:Q24 J76:J77 J143 J147 J153 J167">
    <cfRule type="expression" dxfId="198" priority="1156">
      <formula>(#REF!&lt;&gt;"")*(J$1&lt;&gt;"")</formula>
    </cfRule>
  </conditionalFormatting>
  <conditionalFormatting sqref="J6">
    <cfRule type="expression" dxfId="197" priority="1041">
      <formula>(#REF!&lt;&gt;"")*(J$1&lt;&gt;"")</formula>
    </cfRule>
  </conditionalFormatting>
  <conditionalFormatting sqref="J82:J86">
    <cfRule type="expression" dxfId="196" priority="1067">
      <formula>(#REF!&lt;&gt;"")*(J$1&lt;&gt;"")</formula>
    </cfRule>
  </conditionalFormatting>
  <conditionalFormatting sqref="J210:J215">
    <cfRule type="expression" dxfId="195" priority="1048">
      <formula>(#REF!&lt;&gt;"")*(J$1&lt;&gt;"")</formula>
    </cfRule>
  </conditionalFormatting>
  <conditionalFormatting sqref="J282">
    <cfRule type="expression" dxfId="194" priority="1010">
      <formula>(#REF!&lt;&gt;"")*(#REF!&lt;&gt;"")</formula>
    </cfRule>
  </conditionalFormatting>
  <conditionalFormatting sqref="J286:J288">
    <cfRule type="expression" dxfId="193" priority="1003">
      <formula>(#REF!&lt;&gt;"")*(#REF!&lt;&gt;"")</formula>
    </cfRule>
  </conditionalFormatting>
  <conditionalFormatting sqref="J292:J293">
    <cfRule type="expression" dxfId="192" priority="999">
      <formula>(#REF!&lt;&gt;"")*(#REF!&lt;&gt;"")</formula>
    </cfRule>
  </conditionalFormatting>
  <conditionalFormatting sqref="J519:J526">
    <cfRule type="expression" dxfId="191" priority="982">
      <formula>(#REF!&lt;&gt;"")*(J$1&lt;&gt;"")</formula>
    </cfRule>
  </conditionalFormatting>
  <conditionalFormatting sqref="J528:J531">
    <cfRule type="expression" dxfId="190" priority="973">
      <formula>(#REF!&lt;&gt;"")*(J$1&lt;&gt;"")</formula>
    </cfRule>
  </conditionalFormatting>
  <conditionalFormatting sqref="J535:J536 J548 J554 O555:P555 P557 J558:J560 P567">
    <cfRule type="expression" dxfId="189" priority="971">
      <formula>(#REF!&lt;&gt;"")*(J$1&lt;&gt;"")</formula>
    </cfRule>
  </conditionalFormatting>
  <conditionalFormatting sqref="J538:J540">
    <cfRule type="expression" dxfId="188" priority="963">
      <formula>(#REF!&lt;&gt;"")*(J$6&lt;&gt;"")</formula>
    </cfRule>
  </conditionalFormatting>
  <conditionalFormatting sqref="J553">
    <cfRule type="expression" dxfId="187" priority="967">
      <formula>(#REF!&lt;&gt;"")*(J$6&lt;&gt;"")</formula>
    </cfRule>
  </conditionalFormatting>
  <conditionalFormatting sqref="J566">
    <cfRule type="expression" dxfId="186" priority="950">
      <formula>(#REF!&lt;&gt;"")*(J$6&lt;&gt;"")</formula>
    </cfRule>
  </conditionalFormatting>
  <conditionalFormatting sqref="J580:J666">
    <cfRule type="expression" dxfId="185" priority="920">
      <formula>(#REF!&lt;&gt;"")*(J$1&lt;&gt;"")</formula>
    </cfRule>
  </conditionalFormatting>
  <conditionalFormatting sqref="J690:J691">
    <cfRule type="expression" dxfId="184" priority="855">
      <formula>(#REF!&lt;&gt;"")*(J$1&lt;&gt;"")</formula>
    </cfRule>
  </conditionalFormatting>
  <conditionalFormatting sqref="J741">
    <cfRule type="expression" dxfId="183" priority="836">
      <formula>(#REF!&lt;&gt;"")*(#REF!&lt;&gt;"")</formula>
    </cfRule>
  </conditionalFormatting>
  <conditionalFormatting sqref="J749:J750">
    <cfRule type="expression" dxfId="182" priority="720">
      <formula>(#REF!&lt;&gt;"")*(#REF!&lt;&gt;"")</formula>
    </cfRule>
  </conditionalFormatting>
  <conditionalFormatting sqref="J788:J789">
    <cfRule type="expression" dxfId="181" priority="733">
      <formula>(#REF!&lt;&gt;"")*(#REF!&lt;&gt;"")</formula>
    </cfRule>
  </conditionalFormatting>
  <conditionalFormatting sqref="J794:J814">
    <cfRule type="expression" dxfId="180" priority="11">
      <formula>(#REF!&lt;&gt;"")*(#REF!&lt;&gt;"")</formula>
    </cfRule>
  </conditionalFormatting>
  <conditionalFormatting sqref="J177:L177">
    <cfRule type="expression" dxfId="179" priority="1102">
      <formula>(#REF!&lt;&gt;"")*(K$1&lt;&gt;"")</formula>
    </cfRule>
  </conditionalFormatting>
  <conditionalFormatting sqref="J679:L680">
    <cfRule type="expression" dxfId="178" priority="880">
      <formula>(#REF!&lt;&gt;"")*(#REF!&lt;&gt;"")</formula>
    </cfRule>
  </conditionalFormatting>
  <conditionalFormatting sqref="J745:L745">
    <cfRule type="expression" dxfId="177" priority="731">
      <formula>(#REF!&lt;&gt;"")*(#REF!&lt;&gt;"")</formula>
    </cfRule>
  </conditionalFormatting>
  <conditionalFormatting sqref="J783:M787 O783:O787">
    <cfRule type="expression" dxfId="176" priority="660">
      <formula>(#REF!&lt;&gt;"")*(J$1&lt;&gt;"")</formula>
    </cfRule>
  </conditionalFormatting>
  <conditionalFormatting sqref="J747:O747">
    <cfRule type="expression" dxfId="175" priority="823">
      <formula>(#REF!&lt;&gt;"")*(#REF!&lt;&gt;"")</formula>
    </cfRule>
  </conditionalFormatting>
  <conditionalFormatting sqref="J818:O852">
    <cfRule type="expression" dxfId="174" priority="672">
      <formula>(#REF!&lt;&gt;"")*(#REF!&lt;&gt;"")</formula>
    </cfRule>
  </conditionalFormatting>
  <conditionalFormatting sqref="J276:P278">
    <cfRule type="expression" dxfId="173" priority="1021">
      <formula>(#REF!&lt;&gt;"")*(#REF!&lt;&gt;"")</formula>
    </cfRule>
  </conditionalFormatting>
  <conditionalFormatting sqref="J281:P281">
    <cfRule type="expression" dxfId="172" priority="1011">
      <formula>(#REF!&lt;&gt;"")*(#REF!&lt;&gt;"")</formula>
    </cfRule>
  </conditionalFormatting>
  <conditionalFormatting sqref="J676:P677 C678 J678:O680 F679:G679">
    <cfRule type="expression" dxfId="171" priority="918">
      <formula>(#REF!&lt;&gt;"")*(C$1&lt;&gt;"")</formula>
    </cfRule>
  </conditionalFormatting>
  <conditionalFormatting sqref="J728:Q728">
    <cfRule type="expression" dxfId="170" priority="840">
      <formula>(#REF!&lt;&gt;"")*(#REF!&lt;&gt;"")</formula>
    </cfRule>
  </conditionalFormatting>
  <conditionalFormatting sqref="J790:Q791">
    <cfRule type="expression" dxfId="169" priority="780">
      <formula>(#REF!&lt;&gt;"")*(#REF!&lt;&gt;"")</formula>
    </cfRule>
  </conditionalFormatting>
  <conditionalFormatting sqref="J727:R727">
    <cfRule type="expression" dxfId="168" priority="844">
      <formula>(#REF!&lt;&gt;"")*(#REF!&lt;&gt;"")</formula>
    </cfRule>
  </conditionalFormatting>
  <conditionalFormatting sqref="J742:R744">
    <cfRule type="expression" dxfId="167" priority="824">
      <formula>(#REF!&lt;&gt;"")*(#REF!&lt;&gt;"")</formula>
    </cfRule>
  </conditionalFormatting>
  <conditionalFormatting sqref="J767:R782">
    <cfRule type="expression" dxfId="166" priority="775">
      <formula>(#REF!&lt;&gt;"")*(#REF!&lt;&gt;"")</formula>
    </cfRule>
  </conditionalFormatting>
  <conditionalFormatting sqref="K99:K101 A99:A103 E99:G103">
    <cfRule type="expression" dxfId="165" priority="1137">
      <formula>($A99&lt;&gt;"")*(#REF!&lt;&gt;"")</formula>
    </cfRule>
  </conditionalFormatting>
  <conditionalFormatting sqref="K103">
    <cfRule type="expression" dxfId="164" priority="1123">
      <formula>(#REF!&lt;&gt;"")*(#REF!&lt;&gt;"")</formula>
    </cfRule>
  </conditionalFormatting>
  <conditionalFormatting sqref="K276 A276:A278 C276:C278 E276:G278">
    <cfRule type="expression" dxfId="163" priority="1024">
      <formula>(#REF!&lt;&gt;"")*(#REF!&lt;&gt;"")</formula>
    </cfRule>
  </conditionalFormatting>
  <conditionalFormatting sqref="K678:L678">
    <cfRule type="expression" dxfId="162" priority="871">
      <formula>(#REF!&lt;&gt;"")*(#REF!&lt;&gt;"")</formula>
    </cfRule>
  </conditionalFormatting>
  <conditionalFormatting sqref="K794:L805">
    <cfRule type="expression" dxfId="161" priority="552">
      <formula>(#REF!&lt;&gt;"")*(#REF!&lt;&gt;"")</formula>
    </cfRule>
  </conditionalFormatting>
  <conditionalFormatting sqref="K809:L814">
    <cfRule type="expression" dxfId="160" priority="595">
      <formula>(#REF!&lt;&gt;"")*(#REF!&lt;&gt;"")</formula>
    </cfRule>
  </conditionalFormatting>
  <conditionalFormatting sqref="K297:M297">
    <cfRule type="expression" dxfId="159" priority="992">
      <formula>(#REF!&lt;&gt;"")*(#REF!&lt;&gt;"")</formula>
    </cfRule>
  </conditionalFormatting>
  <conditionalFormatting sqref="K788:M789 O788:P789 E789:G789">
    <cfRule type="expression" dxfId="158" priority="737">
      <formula>(#REF!&lt;&gt;"")*(E$1&lt;&gt;"")</formula>
    </cfRule>
  </conditionalFormatting>
  <conditionalFormatting sqref="K806:N808">
    <cfRule type="expression" dxfId="157" priority="10">
      <formula>(#REF!&lt;&gt;"")*(#REF!&lt;&gt;"")</formula>
    </cfRule>
  </conditionalFormatting>
  <conditionalFormatting sqref="L294:L295">
    <cfRule type="expression" dxfId="156" priority="997">
      <formula>(#REF!&lt;&gt;"")*(#REF!&lt;&gt;"")</formula>
    </cfRule>
  </conditionalFormatting>
  <conditionalFormatting sqref="M2:M19 M87 M96 A97 C97 Z97:AC98 Z114:AC114 M140:M176 H180:H183">
    <cfRule type="expression" dxfId="155" priority="1157">
      <formula>(#REF!&lt;&gt;"")*(#REF!&lt;&gt;"")</formula>
    </cfRule>
  </conditionalFormatting>
  <conditionalFormatting sqref="M6">
    <cfRule type="expression" dxfId="154" priority="1042">
      <formula>(#REF!&lt;&gt;"")*(#REF!&lt;&gt;"")</formula>
    </cfRule>
  </conditionalFormatting>
  <conditionalFormatting sqref="M90:M91 T97 T114">
    <cfRule type="expression" dxfId="153" priority="1153">
      <formula>(#REF!&lt;&gt;"")*(#REF!&lt;&gt;"")</formula>
    </cfRule>
  </conditionalFormatting>
  <conditionalFormatting sqref="M114:M115">
    <cfRule type="expression" dxfId="152" priority="1113">
      <formula>(#REF!&lt;&gt;"")*(#REF!&lt;&gt;"")</formula>
    </cfRule>
  </conditionalFormatting>
  <conditionalFormatting sqref="M117:M119">
    <cfRule type="expression" dxfId="151" priority="1109">
      <formula>(#REF!&lt;&gt;"")*(#REF!&lt;&gt;"")</formula>
    </cfRule>
  </conditionalFormatting>
  <conditionalFormatting sqref="M193">
    <cfRule type="expression" dxfId="150" priority="1064">
      <formula>(#REF!&lt;&gt;"")*(#REF!&lt;&gt;"")</formula>
    </cfRule>
  </conditionalFormatting>
  <conditionalFormatting sqref="M196">
    <cfRule type="expression" dxfId="149" priority="1057">
      <formula>(#REF!&lt;&gt;"")*(#REF!&lt;&gt;"")</formula>
    </cfRule>
  </conditionalFormatting>
  <conditionalFormatting sqref="M198">
    <cfRule type="expression" dxfId="148" priority="1056">
      <formula>(#REF!&lt;&gt;"")*(#REF!&lt;&gt;"")</formula>
    </cfRule>
  </conditionalFormatting>
  <conditionalFormatting sqref="M204:M215">
    <cfRule type="expression" dxfId="147" priority="1043">
      <formula>(#REF!&lt;&gt;"")*(#REF!&lt;&gt;"")</formula>
    </cfRule>
  </conditionalFormatting>
  <conditionalFormatting sqref="M274:M275">
    <cfRule type="expression" dxfId="146" priority="1019">
      <formula>(#REF!&lt;&gt;"")*(#REF!&lt;&gt;"")</formula>
    </cfRule>
  </conditionalFormatting>
  <conditionalFormatting sqref="M279:M280">
    <cfRule type="expression" dxfId="145" priority="1017">
      <formula>(#REF!&lt;&gt;"")*(#REF!&lt;&gt;"")</formula>
    </cfRule>
  </conditionalFormatting>
  <conditionalFormatting sqref="M283 P283">
    <cfRule type="expression" dxfId="144" priority="1006">
      <formula>(#REF!&lt;&gt;"")*(#REF!&lt;&gt;"")</formula>
    </cfRule>
  </conditionalFormatting>
  <conditionalFormatting sqref="M519:M531">
    <cfRule type="expression" dxfId="143" priority="974">
      <formula>(#REF!&lt;&gt;"")*(#REF!&lt;&gt;"")</formula>
    </cfRule>
  </conditionalFormatting>
  <conditionalFormatting sqref="M535:M536">
    <cfRule type="expression" dxfId="142" priority="969">
      <formula>(#REF!&lt;&gt;"")*(#REF!&lt;&gt;"")</formula>
    </cfRule>
  </conditionalFormatting>
  <conditionalFormatting sqref="M538:M540">
    <cfRule type="expression" dxfId="141" priority="964">
      <formula>(#REF!&lt;&gt;"")*(#REF!&lt;&gt;"")</formula>
    </cfRule>
  </conditionalFormatting>
  <conditionalFormatting sqref="M548">
    <cfRule type="expression" dxfId="140" priority="959">
      <formula>(#REF!&lt;&gt;"")*(#REF!&lt;&gt;"")</formula>
    </cfRule>
  </conditionalFormatting>
  <conditionalFormatting sqref="M553">
    <cfRule type="expression" dxfId="139" priority="968">
      <formula>(#REF!&lt;&gt;"")*(#REF!&lt;&gt;"")</formula>
    </cfRule>
  </conditionalFormatting>
  <conditionalFormatting sqref="M554">
    <cfRule type="expression" dxfId="138" priority="956">
      <formula>(#REF!&lt;&gt;"")*(#REF!&lt;&gt;"")</formula>
    </cfRule>
  </conditionalFormatting>
  <conditionalFormatting sqref="M558:M559">
    <cfRule type="expression" dxfId="137" priority="954">
      <formula>(#REF!&lt;&gt;"")*(#REF!&lt;&gt;"")</formula>
    </cfRule>
  </conditionalFormatting>
  <conditionalFormatting sqref="M566">
    <cfRule type="expression" dxfId="136" priority="951">
      <formula>(#REF!&lt;&gt;"")*(#REF!&lt;&gt;"")</formula>
    </cfRule>
  </conditionalFormatting>
  <conditionalFormatting sqref="M580:M666">
    <cfRule type="expression" dxfId="135" priority="922">
      <formula>(#REF!&lt;&gt;"")*(#REF!&lt;&gt;"")</formula>
    </cfRule>
  </conditionalFormatting>
  <conditionalFormatting sqref="M673:M680">
    <cfRule type="expression" dxfId="134" priority="531">
      <formula>(#REF!&lt;&gt;"")*(#REF!&lt;&gt;"")</formula>
    </cfRule>
  </conditionalFormatting>
  <conditionalFormatting sqref="M713:M726">
    <cfRule type="expression" dxfId="133" priority="846">
      <formula>(#REF!&lt;&gt;"")*(#REF!&lt;&gt;"")</formula>
    </cfRule>
  </conditionalFormatting>
  <conditionalFormatting sqref="M728:M741">
    <cfRule type="expression" dxfId="132" priority="818">
      <formula>(#REF!&lt;&gt;"")*(#REF!&lt;&gt;"")</formula>
    </cfRule>
  </conditionalFormatting>
  <conditionalFormatting sqref="M745:M746">
    <cfRule type="expression" dxfId="131" priority="730">
      <formula>(#REF!&lt;&gt;"")*(#REF!&lt;&gt;"")</formula>
    </cfRule>
  </conditionalFormatting>
  <conditionalFormatting sqref="M748:M757">
    <cfRule type="expression" dxfId="130" priority="541">
      <formula>(#REF!&lt;&gt;"")*(#REF!&lt;&gt;"")</formula>
    </cfRule>
  </conditionalFormatting>
  <conditionalFormatting sqref="M794:M814">
    <cfRule type="expression" dxfId="129" priority="9">
      <formula>(#REF!&lt;&gt;"")*(#REF!&lt;&gt;"")</formula>
    </cfRule>
  </conditionalFormatting>
  <conditionalFormatting sqref="M276:O276">
    <cfRule type="expression" dxfId="128" priority="1027">
      <formula>(#REF!&lt;&gt;"")*(#REF!&lt;&gt;"")</formula>
    </cfRule>
  </conditionalFormatting>
  <conditionalFormatting sqref="M99:R101">
    <cfRule type="expression" dxfId="127" priority="1131">
      <formula>($A99&lt;&gt;"")*(#REF!&lt;&gt;"")</formula>
    </cfRule>
  </conditionalFormatting>
  <conditionalFormatting sqref="N186">
    <cfRule type="expression" dxfId="126" priority="1068">
      <formula>(#REF!&lt;&gt;"")*(O$1&lt;&gt;"")</formula>
    </cfRule>
  </conditionalFormatting>
  <conditionalFormatting sqref="N678:N680">
    <cfRule type="expression" dxfId="125" priority="873">
      <formula>(#REF!&lt;&gt;"")*(#REF!&lt;&gt;"")</formula>
    </cfRule>
  </conditionalFormatting>
  <conditionalFormatting sqref="N783:N789">
    <cfRule type="expression" dxfId="124" priority="659">
      <formula>(#REF!&lt;&gt;"")*(N$1&lt;&gt;"")</formula>
    </cfRule>
  </conditionalFormatting>
  <conditionalFormatting sqref="N794:O817">
    <cfRule type="expression" dxfId="123" priority="3">
      <formula>(#REF!&lt;&gt;"")*(#REF!&lt;&gt;"")</formula>
    </cfRule>
  </conditionalFormatting>
  <conditionalFormatting sqref="N119:Q119">
    <cfRule type="expression" dxfId="122" priority="1107">
      <formula>(#REF!&lt;&gt;"")*(#REF!&lt;&gt;"")</formula>
    </cfRule>
  </conditionalFormatting>
  <conditionalFormatting sqref="N745:Q745">
    <cfRule type="expression" dxfId="121" priority="729">
      <formula>(#REF!&lt;&gt;"")*(#REF!&lt;&gt;"")</formula>
    </cfRule>
  </conditionalFormatting>
  <conditionalFormatting sqref="O669">
    <cfRule type="expression" dxfId="120" priority="904">
      <formula>(#REF!&lt;&gt;"")*(#REF!&lt;&gt;"")</formula>
    </cfRule>
  </conditionalFormatting>
  <conditionalFormatting sqref="O679:O680">
    <cfRule type="expression" dxfId="119" priority="881">
      <formula>(#REF!&lt;&gt;"")*(#REF!&lt;&gt;"")</formula>
    </cfRule>
  </conditionalFormatting>
  <conditionalFormatting sqref="O706">
    <cfRule type="expression" dxfId="118" priority="850">
      <formula>(#REF!&lt;&gt;"")*(O$1&lt;&gt;"")</formula>
    </cfRule>
  </conditionalFormatting>
  <conditionalFormatting sqref="O733:O734">
    <cfRule type="expression" dxfId="117" priority="842">
      <formula>(#REF!&lt;&gt;"")*(#REF!&lt;&gt;"")</formula>
    </cfRule>
  </conditionalFormatting>
  <conditionalFormatting sqref="O739:O740">
    <cfRule type="expression" dxfId="116" priority="819">
      <formula>(#REF!&lt;&gt;"")*(#REF!&lt;&gt;"")</formula>
    </cfRule>
  </conditionalFormatting>
  <conditionalFormatting sqref="O794:O852">
    <cfRule type="expression" dxfId="115" priority="4">
      <formula>(#REF!&lt;&gt;"")*(#REF!&lt;&gt;"")</formula>
    </cfRule>
  </conditionalFormatting>
  <conditionalFormatting sqref="P102:P103">
    <cfRule type="expression" dxfId="114" priority="1122">
      <formula>($A102&lt;&gt;"")*(#REF!&lt;&gt;"")</formula>
    </cfRule>
  </conditionalFormatting>
  <conditionalFormatting sqref="P177:P179 F177:F184 N177:N184 K178:L184">
    <cfRule type="expression" dxfId="113" priority="1053">
      <formula>(#REF!&lt;&gt;"")*(G$1&lt;&gt;"")</formula>
    </cfRule>
  </conditionalFormatting>
  <conditionalFormatting sqref="P180">
    <cfRule type="expression" dxfId="112" priority="1088">
      <formula>(#REF!&lt;&gt;"")*(#REF!&lt;&gt;"")</formula>
    </cfRule>
    <cfRule type="expression" dxfId="111" priority="1089">
      <formula>(#REF!&lt;&gt;"")*(#REF!&lt;&gt;"")</formula>
    </cfRule>
  </conditionalFormatting>
  <conditionalFormatting sqref="P181:P183">
    <cfRule type="expression" dxfId="110" priority="1082">
      <formula>(#REF!&lt;&gt;"")*(Q$1&lt;&gt;"")</formula>
    </cfRule>
  </conditionalFormatting>
  <conditionalFormatting sqref="P184">
    <cfRule type="expression" dxfId="109" priority="1078">
      <formula>(#REF!&lt;&gt;"")*(#REF!&lt;&gt;"")</formula>
    </cfRule>
    <cfRule type="expression" dxfId="108" priority="1077">
      <formula>(#REF!&lt;&gt;"")*(#REF!&lt;&gt;"")</formula>
    </cfRule>
  </conditionalFormatting>
  <conditionalFormatting sqref="P186">
    <cfRule type="expression" dxfId="107" priority="1070">
      <formula>(#REF!&lt;&gt;"")*(#REF!&lt;&gt;"")</formula>
    </cfRule>
    <cfRule type="expression" dxfId="106" priority="1069">
      <formula>(#REF!&lt;&gt;"")*(#REF!&lt;&gt;"")</formula>
    </cfRule>
  </conditionalFormatting>
  <conditionalFormatting sqref="P194">
    <cfRule type="expression" dxfId="105" priority="1058">
      <formula>(#REF!&lt;&gt;"")*(#REF!&lt;&gt;"")</formula>
    </cfRule>
    <cfRule type="expression" dxfId="104" priority="1059">
      <formula>(#REF!&lt;&gt;"")*(#REF!&lt;&gt;"")</formula>
    </cfRule>
  </conditionalFormatting>
  <conditionalFormatting sqref="P533">
    <cfRule type="expression" dxfId="103" priority="972">
      <formula>(#REF!&lt;&gt;"")*(#REF!&lt;&gt;"")</formula>
    </cfRule>
  </conditionalFormatting>
  <conditionalFormatting sqref="P542">
    <cfRule type="expression" dxfId="102" priority="962">
      <formula>(#REF!&lt;&gt;"")*(#REF!&lt;&gt;"")</formula>
    </cfRule>
  </conditionalFormatting>
  <conditionalFormatting sqref="P543:P544">
    <cfRule type="expression" dxfId="101" priority="960">
      <formula>(#REF!&lt;&gt;"")*(#REF!&lt;&gt;"")</formula>
    </cfRule>
  </conditionalFormatting>
  <conditionalFormatting sqref="P549:P550">
    <cfRule type="expression" dxfId="100" priority="957">
      <formula>(#REF!&lt;&gt;"")*(#REF!&lt;&gt;"")</formula>
    </cfRule>
  </conditionalFormatting>
  <conditionalFormatting sqref="P563:P564">
    <cfRule type="expression" dxfId="99" priority="952">
      <formula>(#REF!&lt;&gt;"")*(#REF!&lt;&gt;"")</formula>
    </cfRule>
  </conditionalFormatting>
  <conditionalFormatting sqref="P571:P573">
    <cfRule type="expression" dxfId="98" priority="949">
      <formula>(#REF!&lt;&gt;"")*(#REF!&lt;&gt;"")</formula>
    </cfRule>
  </conditionalFormatting>
  <conditionalFormatting sqref="P573">
    <cfRule type="expression" dxfId="97" priority="948">
      <formula>(#REF!&lt;&gt;"")*(#REF!&lt;&gt;"")</formula>
    </cfRule>
  </conditionalFormatting>
  <conditionalFormatting sqref="P667:P675">
    <cfRule type="expression" dxfId="96" priority="532">
      <formula>(#REF!&lt;&gt;"")*(#REF!&lt;&gt;"")</formula>
    </cfRule>
  </conditionalFormatting>
  <conditionalFormatting sqref="P676:P680">
    <cfRule type="expression" dxfId="95" priority="919">
      <formula>(#REF!&lt;&gt;"")*(P$1&lt;&gt;"")</formula>
    </cfRule>
  </conditionalFormatting>
  <conditionalFormatting sqref="P678:P680">
    <cfRule type="expression" dxfId="94" priority="872">
      <formula>(#REF!&lt;&gt;"")*(#REF!&lt;&gt;"")</formula>
    </cfRule>
  </conditionalFormatting>
  <conditionalFormatting sqref="P783:P787">
    <cfRule type="expression" dxfId="93" priority="653">
      <formula>(#REF!&lt;&gt;"")*(#REF!&lt;&gt;"")</formula>
    </cfRule>
    <cfRule type="expression" dxfId="92" priority="654">
      <formula>(#REF!&lt;&gt;"")*(#REF!&lt;&gt;"")</formula>
    </cfRule>
  </conditionalFormatting>
  <conditionalFormatting sqref="P794:P814">
    <cfRule type="expression" dxfId="91" priority="6">
      <formula>(#REF!&lt;&gt;"")*(#REF!&lt;&gt;"")</formula>
    </cfRule>
    <cfRule type="expression" dxfId="90" priority="8">
      <formula>(#REF!&lt;&gt;"")*(#REF!&lt;&gt;"")</formula>
    </cfRule>
  </conditionalFormatting>
  <conditionalFormatting sqref="P25:Q25">
    <cfRule type="expression" dxfId="89" priority="1151">
      <formula>(#REF!&lt;&gt;"")*(#REF!&lt;&gt;"")</formula>
    </cfRule>
  </conditionalFormatting>
  <conditionalFormatting sqref="P26:Q29">
    <cfRule type="expression" dxfId="88" priority="1105">
      <formula>(#REF!&lt;&gt;"")*(#REF!&lt;&gt;"")</formula>
    </cfRule>
  </conditionalFormatting>
  <conditionalFormatting sqref="P47:Q47">
    <cfRule type="expression" dxfId="87" priority="1152">
      <formula>(#REF!&lt;&gt;"")*(#REF!&lt;&gt;"")</formula>
    </cfRule>
  </conditionalFormatting>
  <conditionalFormatting sqref="P97:Q98">
    <cfRule type="expression" dxfId="86" priority="1142">
      <formula>(#REF!&lt;&gt;"")*(#REF!&lt;&gt;"")</formula>
    </cfRule>
  </conditionalFormatting>
  <conditionalFormatting sqref="P99:Q101 P102 P103:Q103">
    <cfRule type="expression" dxfId="85" priority="1140">
      <formula>($A99&lt;&gt;"")*(#REF!&lt;&gt;"")</formula>
    </cfRule>
  </conditionalFormatting>
  <conditionalFormatting sqref="P114:Q114">
    <cfRule type="expression" dxfId="84" priority="1154">
      <formula>(#REF!&lt;&gt;"")*(#REF!&lt;&gt;"")</formula>
    </cfRule>
  </conditionalFormatting>
  <conditionalFormatting sqref="P119:Q119">
    <cfRule type="expression" dxfId="83" priority="1111">
      <formula>(#REF!&lt;&gt;"")*(#REF!&lt;&gt;"")</formula>
    </cfRule>
  </conditionalFormatting>
  <conditionalFormatting sqref="P199:Q199">
    <cfRule type="expression" dxfId="82" priority="1051">
      <formula>(#REF!&lt;&gt;"")*(#REF!&lt;&gt;"")</formula>
    </cfRule>
  </conditionalFormatting>
  <conditionalFormatting sqref="P216:Q216">
    <cfRule type="expression" dxfId="81" priority="1047">
      <formula>(#REF!&lt;&gt;"")*(#REF!&lt;&gt;"")</formula>
    </cfRule>
  </conditionalFormatting>
  <conditionalFormatting sqref="P686:Q686">
    <cfRule type="expression" dxfId="80" priority="853">
      <formula>(#REF!&lt;&gt;"")*(#REF!&lt;&gt;"")</formula>
    </cfRule>
  </conditionalFormatting>
  <conditionalFormatting sqref="P727:Q727 Q728:Q729 J729 P730:Q730 J738 Q741 O792:P793">
    <cfRule type="expression" dxfId="79" priority="915">
      <formula>(#REF!&lt;&gt;"")*(#REF!&lt;&gt;"")</formula>
    </cfRule>
  </conditionalFormatting>
  <conditionalFormatting sqref="P742:Q756">
    <cfRule type="expression" dxfId="78" priority="542">
      <formula>(#REF!&lt;&gt;"")*(#REF!&lt;&gt;"")</formula>
    </cfRule>
  </conditionalFormatting>
  <conditionalFormatting sqref="P747:Q748">
    <cfRule type="expression" dxfId="77" priority="821">
      <formula>(#REF!&lt;&gt;"")*(#REF!&lt;&gt;"")</formula>
    </cfRule>
  </conditionalFormatting>
  <conditionalFormatting sqref="P751:Q751">
    <cfRule type="expression" dxfId="76" priority="816">
      <formula>(#REF!&lt;&gt;"")*(#REF!&lt;&gt;"")</formula>
    </cfRule>
  </conditionalFormatting>
  <conditionalFormatting sqref="P766:Q782">
    <cfRule type="expression" dxfId="75" priority="778">
      <formula>(#REF!&lt;&gt;"")*(#REF!&lt;&gt;"")</formula>
    </cfRule>
  </conditionalFormatting>
  <conditionalFormatting sqref="P790:Q791">
    <cfRule type="expression" dxfId="74" priority="782">
      <formula>(#REF!&lt;&gt;"")*(#REF!&lt;&gt;"")</formula>
    </cfRule>
  </conditionalFormatting>
  <conditionalFormatting sqref="P98:R98">
    <cfRule type="expression" dxfId="73" priority="1141">
      <formula>(#REF!&lt;&gt;"")*(#REF!&lt;&gt;"")</formula>
    </cfRule>
  </conditionalFormatting>
  <conditionalFormatting sqref="P752:R756">
    <cfRule type="expression" dxfId="72" priority="536">
      <formula>(#REF!&lt;&gt;"")*(#REF!&lt;&gt;"")</formula>
    </cfRule>
  </conditionalFormatting>
  <conditionalFormatting sqref="Q102">
    <cfRule type="expression" dxfId="71" priority="1127">
      <formula>(#REF!&lt;&gt;"")*(#REF!&lt;&gt;"")</formula>
    </cfRule>
    <cfRule type="expression" dxfId="70" priority="1130">
      <formula>(#REF!&lt;&gt;"")*(#REF!&lt;&gt;"")</formula>
    </cfRule>
  </conditionalFormatting>
  <conditionalFormatting sqref="Q103">
    <cfRule type="expression" dxfId="69" priority="1121">
      <formula>($A103&lt;&gt;"")*(#REF!&lt;&gt;"")</formula>
    </cfRule>
  </conditionalFormatting>
  <conditionalFormatting sqref="Q117:Q119">
    <cfRule type="expression" dxfId="68" priority="1112">
      <formula>(#REF!&lt;&gt;"")*(#REF!&lt;&gt;"")</formula>
    </cfRule>
  </conditionalFormatting>
  <conditionalFormatting sqref="Q177:Q184">
    <cfRule type="expression" dxfId="67" priority="1052">
      <formula>(#REF!&lt;&gt;"")*(R$1&lt;&gt;"")</formula>
    </cfRule>
  </conditionalFormatting>
  <conditionalFormatting sqref="Q186">
    <cfRule type="expression" dxfId="66" priority="1071">
      <formula>(#REF!&lt;&gt;"")*(R$1&lt;&gt;"")</formula>
    </cfRule>
  </conditionalFormatting>
  <conditionalFormatting sqref="Q194">
    <cfRule type="expression" dxfId="65" priority="1060">
      <formula>(#REF!&lt;&gt;"")*(R$1&lt;&gt;"")</formula>
    </cfRule>
  </conditionalFormatting>
  <conditionalFormatting sqref="Q667:Q680">
    <cfRule type="expression" dxfId="64" priority="530">
      <formula>(#REF!&lt;&gt;"")*(#REF!&lt;&gt;"")</formula>
    </cfRule>
    <cfRule type="expression" dxfId="63" priority="529">
      <formula>(#REF!&lt;&gt;"")*(#REF!&lt;&gt;"")</formula>
    </cfRule>
  </conditionalFormatting>
  <conditionalFormatting sqref="Q728:Q729">
    <cfRule type="expression" dxfId="62" priority="839">
      <formula>(#REF!&lt;&gt;"")*(#REF!&lt;&gt;"")</formula>
    </cfRule>
  </conditionalFormatting>
  <conditionalFormatting sqref="Q731:Q741">
    <cfRule type="expression" dxfId="61" priority="742">
      <formula>(#REF!&lt;&gt;"")*(#REF!&lt;&gt;"")</formula>
    </cfRule>
  </conditionalFormatting>
  <conditionalFormatting sqref="Q746:Q748">
    <cfRule type="expression" dxfId="60" priority="820">
      <formula>(#REF!&lt;&gt;"")*(#REF!&lt;&gt;"")</formula>
    </cfRule>
  </conditionalFormatting>
  <conditionalFormatting sqref="Q752:Q756">
    <cfRule type="expression" dxfId="59" priority="539">
      <formula>(#REF!&lt;&gt;"")*(#REF!&lt;&gt;"")</formula>
    </cfRule>
  </conditionalFormatting>
  <conditionalFormatting sqref="Q767:Q791 H777:H786 K783:K789 M783:M789">
    <cfRule type="expression" dxfId="58" priority="656">
      <formula>(#REF!&lt;&gt;"")*(#REF!&lt;&gt;"")</formula>
    </cfRule>
  </conditionalFormatting>
  <conditionalFormatting sqref="Q783:Q789">
    <cfRule type="expression" dxfId="57" priority="657">
      <formula>(#REF!&lt;&gt;"")*(#REF!&lt;&gt;"")</formula>
    </cfRule>
  </conditionalFormatting>
  <conditionalFormatting sqref="Q815:Q852">
    <cfRule type="expression" dxfId="56" priority="684">
      <formula>(#REF!&lt;&gt;"")*(#REF!&lt;&gt;"")</formula>
    </cfRule>
  </conditionalFormatting>
  <conditionalFormatting sqref="R177:R184">
    <cfRule type="expression" dxfId="55" priority="1054">
      <formula>(#REF!&lt;&gt;"")*(#REF!&lt;&gt;"")</formula>
    </cfRule>
  </conditionalFormatting>
  <conditionalFormatting sqref="R186">
    <cfRule type="expression" dxfId="54" priority="1073">
      <formula>(#REF!&lt;&gt;"")*(#REF!&lt;&gt;"")</formula>
    </cfRule>
  </conditionalFormatting>
  <conditionalFormatting sqref="R194">
    <cfRule type="expression" dxfId="53" priority="1062">
      <formula>(#REF!&lt;&gt;"")*(#REF!&lt;&gt;"")</formula>
    </cfRule>
  </conditionalFormatting>
  <conditionalFormatting sqref="R678:R680">
    <cfRule type="expression" dxfId="52" priority="868">
      <formula>(#REF!&lt;&gt;"")*(#REF!&lt;&gt;"")</formula>
    </cfRule>
  </conditionalFormatting>
  <conditionalFormatting sqref="R790:R814">
    <cfRule type="expression" dxfId="51" priority="2">
      <formula>(#REF!&lt;&gt;"")*(#REF!&lt;&gt;"")</formula>
    </cfRule>
  </conditionalFormatting>
  <conditionalFormatting sqref="T99:T101 C99:C102 J99:K103 M99:O103">
    <cfRule type="expression" dxfId="50" priority="1138">
      <formula>($A99&lt;&gt;"")*(#REF!&lt;&gt;"")</formula>
    </cfRule>
  </conditionalFormatting>
  <conditionalFormatting sqref="T102">
    <cfRule type="expression" dxfId="49" priority="1147">
      <formula>(#REF!&lt;&gt;"")*(#REF!&lt;&gt;"")</formula>
    </cfRule>
  </conditionalFormatting>
  <conditionalFormatting sqref="T276:T278">
    <cfRule type="expression" dxfId="48" priority="1025">
      <formula>(#REF!&lt;&gt;"")*(#REF!&lt;&gt;"")</formula>
    </cfRule>
  </conditionalFormatting>
  <conditionalFormatting sqref="T281">
    <cfRule type="expression" dxfId="47" priority="1013">
      <formula>(#REF!&lt;&gt;"")*(#REF!&lt;&gt;"")</formula>
    </cfRule>
  </conditionalFormatting>
  <conditionalFormatting sqref="T667:T680">
    <cfRule type="expression" dxfId="46" priority="869">
      <formula>(#REF!&lt;&gt;"")*(#REF!&lt;&gt;"")</formula>
    </cfRule>
  </conditionalFormatting>
  <conditionalFormatting sqref="T103:U103">
    <cfRule type="expression" dxfId="45" priority="1125">
      <formula>($A103&lt;&gt;"")*(#REF!&lt;&gt;"")</formula>
    </cfRule>
  </conditionalFormatting>
  <conditionalFormatting sqref="U783:U789">
    <cfRule type="expression" dxfId="44" priority="738">
      <formula>(#REF!&lt;&gt;"")*(W$1&lt;&gt;"")</formula>
    </cfRule>
  </conditionalFormatting>
  <conditionalFormatting sqref="Y808">
    <cfRule type="expression" dxfId="43" priority="12">
      <formula>(#REF!&lt;&gt;"")*(#REF!&lt;&gt;"")</formula>
    </cfRule>
  </conditionalFormatting>
  <conditionalFormatting sqref="Y853:AB866">
    <cfRule type="expression" dxfId="42" priority="679">
      <formula>(#REF!&lt;&gt;"")*(#REF!&lt;&gt;"")</formula>
    </cfRule>
  </conditionalFormatting>
  <conditionalFormatting sqref="Z103">
    <cfRule type="expression" dxfId="41" priority="1126">
      <formula>($A103&lt;&gt;"")*(#REF!&lt;&gt;"")</formula>
    </cfRule>
  </conditionalFormatting>
  <conditionalFormatting sqref="Z1030969">
    <cfRule type="expression" dxfId="40" priority="1160">
      <formula>(#REF!&lt;&gt;"")*(AB$1&lt;&gt;"")</formula>
    </cfRule>
  </conditionalFormatting>
  <conditionalFormatting sqref="Z1030970">
    <cfRule type="expression" dxfId="39" priority="1159">
      <formula>(#REF!&lt;&gt;"")*(#REF!&lt;&gt;"")</formula>
    </cfRule>
  </conditionalFormatting>
  <conditionalFormatting sqref="Z1030972:Z1030975">
    <cfRule type="expression" dxfId="38" priority="1158">
      <formula>(#REF!&lt;&gt;"")*(#REF!&lt;&gt;"")</formula>
    </cfRule>
  </conditionalFormatting>
  <conditionalFormatting sqref="Z843:AA852">
    <cfRule type="expression" dxfId="37" priority="680">
      <formula>(#REF!&lt;&gt;"")*(#REF!&lt;&gt;"")</formula>
    </cfRule>
  </conditionalFormatting>
  <conditionalFormatting sqref="Z781:AB782">
    <cfRule type="expression" dxfId="36" priority="773">
      <formula>(#REF!&lt;&gt;"")*(#REF!&lt;&gt;"")</formula>
    </cfRule>
  </conditionalFormatting>
  <conditionalFormatting sqref="Z99:AC100 Z101 AB101:AC101 M103">
    <cfRule type="expression" dxfId="35" priority="1148">
      <formula>($A99&lt;&gt;"")*(#REF!&lt;&gt;"")</formula>
    </cfRule>
  </conditionalFormatting>
  <conditionalFormatting sqref="Z102:AC102">
    <cfRule type="expression" dxfId="34" priority="1155">
      <formula>(#REF!&lt;&gt;"")*(#REF!&lt;&gt;"")</formula>
    </cfRule>
  </conditionalFormatting>
  <conditionalFormatting sqref="Z283:AC283">
    <cfRule type="expression" dxfId="33" priority="1009">
      <formula>(#REF!&lt;&gt;"")*(#REF!&lt;&gt;"")</formula>
    </cfRule>
  </conditionalFormatting>
  <conditionalFormatting sqref="Z818:AC823 AC827:AC840">
    <cfRule type="expression" dxfId="32" priority="682">
      <formula>(#REF!&lt;&gt;"")*(#REF!&lt;&gt;"")</formula>
    </cfRule>
  </conditionalFormatting>
  <conditionalFormatting sqref="AA109">
    <cfRule type="expression" dxfId="31" priority="1040">
      <formula>($A109&lt;&gt;"")*(#REF!&lt;&gt;"")</formula>
    </cfRule>
  </conditionalFormatting>
  <conditionalFormatting sqref="AA113">
    <cfRule type="expression" dxfId="30" priority="1066">
      <formula>(#REF!&lt;&gt;"")*(#REF!&lt;&gt;"")</formula>
    </cfRule>
  </conditionalFormatting>
  <conditionalFormatting sqref="AA122">
    <cfRule type="expression" dxfId="29" priority="1039">
      <formula>($A122&lt;&gt;"")*(#REF!&lt;&gt;"")</formula>
    </cfRule>
  </conditionalFormatting>
  <conditionalFormatting sqref="AA124">
    <cfRule type="expression" dxfId="28" priority="1038">
      <formula>($A124&lt;&gt;"")*(#REF!&lt;&gt;"")</formula>
    </cfRule>
  </conditionalFormatting>
  <conditionalFormatting sqref="AA128">
    <cfRule type="expression" dxfId="27" priority="1037">
      <formula>($A128&lt;&gt;"")*(#REF!&lt;&gt;"")</formula>
    </cfRule>
  </conditionalFormatting>
  <conditionalFormatting sqref="AA143">
    <cfRule type="expression" dxfId="26" priority="1036">
      <formula>($A143&lt;&gt;"")*(#REF!&lt;&gt;"")</formula>
    </cfRule>
  </conditionalFormatting>
  <conditionalFormatting sqref="AA164:AA165">
    <cfRule type="expression" dxfId="25" priority="1034">
      <formula>($A164&lt;&gt;"")*(#REF!&lt;&gt;"")</formula>
    </cfRule>
  </conditionalFormatting>
  <conditionalFormatting sqref="AA167:AA170">
    <cfRule type="expression" dxfId="24" priority="1032">
      <formula>($A167&lt;&gt;"")*(#REF!&lt;&gt;"")</formula>
    </cfRule>
  </conditionalFormatting>
  <conditionalFormatting sqref="AA177 AA181 AA183">
    <cfRule type="expression" dxfId="23" priority="1031">
      <formula>($A177&lt;&gt;"")*(#REF!&lt;&gt;"")</formula>
    </cfRule>
  </conditionalFormatting>
  <conditionalFormatting sqref="AA103:AC103">
    <cfRule type="expression" dxfId="22" priority="1120">
      <formula>(#REF!&lt;&gt;"")*(#REF!&lt;&gt;"")</formula>
    </cfRule>
  </conditionalFormatting>
  <conditionalFormatting sqref="AA727:AC728">
    <cfRule type="expression" dxfId="21" priority="808">
      <formula>(#REF!&lt;&gt;"")*(#REF!&lt;&gt;"")</formula>
    </cfRule>
  </conditionalFormatting>
  <conditionalFormatting sqref="AA730:AC730">
    <cfRule type="expression" dxfId="20" priority="809">
      <formula>(#REF!&lt;&gt;"")*(#REF!&lt;&gt;"")</formula>
    </cfRule>
  </conditionalFormatting>
  <conditionalFormatting sqref="AA742:AC750">
    <cfRule type="expression" dxfId="19" priority="727">
      <formula>(#REF!&lt;&gt;"")*(#REF!&lt;&gt;"")</formula>
    </cfRule>
  </conditionalFormatting>
  <conditionalFormatting sqref="AA752:AC756">
    <cfRule type="expression" dxfId="18" priority="719">
      <formula>(#REF!&lt;&gt;"")*(#REF!&lt;&gt;"")</formula>
    </cfRule>
  </conditionalFormatting>
  <conditionalFormatting sqref="AA767:AC776">
    <cfRule type="expression" dxfId="17" priority="753">
      <formula>(#REF!&lt;&gt;"")*(#REF!&lt;&gt;"")</formula>
    </cfRule>
  </conditionalFormatting>
  <conditionalFormatting sqref="AB784:AB793 AB794:AC807 AB809:AC817">
    <cfRule type="expression" dxfId="16" priority="717">
      <formula>(#REF!&lt;&gt;"")*(#REF!&lt;&gt;"")</formula>
    </cfRule>
  </conditionalFormatting>
  <conditionalFormatting sqref="AB177:AC177">
    <cfRule type="expression" dxfId="15" priority="1100">
      <formula>(#REF!&lt;&gt;"")*(#REF!&lt;&gt;"")</formula>
    </cfRule>
  </conditionalFormatting>
  <conditionalFormatting sqref="AB180:AC184">
    <cfRule type="expression" dxfId="14" priority="1094">
      <formula>(#REF!&lt;&gt;"")*(#REF!&lt;&gt;"")</formula>
    </cfRule>
  </conditionalFormatting>
  <conditionalFormatting sqref="AB843:AC848 AC849:AC866">
    <cfRule type="expression" dxfId="13" priority="681">
      <formula>(#REF!&lt;&gt;"")*(#REF!&lt;&gt;"")</formula>
    </cfRule>
  </conditionalFormatting>
  <conditionalFormatting sqref="AC180:AC184">
    <cfRule type="expression" dxfId="12" priority="1075">
      <formula>(#REF!&lt;&gt;"")*(#REF!&lt;&gt;"")</formula>
    </cfRule>
  </conditionalFormatting>
  <conditionalFormatting sqref="AC781:AC793">
    <cfRule type="expression" dxfId="11" priority="732">
      <formula>(#REF!&lt;&gt;"")*(#REF!&lt;&gt;"")</formula>
    </cfRule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51"/>
  <sheetViews>
    <sheetView workbookViewId="0">
      <pane ySplit="1" topLeftCell="A2" activePane="bottomLeft" state="frozen"/>
      <selection pane="bottomLeft" activeCell="B69" sqref="B69"/>
    </sheetView>
  </sheetViews>
  <sheetFormatPr baseColWidth="10" defaultColWidth="8.1640625" defaultRowHeight="15"/>
  <cols>
    <col min="1" max="1" width="18.1640625" style="69" customWidth="1"/>
    <col min="2" max="2" width="7.5" style="69" customWidth="1"/>
    <col min="3" max="3" width="15.83203125" style="69" customWidth="1"/>
    <col min="4" max="4" width="20.1640625" style="69" customWidth="1"/>
    <col min="5" max="24" width="7.5" style="69" customWidth="1"/>
    <col min="25" max="25" width="13.33203125" style="69" customWidth="1"/>
    <col min="26" max="39" width="7.5" style="69" customWidth="1"/>
    <col min="40" max="16384" width="8.1640625" style="69"/>
  </cols>
  <sheetData>
    <row r="1" spans="1:39">
      <c r="A1" s="70" t="s">
        <v>5350</v>
      </c>
      <c r="B1" s="70" t="s">
        <v>5351</v>
      </c>
      <c r="C1" s="71" t="s">
        <v>5352</v>
      </c>
      <c r="D1" s="71" t="s">
        <v>5353</v>
      </c>
      <c r="E1" s="70" t="s">
        <v>5354</v>
      </c>
      <c r="F1" s="70" t="s">
        <v>5355</v>
      </c>
      <c r="G1" s="70" t="s">
        <v>5356</v>
      </c>
      <c r="H1" s="70" t="s">
        <v>5357</v>
      </c>
      <c r="I1" s="70" t="s">
        <v>5358</v>
      </c>
      <c r="J1" s="70" t="s">
        <v>5359</v>
      </c>
      <c r="K1" s="70" t="s">
        <v>5360</v>
      </c>
      <c r="L1" s="70" t="s">
        <v>5361</v>
      </c>
      <c r="M1" s="70" t="s">
        <v>5362</v>
      </c>
      <c r="N1" s="70" t="s">
        <v>5363</v>
      </c>
      <c r="O1" s="70" t="s">
        <v>5364</v>
      </c>
      <c r="P1" s="70" t="s">
        <v>5365</v>
      </c>
      <c r="Q1" s="70" t="s">
        <v>5366</v>
      </c>
      <c r="R1" s="70" t="s">
        <v>23</v>
      </c>
      <c r="S1" s="70" t="s">
        <v>5367</v>
      </c>
      <c r="T1" s="70" t="s">
        <v>5368</v>
      </c>
      <c r="U1" s="70" t="s">
        <v>5369</v>
      </c>
      <c r="V1" s="70" t="s">
        <v>5370</v>
      </c>
      <c r="W1" s="70" t="s">
        <v>5371</v>
      </c>
      <c r="X1" s="70" t="s">
        <v>5372</v>
      </c>
      <c r="Y1" s="70" t="s">
        <v>5373</v>
      </c>
      <c r="Z1" s="70" t="s">
        <v>5374</v>
      </c>
      <c r="AA1" s="70" t="s">
        <v>5375</v>
      </c>
      <c r="AB1" s="70" t="s">
        <v>5376</v>
      </c>
      <c r="AC1" s="70" t="s">
        <v>5377</v>
      </c>
      <c r="AD1" s="70" t="s">
        <v>5377</v>
      </c>
      <c r="AE1" s="70" t="s">
        <v>5354</v>
      </c>
      <c r="AF1" s="70" t="s">
        <v>5378</v>
      </c>
      <c r="AG1" s="70" t="s">
        <v>5379</v>
      </c>
      <c r="AH1" s="70" t="s">
        <v>5380</v>
      </c>
      <c r="AI1" s="70" t="s">
        <v>5381</v>
      </c>
      <c r="AJ1" s="70" t="s">
        <v>5378</v>
      </c>
      <c r="AK1" s="70" t="s">
        <v>5382</v>
      </c>
      <c r="AL1" s="70" t="s">
        <v>5383</v>
      </c>
      <c r="AM1" s="70" t="s">
        <v>5384</v>
      </c>
    </row>
    <row r="2" spans="1:39">
      <c r="A2" s="69" t="s">
        <v>5385</v>
      </c>
      <c r="B2" s="69" t="s">
        <v>5386</v>
      </c>
      <c r="C2" s="69" t="e">
        <f>VLOOKUP(A2,'202306带宽'!$H$2:$H$978,1,FALSE)</f>
        <v>#N/A</v>
      </c>
      <c r="D2" s="69" t="s">
        <v>5387</v>
      </c>
      <c r="E2" s="69" t="s">
        <v>5388</v>
      </c>
      <c r="F2" s="69" t="s">
        <v>5389</v>
      </c>
      <c r="G2" s="69" t="s">
        <v>5390</v>
      </c>
      <c r="H2" s="69" t="s">
        <v>5391</v>
      </c>
      <c r="I2" s="69" t="s">
        <v>5392</v>
      </c>
      <c r="J2" s="69" t="s">
        <v>1279</v>
      </c>
      <c r="K2" s="69" t="s">
        <v>5393</v>
      </c>
      <c r="L2" s="69" t="s">
        <v>5394</v>
      </c>
      <c r="M2" s="69" t="s">
        <v>5395</v>
      </c>
      <c r="N2" s="69" t="s">
        <v>5396</v>
      </c>
      <c r="O2" s="69" t="s">
        <v>5397</v>
      </c>
      <c r="P2" s="69" t="s">
        <v>5398</v>
      </c>
      <c r="Q2" s="69" t="s">
        <v>5399</v>
      </c>
      <c r="R2" s="69" t="s">
        <v>5400</v>
      </c>
      <c r="S2" s="69" t="s">
        <v>5401</v>
      </c>
      <c r="T2" s="69" t="s">
        <v>5402</v>
      </c>
      <c r="U2" s="69" t="s">
        <v>5401</v>
      </c>
      <c r="V2" s="69" t="s">
        <v>5401</v>
      </c>
      <c r="W2" s="69" t="s">
        <v>5403</v>
      </c>
      <c r="X2" s="69" t="s">
        <v>5404</v>
      </c>
      <c r="Y2" s="69" t="s">
        <v>5405</v>
      </c>
      <c r="Z2" s="69" t="s">
        <v>5406</v>
      </c>
      <c r="AA2" s="69" t="s">
        <v>5401</v>
      </c>
      <c r="AB2" s="69" t="s">
        <v>5401</v>
      </c>
      <c r="AC2" s="69" t="s">
        <v>5407</v>
      </c>
      <c r="AD2" s="69" t="s">
        <v>5407</v>
      </c>
      <c r="AE2" s="69" t="s">
        <v>5406</v>
      </c>
      <c r="AF2" s="69" t="s">
        <v>5401</v>
      </c>
      <c r="AG2" s="69" t="s">
        <v>5408</v>
      </c>
      <c r="AH2" s="69" t="s">
        <v>5406</v>
      </c>
      <c r="AI2" s="69" t="s">
        <v>5406</v>
      </c>
      <c r="AJ2" s="69" t="s">
        <v>5401</v>
      </c>
      <c r="AK2" s="69" t="s">
        <v>5409</v>
      </c>
      <c r="AL2" s="69" t="s">
        <v>5401</v>
      </c>
      <c r="AM2" s="69" t="s">
        <v>5401</v>
      </c>
    </row>
    <row r="3" spans="1:39" hidden="1">
      <c r="A3" s="69" t="s">
        <v>1282</v>
      </c>
      <c r="B3" s="69" t="s">
        <v>5386</v>
      </c>
      <c r="C3" s="69" t="str">
        <f>VLOOKUP(A3,'202306带宽'!$H$2:$H$978,1,FALSE)</f>
        <v>182315IDC00267</v>
      </c>
      <c r="E3" s="69" t="s">
        <v>5388</v>
      </c>
      <c r="F3" s="69" t="s">
        <v>5389</v>
      </c>
      <c r="G3" s="69" t="s">
        <v>5390</v>
      </c>
      <c r="H3" s="69" t="s">
        <v>5391</v>
      </c>
      <c r="I3" s="69" t="s">
        <v>5392</v>
      </c>
      <c r="J3" s="69" t="s">
        <v>1279</v>
      </c>
      <c r="K3" s="69" t="s">
        <v>5393</v>
      </c>
      <c r="L3" s="69" t="s">
        <v>5394</v>
      </c>
      <c r="M3" s="69" t="s">
        <v>5410</v>
      </c>
      <c r="N3" s="69" t="s">
        <v>5396</v>
      </c>
      <c r="O3" s="69" t="s">
        <v>5411</v>
      </c>
      <c r="P3" s="69" t="s">
        <v>5412</v>
      </c>
      <c r="Q3" s="69" t="s">
        <v>5413</v>
      </c>
      <c r="R3" s="69" t="s">
        <v>5414</v>
      </c>
      <c r="S3" s="69" t="s">
        <v>5401</v>
      </c>
      <c r="T3" s="69" t="s">
        <v>5402</v>
      </c>
      <c r="U3" s="69" t="s">
        <v>5401</v>
      </c>
      <c r="V3" s="69" t="s">
        <v>5401</v>
      </c>
      <c r="W3" s="69" t="s">
        <v>5415</v>
      </c>
      <c r="X3" s="69" t="s">
        <v>5404</v>
      </c>
      <c r="Y3" s="69" t="s">
        <v>5405</v>
      </c>
      <c r="Z3" s="69" t="s">
        <v>5406</v>
      </c>
      <c r="AA3" s="69" t="s">
        <v>5401</v>
      </c>
      <c r="AB3" s="69" t="s">
        <v>5401</v>
      </c>
      <c r="AC3" s="69" t="s">
        <v>5416</v>
      </c>
      <c r="AD3" s="69" t="s">
        <v>5416</v>
      </c>
      <c r="AE3" s="69" t="s">
        <v>5406</v>
      </c>
      <c r="AF3" s="69" t="s">
        <v>5401</v>
      </c>
      <c r="AG3" s="69" t="s">
        <v>5408</v>
      </c>
      <c r="AH3" s="69" t="s">
        <v>5406</v>
      </c>
      <c r="AI3" s="69" t="s">
        <v>5406</v>
      </c>
      <c r="AJ3" s="69" t="s">
        <v>5401</v>
      </c>
      <c r="AK3" s="69" t="s">
        <v>5409</v>
      </c>
      <c r="AL3" s="69" t="s">
        <v>5401</v>
      </c>
      <c r="AM3" s="69" t="s">
        <v>5401</v>
      </c>
    </row>
    <row r="4" spans="1:39" hidden="1">
      <c r="A4" s="69" t="s">
        <v>2984</v>
      </c>
      <c r="B4" s="69" t="s">
        <v>5386</v>
      </c>
      <c r="C4" s="69" t="str">
        <f>VLOOKUP(A4,'202306带宽'!$H$2:$H$978,1,FALSE)</f>
        <v>182315IDC00257</v>
      </c>
      <c r="E4" s="69" t="s">
        <v>5388</v>
      </c>
      <c r="F4" s="69" t="s">
        <v>5417</v>
      </c>
      <c r="G4" s="69" t="s">
        <v>5390</v>
      </c>
      <c r="H4" s="69" t="s">
        <v>5391</v>
      </c>
      <c r="I4" s="69" t="s">
        <v>5392</v>
      </c>
      <c r="J4" s="69" t="s">
        <v>1748</v>
      </c>
      <c r="K4" s="69" t="s">
        <v>5393</v>
      </c>
      <c r="L4" s="69" t="s">
        <v>5394</v>
      </c>
      <c r="M4" s="69" t="s">
        <v>5410</v>
      </c>
      <c r="N4" s="69" t="s">
        <v>5396</v>
      </c>
      <c r="O4" s="69" t="s">
        <v>5418</v>
      </c>
      <c r="P4" s="69" t="s">
        <v>5419</v>
      </c>
      <c r="Q4" s="69" t="s">
        <v>5420</v>
      </c>
      <c r="R4" s="69" t="s">
        <v>5421</v>
      </c>
      <c r="S4" s="69" t="s">
        <v>5401</v>
      </c>
      <c r="T4" s="69" t="s">
        <v>5402</v>
      </c>
      <c r="U4" s="69" t="s">
        <v>5401</v>
      </c>
      <c r="V4" s="69" t="s">
        <v>5401</v>
      </c>
      <c r="W4" s="69" t="s">
        <v>5422</v>
      </c>
      <c r="X4" s="69" t="s">
        <v>5404</v>
      </c>
      <c r="Y4" s="69" t="s">
        <v>5423</v>
      </c>
      <c r="Z4" s="69" t="s">
        <v>5406</v>
      </c>
      <c r="AA4" s="69" t="s">
        <v>5401</v>
      </c>
      <c r="AB4" s="69" t="s">
        <v>5424</v>
      </c>
      <c r="AC4" s="69" t="s">
        <v>5416</v>
      </c>
      <c r="AD4" s="69" t="s">
        <v>5416</v>
      </c>
      <c r="AE4" s="69" t="s">
        <v>5406</v>
      </c>
      <c r="AF4" s="69" t="s">
        <v>5401</v>
      </c>
      <c r="AG4" s="69" t="s">
        <v>5425</v>
      </c>
      <c r="AH4" s="69" t="s">
        <v>5406</v>
      </c>
      <c r="AI4" s="69" t="s">
        <v>5406</v>
      </c>
      <c r="AJ4" s="69" t="s">
        <v>5401</v>
      </c>
      <c r="AK4" s="69" t="s">
        <v>5409</v>
      </c>
      <c r="AL4" s="69" t="s">
        <v>5401</v>
      </c>
      <c r="AM4" s="69" t="s">
        <v>5401</v>
      </c>
    </row>
    <row r="5" spans="1:39" hidden="1">
      <c r="A5" s="69" t="s">
        <v>3029</v>
      </c>
      <c r="B5" s="69" t="s">
        <v>5386</v>
      </c>
      <c r="C5" s="69" t="str">
        <f>VLOOKUP(A5,'202306带宽'!$H$2:$H$978,1,FALSE)</f>
        <v>182315IDC00261</v>
      </c>
      <c r="E5" s="69" t="s">
        <v>5388</v>
      </c>
      <c r="F5" s="69" t="s">
        <v>5417</v>
      </c>
      <c r="G5" s="69" t="s">
        <v>5390</v>
      </c>
      <c r="H5" s="69" t="s">
        <v>5391</v>
      </c>
      <c r="I5" s="69" t="s">
        <v>5392</v>
      </c>
      <c r="J5" s="69" t="s">
        <v>1748</v>
      </c>
      <c r="K5" s="69" t="s">
        <v>5393</v>
      </c>
      <c r="L5" s="69" t="s">
        <v>5394</v>
      </c>
      <c r="M5" s="69" t="s">
        <v>5410</v>
      </c>
      <c r="N5" s="69" t="s">
        <v>5396</v>
      </c>
      <c r="O5" s="69" t="s">
        <v>5426</v>
      </c>
      <c r="P5" s="69" t="s">
        <v>5427</v>
      </c>
      <c r="Q5" s="69" t="s">
        <v>5428</v>
      </c>
      <c r="R5" s="69" t="s">
        <v>5429</v>
      </c>
      <c r="S5" s="69" t="s">
        <v>5401</v>
      </c>
      <c r="T5" s="69" t="s">
        <v>5402</v>
      </c>
      <c r="U5" s="69" t="s">
        <v>5401</v>
      </c>
      <c r="V5" s="69" t="s">
        <v>5401</v>
      </c>
      <c r="W5" s="69" t="s">
        <v>5430</v>
      </c>
      <c r="X5" s="69" t="s">
        <v>5404</v>
      </c>
      <c r="Y5" s="69" t="s">
        <v>5423</v>
      </c>
      <c r="Z5" s="69" t="s">
        <v>5406</v>
      </c>
      <c r="AA5" s="69" t="s">
        <v>5401</v>
      </c>
      <c r="AB5" s="69" t="s">
        <v>5431</v>
      </c>
      <c r="AC5" s="69" t="s">
        <v>5416</v>
      </c>
      <c r="AD5" s="69" t="s">
        <v>5416</v>
      </c>
      <c r="AE5" s="69" t="s">
        <v>5406</v>
      </c>
      <c r="AF5" s="69" t="s">
        <v>5401</v>
      </c>
      <c r="AG5" s="69" t="s">
        <v>5425</v>
      </c>
      <c r="AH5" s="69" t="s">
        <v>5406</v>
      </c>
      <c r="AI5" s="69" t="s">
        <v>5406</v>
      </c>
      <c r="AJ5" s="69" t="s">
        <v>5401</v>
      </c>
      <c r="AK5" s="69" t="s">
        <v>5409</v>
      </c>
      <c r="AL5" s="69" t="s">
        <v>5401</v>
      </c>
      <c r="AM5" s="69" t="s">
        <v>5401</v>
      </c>
    </row>
    <row r="6" spans="1:39" hidden="1">
      <c r="A6" s="69" t="s">
        <v>903</v>
      </c>
      <c r="B6" s="69" t="s">
        <v>5386</v>
      </c>
      <c r="C6" s="69" t="str">
        <f>VLOOKUP(A6,'202306带宽'!$H$2:$H$978,1,FALSE)</f>
        <v>182315IDC00258</v>
      </c>
      <c r="E6" s="69" t="s">
        <v>5388</v>
      </c>
      <c r="F6" s="69" t="s">
        <v>5417</v>
      </c>
      <c r="G6" s="69" t="s">
        <v>5390</v>
      </c>
      <c r="H6" s="69" t="s">
        <v>29</v>
      </c>
      <c r="I6" s="69" t="s">
        <v>5392</v>
      </c>
      <c r="J6" s="69" t="s">
        <v>215</v>
      </c>
      <c r="K6" s="69" t="s">
        <v>5393</v>
      </c>
      <c r="L6" s="69" t="s">
        <v>5394</v>
      </c>
      <c r="M6" s="69" t="s">
        <v>5410</v>
      </c>
      <c r="N6" s="69" t="s">
        <v>5396</v>
      </c>
      <c r="O6" s="69" t="s">
        <v>5432</v>
      </c>
      <c r="P6" s="69" t="s">
        <v>5433</v>
      </c>
      <c r="Q6" s="69" t="s">
        <v>5428</v>
      </c>
      <c r="R6" s="69" t="s">
        <v>5429</v>
      </c>
      <c r="S6" s="69" t="s">
        <v>5401</v>
      </c>
      <c r="T6" s="69" t="s">
        <v>5402</v>
      </c>
      <c r="U6" s="69" t="s">
        <v>5401</v>
      </c>
      <c r="V6" s="69" t="s">
        <v>5401</v>
      </c>
      <c r="W6" s="69" t="s">
        <v>5434</v>
      </c>
      <c r="X6" s="69" t="s">
        <v>5404</v>
      </c>
      <c r="Y6" s="69" t="s">
        <v>5423</v>
      </c>
      <c r="Z6" s="69" t="s">
        <v>5406</v>
      </c>
      <c r="AA6" s="69" t="s">
        <v>5401</v>
      </c>
      <c r="AB6" s="69" t="s">
        <v>5401</v>
      </c>
      <c r="AC6" s="69" t="s">
        <v>5416</v>
      </c>
      <c r="AD6" s="69" t="s">
        <v>5416</v>
      </c>
      <c r="AE6" s="69" t="s">
        <v>5406</v>
      </c>
      <c r="AF6" s="69" t="s">
        <v>5401</v>
      </c>
      <c r="AG6" s="69" t="s">
        <v>5408</v>
      </c>
      <c r="AH6" s="69" t="s">
        <v>5406</v>
      </c>
      <c r="AI6" s="69" t="s">
        <v>5406</v>
      </c>
      <c r="AJ6" s="69" t="s">
        <v>5401</v>
      </c>
      <c r="AK6" s="69" t="s">
        <v>5409</v>
      </c>
      <c r="AL6" s="69" t="s">
        <v>5401</v>
      </c>
      <c r="AM6" s="69" t="s">
        <v>5401</v>
      </c>
    </row>
    <row r="7" spans="1:39" hidden="1">
      <c r="A7" s="69" t="s">
        <v>4028</v>
      </c>
      <c r="B7" s="69" t="s">
        <v>5386</v>
      </c>
      <c r="C7" s="69" t="str">
        <f>VLOOKUP(A7,'202306带宽'!$H$2:$H$978,1,FALSE)</f>
        <v>182315IDC00256</v>
      </c>
      <c r="E7" s="69" t="s">
        <v>5388</v>
      </c>
      <c r="F7" s="69" t="s">
        <v>5435</v>
      </c>
      <c r="G7" s="69" t="s">
        <v>5390</v>
      </c>
      <c r="H7" s="69" t="s">
        <v>5436</v>
      </c>
      <c r="I7" s="69" t="s">
        <v>5392</v>
      </c>
      <c r="J7" s="69" t="s">
        <v>3737</v>
      </c>
      <c r="K7" s="69" t="s">
        <v>5393</v>
      </c>
      <c r="L7" s="69" t="s">
        <v>5394</v>
      </c>
      <c r="M7" s="69" t="s">
        <v>5410</v>
      </c>
      <c r="N7" s="69" t="s">
        <v>5396</v>
      </c>
      <c r="O7" s="69" t="s">
        <v>5437</v>
      </c>
      <c r="P7" s="69" t="s">
        <v>5438</v>
      </c>
      <c r="Q7" s="69" t="s">
        <v>5439</v>
      </c>
      <c r="R7" s="69" t="s">
        <v>5440</v>
      </c>
      <c r="S7" s="69" t="s">
        <v>5401</v>
      </c>
      <c r="T7" s="69" t="s">
        <v>5402</v>
      </c>
      <c r="U7" s="69" t="s">
        <v>5401</v>
      </c>
      <c r="V7" s="69" t="s">
        <v>5401</v>
      </c>
      <c r="W7" s="69" t="s">
        <v>5441</v>
      </c>
      <c r="X7" s="69" t="s">
        <v>5404</v>
      </c>
      <c r="Y7" s="69" t="s">
        <v>5423</v>
      </c>
      <c r="Z7" s="69" t="s">
        <v>5394</v>
      </c>
      <c r="AA7" s="69" t="s">
        <v>5442</v>
      </c>
      <c r="AB7" s="69" t="s">
        <v>5443</v>
      </c>
      <c r="AC7" s="69" t="s">
        <v>5416</v>
      </c>
      <c r="AD7" s="69" t="s">
        <v>5416</v>
      </c>
      <c r="AE7" s="69" t="s">
        <v>5406</v>
      </c>
      <c r="AF7" s="69" t="s">
        <v>5401</v>
      </c>
      <c r="AG7" s="69" t="s">
        <v>5408</v>
      </c>
      <c r="AH7" s="69" t="s">
        <v>5406</v>
      </c>
      <c r="AI7" s="69" t="s">
        <v>5406</v>
      </c>
      <c r="AJ7" s="69" t="s">
        <v>5401</v>
      </c>
      <c r="AK7" s="69" t="s">
        <v>5409</v>
      </c>
      <c r="AL7" s="69" t="s">
        <v>5401</v>
      </c>
      <c r="AM7" s="69" t="s">
        <v>5401</v>
      </c>
    </row>
    <row r="8" spans="1:39" hidden="1">
      <c r="A8" s="69" t="s">
        <v>4605</v>
      </c>
      <c r="B8" s="69" t="s">
        <v>5444</v>
      </c>
      <c r="C8" s="69" t="str">
        <f>VLOOKUP(A8,'202306带宽'!$H$2:$H$978,1,FALSE)</f>
        <v>182315IDC00255</v>
      </c>
      <c r="E8" s="69" t="s">
        <v>5388</v>
      </c>
      <c r="F8" s="69" t="s">
        <v>5435</v>
      </c>
      <c r="G8" s="69" t="s">
        <v>5390</v>
      </c>
      <c r="H8" s="69" t="s">
        <v>5436</v>
      </c>
      <c r="I8" s="69" t="s">
        <v>5392</v>
      </c>
      <c r="J8" s="69" t="s">
        <v>3667</v>
      </c>
      <c r="K8" s="69" t="s">
        <v>5393</v>
      </c>
      <c r="L8" s="69" t="s">
        <v>5394</v>
      </c>
      <c r="M8" s="69" t="s">
        <v>5410</v>
      </c>
      <c r="N8" s="69" t="s">
        <v>5396</v>
      </c>
      <c r="O8" s="69" t="s">
        <v>5445</v>
      </c>
      <c r="P8" s="69" t="s">
        <v>5446</v>
      </c>
      <c r="Q8" s="69" t="s">
        <v>5420</v>
      </c>
      <c r="R8" s="69" t="s">
        <v>5447</v>
      </c>
      <c r="S8" s="69" t="s">
        <v>5401</v>
      </c>
      <c r="T8" s="69" t="s">
        <v>5402</v>
      </c>
      <c r="U8" s="69" t="s">
        <v>5401</v>
      </c>
      <c r="V8" s="69" t="s">
        <v>5401</v>
      </c>
      <c r="W8" s="69" t="s">
        <v>5448</v>
      </c>
      <c r="X8" s="69" t="s">
        <v>5404</v>
      </c>
      <c r="Y8" s="69" t="s">
        <v>5423</v>
      </c>
      <c r="Z8" s="69" t="s">
        <v>5406</v>
      </c>
      <c r="AA8" s="69" t="s">
        <v>5401</v>
      </c>
      <c r="AB8" s="69" t="s">
        <v>5449</v>
      </c>
      <c r="AC8" s="69" t="s">
        <v>5416</v>
      </c>
      <c r="AD8" s="69" t="s">
        <v>5416</v>
      </c>
      <c r="AE8" s="69" t="s">
        <v>5406</v>
      </c>
      <c r="AF8" s="69" t="s">
        <v>5401</v>
      </c>
      <c r="AG8" s="69" t="s">
        <v>5425</v>
      </c>
      <c r="AH8" s="69" t="s">
        <v>5406</v>
      </c>
      <c r="AI8" s="69" t="s">
        <v>5406</v>
      </c>
      <c r="AJ8" s="69" t="s">
        <v>5401</v>
      </c>
      <c r="AK8" s="69" t="s">
        <v>5409</v>
      </c>
      <c r="AL8" s="69" t="s">
        <v>5401</v>
      </c>
      <c r="AM8" s="69" t="s">
        <v>5401</v>
      </c>
    </row>
    <row r="9" spans="1:39">
      <c r="A9" s="69" t="s">
        <v>5450</v>
      </c>
      <c r="B9" s="69" t="s">
        <v>5386</v>
      </c>
      <c r="C9" s="69" t="e">
        <f>VLOOKUP(A9,'202306带宽'!$H$2:$H$978,1,FALSE)</f>
        <v>#N/A</v>
      </c>
      <c r="D9" s="69" t="s">
        <v>5451</v>
      </c>
      <c r="E9" s="69" t="s">
        <v>5452</v>
      </c>
      <c r="F9" s="69" t="s">
        <v>5453</v>
      </c>
      <c r="G9" s="69" t="s">
        <v>5390</v>
      </c>
      <c r="H9" s="69" t="s">
        <v>5454</v>
      </c>
      <c r="I9" s="69" t="s">
        <v>5392</v>
      </c>
      <c r="J9" s="69" t="s">
        <v>1791</v>
      </c>
      <c r="K9" s="69" t="s">
        <v>5393</v>
      </c>
      <c r="L9" s="69" t="s">
        <v>5394</v>
      </c>
      <c r="M9" s="69" t="s">
        <v>5410</v>
      </c>
      <c r="N9" s="69" t="s">
        <v>5396</v>
      </c>
      <c r="O9" s="69" t="s">
        <v>5455</v>
      </c>
      <c r="P9" s="69" t="s">
        <v>5456</v>
      </c>
      <c r="Q9" s="69" t="s">
        <v>5457</v>
      </c>
      <c r="R9" s="69" t="s">
        <v>5458</v>
      </c>
      <c r="S9" s="69" t="s">
        <v>5401</v>
      </c>
      <c r="T9" s="69" t="s">
        <v>5402</v>
      </c>
      <c r="U9" s="69" t="s">
        <v>5401</v>
      </c>
      <c r="V9" s="69" t="s">
        <v>5401</v>
      </c>
      <c r="W9" s="69" t="s">
        <v>5459</v>
      </c>
      <c r="X9" s="69" t="s">
        <v>5404</v>
      </c>
      <c r="Y9" s="69" t="s">
        <v>5460</v>
      </c>
      <c r="Z9" s="69" t="s">
        <v>5406</v>
      </c>
      <c r="AA9" s="69" t="s">
        <v>5401</v>
      </c>
      <c r="AB9" s="69" t="s">
        <v>5401</v>
      </c>
      <c r="AC9" s="69" t="s">
        <v>5461</v>
      </c>
      <c r="AD9" s="69" t="s">
        <v>5461</v>
      </c>
      <c r="AE9" s="69" t="s">
        <v>5394</v>
      </c>
      <c r="AF9" s="69" t="s">
        <v>5401</v>
      </c>
      <c r="AG9" s="69" t="s">
        <v>5408</v>
      </c>
      <c r="AH9" s="69" t="s">
        <v>5406</v>
      </c>
      <c r="AI9" s="69" t="s">
        <v>5406</v>
      </c>
      <c r="AJ9" s="69" t="s">
        <v>5462</v>
      </c>
      <c r="AK9" s="69" t="s">
        <v>5409</v>
      </c>
      <c r="AL9" s="69" t="s">
        <v>5401</v>
      </c>
      <c r="AM9" s="69" t="s">
        <v>5401</v>
      </c>
    </row>
    <row r="10" spans="1:39" hidden="1">
      <c r="A10" s="69" t="s">
        <v>290</v>
      </c>
      <c r="B10" s="69" t="s">
        <v>5386</v>
      </c>
      <c r="C10" s="69" t="str">
        <f>VLOOKUP(A10,'202306带宽'!$H$2:$H$978,1,FALSE)</f>
        <v>182315IDC00249</v>
      </c>
      <c r="E10" s="69" t="s">
        <v>5388</v>
      </c>
      <c r="F10" s="69" t="s">
        <v>5453</v>
      </c>
      <c r="G10" s="69" t="s">
        <v>5390</v>
      </c>
      <c r="H10" s="69" t="s">
        <v>29</v>
      </c>
      <c r="I10" s="69" t="s">
        <v>5392</v>
      </c>
      <c r="J10" s="69" t="s">
        <v>31</v>
      </c>
      <c r="K10" s="69" t="s">
        <v>5393</v>
      </c>
      <c r="L10" s="69" t="s">
        <v>5394</v>
      </c>
      <c r="M10" s="69" t="s">
        <v>5410</v>
      </c>
      <c r="N10" s="69" t="s">
        <v>5396</v>
      </c>
      <c r="O10" s="69" t="s">
        <v>5463</v>
      </c>
      <c r="P10" s="69" t="s">
        <v>5464</v>
      </c>
      <c r="Q10" s="69" t="s">
        <v>5428</v>
      </c>
      <c r="R10" s="69" t="s">
        <v>5429</v>
      </c>
      <c r="S10" s="69" t="s">
        <v>5401</v>
      </c>
      <c r="T10" s="69" t="s">
        <v>5402</v>
      </c>
      <c r="U10" s="69" t="s">
        <v>5401</v>
      </c>
      <c r="V10" s="69" t="s">
        <v>5401</v>
      </c>
      <c r="W10" s="69" t="s">
        <v>5465</v>
      </c>
      <c r="X10" s="69" t="s">
        <v>5404</v>
      </c>
      <c r="Y10" s="69" t="s">
        <v>5423</v>
      </c>
      <c r="Z10" s="69" t="s">
        <v>5406</v>
      </c>
      <c r="AA10" s="69" t="s">
        <v>5401</v>
      </c>
      <c r="AB10" s="69" t="s">
        <v>5401</v>
      </c>
      <c r="AC10" s="69" t="s">
        <v>5416</v>
      </c>
      <c r="AD10" s="69" t="s">
        <v>5416</v>
      </c>
      <c r="AE10" s="69" t="s">
        <v>5406</v>
      </c>
      <c r="AF10" s="69" t="s">
        <v>5401</v>
      </c>
      <c r="AG10" s="69" t="s">
        <v>5408</v>
      </c>
      <c r="AH10" s="69" t="s">
        <v>5406</v>
      </c>
      <c r="AI10" s="69" t="s">
        <v>5406</v>
      </c>
      <c r="AJ10" s="69" t="s">
        <v>5401</v>
      </c>
      <c r="AK10" s="69" t="s">
        <v>5409</v>
      </c>
      <c r="AL10" s="69" t="s">
        <v>5401</v>
      </c>
      <c r="AM10" s="69" t="s">
        <v>5401</v>
      </c>
    </row>
    <row r="11" spans="1:39" hidden="1">
      <c r="A11" s="69" t="s">
        <v>5241</v>
      </c>
      <c r="B11" s="69" t="s">
        <v>5444</v>
      </c>
      <c r="C11" s="69" t="str">
        <f>VLOOKUP(A11,'202306带宽'!$H$2:$H$978,1,FALSE)</f>
        <v>182315IDC00247</v>
      </c>
      <c r="E11" s="69" t="s">
        <v>5388</v>
      </c>
      <c r="F11" s="69" t="s">
        <v>5466</v>
      </c>
      <c r="G11" s="69" t="s">
        <v>5390</v>
      </c>
      <c r="H11" s="69" t="s">
        <v>5467</v>
      </c>
      <c r="I11" s="69" t="s">
        <v>5392</v>
      </c>
      <c r="J11" s="69" t="s">
        <v>418</v>
      </c>
      <c r="K11" s="69" t="s">
        <v>5393</v>
      </c>
      <c r="L11" s="69" t="s">
        <v>5394</v>
      </c>
      <c r="M11" s="69" t="s">
        <v>5410</v>
      </c>
      <c r="N11" s="69" t="s">
        <v>5396</v>
      </c>
      <c r="O11" s="69" t="s">
        <v>5468</v>
      </c>
      <c r="P11" s="69" t="s">
        <v>5469</v>
      </c>
      <c r="Q11" s="69" t="s">
        <v>5420</v>
      </c>
      <c r="R11" s="69" t="s">
        <v>5447</v>
      </c>
      <c r="S11" s="69" t="s">
        <v>5401</v>
      </c>
      <c r="T11" s="69" t="s">
        <v>5402</v>
      </c>
      <c r="U11" s="69" t="s">
        <v>5401</v>
      </c>
      <c r="V11" s="69" t="s">
        <v>5401</v>
      </c>
      <c r="W11" s="69" t="s">
        <v>5470</v>
      </c>
      <c r="X11" s="69" t="s">
        <v>5404</v>
      </c>
      <c r="Y11" s="69" t="s">
        <v>5389</v>
      </c>
      <c r="Z11" s="69" t="s">
        <v>5406</v>
      </c>
      <c r="AA11" s="69" t="s">
        <v>5401</v>
      </c>
      <c r="AB11" s="69" t="s">
        <v>5471</v>
      </c>
      <c r="AC11" s="69" t="s">
        <v>5416</v>
      </c>
      <c r="AD11" s="69" t="s">
        <v>5416</v>
      </c>
      <c r="AE11" s="69" t="s">
        <v>5406</v>
      </c>
      <c r="AF11" s="69" t="s">
        <v>5401</v>
      </c>
      <c r="AG11" s="69" t="s">
        <v>5425</v>
      </c>
      <c r="AH11" s="69" t="s">
        <v>5406</v>
      </c>
      <c r="AI11" s="69" t="s">
        <v>5406</v>
      </c>
      <c r="AJ11" s="69" t="s">
        <v>5401</v>
      </c>
      <c r="AK11" s="69" t="s">
        <v>5409</v>
      </c>
      <c r="AL11" s="69" t="s">
        <v>5401</v>
      </c>
      <c r="AM11" s="69" t="s">
        <v>5401</v>
      </c>
    </row>
    <row r="12" spans="1:39">
      <c r="A12" s="69" t="s">
        <v>5472</v>
      </c>
      <c r="B12" s="69" t="s">
        <v>5386</v>
      </c>
      <c r="C12" s="69" t="e">
        <f>VLOOKUP(A12,'202306带宽'!$H$2:$H$978,1,FALSE)</f>
        <v>#N/A</v>
      </c>
      <c r="D12" s="69" t="s">
        <v>5473</v>
      </c>
      <c r="E12" s="69" t="s">
        <v>5452</v>
      </c>
      <c r="F12" s="69" t="s">
        <v>5474</v>
      </c>
      <c r="G12" s="69" t="s">
        <v>5390</v>
      </c>
      <c r="H12" s="69" t="s">
        <v>5475</v>
      </c>
      <c r="I12" s="69" t="s">
        <v>5393</v>
      </c>
      <c r="J12" s="69" t="s">
        <v>5475</v>
      </c>
      <c r="K12" s="69" t="s">
        <v>5393</v>
      </c>
      <c r="L12" s="69" t="s">
        <v>5406</v>
      </c>
      <c r="M12" s="69" t="s">
        <v>5410</v>
      </c>
      <c r="N12" s="69" t="s">
        <v>5396</v>
      </c>
      <c r="O12" s="69" t="s">
        <v>5476</v>
      </c>
      <c r="P12" s="69" t="s">
        <v>5477</v>
      </c>
      <c r="Q12" s="69" t="s">
        <v>5417</v>
      </c>
      <c r="R12" s="69" t="s">
        <v>5478</v>
      </c>
      <c r="S12" s="69" t="s">
        <v>5401</v>
      </c>
      <c r="T12" s="69" t="s">
        <v>5402</v>
      </c>
      <c r="U12" s="69" t="s">
        <v>5401</v>
      </c>
      <c r="V12" s="69" t="s">
        <v>5401</v>
      </c>
      <c r="W12" s="69" t="s">
        <v>5479</v>
      </c>
      <c r="X12" s="69" t="s">
        <v>5404</v>
      </c>
      <c r="Y12" s="69" t="s">
        <v>5480</v>
      </c>
      <c r="Z12" s="69" t="s">
        <v>5406</v>
      </c>
      <c r="AA12" s="69" t="s">
        <v>5401</v>
      </c>
      <c r="AB12" s="69" t="s">
        <v>5401</v>
      </c>
      <c r="AC12" s="69" t="s">
        <v>5461</v>
      </c>
      <c r="AD12" s="69" t="s">
        <v>5461</v>
      </c>
      <c r="AE12" s="69" t="s">
        <v>5394</v>
      </c>
      <c r="AF12" s="69" t="s">
        <v>5401</v>
      </c>
      <c r="AG12" s="69" t="s">
        <v>5408</v>
      </c>
      <c r="AH12" s="69" t="s">
        <v>5406</v>
      </c>
      <c r="AI12" s="69" t="s">
        <v>5406</v>
      </c>
      <c r="AJ12" s="69" t="s">
        <v>5481</v>
      </c>
      <c r="AK12" s="69" t="s">
        <v>5409</v>
      </c>
      <c r="AL12" s="69" t="s">
        <v>5401</v>
      </c>
      <c r="AM12" s="69" t="s">
        <v>5401</v>
      </c>
    </row>
    <row r="13" spans="1:39" hidden="1">
      <c r="A13" s="69" t="s">
        <v>1126</v>
      </c>
      <c r="B13" s="69" t="s">
        <v>5444</v>
      </c>
      <c r="C13" s="69" t="str">
        <f>VLOOKUP(A13,'202306带宽'!$H$2:$H$978,1,FALSE)</f>
        <v>182315IDC00246</v>
      </c>
      <c r="E13" s="69" t="s">
        <v>5388</v>
      </c>
      <c r="F13" s="69" t="s">
        <v>5474</v>
      </c>
      <c r="G13" s="69" t="s">
        <v>5390</v>
      </c>
      <c r="H13" s="69" t="s">
        <v>29</v>
      </c>
      <c r="I13" s="69" t="s">
        <v>5392</v>
      </c>
      <c r="J13" s="69" t="s">
        <v>215</v>
      </c>
      <c r="K13" s="69" t="s">
        <v>5393</v>
      </c>
      <c r="L13" s="69" t="s">
        <v>5394</v>
      </c>
      <c r="M13" s="69" t="s">
        <v>5410</v>
      </c>
      <c r="N13" s="69" t="s">
        <v>5396</v>
      </c>
      <c r="O13" s="69" t="s">
        <v>5482</v>
      </c>
      <c r="P13" s="69" t="s">
        <v>5483</v>
      </c>
      <c r="Q13" s="69" t="s">
        <v>5484</v>
      </c>
      <c r="R13" s="69" t="s">
        <v>5447</v>
      </c>
      <c r="S13" s="69" t="s">
        <v>5401</v>
      </c>
      <c r="T13" s="69" t="s">
        <v>5402</v>
      </c>
      <c r="U13" s="69" t="s">
        <v>5401</v>
      </c>
      <c r="V13" s="69" t="s">
        <v>5401</v>
      </c>
      <c r="W13" s="69" t="s">
        <v>5485</v>
      </c>
      <c r="X13" s="69" t="s">
        <v>5404</v>
      </c>
      <c r="Y13" s="69" t="s">
        <v>5423</v>
      </c>
      <c r="Z13" s="69" t="s">
        <v>5406</v>
      </c>
      <c r="AA13" s="69" t="s">
        <v>5401</v>
      </c>
      <c r="AB13" s="69" t="s">
        <v>5401</v>
      </c>
      <c r="AC13" s="69" t="s">
        <v>5416</v>
      </c>
      <c r="AD13" s="69" t="s">
        <v>5416</v>
      </c>
      <c r="AE13" s="69" t="s">
        <v>5406</v>
      </c>
      <c r="AF13" s="69" t="s">
        <v>5401</v>
      </c>
      <c r="AG13" s="69" t="s">
        <v>5408</v>
      </c>
      <c r="AH13" s="69" t="s">
        <v>5406</v>
      </c>
      <c r="AI13" s="69" t="s">
        <v>5406</v>
      </c>
      <c r="AJ13" s="69" t="s">
        <v>5401</v>
      </c>
      <c r="AK13" s="69" t="s">
        <v>5409</v>
      </c>
      <c r="AL13" s="69" t="s">
        <v>5401</v>
      </c>
      <c r="AM13" s="69" t="s">
        <v>5401</v>
      </c>
    </row>
    <row r="14" spans="1:39" hidden="1">
      <c r="A14" s="69" t="s">
        <v>4500</v>
      </c>
      <c r="B14" s="69" t="s">
        <v>5386</v>
      </c>
      <c r="C14" s="69" t="str">
        <f>VLOOKUP(A14,'202306带宽'!$H$2:$H$978,1,FALSE)</f>
        <v>182315IDC00241</v>
      </c>
      <c r="E14" s="69" t="s">
        <v>5388</v>
      </c>
      <c r="F14" s="69" t="s">
        <v>5486</v>
      </c>
      <c r="G14" s="69" t="s">
        <v>5390</v>
      </c>
      <c r="H14" s="69" t="s">
        <v>5436</v>
      </c>
      <c r="I14" s="69" t="s">
        <v>5392</v>
      </c>
      <c r="J14" s="69" t="s">
        <v>3667</v>
      </c>
      <c r="K14" s="69" t="s">
        <v>5393</v>
      </c>
      <c r="L14" s="69" t="s">
        <v>5394</v>
      </c>
      <c r="M14" s="69" t="s">
        <v>5410</v>
      </c>
      <c r="N14" s="69" t="s">
        <v>5396</v>
      </c>
      <c r="O14" s="69" t="s">
        <v>5487</v>
      </c>
      <c r="P14" s="69" t="s">
        <v>5488</v>
      </c>
      <c r="Q14" s="69" t="s">
        <v>5489</v>
      </c>
      <c r="R14" s="69" t="s">
        <v>5490</v>
      </c>
      <c r="S14" s="69" t="s">
        <v>5401</v>
      </c>
      <c r="T14" s="69" t="s">
        <v>5402</v>
      </c>
      <c r="U14" s="69" t="s">
        <v>5401</v>
      </c>
      <c r="V14" s="69" t="s">
        <v>5401</v>
      </c>
      <c r="W14" s="69" t="s">
        <v>5491</v>
      </c>
      <c r="X14" s="69" t="s">
        <v>5404</v>
      </c>
      <c r="Y14" s="69" t="s">
        <v>5423</v>
      </c>
      <c r="Z14" s="69" t="s">
        <v>5394</v>
      </c>
      <c r="AA14" s="69" t="s">
        <v>5442</v>
      </c>
      <c r="AB14" s="69" t="s">
        <v>5492</v>
      </c>
      <c r="AC14" s="69" t="s">
        <v>5416</v>
      </c>
      <c r="AD14" s="69" t="s">
        <v>5416</v>
      </c>
      <c r="AE14" s="69" t="s">
        <v>5406</v>
      </c>
      <c r="AF14" s="69" t="s">
        <v>5401</v>
      </c>
      <c r="AG14" s="69" t="s">
        <v>5408</v>
      </c>
      <c r="AH14" s="69" t="s">
        <v>5406</v>
      </c>
      <c r="AI14" s="69" t="s">
        <v>5406</v>
      </c>
      <c r="AJ14" s="69" t="s">
        <v>5401</v>
      </c>
      <c r="AK14" s="69" t="s">
        <v>5409</v>
      </c>
      <c r="AL14" s="69" t="s">
        <v>5401</v>
      </c>
      <c r="AM14" s="69" t="s">
        <v>5401</v>
      </c>
    </row>
    <row r="15" spans="1:39" hidden="1">
      <c r="A15" s="69" t="s">
        <v>1581</v>
      </c>
      <c r="B15" s="69" t="s">
        <v>5386</v>
      </c>
      <c r="C15" s="69" t="str">
        <f>VLOOKUP(A15,'202306带宽'!$H$2:$H$978,1,FALSE)</f>
        <v>182315IDC00242</v>
      </c>
      <c r="E15" s="69" t="s">
        <v>5388</v>
      </c>
      <c r="F15" s="69" t="s">
        <v>5486</v>
      </c>
      <c r="G15" s="69" t="s">
        <v>5390</v>
      </c>
      <c r="H15" s="69" t="s">
        <v>5391</v>
      </c>
      <c r="I15" s="69" t="s">
        <v>5392</v>
      </c>
      <c r="J15" s="69" t="s">
        <v>1279</v>
      </c>
      <c r="K15" s="69" t="s">
        <v>5393</v>
      </c>
      <c r="L15" s="69" t="s">
        <v>5394</v>
      </c>
      <c r="M15" s="69" t="s">
        <v>5410</v>
      </c>
      <c r="N15" s="69" t="s">
        <v>5396</v>
      </c>
      <c r="O15" s="69" t="s">
        <v>5493</v>
      </c>
      <c r="P15" s="69" t="s">
        <v>5494</v>
      </c>
      <c r="Q15" s="69" t="s">
        <v>5495</v>
      </c>
      <c r="R15" s="69" t="s">
        <v>5496</v>
      </c>
      <c r="S15" s="69" t="s">
        <v>5401</v>
      </c>
      <c r="T15" s="69" t="s">
        <v>5402</v>
      </c>
      <c r="U15" s="69" t="s">
        <v>5401</v>
      </c>
      <c r="V15" s="69" t="s">
        <v>5401</v>
      </c>
      <c r="W15" s="69" t="s">
        <v>5497</v>
      </c>
      <c r="X15" s="69" t="s">
        <v>5404</v>
      </c>
      <c r="Y15" s="69" t="s">
        <v>5417</v>
      </c>
      <c r="Z15" s="69" t="s">
        <v>5406</v>
      </c>
      <c r="AA15" s="69" t="s">
        <v>5401</v>
      </c>
      <c r="AB15" s="69" t="s">
        <v>5401</v>
      </c>
      <c r="AC15" s="69" t="s">
        <v>5416</v>
      </c>
      <c r="AD15" s="69" t="s">
        <v>5416</v>
      </c>
      <c r="AE15" s="69" t="s">
        <v>5406</v>
      </c>
      <c r="AF15" s="69" t="s">
        <v>5401</v>
      </c>
      <c r="AG15" s="69" t="s">
        <v>5408</v>
      </c>
      <c r="AH15" s="69" t="s">
        <v>5406</v>
      </c>
      <c r="AI15" s="69" t="s">
        <v>5406</v>
      </c>
      <c r="AJ15" s="69" t="s">
        <v>5401</v>
      </c>
      <c r="AK15" s="69" t="s">
        <v>5409</v>
      </c>
      <c r="AL15" s="69" t="s">
        <v>5401</v>
      </c>
      <c r="AM15" s="69" t="s">
        <v>5401</v>
      </c>
    </row>
    <row r="16" spans="1:39" hidden="1">
      <c r="A16" s="69" t="s">
        <v>4967</v>
      </c>
      <c r="B16" s="69" t="s">
        <v>5444</v>
      </c>
      <c r="C16" s="69" t="str">
        <f>VLOOKUP(A16,'202306带宽'!$H$2:$H$978,1,FALSE)</f>
        <v>182315IDC00244</v>
      </c>
      <c r="E16" s="69" t="s">
        <v>5388</v>
      </c>
      <c r="F16" s="69" t="s">
        <v>5486</v>
      </c>
      <c r="G16" s="69" t="s">
        <v>5390</v>
      </c>
      <c r="H16" s="69" t="s">
        <v>5467</v>
      </c>
      <c r="I16" s="69" t="s">
        <v>5392</v>
      </c>
      <c r="J16" s="69" t="s">
        <v>3667</v>
      </c>
      <c r="K16" s="69" t="s">
        <v>5393</v>
      </c>
      <c r="L16" s="69" t="s">
        <v>5394</v>
      </c>
      <c r="M16" s="69" t="s">
        <v>5410</v>
      </c>
      <c r="N16" s="69" t="s">
        <v>5396</v>
      </c>
      <c r="O16" s="69" t="s">
        <v>5498</v>
      </c>
      <c r="P16" s="69" t="s">
        <v>5499</v>
      </c>
      <c r="Q16" s="69" t="s">
        <v>5500</v>
      </c>
      <c r="R16" s="69" t="s">
        <v>5447</v>
      </c>
      <c r="S16" s="69" t="s">
        <v>5401</v>
      </c>
      <c r="T16" s="69" t="s">
        <v>5402</v>
      </c>
      <c r="U16" s="69" t="s">
        <v>5401</v>
      </c>
      <c r="V16" s="69" t="s">
        <v>5401</v>
      </c>
      <c r="W16" s="69" t="s">
        <v>5501</v>
      </c>
      <c r="X16" s="69" t="s">
        <v>5404</v>
      </c>
      <c r="Y16" s="69" t="s">
        <v>5453</v>
      </c>
      <c r="Z16" s="69" t="s">
        <v>5406</v>
      </c>
      <c r="AA16" s="69" t="s">
        <v>5401</v>
      </c>
      <c r="AB16" s="69" t="s">
        <v>5471</v>
      </c>
      <c r="AC16" s="69" t="s">
        <v>5416</v>
      </c>
      <c r="AD16" s="69" t="s">
        <v>5416</v>
      </c>
      <c r="AE16" s="69" t="s">
        <v>5406</v>
      </c>
      <c r="AF16" s="69" t="s">
        <v>5401</v>
      </c>
      <c r="AG16" s="69" t="s">
        <v>5425</v>
      </c>
      <c r="AH16" s="69" t="s">
        <v>5406</v>
      </c>
      <c r="AI16" s="69" t="s">
        <v>5406</v>
      </c>
      <c r="AJ16" s="69" t="s">
        <v>5401</v>
      </c>
      <c r="AK16" s="69" t="s">
        <v>5409</v>
      </c>
      <c r="AL16" s="69" t="s">
        <v>5401</v>
      </c>
      <c r="AM16" s="69" t="s">
        <v>5401</v>
      </c>
    </row>
    <row r="17" spans="1:39">
      <c r="A17" s="69" t="s">
        <v>4851</v>
      </c>
      <c r="B17" s="69" t="s">
        <v>5386</v>
      </c>
      <c r="C17" s="69" t="str">
        <f>VLOOKUP(A17,'202306带宽'!$H$2:$H$978,1,FALSE)</f>
        <v>182315IDC00235</v>
      </c>
      <c r="D17" s="72"/>
      <c r="E17" s="69" t="s">
        <v>5388</v>
      </c>
      <c r="F17" s="69" t="s">
        <v>5502</v>
      </c>
      <c r="G17" s="69" t="s">
        <v>5390</v>
      </c>
      <c r="H17" s="69" t="s">
        <v>5467</v>
      </c>
      <c r="I17" s="69" t="s">
        <v>5392</v>
      </c>
      <c r="J17" s="69" t="s">
        <v>3667</v>
      </c>
      <c r="K17" s="69" t="s">
        <v>5393</v>
      </c>
      <c r="L17" s="69" t="s">
        <v>5394</v>
      </c>
      <c r="M17" s="69" t="s">
        <v>5410</v>
      </c>
      <c r="N17" s="69" t="s">
        <v>5396</v>
      </c>
      <c r="O17" s="69" t="s">
        <v>5503</v>
      </c>
      <c r="P17" s="69" t="s">
        <v>5504</v>
      </c>
      <c r="Q17" s="69" t="s">
        <v>5420</v>
      </c>
      <c r="R17" s="69" t="s">
        <v>5421</v>
      </c>
      <c r="S17" s="69" t="s">
        <v>5401</v>
      </c>
      <c r="T17" s="69" t="s">
        <v>5402</v>
      </c>
      <c r="U17" s="69" t="s">
        <v>5401</v>
      </c>
      <c r="V17" s="69" t="s">
        <v>5401</v>
      </c>
      <c r="W17" s="69" t="s">
        <v>5505</v>
      </c>
      <c r="X17" s="69" t="s">
        <v>5404</v>
      </c>
      <c r="Y17" s="69" t="s">
        <v>5453</v>
      </c>
      <c r="Z17" s="69" t="s">
        <v>5394</v>
      </c>
      <c r="AA17" s="69" t="s">
        <v>5506</v>
      </c>
      <c r="AB17" s="69" t="s">
        <v>5507</v>
      </c>
      <c r="AC17" s="69" t="s">
        <v>5416</v>
      </c>
      <c r="AD17" s="69" t="s">
        <v>5416</v>
      </c>
      <c r="AE17" s="69" t="s">
        <v>5406</v>
      </c>
      <c r="AF17" s="69" t="s">
        <v>5401</v>
      </c>
      <c r="AG17" s="69" t="s">
        <v>5408</v>
      </c>
      <c r="AH17" s="69" t="s">
        <v>5406</v>
      </c>
      <c r="AI17" s="69" t="s">
        <v>5406</v>
      </c>
      <c r="AJ17" s="69" t="s">
        <v>5401</v>
      </c>
      <c r="AK17" s="69" t="s">
        <v>5409</v>
      </c>
      <c r="AL17" s="69" t="s">
        <v>5401</v>
      </c>
      <c r="AM17" s="69" t="s">
        <v>5401</v>
      </c>
    </row>
    <row r="18" spans="1:39" hidden="1">
      <c r="A18" s="69" t="s">
        <v>2205</v>
      </c>
      <c r="B18" s="69" t="s">
        <v>5386</v>
      </c>
      <c r="C18" s="69" t="str">
        <f>VLOOKUP(A18,'202306带宽'!$H$2:$H$978,1,FALSE)</f>
        <v>182315IDC00236</v>
      </c>
      <c r="E18" s="69" t="s">
        <v>5388</v>
      </c>
      <c r="F18" s="69" t="s">
        <v>5502</v>
      </c>
      <c r="G18" s="69" t="s">
        <v>5390</v>
      </c>
      <c r="H18" s="69" t="s">
        <v>5391</v>
      </c>
      <c r="I18" s="69" t="s">
        <v>5392</v>
      </c>
      <c r="J18" s="69" t="s">
        <v>1748</v>
      </c>
      <c r="K18" s="69" t="s">
        <v>5393</v>
      </c>
      <c r="L18" s="69" t="s">
        <v>5394</v>
      </c>
      <c r="M18" s="69" t="s">
        <v>5410</v>
      </c>
      <c r="N18" s="69" t="s">
        <v>5396</v>
      </c>
      <c r="O18" s="69" t="s">
        <v>5508</v>
      </c>
      <c r="P18" s="69" t="s">
        <v>5509</v>
      </c>
      <c r="Q18" s="69" t="s">
        <v>5510</v>
      </c>
      <c r="R18" s="69" t="s">
        <v>5511</v>
      </c>
      <c r="S18" s="69" t="s">
        <v>5401</v>
      </c>
      <c r="T18" s="69" t="s">
        <v>5402</v>
      </c>
      <c r="U18" s="69" t="s">
        <v>5401</v>
      </c>
      <c r="V18" s="69" t="s">
        <v>5401</v>
      </c>
      <c r="W18" s="69" t="s">
        <v>5512</v>
      </c>
      <c r="X18" s="69" t="s">
        <v>5404</v>
      </c>
      <c r="Y18" s="69" t="s">
        <v>5513</v>
      </c>
      <c r="Z18" s="69" t="s">
        <v>5406</v>
      </c>
      <c r="AA18" s="69" t="s">
        <v>5401</v>
      </c>
      <c r="AB18" s="69" t="s">
        <v>5514</v>
      </c>
      <c r="AC18" s="69" t="s">
        <v>5416</v>
      </c>
      <c r="AD18" s="69" t="s">
        <v>5416</v>
      </c>
      <c r="AE18" s="69" t="s">
        <v>5406</v>
      </c>
      <c r="AF18" s="69" t="s">
        <v>5401</v>
      </c>
      <c r="AG18" s="69" t="s">
        <v>5425</v>
      </c>
      <c r="AH18" s="69" t="s">
        <v>5406</v>
      </c>
      <c r="AI18" s="69" t="s">
        <v>5406</v>
      </c>
      <c r="AJ18" s="69" t="s">
        <v>5401</v>
      </c>
      <c r="AK18" s="69" t="s">
        <v>5409</v>
      </c>
      <c r="AL18" s="69" t="s">
        <v>5401</v>
      </c>
      <c r="AM18" s="69" t="s">
        <v>5401</v>
      </c>
    </row>
    <row r="19" spans="1:39" hidden="1">
      <c r="A19" s="69" t="s">
        <v>3438</v>
      </c>
      <c r="B19" s="69" t="s">
        <v>5386</v>
      </c>
      <c r="C19" s="69" t="str">
        <f>VLOOKUP(A19,'202306带宽'!$H$2:$H$978,1,FALSE)</f>
        <v>182315IDC00238</v>
      </c>
      <c r="E19" s="69" t="s">
        <v>5388</v>
      </c>
      <c r="F19" s="69" t="s">
        <v>5502</v>
      </c>
      <c r="G19" s="69" t="s">
        <v>5390</v>
      </c>
      <c r="H19" s="69" t="s">
        <v>5391</v>
      </c>
      <c r="I19" s="69" t="s">
        <v>5392</v>
      </c>
      <c r="J19" s="69" t="s">
        <v>1748</v>
      </c>
      <c r="K19" s="69" t="s">
        <v>5393</v>
      </c>
      <c r="L19" s="69" t="s">
        <v>5394</v>
      </c>
      <c r="M19" s="69" t="s">
        <v>5410</v>
      </c>
      <c r="N19" s="69" t="s">
        <v>5396</v>
      </c>
      <c r="O19" s="69" t="s">
        <v>5515</v>
      </c>
      <c r="P19" s="69" t="s">
        <v>5516</v>
      </c>
      <c r="Q19" s="69" t="s">
        <v>5510</v>
      </c>
      <c r="R19" s="69" t="s">
        <v>5511</v>
      </c>
      <c r="S19" s="69" t="s">
        <v>5401</v>
      </c>
      <c r="T19" s="69" t="s">
        <v>5402</v>
      </c>
      <c r="U19" s="69" t="s">
        <v>5401</v>
      </c>
      <c r="V19" s="69" t="s">
        <v>5401</v>
      </c>
      <c r="W19" s="69" t="s">
        <v>5517</v>
      </c>
      <c r="X19" s="69" t="s">
        <v>5404</v>
      </c>
      <c r="Y19" s="69" t="s">
        <v>5513</v>
      </c>
      <c r="Z19" s="69" t="s">
        <v>5394</v>
      </c>
      <c r="AA19" s="69" t="s">
        <v>5518</v>
      </c>
      <c r="AB19" s="69" t="s">
        <v>3430</v>
      </c>
      <c r="AC19" s="69" t="s">
        <v>5416</v>
      </c>
      <c r="AD19" s="69" t="s">
        <v>5416</v>
      </c>
      <c r="AE19" s="69" t="s">
        <v>5406</v>
      </c>
      <c r="AF19" s="69" t="s">
        <v>5401</v>
      </c>
      <c r="AG19" s="69" t="s">
        <v>5408</v>
      </c>
      <c r="AH19" s="69" t="s">
        <v>5406</v>
      </c>
      <c r="AI19" s="69" t="s">
        <v>5406</v>
      </c>
      <c r="AJ19" s="69" t="s">
        <v>5401</v>
      </c>
      <c r="AK19" s="69" t="s">
        <v>5409</v>
      </c>
      <c r="AL19" s="69" t="s">
        <v>5401</v>
      </c>
      <c r="AM19" s="69" t="s">
        <v>5401</v>
      </c>
    </row>
    <row r="20" spans="1:39" hidden="1">
      <c r="A20" s="69" t="s">
        <v>2802</v>
      </c>
      <c r="B20" s="69" t="s">
        <v>5386</v>
      </c>
      <c r="C20" s="69" t="str">
        <f>VLOOKUP(A20,'202306带宽'!$H$2:$H$978,1,FALSE)</f>
        <v>182315IDC00234</v>
      </c>
      <c r="E20" s="69" t="s">
        <v>5388</v>
      </c>
      <c r="F20" s="69" t="s">
        <v>5502</v>
      </c>
      <c r="G20" s="69" t="s">
        <v>5390</v>
      </c>
      <c r="H20" s="69" t="s">
        <v>5391</v>
      </c>
      <c r="I20" s="69" t="s">
        <v>5392</v>
      </c>
      <c r="J20" s="69" t="s">
        <v>1748</v>
      </c>
      <c r="K20" s="69" t="s">
        <v>5393</v>
      </c>
      <c r="L20" s="69" t="s">
        <v>5394</v>
      </c>
      <c r="M20" s="69" t="s">
        <v>5410</v>
      </c>
      <c r="N20" s="69" t="s">
        <v>5396</v>
      </c>
      <c r="O20" s="69" t="s">
        <v>5519</v>
      </c>
      <c r="P20" s="69" t="s">
        <v>5520</v>
      </c>
      <c r="Q20" s="69" t="s">
        <v>5428</v>
      </c>
      <c r="R20" s="69" t="s">
        <v>5429</v>
      </c>
      <c r="S20" s="69" t="s">
        <v>5401</v>
      </c>
      <c r="T20" s="69" t="s">
        <v>5402</v>
      </c>
      <c r="U20" s="69" t="s">
        <v>5401</v>
      </c>
      <c r="V20" s="69" t="s">
        <v>5401</v>
      </c>
      <c r="W20" s="69" t="s">
        <v>5521</v>
      </c>
      <c r="X20" s="69" t="s">
        <v>5404</v>
      </c>
      <c r="Y20" s="69" t="s">
        <v>5417</v>
      </c>
      <c r="Z20" s="69" t="s">
        <v>5406</v>
      </c>
      <c r="AA20" s="69" t="s">
        <v>5401</v>
      </c>
      <c r="AB20" s="69" t="s">
        <v>5522</v>
      </c>
      <c r="AC20" s="69" t="s">
        <v>5416</v>
      </c>
      <c r="AD20" s="69" t="s">
        <v>5416</v>
      </c>
      <c r="AE20" s="69" t="s">
        <v>5406</v>
      </c>
      <c r="AF20" s="69" t="s">
        <v>5401</v>
      </c>
      <c r="AG20" s="69" t="s">
        <v>5425</v>
      </c>
      <c r="AH20" s="69" t="s">
        <v>5406</v>
      </c>
      <c r="AI20" s="69" t="s">
        <v>5406</v>
      </c>
      <c r="AJ20" s="69" t="s">
        <v>5401</v>
      </c>
      <c r="AK20" s="69" t="s">
        <v>5409</v>
      </c>
      <c r="AL20" s="69" t="s">
        <v>5401</v>
      </c>
      <c r="AM20" s="69" t="s">
        <v>5401</v>
      </c>
    </row>
    <row r="21" spans="1:39" hidden="1">
      <c r="A21" s="69" t="s">
        <v>2820</v>
      </c>
      <c r="B21" s="69" t="s">
        <v>5386</v>
      </c>
      <c r="C21" s="69" t="str">
        <f>VLOOKUP(A21,'202306带宽'!$H$2:$H$978,1,FALSE)</f>
        <v>182315IDC00233</v>
      </c>
      <c r="E21" s="69" t="s">
        <v>5388</v>
      </c>
      <c r="F21" s="69" t="s">
        <v>5502</v>
      </c>
      <c r="G21" s="69" t="s">
        <v>5390</v>
      </c>
      <c r="H21" s="69" t="s">
        <v>5391</v>
      </c>
      <c r="I21" s="69" t="s">
        <v>5392</v>
      </c>
      <c r="J21" s="69" t="s">
        <v>1748</v>
      </c>
      <c r="K21" s="69" t="s">
        <v>5393</v>
      </c>
      <c r="L21" s="69" t="s">
        <v>5394</v>
      </c>
      <c r="M21" s="69" t="s">
        <v>5410</v>
      </c>
      <c r="N21" s="69" t="s">
        <v>5396</v>
      </c>
      <c r="O21" s="69" t="s">
        <v>5519</v>
      </c>
      <c r="P21" s="69" t="s">
        <v>5523</v>
      </c>
      <c r="Q21" s="69" t="s">
        <v>5428</v>
      </c>
      <c r="R21" s="69" t="s">
        <v>5429</v>
      </c>
      <c r="S21" s="69" t="s">
        <v>5401</v>
      </c>
      <c r="T21" s="69" t="s">
        <v>5402</v>
      </c>
      <c r="U21" s="69" t="s">
        <v>5401</v>
      </c>
      <c r="V21" s="69" t="s">
        <v>5401</v>
      </c>
      <c r="W21" s="69" t="s">
        <v>5524</v>
      </c>
      <c r="X21" s="69" t="s">
        <v>5404</v>
      </c>
      <c r="Y21" s="69" t="s">
        <v>5417</v>
      </c>
      <c r="Z21" s="69" t="s">
        <v>5406</v>
      </c>
      <c r="AA21" s="69" t="s">
        <v>5401</v>
      </c>
      <c r="AB21" s="69" t="s">
        <v>5522</v>
      </c>
      <c r="AC21" s="69" t="s">
        <v>5416</v>
      </c>
      <c r="AD21" s="69" t="s">
        <v>5416</v>
      </c>
      <c r="AE21" s="69" t="s">
        <v>5406</v>
      </c>
      <c r="AF21" s="69" t="s">
        <v>5401</v>
      </c>
      <c r="AG21" s="69" t="s">
        <v>5425</v>
      </c>
      <c r="AH21" s="69" t="s">
        <v>5406</v>
      </c>
      <c r="AI21" s="69" t="s">
        <v>5406</v>
      </c>
      <c r="AJ21" s="69" t="s">
        <v>5401</v>
      </c>
      <c r="AK21" s="69" t="s">
        <v>5409</v>
      </c>
      <c r="AL21" s="69" t="s">
        <v>5401</v>
      </c>
      <c r="AM21" s="69" t="s">
        <v>5401</v>
      </c>
    </row>
    <row r="22" spans="1:39">
      <c r="A22" s="69" t="s">
        <v>5431</v>
      </c>
      <c r="B22" s="69" t="s">
        <v>5386</v>
      </c>
      <c r="C22" s="69" t="e">
        <f>VLOOKUP(A22,'202306带宽'!$H$2:$H$978,1,FALSE)</f>
        <v>#N/A</v>
      </c>
      <c r="D22" s="69" t="s">
        <v>5525</v>
      </c>
      <c r="E22" s="69" t="s">
        <v>5388</v>
      </c>
      <c r="F22" s="69" t="s">
        <v>5502</v>
      </c>
      <c r="G22" s="69" t="s">
        <v>5390</v>
      </c>
      <c r="H22" s="69" t="s">
        <v>5391</v>
      </c>
      <c r="I22" s="69" t="s">
        <v>5392</v>
      </c>
      <c r="J22" s="69" t="s">
        <v>1748</v>
      </c>
      <c r="K22" s="69" t="s">
        <v>5393</v>
      </c>
      <c r="L22" s="69" t="s">
        <v>5394</v>
      </c>
      <c r="M22" s="69" t="s">
        <v>5410</v>
      </c>
      <c r="N22" s="69" t="s">
        <v>5396</v>
      </c>
      <c r="O22" s="69" t="s">
        <v>5426</v>
      </c>
      <c r="P22" s="69" t="s">
        <v>5526</v>
      </c>
      <c r="Q22" s="69" t="s">
        <v>5428</v>
      </c>
      <c r="R22" s="69" t="s">
        <v>5429</v>
      </c>
      <c r="S22" s="69" t="s">
        <v>5401</v>
      </c>
      <c r="T22" s="69" t="s">
        <v>5527</v>
      </c>
      <c r="U22" s="69" t="s">
        <v>5401</v>
      </c>
      <c r="V22" s="69" t="s">
        <v>5401</v>
      </c>
      <c r="W22" s="69" t="s">
        <v>5401</v>
      </c>
      <c r="X22" s="69" t="s">
        <v>5401</v>
      </c>
      <c r="Y22" s="69" t="s">
        <v>5460</v>
      </c>
      <c r="Z22" s="69" t="s">
        <v>5406</v>
      </c>
      <c r="AA22" s="69" t="s">
        <v>5401</v>
      </c>
      <c r="AB22" s="69" t="s">
        <v>5401</v>
      </c>
      <c r="AC22" s="69" t="s">
        <v>5416</v>
      </c>
      <c r="AD22" s="69" t="s">
        <v>5416</v>
      </c>
      <c r="AE22" s="69" t="s">
        <v>5406</v>
      </c>
      <c r="AF22" s="69" t="s">
        <v>5401</v>
      </c>
      <c r="AG22" s="69" t="s">
        <v>5408</v>
      </c>
      <c r="AH22" s="69" t="s">
        <v>5406</v>
      </c>
      <c r="AI22" s="69" t="s">
        <v>5406</v>
      </c>
      <c r="AJ22" s="69" t="s">
        <v>5401</v>
      </c>
      <c r="AK22" s="69" t="s">
        <v>5409</v>
      </c>
      <c r="AL22" s="69" t="s">
        <v>5401</v>
      </c>
      <c r="AM22" s="69" t="s">
        <v>5401</v>
      </c>
    </row>
    <row r="23" spans="1:39" hidden="1">
      <c r="A23" s="69" t="s">
        <v>838</v>
      </c>
      <c r="B23" s="69" t="s">
        <v>5444</v>
      </c>
      <c r="C23" s="69" t="str">
        <f>VLOOKUP(A23,'202306带宽'!$H$2:$H$978,1,FALSE)</f>
        <v>182315IDC00239</v>
      </c>
      <c r="E23" s="69" t="s">
        <v>5388</v>
      </c>
      <c r="F23" s="69" t="s">
        <v>5502</v>
      </c>
      <c r="G23" s="69" t="s">
        <v>5390</v>
      </c>
      <c r="H23" s="69" t="s">
        <v>29</v>
      </c>
      <c r="I23" s="69" t="s">
        <v>5392</v>
      </c>
      <c r="J23" s="69" t="s">
        <v>418</v>
      </c>
      <c r="K23" s="69" t="s">
        <v>5393</v>
      </c>
      <c r="L23" s="69" t="s">
        <v>5394</v>
      </c>
      <c r="M23" s="69" t="s">
        <v>5410</v>
      </c>
      <c r="N23" s="69" t="s">
        <v>5396</v>
      </c>
      <c r="O23" s="69" t="s">
        <v>5528</v>
      </c>
      <c r="P23" s="69" t="s">
        <v>5529</v>
      </c>
      <c r="Q23" s="69" t="s">
        <v>5530</v>
      </c>
      <c r="R23" s="69" t="s">
        <v>5447</v>
      </c>
      <c r="S23" s="69" t="s">
        <v>5401</v>
      </c>
      <c r="T23" s="69" t="s">
        <v>5402</v>
      </c>
      <c r="U23" s="69" t="s">
        <v>5401</v>
      </c>
      <c r="V23" s="69" t="s">
        <v>5401</v>
      </c>
      <c r="W23" s="69" t="s">
        <v>5531</v>
      </c>
      <c r="X23" s="69" t="s">
        <v>5404</v>
      </c>
      <c r="Y23" s="69" t="s">
        <v>5417</v>
      </c>
      <c r="Z23" s="69" t="s">
        <v>5406</v>
      </c>
      <c r="AA23" s="69" t="s">
        <v>5401</v>
      </c>
      <c r="AB23" s="69" t="s">
        <v>5471</v>
      </c>
      <c r="AC23" s="69" t="s">
        <v>5416</v>
      </c>
      <c r="AD23" s="69" t="s">
        <v>5416</v>
      </c>
      <c r="AE23" s="69" t="s">
        <v>5406</v>
      </c>
      <c r="AF23" s="69" t="s">
        <v>5401</v>
      </c>
      <c r="AG23" s="69" t="s">
        <v>5425</v>
      </c>
      <c r="AH23" s="69" t="s">
        <v>5406</v>
      </c>
      <c r="AI23" s="69" t="s">
        <v>5406</v>
      </c>
      <c r="AJ23" s="69" t="s">
        <v>5401</v>
      </c>
      <c r="AK23" s="69" t="s">
        <v>5409</v>
      </c>
      <c r="AL23" s="69" t="s">
        <v>5401</v>
      </c>
      <c r="AM23" s="69" t="s">
        <v>5401</v>
      </c>
    </row>
    <row r="24" spans="1:39" hidden="1">
      <c r="A24" s="69" t="s">
        <v>2992</v>
      </c>
      <c r="B24" s="69" t="s">
        <v>5386</v>
      </c>
      <c r="C24" s="69" t="str">
        <f>VLOOKUP(A24,'202306带宽'!$H$2:$H$978,1,FALSE)</f>
        <v>182315IDC00231</v>
      </c>
      <c r="E24" s="69" t="s">
        <v>5388</v>
      </c>
      <c r="F24" s="69" t="s">
        <v>5532</v>
      </c>
      <c r="G24" s="69" t="s">
        <v>5390</v>
      </c>
      <c r="H24" s="69" t="s">
        <v>5391</v>
      </c>
      <c r="I24" s="69" t="s">
        <v>5392</v>
      </c>
      <c r="J24" s="69" t="s">
        <v>31</v>
      </c>
      <c r="K24" s="69" t="s">
        <v>5393</v>
      </c>
      <c r="L24" s="69" t="s">
        <v>5394</v>
      </c>
      <c r="M24" s="69" t="s">
        <v>5410</v>
      </c>
      <c r="N24" s="69" t="s">
        <v>5396</v>
      </c>
      <c r="O24" s="69" t="s">
        <v>5533</v>
      </c>
      <c r="P24" s="69" t="s">
        <v>5534</v>
      </c>
      <c r="Q24" s="69" t="s">
        <v>5413</v>
      </c>
      <c r="R24" s="69" t="s">
        <v>5414</v>
      </c>
      <c r="S24" s="69" t="s">
        <v>5401</v>
      </c>
      <c r="T24" s="69" t="s">
        <v>5402</v>
      </c>
      <c r="U24" s="69" t="s">
        <v>5401</v>
      </c>
      <c r="V24" s="69" t="s">
        <v>5401</v>
      </c>
      <c r="W24" s="69" t="s">
        <v>5535</v>
      </c>
      <c r="X24" s="69" t="s">
        <v>5404</v>
      </c>
      <c r="Y24" s="69" t="s">
        <v>5423</v>
      </c>
      <c r="Z24" s="69" t="s">
        <v>5406</v>
      </c>
      <c r="AA24" s="69" t="s">
        <v>5401</v>
      </c>
      <c r="AB24" s="69" t="s">
        <v>5536</v>
      </c>
      <c r="AC24" s="69" t="s">
        <v>5416</v>
      </c>
      <c r="AD24" s="69" t="s">
        <v>5416</v>
      </c>
      <c r="AE24" s="69" t="s">
        <v>5406</v>
      </c>
      <c r="AF24" s="69" t="s">
        <v>5401</v>
      </c>
      <c r="AG24" s="69" t="s">
        <v>5425</v>
      </c>
      <c r="AH24" s="69" t="s">
        <v>5406</v>
      </c>
      <c r="AI24" s="69" t="s">
        <v>5406</v>
      </c>
      <c r="AJ24" s="69" t="s">
        <v>5401</v>
      </c>
      <c r="AK24" s="69" t="s">
        <v>5409</v>
      </c>
      <c r="AL24" s="69" t="s">
        <v>5401</v>
      </c>
      <c r="AM24" s="69" t="s">
        <v>5401</v>
      </c>
    </row>
    <row r="25" spans="1:39">
      <c r="A25" s="69" t="s">
        <v>5537</v>
      </c>
      <c r="B25" s="69" t="s">
        <v>5386</v>
      </c>
      <c r="C25" s="69" t="e">
        <f>VLOOKUP(A25,'202306带宽'!$H$2:$H$978,1,FALSE)</f>
        <v>#N/A</v>
      </c>
      <c r="D25" s="69" t="s">
        <v>5538</v>
      </c>
      <c r="E25" s="69" t="s">
        <v>5388</v>
      </c>
      <c r="F25" s="69" t="s">
        <v>5539</v>
      </c>
      <c r="G25" s="69" t="s">
        <v>5390</v>
      </c>
      <c r="H25" s="69" t="s">
        <v>29</v>
      </c>
      <c r="I25" s="69" t="s">
        <v>5392</v>
      </c>
      <c r="J25" s="69" t="s">
        <v>418</v>
      </c>
      <c r="K25" s="69" t="s">
        <v>5393</v>
      </c>
      <c r="L25" s="69" t="s">
        <v>5394</v>
      </c>
      <c r="M25" s="69" t="s">
        <v>5410</v>
      </c>
      <c r="N25" s="69" t="s">
        <v>5396</v>
      </c>
      <c r="O25" s="69" t="s">
        <v>5540</v>
      </c>
      <c r="P25" s="69" t="s">
        <v>5541</v>
      </c>
      <c r="Q25" s="69" t="s">
        <v>5420</v>
      </c>
      <c r="R25" s="69" t="s">
        <v>5421</v>
      </c>
      <c r="S25" s="69" t="s">
        <v>5401</v>
      </c>
      <c r="T25" s="69" t="s">
        <v>5402</v>
      </c>
      <c r="U25" s="69" t="s">
        <v>5401</v>
      </c>
      <c r="V25" s="69" t="s">
        <v>5401</v>
      </c>
      <c r="W25" s="69" t="s">
        <v>5542</v>
      </c>
      <c r="X25" s="69" t="s">
        <v>5404</v>
      </c>
      <c r="Y25" s="69" t="s">
        <v>5435</v>
      </c>
      <c r="Z25" s="69" t="s">
        <v>5394</v>
      </c>
      <c r="AA25" s="69" t="s">
        <v>5543</v>
      </c>
      <c r="AB25" s="69" t="s">
        <v>5544</v>
      </c>
      <c r="AC25" s="69" t="s">
        <v>5461</v>
      </c>
      <c r="AD25" s="69" t="s">
        <v>5461</v>
      </c>
      <c r="AE25" s="69" t="s">
        <v>5406</v>
      </c>
      <c r="AF25" s="69" t="s">
        <v>5401</v>
      </c>
      <c r="AG25" s="69" t="s">
        <v>5408</v>
      </c>
      <c r="AH25" s="69" t="s">
        <v>5406</v>
      </c>
      <c r="AI25" s="69" t="s">
        <v>5406</v>
      </c>
      <c r="AJ25" s="69" t="s">
        <v>5401</v>
      </c>
      <c r="AK25" s="69" t="s">
        <v>5409</v>
      </c>
      <c r="AL25" s="69" t="s">
        <v>5401</v>
      </c>
      <c r="AM25" s="69" t="s">
        <v>5401</v>
      </c>
    </row>
    <row r="26" spans="1:39">
      <c r="A26" s="69" t="s">
        <v>5545</v>
      </c>
      <c r="B26" s="69" t="s">
        <v>5386</v>
      </c>
      <c r="C26" s="69" t="e">
        <f>VLOOKUP(A26,'202306带宽'!$H$2:$H$978,1,FALSE)</f>
        <v>#N/A</v>
      </c>
      <c r="D26" s="69" t="s">
        <v>5473</v>
      </c>
      <c r="E26" s="69" t="s">
        <v>5452</v>
      </c>
      <c r="F26" s="69" t="s">
        <v>5546</v>
      </c>
      <c r="G26" s="69" t="s">
        <v>5390</v>
      </c>
      <c r="H26" s="69" t="s">
        <v>5475</v>
      </c>
      <c r="I26" s="69" t="s">
        <v>5393</v>
      </c>
      <c r="J26" s="69" t="s">
        <v>5475</v>
      </c>
      <c r="K26" s="69" t="s">
        <v>5393</v>
      </c>
      <c r="L26" s="69" t="s">
        <v>5406</v>
      </c>
      <c r="M26" s="69" t="s">
        <v>5410</v>
      </c>
      <c r="N26" s="69" t="s">
        <v>5396</v>
      </c>
      <c r="O26" s="69" t="s">
        <v>5547</v>
      </c>
      <c r="P26" s="69" t="s">
        <v>5548</v>
      </c>
      <c r="Q26" s="69" t="s">
        <v>5549</v>
      </c>
      <c r="R26" s="69" t="s">
        <v>5550</v>
      </c>
      <c r="S26" s="69" t="s">
        <v>5401</v>
      </c>
      <c r="T26" s="69" t="s">
        <v>5402</v>
      </c>
      <c r="U26" s="69" t="s">
        <v>5401</v>
      </c>
      <c r="V26" s="69" t="s">
        <v>5401</v>
      </c>
      <c r="W26" s="69" t="s">
        <v>5551</v>
      </c>
      <c r="X26" s="69" t="s">
        <v>5404</v>
      </c>
      <c r="Y26" s="69" t="s">
        <v>5474</v>
      </c>
      <c r="Z26" s="69" t="s">
        <v>5406</v>
      </c>
      <c r="AA26" s="69" t="s">
        <v>5401</v>
      </c>
      <c r="AB26" s="69" t="s">
        <v>5401</v>
      </c>
      <c r="AC26" s="69" t="s">
        <v>5461</v>
      </c>
      <c r="AD26" s="69" t="s">
        <v>5461</v>
      </c>
      <c r="AE26" s="69" t="s">
        <v>5394</v>
      </c>
      <c r="AF26" s="69" t="s">
        <v>5401</v>
      </c>
      <c r="AG26" s="69" t="s">
        <v>5408</v>
      </c>
      <c r="AH26" s="69" t="s">
        <v>5406</v>
      </c>
      <c r="AI26" s="69" t="s">
        <v>5406</v>
      </c>
      <c r="AJ26" s="69" t="s">
        <v>5552</v>
      </c>
      <c r="AK26" s="69" t="s">
        <v>5409</v>
      </c>
      <c r="AL26" s="69" t="s">
        <v>5401</v>
      </c>
      <c r="AM26" s="69" t="s">
        <v>5401</v>
      </c>
    </row>
    <row r="27" spans="1:39">
      <c r="A27" s="69" t="s">
        <v>5553</v>
      </c>
      <c r="B27" s="69" t="s">
        <v>5386</v>
      </c>
      <c r="C27" s="69" t="e">
        <f>VLOOKUP(A27,'202306带宽'!$H$2:$H$978,1,FALSE)</f>
        <v>#N/A</v>
      </c>
      <c r="D27" s="69" t="s">
        <v>5473</v>
      </c>
      <c r="E27" s="69" t="s">
        <v>5452</v>
      </c>
      <c r="F27" s="69" t="s">
        <v>5546</v>
      </c>
      <c r="G27" s="69" t="s">
        <v>5390</v>
      </c>
      <c r="H27" s="69" t="s">
        <v>5475</v>
      </c>
      <c r="I27" s="69" t="s">
        <v>5393</v>
      </c>
      <c r="J27" s="69" t="s">
        <v>5475</v>
      </c>
      <c r="K27" s="69" t="s">
        <v>5393</v>
      </c>
      <c r="L27" s="69" t="s">
        <v>5406</v>
      </c>
      <c r="M27" s="69" t="s">
        <v>5554</v>
      </c>
      <c r="N27" s="69" t="s">
        <v>5396</v>
      </c>
      <c r="O27" s="69" t="s">
        <v>5555</v>
      </c>
      <c r="P27" s="69" t="s">
        <v>5556</v>
      </c>
      <c r="Q27" s="69" t="s">
        <v>5539</v>
      </c>
      <c r="R27" s="69" t="s">
        <v>5557</v>
      </c>
      <c r="S27" s="69" t="s">
        <v>5401</v>
      </c>
      <c r="T27" s="69" t="s">
        <v>5402</v>
      </c>
      <c r="U27" s="69" t="s">
        <v>5401</v>
      </c>
      <c r="V27" s="69" t="s">
        <v>5401</v>
      </c>
      <c r="W27" s="69" t="s">
        <v>5558</v>
      </c>
      <c r="X27" s="69" t="s">
        <v>5404</v>
      </c>
      <c r="Y27" s="69" t="s">
        <v>5532</v>
      </c>
      <c r="Z27" s="69" t="s">
        <v>5406</v>
      </c>
      <c r="AA27" s="69" t="s">
        <v>5401</v>
      </c>
      <c r="AB27" s="69" t="s">
        <v>5401</v>
      </c>
      <c r="AC27" s="69" t="s">
        <v>5461</v>
      </c>
      <c r="AD27" s="69" t="s">
        <v>5461</v>
      </c>
      <c r="AE27" s="69" t="s">
        <v>5394</v>
      </c>
      <c r="AF27" s="69" t="s">
        <v>5401</v>
      </c>
      <c r="AG27" s="69" t="s">
        <v>5408</v>
      </c>
      <c r="AH27" s="69" t="s">
        <v>5406</v>
      </c>
      <c r="AI27" s="69" t="s">
        <v>5406</v>
      </c>
      <c r="AJ27" s="69" t="s">
        <v>5552</v>
      </c>
      <c r="AK27" s="69" t="s">
        <v>5559</v>
      </c>
      <c r="AL27" s="69" t="s">
        <v>5401</v>
      </c>
      <c r="AM27" s="69" t="s">
        <v>5401</v>
      </c>
    </row>
    <row r="28" spans="1:39">
      <c r="A28" s="69" t="s">
        <v>5560</v>
      </c>
      <c r="B28" s="69" t="s">
        <v>5386</v>
      </c>
      <c r="C28" s="69" t="e">
        <f>VLOOKUP(A28,'202306带宽'!$H$2:$H$978,1,FALSE)</f>
        <v>#N/A</v>
      </c>
      <c r="D28" s="69" t="s">
        <v>5451</v>
      </c>
      <c r="E28" s="69" t="s">
        <v>5452</v>
      </c>
      <c r="F28" s="69" t="s">
        <v>5561</v>
      </c>
      <c r="G28" s="69" t="s">
        <v>5390</v>
      </c>
      <c r="H28" s="69" t="s">
        <v>5454</v>
      </c>
      <c r="I28" s="69" t="s">
        <v>5392</v>
      </c>
      <c r="J28" s="69" t="s">
        <v>1791</v>
      </c>
      <c r="K28" s="69" t="s">
        <v>5393</v>
      </c>
      <c r="L28" s="69" t="s">
        <v>5394</v>
      </c>
      <c r="M28" s="69" t="s">
        <v>5410</v>
      </c>
      <c r="N28" s="69" t="s">
        <v>5396</v>
      </c>
      <c r="O28" s="69" t="s">
        <v>5562</v>
      </c>
      <c r="P28" s="69" t="s">
        <v>5563</v>
      </c>
      <c r="Q28" s="69" t="s">
        <v>5413</v>
      </c>
      <c r="R28" s="69" t="s">
        <v>5414</v>
      </c>
      <c r="S28" s="69" t="s">
        <v>5401</v>
      </c>
      <c r="T28" s="69" t="s">
        <v>5402</v>
      </c>
      <c r="U28" s="69" t="s">
        <v>5401</v>
      </c>
      <c r="V28" s="69" t="s">
        <v>5401</v>
      </c>
      <c r="W28" s="69" t="s">
        <v>5564</v>
      </c>
      <c r="X28" s="69" t="s">
        <v>5404</v>
      </c>
      <c r="Y28" s="69" t="s">
        <v>5453</v>
      </c>
      <c r="Z28" s="69" t="s">
        <v>5406</v>
      </c>
      <c r="AA28" s="69" t="s">
        <v>5401</v>
      </c>
      <c r="AB28" s="69" t="s">
        <v>5401</v>
      </c>
      <c r="AC28" s="69" t="s">
        <v>5461</v>
      </c>
      <c r="AD28" s="69" t="s">
        <v>5461</v>
      </c>
      <c r="AE28" s="69" t="s">
        <v>5394</v>
      </c>
      <c r="AF28" s="69" t="s">
        <v>5401</v>
      </c>
      <c r="AG28" s="69" t="s">
        <v>5408</v>
      </c>
      <c r="AH28" s="69" t="s">
        <v>5406</v>
      </c>
      <c r="AI28" s="69" t="s">
        <v>5406</v>
      </c>
      <c r="AJ28" s="69" t="s">
        <v>5462</v>
      </c>
      <c r="AK28" s="69" t="s">
        <v>5409</v>
      </c>
      <c r="AL28" s="69" t="s">
        <v>5401</v>
      </c>
      <c r="AM28" s="69" t="s">
        <v>5401</v>
      </c>
    </row>
    <row r="29" spans="1:39" hidden="1">
      <c r="A29" s="69" t="s">
        <v>5131</v>
      </c>
      <c r="B29" s="69" t="s">
        <v>5386</v>
      </c>
      <c r="C29" s="69" t="str">
        <f>VLOOKUP(A29,'202306带宽'!$H$2:$H$978,1,FALSE)</f>
        <v>182315IDC00225</v>
      </c>
      <c r="E29" s="69" t="s">
        <v>5388</v>
      </c>
      <c r="F29" s="69" t="s">
        <v>5565</v>
      </c>
      <c r="G29" s="69" t="s">
        <v>5390</v>
      </c>
      <c r="H29" s="69" t="s">
        <v>5467</v>
      </c>
      <c r="I29" s="69" t="s">
        <v>5392</v>
      </c>
      <c r="J29" s="69" t="s">
        <v>418</v>
      </c>
      <c r="K29" s="69" t="s">
        <v>5393</v>
      </c>
      <c r="L29" s="69" t="s">
        <v>5394</v>
      </c>
      <c r="M29" s="69" t="s">
        <v>5410</v>
      </c>
      <c r="N29" s="69" t="s">
        <v>5396</v>
      </c>
      <c r="O29" s="69" t="s">
        <v>5566</v>
      </c>
      <c r="P29" s="69" t="s">
        <v>5567</v>
      </c>
      <c r="Q29" s="69" t="s">
        <v>5428</v>
      </c>
      <c r="R29" s="69" t="s">
        <v>5429</v>
      </c>
      <c r="S29" s="69" t="s">
        <v>5401</v>
      </c>
      <c r="T29" s="69" t="s">
        <v>5402</v>
      </c>
      <c r="U29" s="69" t="s">
        <v>5401</v>
      </c>
      <c r="V29" s="69" t="s">
        <v>5401</v>
      </c>
      <c r="W29" s="69" t="s">
        <v>5568</v>
      </c>
      <c r="X29" s="69" t="s">
        <v>5404</v>
      </c>
      <c r="Y29" s="69" t="s">
        <v>5453</v>
      </c>
      <c r="Z29" s="69" t="s">
        <v>5406</v>
      </c>
      <c r="AA29" s="69" t="s">
        <v>5401</v>
      </c>
      <c r="AB29" s="69" t="s">
        <v>5401</v>
      </c>
      <c r="AC29" s="69" t="s">
        <v>5416</v>
      </c>
      <c r="AD29" s="69" t="s">
        <v>5416</v>
      </c>
      <c r="AE29" s="69" t="s">
        <v>5406</v>
      </c>
      <c r="AF29" s="69" t="s">
        <v>5401</v>
      </c>
      <c r="AG29" s="69" t="s">
        <v>5408</v>
      </c>
      <c r="AH29" s="69" t="s">
        <v>5406</v>
      </c>
      <c r="AI29" s="69" t="s">
        <v>5406</v>
      </c>
      <c r="AJ29" s="69" t="s">
        <v>5401</v>
      </c>
      <c r="AK29" s="69" t="s">
        <v>5409</v>
      </c>
      <c r="AL29" s="69" t="s">
        <v>5401</v>
      </c>
      <c r="AM29" s="69" t="s">
        <v>5401</v>
      </c>
    </row>
    <row r="30" spans="1:39">
      <c r="A30" s="69" t="s">
        <v>5569</v>
      </c>
      <c r="B30" s="69" t="s">
        <v>5386</v>
      </c>
      <c r="C30" s="69" t="e">
        <f>VLOOKUP(A30,'202306带宽'!$H$2:$H$978,1,FALSE)</f>
        <v>#N/A</v>
      </c>
      <c r="D30" s="69" t="s">
        <v>5473</v>
      </c>
      <c r="E30" s="69" t="s">
        <v>5388</v>
      </c>
      <c r="F30" s="69" t="s">
        <v>5570</v>
      </c>
      <c r="G30" s="69" t="s">
        <v>5390</v>
      </c>
      <c r="H30" s="69" t="s">
        <v>5454</v>
      </c>
      <c r="I30" s="69" t="s">
        <v>5392</v>
      </c>
      <c r="J30" s="69" t="s">
        <v>1791</v>
      </c>
      <c r="K30" s="69" t="s">
        <v>5393</v>
      </c>
      <c r="L30" s="69" t="s">
        <v>5394</v>
      </c>
      <c r="M30" s="69" t="s">
        <v>5410</v>
      </c>
      <c r="N30" s="69" t="s">
        <v>5396</v>
      </c>
      <c r="O30" s="69" t="s">
        <v>5571</v>
      </c>
      <c r="P30" s="69" t="s">
        <v>5572</v>
      </c>
      <c r="Q30" s="69" t="s">
        <v>5573</v>
      </c>
      <c r="R30" s="69" t="s">
        <v>5574</v>
      </c>
      <c r="S30" s="69" t="s">
        <v>5401</v>
      </c>
      <c r="T30" s="69" t="s">
        <v>5402</v>
      </c>
      <c r="U30" s="69" t="s">
        <v>5401</v>
      </c>
      <c r="V30" s="69" t="s">
        <v>5401</v>
      </c>
      <c r="W30" s="69" t="s">
        <v>5575</v>
      </c>
      <c r="X30" s="69" t="s">
        <v>5404</v>
      </c>
      <c r="Y30" s="69" t="s">
        <v>5532</v>
      </c>
      <c r="Z30" s="69" t="s">
        <v>5406</v>
      </c>
      <c r="AA30" s="69" t="s">
        <v>5401</v>
      </c>
      <c r="AB30" s="69" t="s">
        <v>5401</v>
      </c>
      <c r="AC30" s="69" t="s">
        <v>5461</v>
      </c>
      <c r="AD30" s="69" t="s">
        <v>5461</v>
      </c>
      <c r="AE30" s="69" t="s">
        <v>5406</v>
      </c>
      <c r="AF30" s="69" t="s">
        <v>5401</v>
      </c>
      <c r="AG30" s="69" t="s">
        <v>5408</v>
      </c>
      <c r="AH30" s="69" t="s">
        <v>5406</v>
      </c>
      <c r="AI30" s="69" t="s">
        <v>5406</v>
      </c>
      <c r="AJ30" s="69" t="s">
        <v>5401</v>
      </c>
      <c r="AK30" s="69" t="s">
        <v>5409</v>
      </c>
      <c r="AL30" s="69" t="s">
        <v>5401</v>
      </c>
      <c r="AM30" s="69" t="s">
        <v>5401</v>
      </c>
    </row>
    <row r="31" spans="1:39">
      <c r="A31" s="69" t="s">
        <v>5576</v>
      </c>
      <c r="B31" s="69" t="s">
        <v>5444</v>
      </c>
      <c r="C31" s="69" t="e">
        <f>VLOOKUP(A31,'202306带宽'!$H$2:$H$978,1,FALSE)</f>
        <v>#N/A</v>
      </c>
      <c r="D31" s="69" t="s">
        <v>5577</v>
      </c>
      <c r="E31" s="69" t="s">
        <v>5388</v>
      </c>
      <c r="F31" s="69" t="s">
        <v>5570</v>
      </c>
      <c r="G31" s="69" t="s">
        <v>5390</v>
      </c>
      <c r="H31" s="69" t="s">
        <v>29</v>
      </c>
      <c r="I31" s="69" t="s">
        <v>5392</v>
      </c>
      <c r="J31" s="69" t="s">
        <v>215</v>
      </c>
      <c r="K31" s="69" t="s">
        <v>5393</v>
      </c>
      <c r="L31" s="69" t="s">
        <v>5394</v>
      </c>
      <c r="M31" s="69" t="s">
        <v>5410</v>
      </c>
      <c r="N31" s="69" t="s">
        <v>5396</v>
      </c>
      <c r="O31" s="69" t="s">
        <v>5578</v>
      </c>
      <c r="P31" s="69" t="s">
        <v>5579</v>
      </c>
      <c r="Q31" s="69" t="s">
        <v>5420</v>
      </c>
      <c r="R31" s="69" t="s">
        <v>5447</v>
      </c>
      <c r="S31" s="69" t="s">
        <v>5401</v>
      </c>
      <c r="T31" s="69" t="s">
        <v>5402</v>
      </c>
      <c r="U31" s="69" t="s">
        <v>5401</v>
      </c>
      <c r="V31" s="69" t="s">
        <v>5401</v>
      </c>
      <c r="W31" s="69" t="s">
        <v>5580</v>
      </c>
      <c r="X31" s="69" t="s">
        <v>5404</v>
      </c>
      <c r="Y31" s="69" t="s">
        <v>5532</v>
      </c>
      <c r="Z31" s="69" t="s">
        <v>5406</v>
      </c>
      <c r="AA31" s="69" t="s">
        <v>5401</v>
      </c>
      <c r="AB31" s="69" t="s">
        <v>5471</v>
      </c>
      <c r="AC31" s="69" t="s">
        <v>5416</v>
      </c>
      <c r="AD31" s="69" t="s">
        <v>5416</v>
      </c>
      <c r="AE31" s="69" t="s">
        <v>5406</v>
      </c>
      <c r="AF31" s="69" t="s">
        <v>5401</v>
      </c>
      <c r="AG31" s="69" t="s">
        <v>5425</v>
      </c>
      <c r="AH31" s="69" t="s">
        <v>5406</v>
      </c>
      <c r="AI31" s="69" t="s">
        <v>5406</v>
      </c>
      <c r="AJ31" s="69" t="s">
        <v>5401</v>
      </c>
      <c r="AK31" s="69" t="s">
        <v>5409</v>
      </c>
      <c r="AL31" s="69" t="s">
        <v>5401</v>
      </c>
      <c r="AM31" s="69" t="s">
        <v>5401</v>
      </c>
    </row>
    <row r="32" spans="1:39">
      <c r="A32" s="69" t="s">
        <v>5581</v>
      </c>
      <c r="B32" s="69" t="s">
        <v>5386</v>
      </c>
      <c r="C32" s="69" t="e">
        <f>VLOOKUP(A32,'202306带宽'!$H$2:$H$978,1,FALSE)</f>
        <v>#N/A</v>
      </c>
      <c r="D32" s="69" t="s">
        <v>5582</v>
      </c>
      <c r="E32" s="69" t="s">
        <v>5388</v>
      </c>
      <c r="F32" s="69" t="s">
        <v>5570</v>
      </c>
      <c r="G32" s="69" t="s">
        <v>5390</v>
      </c>
      <c r="H32" s="69" t="s">
        <v>5391</v>
      </c>
      <c r="I32" s="69" t="s">
        <v>5392</v>
      </c>
      <c r="J32" s="69" t="s">
        <v>71</v>
      </c>
      <c r="K32" s="69" t="s">
        <v>5393</v>
      </c>
      <c r="L32" s="69" t="s">
        <v>5394</v>
      </c>
      <c r="M32" s="69" t="s">
        <v>5410</v>
      </c>
      <c r="N32" s="69" t="s">
        <v>5396</v>
      </c>
      <c r="O32" s="69" t="s">
        <v>5583</v>
      </c>
      <c r="P32" s="69" t="s">
        <v>5584</v>
      </c>
      <c r="Q32" s="69" t="s">
        <v>5585</v>
      </c>
      <c r="R32" s="69" t="s">
        <v>5586</v>
      </c>
      <c r="S32" s="69" t="s">
        <v>5401</v>
      </c>
      <c r="T32" s="69" t="s">
        <v>5402</v>
      </c>
      <c r="U32" s="69" t="s">
        <v>5401</v>
      </c>
      <c r="V32" s="69" t="s">
        <v>5401</v>
      </c>
      <c r="W32" s="69" t="s">
        <v>5587</v>
      </c>
      <c r="X32" s="69" t="s">
        <v>5404</v>
      </c>
      <c r="Y32" s="69" t="s">
        <v>5588</v>
      </c>
      <c r="Z32" s="69" t="s">
        <v>5406</v>
      </c>
      <c r="AA32" s="69" t="s">
        <v>5401</v>
      </c>
      <c r="AB32" s="69" t="s">
        <v>5401</v>
      </c>
      <c r="AC32" s="69" t="s">
        <v>5407</v>
      </c>
      <c r="AD32" s="69" t="s">
        <v>5407</v>
      </c>
      <c r="AE32" s="69" t="s">
        <v>5406</v>
      </c>
      <c r="AF32" s="69" t="s">
        <v>5401</v>
      </c>
      <c r="AG32" s="69" t="s">
        <v>5408</v>
      </c>
      <c r="AH32" s="69" t="s">
        <v>5406</v>
      </c>
      <c r="AI32" s="69" t="s">
        <v>5406</v>
      </c>
      <c r="AJ32" s="69" t="s">
        <v>5401</v>
      </c>
      <c r="AK32" s="69" t="s">
        <v>5409</v>
      </c>
      <c r="AL32" s="69" t="s">
        <v>5401</v>
      </c>
      <c r="AM32" s="69" t="s">
        <v>5401</v>
      </c>
    </row>
    <row r="33" spans="1:39" hidden="1">
      <c r="A33" s="69" t="s">
        <v>4456</v>
      </c>
      <c r="B33" s="69" t="s">
        <v>5386</v>
      </c>
      <c r="C33" s="69" t="str">
        <f>VLOOKUP(A33,'202306带宽'!$H$2:$H$978,1,FALSE)</f>
        <v>182315IDC00219</v>
      </c>
      <c r="E33" s="69" t="s">
        <v>5388</v>
      </c>
      <c r="F33" s="69" t="s">
        <v>5570</v>
      </c>
      <c r="G33" s="69" t="s">
        <v>5390</v>
      </c>
      <c r="H33" s="69" t="s">
        <v>5467</v>
      </c>
      <c r="I33" s="69" t="s">
        <v>5392</v>
      </c>
      <c r="J33" s="69" t="s">
        <v>3667</v>
      </c>
      <c r="K33" s="69" t="s">
        <v>5393</v>
      </c>
      <c r="L33" s="69" t="s">
        <v>5394</v>
      </c>
      <c r="M33" s="69" t="s">
        <v>5410</v>
      </c>
      <c r="N33" s="69" t="s">
        <v>5396</v>
      </c>
      <c r="O33" s="69" t="s">
        <v>5589</v>
      </c>
      <c r="P33" s="69" t="s">
        <v>5590</v>
      </c>
      <c r="Q33" s="69" t="s">
        <v>5428</v>
      </c>
      <c r="R33" s="69" t="s">
        <v>5429</v>
      </c>
      <c r="S33" s="69" t="s">
        <v>5401</v>
      </c>
      <c r="T33" s="69" t="s">
        <v>5402</v>
      </c>
      <c r="U33" s="69" t="s">
        <v>5401</v>
      </c>
      <c r="V33" s="69" t="s">
        <v>5401</v>
      </c>
      <c r="W33" s="69" t="s">
        <v>5591</v>
      </c>
      <c r="X33" s="69" t="s">
        <v>5404</v>
      </c>
      <c r="Y33" s="69" t="s">
        <v>5532</v>
      </c>
      <c r="Z33" s="69" t="s">
        <v>5394</v>
      </c>
      <c r="AA33" s="69" t="s">
        <v>5592</v>
      </c>
      <c r="AB33" s="69" t="s">
        <v>5593</v>
      </c>
      <c r="AC33" s="69" t="s">
        <v>5416</v>
      </c>
      <c r="AD33" s="69" t="s">
        <v>5416</v>
      </c>
      <c r="AE33" s="69" t="s">
        <v>5406</v>
      </c>
      <c r="AF33" s="69" t="s">
        <v>5401</v>
      </c>
      <c r="AG33" s="69" t="s">
        <v>5408</v>
      </c>
      <c r="AH33" s="69" t="s">
        <v>5406</v>
      </c>
      <c r="AI33" s="69" t="s">
        <v>5406</v>
      </c>
      <c r="AJ33" s="69" t="s">
        <v>5401</v>
      </c>
      <c r="AK33" s="69" t="s">
        <v>5409</v>
      </c>
      <c r="AL33" s="69" t="s">
        <v>5401</v>
      </c>
      <c r="AM33" s="69" t="s">
        <v>5401</v>
      </c>
    </row>
    <row r="34" spans="1:39" hidden="1">
      <c r="A34" s="69" t="s">
        <v>112</v>
      </c>
      <c r="B34" s="69" t="s">
        <v>5386</v>
      </c>
      <c r="C34" s="69" t="str">
        <f>VLOOKUP(A34,'202306带宽'!$H$2:$H$978,1,FALSE)</f>
        <v>182315IDC00217</v>
      </c>
      <c r="E34" s="69" t="s">
        <v>5388</v>
      </c>
      <c r="F34" s="69" t="s">
        <v>5594</v>
      </c>
      <c r="G34" s="69" t="s">
        <v>5390</v>
      </c>
      <c r="H34" s="69" t="s">
        <v>29</v>
      </c>
      <c r="I34" s="69" t="s">
        <v>5392</v>
      </c>
      <c r="J34" s="69" t="s">
        <v>31</v>
      </c>
      <c r="K34" s="69" t="s">
        <v>5393</v>
      </c>
      <c r="L34" s="69" t="s">
        <v>5394</v>
      </c>
      <c r="M34" s="69" t="s">
        <v>5410</v>
      </c>
      <c r="N34" s="69" t="s">
        <v>5396</v>
      </c>
      <c r="O34" s="69" t="s">
        <v>5595</v>
      </c>
      <c r="P34" s="69" t="s">
        <v>5596</v>
      </c>
      <c r="Q34" s="69" t="s">
        <v>5428</v>
      </c>
      <c r="R34" s="69" t="s">
        <v>5597</v>
      </c>
      <c r="S34" s="69" t="s">
        <v>5401</v>
      </c>
      <c r="T34" s="69" t="s">
        <v>5402</v>
      </c>
      <c r="U34" s="69" t="s">
        <v>5401</v>
      </c>
      <c r="V34" s="69" t="s">
        <v>5401</v>
      </c>
      <c r="W34" s="69" t="s">
        <v>5598</v>
      </c>
      <c r="X34" s="69" t="s">
        <v>5404</v>
      </c>
      <c r="Y34" s="69" t="s">
        <v>5532</v>
      </c>
      <c r="Z34" s="69" t="s">
        <v>5394</v>
      </c>
      <c r="AA34" s="69" t="s">
        <v>5442</v>
      </c>
      <c r="AB34" s="69" t="s">
        <v>100</v>
      </c>
      <c r="AC34" s="69" t="s">
        <v>5416</v>
      </c>
      <c r="AD34" s="69" t="s">
        <v>5416</v>
      </c>
      <c r="AE34" s="69" t="s">
        <v>5406</v>
      </c>
      <c r="AF34" s="69" t="s">
        <v>5401</v>
      </c>
      <c r="AG34" s="69" t="s">
        <v>5408</v>
      </c>
      <c r="AH34" s="69" t="s">
        <v>5406</v>
      </c>
      <c r="AI34" s="69" t="s">
        <v>5406</v>
      </c>
      <c r="AJ34" s="69" t="s">
        <v>5401</v>
      </c>
      <c r="AK34" s="69" t="s">
        <v>5409</v>
      </c>
      <c r="AL34" s="69" t="s">
        <v>5401</v>
      </c>
      <c r="AM34" s="69" t="s">
        <v>5401</v>
      </c>
    </row>
    <row r="35" spans="1:39">
      <c r="A35" s="69" t="s">
        <v>5599</v>
      </c>
      <c r="B35" s="69" t="s">
        <v>5444</v>
      </c>
      <c r="C35" s="69" t="e">
        <f>VLOOKUP(A35,'202306带宽'!$H$2:$H$978,1,FALSE)</f>
        <v>#N/A</v>
      </c>
      <c r="D35" s="69" t="s">
        <v>5600</v>
      </c>
      <c r="E35" s="69" t="s">
        <v>5388</v>
      </c>
      <c r="F35" s="69" t="s">
        <v>5594</v>
      </c>
      <c r="G35" s="69" t="s">
        <v>5390</v>
      </c>
      <c r="H35" s="69" t="s">
        <v>29</v>
      </c>
      <c r="I35" s="69" t="s">
        <v>5392</v>
      </c>
      <c r="J35" s="69" t="s">
        <v>31</v>
      </c>
      <c r="K35" s="69" t="s">
        <v>5393</v>
      </c>
      <c r="L35" s="69" t="s">
        <v>5394</v>
      </c>
      <c r="M35" s="69" t="s">
        <v>5410</v>
      </c>
      <c r="N35" s="69" t="s">
        <v>5396</v>
      </c>
      <c r="O35" s="69" t="s">
        <v>5601</v>
      </c>
      <c r="P35" s="69" t="s">
        <v>5602</v>
      </c>
      <c r="Q35" s="69" t="s">
        <v>5413</v>
      </c>
      <c r="R35" s="69" t="s">
        <v>5603</v>
      </c>
      <c r="S35" s="69" t="s">
        <v>5401</v>
      </c>
      <c r="T35" s="69" t="s">
        <v>5402</v>
      </c>
      <c r="U35" s="69" t="s">
        <v>5401</v>
      </c>
      <c r="V35" s="69" t="s">
        <v>5401</v>
      </c>
      <c r="W35" s="69" t="s">
        <v>5604</v>
      </c>
      <c r="X35" s="69" t="s">
        <v>5404</v>
      </c>
      <c r="Y35" s="69" t="s">
        <v>5532</v>
      </c>
      <c r="Z35" s="69" t="s">
        <v>5406</v>
      </c>
      <c r="AA35" s="69" t="s">
        <v>5401</v>
      </c>
      <c r="AB35" s="69" t="s">
        <v>5401</v>
      </c>
      <c r="AC35" s="69" t="s">
        <v>5416</v>
      </c>
      <c r="AD35" s="69" t="s">
        <v>5416</v>
      </c>
      <c r="AE35" s="69" t="s">
        <v>5406</v>
      </c>
      <c r="AF35" s="69" t="s">
        <v>5401</v>
      </c>
      <c r="AG35" s="69" t="s">
        <v>5408</v>
      </c>
      <c r="AH35" s="69" t="s">
        <v>5406</v>
      </c>
      <c r="AI35" s="69" t="s">
        <v>5406</v>
      </c>
      <c r="AJ35" s="69" t="s">
        <v>5401</v>
      </c>
      <c r="AK35" s="69" t="s">
        <v>5409</v>
      </c>
      <c r="AL35" s="69" t="s">
        <v>5401</v>
      </c>
      <c r="AM35" s="69" t="s">
        <v>5401</v>
      </c>
    </row>
    <row r="36" spans="1:39" hidden="1">
      <c r="A36" s="69" t="s">
        <v>55</v>
      </c>
      <c r="B36" s="69" t="s">
        <v>5386</v>
      </c>
      <c r="C36" s="69" t="str">
        <f>VLOOKUP(A36,'202306带宽'!$H$2:$H$978,1,FALSE)</f>
        <v>182315IDC00213</v>
      </c>
      <c r="E36" s="69" t="s">
        <v>5388</v>
      </c>
      <c r="F36" s="69" t="s">
        <v>5594</v>
      </c>
      <c r="G36" s="69" t="s">
        <v>5390</v>
      </c>
      <c r="H36" s="69" t="s">
        <v>29</v>
      </c>
      <c r="I36" s="69" t="s">
        <v>5392</v>
      </c>
      <c r="J36" s="69" t="s">
        <v>31</v>
      </c>
      <c r="K36" s="69" t="s">
        <v>5393</v>
      </c>
      <c r="L36" s="69" t="s">
        <v>5394</v>
      </c>
      <c r="M36" s="69" t="s">
        <v>5410</v>
      </c>
      <c r="N36" s="69" t="s">
        <v>5396</v>
      </c>
      <c r="O36" s="69" t="s">
        <v>5605</v>
      </c>
      <c r="P36" s="69" t="s">
        <v>5606</v>
      </c>
      <c r="Q36" s="69" t="s">
        <v>5428</v>
      </c>
      <c r="R36" s="69" t="s">
        <v>5429</v>
      </c>
      <c r="S36" s="69" t="s">
        <v>5401</v>
      </c>
      <c r="T36" s="69" t="s">
        <v>5402</v>
      </c>
      <c r="U36" s="69" t="s">
        <v>5401</v>
      </c>
      <c r="V36" s="69" t="s">
        <v>5401</v>
      </c>
      <c r="W36" s="69" t="s">
        <v>5607</v>
      </c>
      <c r="X36" s="69" t="s">
        <v>5404</v>
      </c>
      <c r="Y36" s="69" t="s">
        <v>5532</v>
      </c>
      <c r="Z36" s="69" t="s">
        <v>5406</v>
      </c>
      <c r="AA36" s="69" t="s">
        <v>5401</v>
      </c>
      <c r="AB36" s="69" t="s">
        <v>5401</v>
      </c>
      <c r="AC36" s="69" t="s">
        <v>5416</v>
      </c>
      <c r="AD36" s="69" t="s">
        <v>5416</v>
      </c>
      <c r="AE36" s="69" t="s">
        <v>5406</v>
      </c>
      <c r="AF36" s="69" t="s">
        <v>5401</v>
      </c>
      <c r="AG36" s="69" t="s">
        <v>5408</v>
      </c>
      <c r="AH36" s="69" t="s">
        <v>5406</v>
      </c>
      <c r="AI36" s="69" t="s">
        <v>5406</v>
      </c>
      <c r="AJ36" s="69" t="s">
        <v>5401</v>
      </c>
      <c r="AK36" s="69" t="s">
        <v>5409</v>
      </c>
      <c r="AL36" s="69" t="s">
        <v>5401</v>
      </c>
      <c r="AM36" s="69" t="s">
        <v>5401</v>
      </c>
    </row>
    <row r="37" spans="1:39" hidden="1">
      <c r="A37" s="69" t="s">
        <v>1215</v>
      </c>
      <c r="B37" s="69" t="s">
        <v>5386</v>
      </c>
      <c r="C37" s="69" t="str">
        <f>VLOOKUP(A37,'202306带宽'!$H$2:$H$978,1,FALSE)</f>
        <v>182315IDC00216</v>
      </c>
      <c r="E37" s="69" t="s">
        <v>5388</v>
      </c>
      <c r="F37" s="69" t="s">
        <v>5594</v>
      </c>
      <c r="G37" s="69" t="s">
        <v>5390</v>
      </c>
      <c r="H37" s="69" t="s">
        <v>29</v>
      </c>
      <c r="I37" s="69" t="s">
        <v>5392</v>
      </c>
      <c r="J37" s="69" t="s">
        <v>31</v>
      </c>
      <c r="K37" s="69" t="s">
        <v>5393</v>
      </c>
      <c r="L37" s="69" t="s">
        <v>5394</v>
      </c>
      <c r="M37" s="69" t="s">
        <v>5410</v>
      </c>
      <c r="N37" s="69" t="s">
        <v>5396</v>
      </c>
      <c r="O37" s="69" t="s">
        <v>5608</v>
      </c>
      <c r="P37" s="69" t="s">
        <v>5609</v>
      </c>
      <c r="Q37" s="69" t="s">
        <v>5510</v>
      </c>
      <c r="R37" s="69" t="s">
        <v>5511</v>
      </c>
      <c r="S37" s="69" t="s">
        <v>5401</v>
      </c>
      <c r="T37" s="69" t="s">
        <v>5402</v>
      </c>
      <c r="U37" s="69" t="s">
        <v>5401</v>
      </c>
      <c r="V37" s="69" t="s">
        <v>5401</v>
      </c>
      <c r="W37" s="69" t="s">
        <v>5610</v>
      </c>
      <c r="X37" s="69" t="s">
        <v>5404</v>
      </c>
      <c r="Y37" s="69" t="s">
        <v>5532</v>
      </c>
      <c r="Z37" s="69" t="s">
        <v>5406</v>
      </c>
      <c r="AA37" s="69" t="s">
        <v>5401</v>
      </c>
      <c r="AB37" s="69" t="s">
        <v>5401</v>
      </c>
      <c r="AC37" s="69" t="s">
        <v>5416</v>
      </c>
      <c r="AD37" s="69" t="s">
        <v>5416</v>
      </c>
      <c r="AE37" s="69" t="s">
        <v>5406</v>
      </c>
      <c r="AF37" s="69" t="s">
        <v>5401</v>
      </c>
      <c r="AG37" s="69" t="s">
        <v>5408</v>
      </c>
      <c r="AH37" s="69" t="s">
        <v>5406</v>
      </c>
      <c r="AI37" s="69" t="s">
        <v>5406</v>
      </c>
      <c r="AJ37" s="69" t="s">
        <v>5401</v>
      </c>
      <c r="AK37" s="69" t="s">
        <v>5409</v>
      </c>
      <c r="AL37" s="69" t="s">
        <v>5401</v>
      </c>
      <c r="AM37" s="69" t="s">
        <v>5401</v>
      </c>
    </row>
    <row r="38" spans="1:39" hidden="1">
      <c r="A38" s="69" t="s">
        <v>186</v>
      </c>
      <c r="B38" s="69" t="s">
        <v>5386</v>
      </c>
      <c r="C38" s="69" t="str">
        <f>VLOOKUP(A38,'202306带宽'!$H$2:$H$978,1,FALSE)</f>
        <v>182315IDC00214</v>
      </c>
      <c r="E38" s="69" t="s">
        <v>5388</v>
      </c>
      <c r="F38" s="69" t="s">
        <v>5594</v>
      </c>
      <c r="G38" s="69" t="s">
        <v>5390</v>
      </c>
      <c r="H38" s="69" t="s">
        <v>29</v>
      </c>
      <c r="I38" s="69" t="s">
        <v>5392</v>
      </c>
      <c r="J38" s="69" t="s">
        <v>31</v>
      </c>
      <c r="K38" s="69" t="s">
        <v>5393</v>
      </c>
      <c r="L38" s="69" t="s">
        <v>5394</v>
      </c>
      <c r="M38" s="69" t="s">
        <v>5410</v>
      </c>
      <c r="N38" s="69" t="s">
        <v>5396</v>
      </c>
      <c r="O38" s="69" t="s">
        <v>5608</v>
      </c>
      <c r="P38" s="69" t="s">
        <v>5611</v>
      </c>
      <c r="Q38" s="69" t="s">
        <v>3549</v>
      </c>
      <c r="R38" s="69" t="s">
        <v>5612</v>
      </c>
      <c r="S38" s="69" t="s">
        <v>5401</v>
      </c>
      <c r="T38" s="69" t="s">
        <v>5402</v>
      </c>
      <c r="U38" s="69" t="s">
        <v>5401</v>
      </c>
      <c r="V38" s="69" t="s">
        <v>5401</v>
      </c>
      <c r="W38" s="69" t="s">
        <v>5613</v>
      </c>
      <c r="X38" s="69" t="s">
        <v>5404</v>
      </c>
      <c r="Y38" s="69" t="s">
        <v>5532</v>
      </c>
      <c r="Z38" s="69" t="s">
        <v>5406</v>
      </c>
      <c r="AA38" s="69" t="s">
        <v>5401</v>
      </c>
      <c r="AB38" s="69" t="s">
        <v>5401</v>
      </c>
      <c r="AC38" s="69" t="s">
        <v>5416</v>
      </c>
      <c r="AD38" s="69" t="s">
        <v>5416</v>
      </c>
      <c r="AE38" s="69" t="s">
        <v>5406</v>
      </c>
      <c r="AF38" s="69" t="s">
        <v>5401</v>
      </c>
      <c r="AG38" s="69" t="s">
        <v>5408</v>
      </c>
      <c r="AH38" s="69" t="s">
        <v>5406</v>
      </c>
      <c r="AI38" s="69" t="s">
        <v>5406</v>
      </c>
      <c r="AJ38" s="69" t="s">
        <v>5401</v>
      </c>
      <c r="AK38" s="69" t="s">
        <v>5409</v>
      </c>
      <c r="AL38" s="69" t="s">
        <v>5401</v>
      </c>
      <c r="AM38" s="69" t="s">
        <v>5401</v>
      </c>
    </row>
    <row r="39" spans="1:39" hidden="1">
      <c r="A39" s="69" t="s">
        <v>334</v>
      </c>
      <c r="B39" s="69" t="s">
        <v>5386</v>
      </c>
      <c r="C39" s="69" t="str">
        <f>VLOOKUP(A39,'202306带宽'!$H$2:$H$978,1,FALSE)</f>
        <v>182315IDC00212</v>
      </c>
      <c r="E39" s="69" t="s">
        <v>5388</v>
      </c>
      <c r="F39" s="69" t="s">
        <v>5594</v>
      </c>
      <c r="G39" s="69" t="s">
        <v>5390</v>
      </c>
      <c r="H39" s="69" t="s">
        <v>29</v>
      </c>
      <c r="I39" s="69" t="s">
        <v>5392</v>
      </c>
      <c r="J39" s="69" t="s">
        <v>31</v>
      </c>
      <c r="K39" s="69" t="s">
        <v>5393</v>
      </c>
      <c r="L39" s="69" t="s">
        <v>5394</v>
      </c>
      <c r="M39" s="69" t="s">
        <v>5410</v>
      </c>
      <c r="N39" s="69" t="s">
        <v>5396</v>
      </c>
      <c r="O39" s="69" t="s">
        <v>5614</v>
      </c>
      <c r="P39" s="69" t="s">
        <v>5615</v>
      </c>
      <c r="Q39" s="69" t="s">
        <v>5510</v>
      </c>
      <c r="R39" s="69" t="s">
        <v>5511</v>
      </c>
      <c r="S39" s="69" t="s">
        <v>5401</v>
      </c>
      <c r="T39" s="69" t="s">
        <v>5402</v>
      </c>
      <c r="U39" s="69" t="s">
        <v>5401</v>
      </c>
      <c r="V39" s="69" t="s">
        <v>5401</v>
      </c>
      <c r="W39" s="69" t="s">
        <v>5616</v>
      </c>
      <c r="X39" s="69" t="s">
        <v>5404</v>
      </c>
      <c r="Y39" s="69" t="s">
        <v>5532</v>
      </c>
      <c r="Z39" s="69" t="s">
        <v>5406</v>
      </c>
      <c r="AA39" s="69" t="s">
        <v>5401</v>
      </c>
      <c r="AB39" s="69" t="s">
        <v>5401</v>
      </c>
      <c r="AC39" s="69" t="s">
        <v>5416</v>
      </c>
      <c r="AD39" s="69" t="s">
        <v>5416</v>
      </c>
      <c r="AE39" s="69" t="s">
        <v>5406</v>
      </c>
      <c r="AF39" s="69" t="s">
        <v>5401</v>
      </c>
      <c r="AG39" s="69" t="s">
        <v>5408</v>
      </c>
      <c r="AH39" s="69" t="s">
        <v>5406</v>
      </c>
      <c r="AI39" s="69" t="s">
        <v>5406</v>
      </c>
      <c r="AJ39" s="69" t="s">
        <v>5401</v>
      </c>
      <c r="AK39" s="69" t="s">
        <v>5409</v>
      </c>
      <c r="AL39" s="69" t="s">
        <v>5401</v>
      </c>
      <c r="AM39" s="69" t="s">
        <v>5401</v>
      </c>
    </row>
    <row r="40" spans="1:39" hidden="1">
      <c r="A40" s="69" t="s">
        <v>3545</v>
      </c>
      <c r="B40" s="69" t="s">
        <v>5386</v>
      </c>
      <c r="C40" s="69" t="str">
        <f>VLOOKUP(A40,'202306带宽'!$H$2:$H$978,1,FALSE)</f>
        <v>182315IDC00207</v>
      </c>
      <c r="E40" s="69" t="s">
        <v>5388</v>
      </c>
      <c r="F40" s="69" t="s">
        <v>5617</v>
      </c>
      <c r="G40" s="69" t="s">
        <v>5390</v>
      </c>
      <c r="H40" s="69" t="s">
        <v>29</v>
      </c>
      <c r="I40" s="69" t="s">
        <v>5392</v>
      </c>
      <c r="J40" s="69" t="s">
        <v>1748</v>
      </c>
      <c r="K40" s="69" t="s">
        <v>5393</v>
      </c>
      <c r="L40" s="69" t="s">
        <v>5394</v>
      </c>
      <c r="M40" s="69" t="s">
        <v>5410</v>
      </c>
      <c r="N40" s="69" t="s">
        <v>5396</v>
      </c>
      <c r="O40" s="69" t="s">
        <v>5618</v>
      </c>
      <c r="P40" s="69" t="s">
        <v>5619</v>
      </c>
      <c r="Q40" s="69" t="s">
        <v>3549</v>
      </c>
      <c r="R40" s="69" t="s">
        <v>5612</v>
      </c>
      <c r="S40" s="69" t="s">
        <v>5401</v>
      </c>
      <c r="T40" s="69" t="s">
        <v>5402</v>
      </c>
      <c r="U40" s="69" t="s">
        <v>5401</v>
      </c>
      <c r="V40" s="69" t="s">
        <v>5401</v>
      </c>
      <c r="W40" s="69" t="s">
        <v>5620</v>
      </c>
      <c r="X40" s="69" t="s">
        <v>5404</v>
      </c>
      <c r="Y40" s="69" t="s">
        <v>5532</v>
      </c>
      <c r="Z40" s="69" t="s">
        <v>5406</v>
      </c>
      <c r="AA40" s="69" t="s">
        <v>5401</v>
      </c>
      <c r="AB40" s="69" t="s">
        <v>5401</v>
      </c>
      <c r="AC40" s="69" t="s">
        <v>5416</v>
      </c>
      <c r="AD40" s="69" t="s">
        <v>5416</v>
      </c>
      <c r="AE40" s="69" t="s">
        <v>5406</v>
      </c>
      <c r="AF40" s="69" t="s">
        <v>5401</v>
      </c>
      <c r="AG40" s="69" t="s">
        <v>5408</v>
      </c>
      <c r="AH40" s="69" t="s">
        <v>5406</v>
      </c>
      <c r="AI40" s="69" t="s">
        <v>5406</v>
      </c>
      <c r="AJ40" s="69" t="s">
        <v>5401</v>
      </c>
      <c r="AK40" s="69" t="s">
        <v>5409</v>
      </c>
      <c r="AL40" s="69" t="s">
        <v>5401</v>
      </c>
      <c r="AM40" s="69" t="s">
        <v>5401</v>
      </c>
    </row>
    <row r="41" spans="1:39" hidden="1">
      <c r="A41" s="69" t="s">
        <v>3483</v>
      </c>
      <c r="B41" s="69" t="s">
        <v>5386</v>
      </c>
      <c r="C41" s="69" t="str">
        <f>VLOOKUP(A41,'202306带宽'!$H$2:$H$978,1,FALSE)</f>
        <v>182315IDC00206</v>
      </c>
      <c r="E41" s="69" t="s">
        <v>5388</v>
      </c>
      <c r="F41" s="69" t="s">
        <v>5621</v>
      </c>
      <c r="G41" s="69" t="s">
        <v>5390</v>
      </c>
      <c r="H41" s="69" t="s">
        <v>5391</v>
      </c>
      <c r="I41" s="69" t="s">
        <v>5392</v>
      </c>
      <c r="J41" s="69" t="s">
        <v>1748</v>
      </c>
      <c r="K41" s="69" t="s">
        <v>5393</v>
      </c>
      <c r="L41" s="69" t="s">
        <v>5394</v>
      </c>
      <c r="M41" s="69" t="s">
        <v>5410</v>
      </c>
      <c r="N41" s="69" t="s">
        <v>5396</v>
      </c>
      <c r="O41" s="69" t="s">
        <v>5622</v>
      </c>
      <c r="P41" s="69" t="s">
        <v>5623</v>
      </c>
      <c r="Q41" s="69" t="s">
        <v>5420</v>
      </c>
      <c r="R41" s="69" t="s">
        <v>5421</v>
      </c>
      <c r="S41" s="69" t="s">
        <v>5401</v>
      </c>
      <c r="T41" s="69" t="s">
        <v>5402</v>
      </c>
      <c r="U41" s="69" t="s">
        <v>5401</v>
      </c>
      <c r="V41" s="69" t="s">
        <v>5401</v>
      </c>
      <c r="W41" s="69" t="s">
        <v>5624</v>
      </c>
      <c r="X41" s="69" t="s">
        <v>5404</v>
      </c>
      <c r="Y41" s="69" t="s">
        <v>5532</v>
      </c>
      <c r="Z41" s="69" t="s">
        <v>5406</v>
      </c>
      <c r="AA41" s="69" t="s">
        <v>5401</v>
      </c>
      <c r="AB41" s="69" t="s">
        <v>5401</v>
      </c>
      <c r="AC41" s="69" t="s">
        <v>5416</v>
      </c>
      <c r="AD41" s="69" t="s">
        <v>5416</v>
      </c>
      <c r="AE41" s="69" t="s">
        <v>5406</v>
      </c>
      <c r="AF41" s="69" t="s">
        <v>5401</v>
      </c>
      <c r="AG41" s="69" t="s">
        <v>5408</v>
      </c>
      <c r="AH41" s="69" t="s">
        <v>5406</v>
      </c>
      <c r="AI41" s="69" t="s">
        <v>5406</v>
      </c>
      <c r="AJ41" s="69" t="s">
        <v>5401</v>
      </c>
      <c r="AK41" s="69" t="s">
        <v>5409</v>
      </c>
      <c r="AL41" s="69" t="s">
        <v>5401</v>
      </c>
      <c r="AM41" s="69" t="s">
        <v>5401</v>
      </c>
    </row>
    <row r="42" spans="1:39" hidden="1">
      <c r="A42" s="69" t="s">
        <v>1587</v>
      </c>
      <c r="B42" s="69" t="s">
        <v>5444</v>
      </c>
      <c r="C42" s="69" t="str">
        <f>VLOOKUP(A42,'202306带宽'!$H$2:$H$978,1,FALSE)</f>
        <v>182315IDC00203</v>
      </c>
      <c r="E42" s="69" t="s">
        <v>5388</v>
      </c>
      <c r="F42" s="69" t="s">
        <v>5621</v>
      </c>
      <c r="G42" s="69" t="s">
        <v>5390</v>
      </c>
      <c r="H42" s="69" t="s">
        <v>5391</v>
      </c>
      <c r="I42" s="69" t="s">
        <v>5392</v>
      </c>
      <c r="J42" s="69" t="s">
        <v>1279</v>
      </c>
      <c r="K42" s="69" t="s">
        <v>5393</v>
      </c>
      <c r="L42" s="69" t="s">
        <v>5394</v>
      </c>
      <c r="M42" s="69" t="s">
        <v>5410</v>
      </c>
      <c r="N42" s="69" t="s">
        <v>5396</v>
      </c>
      <c r="O42" s="69" t="s">
        <v>5625</v>
      </c>
      <c r="P42" s="69" t="s">
        <v>5626</v>
      </c>
      <c r="Q42" s="69" t="s">
        <v>5420</v>
      </c>
      <c r="R42" s="69" t="s">
        <v>5447</v>
      </c>
      <c r="S42" s="69" t="s">
        <v>5401</v>
      </c>
      <c r="T42" s="69" t="s">
        <v>5402</v>
      </c>
      <c r="U42" s="69" t="s">
        <v>5401</v>
      </c>
      <c r="V42" s="69" t="s">
        <v>5401</v>
      </c>
      <c r="W42" s="69" t="s">
        <v>5627</v>
      </c>
      <c r="X42" s="69" t="s">
        <v>5404</v>
      </c>
      <c r="Y42" s="69" t="s">
        <v>5532</v>
      </c>
      <c r="Z42" s="69" t="s">
        <v>5406</v>
      </c>
      <c r="AA42" s="69" t="s">
        <v>5401</v>
      </c>
      <c r="AB42" s="69" t="s">
        <v>5471</v>
      </c>
      <c r="AC42" s="69" t="s">
        <v>5416</v>
      </c>
      <c r="AD42" s="69" t="s">
        <v>5416</v>
      </c>
      <c r="AE42" s="69" t="s">
        <v>5406</v>
      </c>
      <c r="AF42" s="69" t="s">
        <v>5401</v>
      </c>
      <c r="AG42" s="69" t="s">
        <v>5425</v>
      </c>
      <c r="AH42" s="69" t="s">
        <v>5406</v>
      </c>
      <c r="AI42" s="69" t="s">
        <v>5406</v>
      </c>
      <c r="AJ42" s="69" t="s">
        <v>5401</v>
      </c>
      <c r="AK42" s="69" t="s">
        <v>5409</v>
      </c>
      <c r="AL42" s="69" t="s">
        <v>5401</v>
      </c>
      <c r="AM42" s="69" t="s">
        <v>5401</v>
      </c>
    </row>
    <row r="43" spans="1:39">
      <c r="A43" s="69" t="s">
        <v>5628</v>
      </c>
      <c r="B43" s="69" t="s">
        <v>5386</v>
      </c>
      <c r="C43" s="69" t="e">
        <f>VLOOKUP(A43,'202306带宽'!$H$2:$H$978,1,FALSE)</f>
        <v>#N/A</v>
      </c>
      <c r="D43" s="69" t="s">
        <v>5629</v>
      </c>
      <c r="E43" s="69" t="s">
        <v>5388</v>
      </c>
      <c r="F43" s="69" t="s">
        <v>5630</v>
      </c>
      <c r="G43" s="69" t="s">
        <v>5390</v>
      </c>
      <c r="H43" s="69" t="s">
        <v>5391</v>
      </c>
      <c r="I43" s="69" t="s">
        <v>5392</v>
      </c>
      <c r="J43" s="69" t="s">
        <v>1279</v>
      </c>
      <c r="K43" s="69" t="s">
        <v>5393</v>
      </c>
      <c r="L43" s="69" t="s">
        <v>5394</v>
      </c>
      <c r="M43" s="69" t="s">
        <v>5631</v>
      </c>
      <c r="N43" s="69" t="s">
        <v>5396</v>
      </c>
      <c r="O43" s="69" t="s">
        <v>5625</v>
      </c>
      <c r="P43" s="69" t="s">
        <v>5632</v>
      </c>
      <c r="Q43" s="69" t="s">
        <v>5549</v>
      </c>
      <c r="R43" s="69" t="s">
        <v>5550</v>
      </c>
      <c r="S43" s="69" t="s">
        <v>5401</v>
      </c>
      <c r="T43" s="69" t="s">
        <v>5402</v>
      </c>
      <c r="U43" s="69" t="s">
        <v>5401</v>
      </c>
      <c r="V43" s="69" t="s">
        <v>5401</v>
      </c>
      <c r="W43" s="69" t="s">
        <v>5633</v>
      </c>
      <c r="X43" s="69" t="s">
        <v>5404</v>
      </c>
      <c r="Y43" s="69" t="s">
        <v>5389</v>
      </c>
      <c r="Z43" s="69" t="s">
        <v>5406</v>
      </c>
      <c r="AA43" s="69" t="s">
        <v>5401</v>
      </c>
      <c r="AB43" s="69" t="s">
        <v>5401</v>
      </c>
      <c r="AC43" s="69" t="s">
        <v>5634</v>
      </c>
      <c r="AD43" s="69" t="s">
        <v>5634</v>
      </c>
      <c r="AE43" s="69" t="s">
        <v>5406</v>
      </c>
      <c r="AF43" s="69" t="s">
        <v>5401</v>
      </c>
      <c r="AG43" s="69" t="s">
        <v>5408</v>
      </c>
      <c r="AH43" s="69" t="s">
        <v>5406</v>
      </c>
      <c r="AI43" s="69" t="s">
        <v>5406</v>
      </c>
      <c r="AJ43" s="69" t="s">
        <v>5401</v>
      </c>
      <c r="AK43" s="69" t="s">
        <v>5409</v>
      </c>
      <c r="AL43" s="69" t="s">
        <v>5401</v>
      </c>
      <c r="AM43" s="69" t="s">
        <v>5401</v>
      </c>
    </row>
    <row r="44" spans="1:39">
      <c r="A44" s="69" t="s">
        <v>5635</v>
      </c>
      <c r="B44" s="69" t="s">
        <v>5386</v>
      </c>
      <c r="C44" s="69" t="e">
        <f>VLOOKUP(A44,'202306带宽'!$H$2:$H$978,1,FALSE)</f>
        <v>#N/A</v>
      </c>
      <c r="D44" s="69" t="s">
        <v>5473</v>
      </c>
      <c r="E44" s="69" t="s">
        <v>5388</v>
      </c>
      <c r="F44" s="69" t="s">
        <v>5636</v>
      </c>
      <c r="G44" s="69" t="s">
        <v>5390</v>
      </c>
      <c r="H44" s="69" t="s">
        <v>5475</v>
      </c>
      <c r="I44" s="69" t="s">
        <v>5393</v>
      </c>
      <c r="J44" s="69" t="s">
        <v>5475</v>
      </c>
      <c r="K44" s="69" t="s">
        <v>5393</v>
      </c>
      <c r="L44" s="69" t="s">
        <v>5406</v>
      </c>
      <c r="M44" s="69" t="s">
        <v>5410</v>
      </c>
      <c r="N44" s="69" t="s">
        <v>5396</v>
      </c>
      <c r="O44" s="69" t="s">
        <v>5637</v>
      </c>
      <c r="P44" s="69" t="s">
        <v>5638</v>
      </c>
      <c r="Q44" s="69" t="s">
        <v>5639</v>
      </c>
      <c r="R44" s="69" t="s">
        <v>5640</v>
      </c>
      <c r="S44" s="69" t="s">
        <v>5401</v>
      </c>
      <c r="T44" s="69" t="s">
        <v>5402</v>
      </c>
      <c r="U44" s="69" t="s">
        <v>5401</v>
      </c>
      <c r="V44" s="69" t="s">
        <v>5401</v>
      </c>
      <c r="W44" s="69" t="s">
        <v>5479</v>
      </c>
      <c r="X44" s="69" t="s">
        <v>5404</v>
      </c>
      <c r="Y44" s="69" t="s">
        <v>5532</v>
      </c>
      <c r="Z44" s="69" t="s">
        <v>5394</v>
      </c>
      <c r="AA44" s="69" t="s">
        <v>5641</v>
      </c>
      <c r="AB44" s="69" t="s">
        <v>5642</v>
      </c>
      <c r="AC44" s="69" t="s">
        <v>5461</v>
      </c>
      <c r="AD44" s="69" t="s">
        <v>5461</v>
      </c>
      <c r="AE44" s="69" t="s">
        <v>5406</v>
      </c>
      <c r="AF44" s="69" t="s">
        <v>5401</v>
      </c>
      <c r="AG44" s="69" t="s">
        <v>5408</v>
      </c>
      <c r="AH44" s="69" t="s">
        <v>5406</v>
      </c>
      <c r="AI44" s="69" t="s">
        <v>5406</v>
      </c>
      <c r="AJ44" s="69" t="s">
        <v>5401</v>
      </c>
      <c r="AK44" s="69" t="s">
        <v>5409</v>
      </c>
      <c r="AL44" s="69" t="s">
        <v>5401</v>
      </c>
      <c r="AM44" s="69" t="s">
        <v>5401</v>
      </c>
    </row>
    <row r="45" spans="1:39">
      <c r="A45" s="69" t="s">
        <v>5643</v>
      </c>
      <c r="B45" s="69" t="s">
        <v>5386</v>
      </c>
      <c r="C45" s="69" t="e">
        <f>VLOOKUP(A45,'202306带宽'!$H$2:$H$978,1,FALSE)</f>
        <v>#N/A</v>
      </c>
      <c r="D45" s="69" t="s">
        <v>5473</v>
      </c>
      <c r="E45" s="69" t="s">
        <v>5388</v>
      </c>
      <c r="F45" s="69" t="s">
        <v>5644</v>
      </c>
      <c r="G45" s="69" t="s">
        <v>5390</v>
      </c>
      <c r="H45" s="69" t="s">
        <v>5475</v>
      </c>
      <c r="I45" s="69" t="s">
        <v>5393</v>
      </c>
      <c r="J45" s="69" t="s">
        <v>5475</v>
      </c>
      <c r="K45" s="69" t="s">
        <v>5393</v>
      </c>
      <c r="L45" s="69" t="s">
        <v>5406</v>
      </c>
      <c r="M45" s="69" t="s">
        <v>5410</v>
      </c>
      <c r="N45" s="69" t="s">
        <v>5396</v>
      </c>
      <c r="O45" s="69" t="s">
        <v>5645</v>
      </c>
      <c r="P45" s="69" t="s">
        <v>5646</v>
      </c>
      <c r="Q45" s="69" t="s">
        <v>5621</v>
      </c>
      <c r="R45" s="69" t="s">
        <v>5647</v>
      </c>
      <c r="S45" s="69" t="s">
        <v>5401</v>
      </c>
      <c r="T45" s="69" t="s">
        <v>5402</v>
      </c>
      <c r="U45" s="69" t="s">
        <v>5401</v>
      </c>
      <c r="V45" s="69" t="s">
        <v>5401</v>
      </c>
      <c r="W45" s="69" t="s">
        <v>5479</v>
      </c>
      <c r="X45" s="69" t="s">
        <v>5404</v>
      </c>
      <c r="Y45" s="69" t="s">
        <v>5474</v>
      </c>
      <c r="Z45" s="69" t="s">
        <v>5394</v>
      </c>
      <c r="AA45" s="69" t="s">
        <v>5648</v>
      </c>
      <c r="AB45" s="69" t="s">
        <v>5649</v>
      </c>
      <c r="AC45" s="69" t="s">
        <v>5461</v>
      </c>
      <c r="AD45" s="69" t="s">
        <v>5461</v>
      </c>
      <c r="AE45" s="69" t="s">
        <v>5406</v>
      </c>
      <c r="AF45" s="69" t="s">
        <v>5401</v>
      </c>
      <c r="AG45" s="69" t="s">
        <v>5408</v>
      </c>
      <c r="AH45" s="69" t="s">
        <v>5406</v>
      </c>
      <c r="AI45" s="69" t="s">
        <v>5406</v>
      </c>
      <c r="AJ45" s="69" t="s">
        <v>5401</v>
      </c>
      <c r="AK45" s="69" t="s">
        <v>5409</v>
      </c>
      <c r="AL45" s="69" t="s">
        <v>5401</v>
      </c>
      <c r="AM45" s="69" t="s">
        <v>5401</v>
      </c>
    </row>
    <row r="46" spans="1:39" hidden="1">
      <c r="A46" s="69" t="s">
        <v>1921</v>
      </c>
      <c r="B46" s="69" t="s">
        <v>5386</v>
      </c>
      <c r="C46" s="69" t="str">
        <f>VLOOKUP(A46,'202306带宽'!$H$2:$H$978,1,FALSE)</f>
        <v>182315IDC00193</v>
      </c>
      <c r="E46" s="69" t="s">
        <v>5388</v>
      </c>
      <c r="F46" s="69" t="s">
        <v>5650</v>
      </c>
      <c r="G46" s="69" t="s">
        <v>5390</v>
      </c>
      <c r="H46" s="69" t="s">
        <v>5391</v>
      </c>
      <c r="I46" s="69" t="s">
        <v>5392</v>
      </c>
      <c r="J46" s="69" t="s">
        <v>1791</v>
      </c>
      <c r="K46" s="69" t="s">
        <v>5393</v>
      </c>
      <c r="L46" s="69" t="s">
        <v>5394</v>
      </c>
      <c r="M46" s="69" t="s">
        <v>5410</v>
      </c>
      <c r="N46" s="69" t="s">
        <v>5396</v>
      </c>
      <c r="O46" s="69" t="s">
        <v>5651</v>
      </c>
      <c r="P46" s="69" t="s">
        <v>5652</v>
      </c>
      <c r="Q46" s="69" t="s">
        <v>5439</v>
      </c>
      <c r="R46" s="69" t="s">
        <v>5440</v>
      </c>
      <c r="S46" s="69" t="s">
        <v>5401</v>
      </c>
      <c r="T46" s="69" t="s">
        <v>5402</v>
      </c>
      <c r="U46" s="69" t="s">
        <v>5401</v>
      </c>
      <c r="V46" s="69" t="s">
        <v>5401</v>
      </c>
      <c r="W46" s="69" t="s">
        <v>5653</v>
      </c>
      <c r="X46" s="69" t="s">
        <v>5404</v>
      </c>
      <c r="Y46" s="69" t="s">
        <v>5532</v>
      </c>
      <c r="Z46" s="69" t="s">
        <v>5406</v>
      </c>
      <c r="AA46" s="69" t="s">
        <v>5401</v>
      </c>
      <c r="AB46" s="69" t="s">
        <v>5654</v>
      </c>
      <c r="AC46" s="69" t="s">
        <v>5416</v>
      </c>
      <c r="AD46" s="69" t="s">
        <v>5416</v>
      </c>
      <c r="AE46" s="69" t="s">
        <v>5406</v>
      </c>
      <c r="AF46" s="69" t="s">
        <v>5401</v>
      </c>
      <c r="AG46" s="69" t="s">
        <v>5425</v>
      </c>
      <c r="AH46" s="69" t="s">
        <v>5406</v>
      </c>
      <c r="AI46" s="69" t="s">
        <v>5406</v>
      </c>
      <c r="AJ46" s="69" t="s">
        <v>5401</v>
      </c>
      <c r="AK46" s="69" t="s">
        <v>5409</v>
      </c>
      <c r="AL46" s="69" t="s">
        <v>5401</v>
      </c>
      <c r="AM46" s="69" t="s">
        <v>5401</v>
      </c>
    </row>
    <row r="47" spans="1:39">
      <c r="A47" s="69" t="s">
        <v>5655</v>
      </c>
      <c r="B47" s="69" t="s">
        <v>5386</v>
      </c>
      <c r="C47" s="69" t="e">
        <f>VLOOKUP(A47,'202306带宽'!$H$2:$H$978,1,FALSE)</f>
        <v>#N/A</v>
      </c>
      <c r="D47" s="69" t="s">
        <v>5473</v>
      </c>
      <c r="E47" s="69" t="s">
        <v>5452</v>
      </c>
      <c r="F47" s="69" t="s">
        <v>5650</v>
      </c>
      <c r="G47" s="69" t="s">
        <v>5390</v>
      </c>
      <c r="H47" s="69" t="s">
        <v>5475</v>
      </c>
      <c r="I47" s="69" t="s">
        <v>5393</v>
      </c>
      <c r="J47" s="69" t="s">
        <v>5475</v>
      </c>
      <c r="K47" s="69" t="s">
        <v>5393</v>
      </c>
      <c r="L47" s="69" t="s">
        <v>5406</v>
      </c>
      <c r="M47" s="69" t="s">
        <v>5410</v>
      </c>
      <c r="N47" s="69" t="s">
        <v>5396</v>
      </c>
      <c r="O47" s="69" t="s">
        <v>5656</v>
      </c>
      <c r="P47" s="69" t="s">
        <v>5657</v>
      </c>
      <c r="Q47" s="69" t="s">
        <v>5658</v>
      </c>
      <c r="R47" s="69" t="s">
        <v>5659</v>
      </c>
      <c r="S47" s="69" t="s">
        <v>5401</v>
      </c>
      <c r="T47" s="69" t="s">
        <v>5402</v>
      </c>
      <c r="U47" s="69" t="s">
        <v>5401</v>
      </c>
      <c r="V47" s="69" t="s">
        <v>5401</v>
      </c>
      <c r="W47" s="69" t="s">
        <v>5479</v>
      </c>
      <c r="X47" s="69" t="s">
        <v>5404</v>
      </c>
      <c r="Y47" s="69" t="s">
        <v>5588</v>
      </c>
      <c r="Z47" s="69" t="s">
        <v>5406</v>
      </c>
      <c r="AA47" s="69" t="s">
        <v>5401</v>
      </c>
      <c r="AB47" s="69" t="s">
        <v>5401</v>
      </c>
      <c r="AC47" s="69" t="s">
        <v>5461</v>
      </c>
      <c r="AD47" s="69" t="s">
        <v>5461</v>
      </c>
      <c r="AE47" s="69" t="s">
        <v>5394</v>
      </c>
      <c r="AF47" s="69" t="s">
        <v>5401</v>
      </c>
      <c r="AG47" s="69" t="s">
        <v>5408</v>
      </c>
      <c r="AH47" s="69" t="s">
        <v>5406</v>
      </c>
      <c r="AI47" s="69" t="s">
        <v>5406</v>
      </c>
      <c r="AJ47" s="69" t="s">
        <v>5481</v>
      </c>
      <c r="AK47" s="69" t="s">
        <v>5409</v>
      </c>
      <c r="AL47" s="69" t="s">
        <v>5401</v>
      </c>
      <c r="AM47" s="69" t="s">
        <v>5401</v>
      </c>
    </row>
    <row r="48" spans="1:39">
      <c r="A48" s="69" t="s">
        <v>5660</v>
      </c>
      <c r="B48" s="69" t="s">
        <v>5386</v>
      </c>
      <c r="C48" s="69" t="e">
        <f>VLOOKUP(A48,'202306带宽'!$H$2:$H$978,1,FALSE)</f>
        <v>#N/A</v>
      </c>
      <c r="D48" s="69" t="s">
        <v>5473</v>
      </c>
      <c r="E48" s="69" t="s">
        <v>5452</v>
      </c>
      <c r="F48" s="69" t="s">
        <v>5661</v>
      </c>
      <c r="G48" s="69" t="s">
        <v>5390</v>
      </c>
      <c r="H48" s="69" t="s">
        <v>5475</v>
      </c>
      <c r="I48" s="69" t="s">
        <v>5393</v>
      </c>
      <c r="J48" s="69" t="s">
        <v>5475</v>
      </c>
      <c r="K48" s="69" t="s">
        <v>5393</v>
      </c>
      <c r="L48" s="69" t="s">
        <v>5406</v>
      </c>
      <c r="M48" s="69" t="s">
        <v>5410</v>
      </c>
      <c r="N48" s="69" t="s">
        <v>5396</v>
      </c>
      <c r="O48" s="69" t="s">
        <v>5662</v>
      </c>
      <c r="P48" s="69" t="s">
        <v>5663</v>
      </c>
      <c r="Q48" s="69" t="s">
        <v>5664</v>
      </c>
      <c r="R48" s="69" t="s">
        <v>5665</v>
      </c>
      <c r="S48" s="69" t="s">
        <v>5401</v>
      </c>
      <c r="T48" s="69" t="s">
        <v>5402</v>
      </c>
      <c r="U48" s="69" t="s">
        <v>5401</v>
      </c>
      <c r="V48" s="69" t="s">
        <v>5401</v>
      </c>
      <c r="W48" s="69" t="s">
        <v>5479</v>
      </c>
      <c r="X48" s="69" t="s">
        <v>5404</v>
      </c>
      <c r="Y48" s="69" t="s">
        <v>5532</v>
      </c>
      <c r="Z48" s="69" t="s">
        <v>5406</v>
      </c>
      <c r="AA48" s="69" t="s">
        <v>5401</v>
      </c>
      <c r="AB48" s="69" t="s">
        <v>5401</v>
      </c>
      <c r="AC48" s="69" t="s">
        <v>5461</v>
      </c>
      <c r="AD48" s="69" t="s">
        <v>5461</v>
      </c>
      <c r="AE48" s="69" t="s">
        <v>5394</v>
      </c>
      <c r="AF48" s="69" t="s">
        <v>5401</v>
      </c>
      <c r="AG48" s="69" t="s">
        <v>5408</v>
      </c>
      <c r="AH48" s="69" t="s">
        <v>5406</v>
      </c>
      <c r="AI48" s="69" t="s">
        <v>5406</v>
      </c>
      <c r="AJ48" s="69" t="s">
        <v>5481</v>
      </c>
      <c r="AK48" s="69" t="s">
        <v>5409</v>
      </c>
      <c r="AL48" s="69" t="s">
        <v>5401</v>
      </c>
      <c r="AM48" s="69" t="s">
        <v>5401</v>
      </c>
    </row>
    <row r="49" spans="1:39" hidden="1">
      <c r="A49" s="69" t="s">
        <v>1371</v>
      </c>
      <c r="B49" s="69" t="s">
        <v>5386</v>
      </c>
      <c r="C49" s="69" t="str">
        <f>VLOOKUP(A49,'202306带宽'!$H$2:$H$978,1,FALSE)</f>
        <v>182315IDC00179</v>
      </c>
      <c r="E49" s="69" t="s">
        <v>5388</v>
      </c>
      <c r="F49" s="69" t="s">
        <v>5666</v>
      </c>
      <c r="G49" s="69" t="s">
        <v>5390</v>
      </c>
      <c r="H49" s="69" t="s">
        <v>5391</v>
      </c>
      <c r="I49" s="69" t="s">
        <v>5392</v>
      </c>
      <c r="J49" s="69" t="s">
        <v>1279</v>
      </c>
      <c r="K49" s="69" t="s">
        <v>5393</v>
      </c>
      <c r="L49" s="69" t="s">
        <v>5394</v>
      </c>
      <c r="M49" s="69" t="s">
        <v>5410</v>
      </c>
      <c r="N49" s="69" t="s">
        <v>5396</v>
      </c>
      <c r="O49" s="69" t="s">
        <v>5397</v>
      </c>
      <c r="P49" s="69" t="s">
        <v>5667</v>
      </c>
      <c r="Q49" s="69" t="s">
        <v>5420</v>
      </c>
      <c r="R49" s="69" t="s">
        <v>5421</v>
      </c>
      <c r="S49" s="69" t="s">
        <v>5401</v>
      </c>
      <c r="T49" s="69" t="s">
        <v>5402</v>
      </c>
      <c r="U49" s="69" t="s">
        <v>5401</v>
      </c>
      <c r="V49" s="69" t="s">
        <v>5401</v>
      </c>
      <c r="W49" s="69" t="s">
        <v>5668</v>
      </c>
      <c r="X49" s="69" t="s">
        <v>5404</v>
      </c>
      <c r="Y49" s="69" t="s">
        <v>5532</v>
      </c>
      <c r="Z49" s="69" t="s">
        <v>5406</v>
      </c>
      <c r="AA49" s="69" t="s">
        <v>5401</v>
      </c>
      <c r="AB49" s="69" t="s">
        <v>5401</v>
      </c>
      <c r="AC49" s="69" t="s">
        <v>5407</v>
      </c>
      <c r="AD49" s="69" t="s">
        <v>5407</v>
      </c>
      <c r="AE49" s="69" t="s">
        <v>5406</v>
      </c>
      <c r="AF49" s="69" t="s">
        <v>5401</v>
      </c>
      <c r="AG49" s="69" t="s">
        <v>5408</v>
      </c>
      <c r="AH49" s="69" t="s">
        <v>5406</v>
      </c>
      <c r="AI49" s="69" t="s">
        <v>5406</v>
      </c>
      <c r="AJ49" s="69" t="s">
        <v>5401</v>
      </c>
      <c r="AK49" s="69" t="s">
        <v>5409</v>
      </c>
      <c r="AL49" s="69" t="s">
        <v>5401</v>
      </c>
      <c r="AM49" s="69" t="s">
        <v>5401</v>
      </c>
    </row>
    <row r="50" spans="1:39">
      <c r="A50" s="69" t="s">
        <v>5669</v>
      </c>
      <c r="B50" s="69" t="s">
        <v>5386</v>
      </c>
      <c r="C50" s="69" t="e">
        <f>VLOOKUP(A50,'202306带宽'!$H$2:$H$978,1,FALSE)</f>
        <v>#N/A</v>
      </c>
      <c r="D50" s="69" t="s">
        <v>5473</v>
      </c>
      <c r="E50" s="69" t="s">
        <v>5388</v>
      </c>
      <c r="F50" s="69" t="s">
        <v>5530</v>
      </c>
      <c r="G50" s="69" t="s">
        <v>5390</v>
      </c>
      <c r="H50" s="69" t="s">
        <v>5475</v>
      </c>
      <c r="I50" s="69" t="s">
        <v>5393</v>
      </c>
      <c r="J50" s="69" t="s">
        <v>5475</v>
      </c>
      <c r="K50" s="69" t="s">
        <v>5393</v>
      </c>
      <c r="L50" s="69" t="s">
        <v>5406</v>
      </c>
      <c r="M50" s="69" t="s">
        <v>5410</v>
      </c>
      <c r="N50" s="69" t="s">
        <v>5396</v>
      </c>
      <c r="O50" s="69" t="s">
        <v>5670</v>
      </c>
      <c r="P50" s="69" t="s">
        <v>5671</v>
      </c>
      <c r="Q50" s="69" t="s">
        <v>5672</v>
      </c>
      <c r="R50" s="69" t="s">
        <v>5673</v>
      </c>
      <c r="S50" s="69" t="s">
        <v>5401</v>
      </c>
      <c r="T50" s="69" t="s">
        <v>5402</v>
      </c>
      <c r="U50" s="69" t="s">
        <v>5401</v>
      </c>
      <c r="V50" s="69" t="s">
        <v>5401</v>
      </c>
      <c r="W50" s="69" t="s">
        <v>5479</v>
      </c>
      <c r="X50" s="69" t="s">
        <v>5404</v>
      </c>
      <c r="Y50" s="69" t="s">
        <v>5480</v>
      </c>
      <c r="Z50" s="69" t="s">
        <v>5406</v>
      </c>
      <c r="AA50" s="69" t="s">
        <v>5401</v>
      </c>
      <c r="AB50" s="69" t="s">
        <v>5401</v>
      </c>
      <c r="AC50" s="69" t="s">
        <v>5461</v>
      </c>
      <c r="AD50" s="69" t="s">
        <v>5461</v>
      </c>
      <c r="AE50" s="69" t="s">
        <v>5406</v>
      </c>
      <c r="AF50" s="69" t="s">
        <v>5401</v>
      </c>
      <c r="AG50" s="69" t="s">
        <v>5408</v>
      </c>
      <c r="AH50" s="69" t="s">
        <v>5406</v>
      </c>
      <c r="AI50" s="69" t="s">
        <v>5406</v>
      </c>
      <c r="AJ50" s="69" t="s">
        <v>5401</v>
      </c>
      <c r="AK50" s="69" t="s">
        <v>5409</v>
      </c>
      <c r="AL50" s="69" t="s">
        <v>5401</v>
      </c>
      <c r="AM50" s="69" t="s">
        <v>5401</v>
      </c>
    </row>
    <row r="51" spans="1:39">
      <c r="A51" s="69" t="s">
        <v>5674</v>
      </c>
      <c r="B51" s="69" t="s">
        <v>5386</v>
      </c>
      <c r="C51" s="69" t="e">
        <f>VLOOKUP(A51,'202306带宽'!$H$2:$H$978,1,FALSE)</f>
        <v>#N/A</v>
      </c>
      <c r="D51" s="69" t="s">
        <v>5582</v>
      </c>
      <c r="E51" s="69" t="s">
        <v>5388</v>
      </c>
      <c r="F51" s="69" t="s">
        <v>5675</v>
      </c>
      <c r="G51" s="69" t="s">
        <v>5390</v>
      </c>
      <c r="H51" s="69" t="s">
        <v>5467</v>
      </c>
      <c r="I51" s="69" t="s">
        <v>5392</v>
      </c>
      <c r="J51" s="69" t="s">
        <v>418</v>
      </c>
      <c r="K51" s="69" t="s">
        <v>5393</v>
      </c>
      <c r="L51" s="69" t="s">
        <v>5394</v>
      </c>
      <c r="M51" s="69" t="s">
        <v>5410</v>
      </c>
      <c r="N51" s="69" t="s">
        <v>5396</v>
      </c>
      <c r="O51" s="69" t="s">
        <v>5676</v>
      </c>
      <c r="P51" s="69" t="s">
        <v>5677</v>
      </c>
      <c r="Q51" s="69" t="s">
        <v>5399</v>
      </c>
      <c r="R51" s="69" t="s">
        <v>5400</v>
      </c>
      <c r="S51" s="69" t="s">
        <v>5401</v>
      </c>
      <c r="T51" s="69" t="s">
        <v>5402</v>
      </c>
      <c r="U51" s="69" t="s">
        <v>5401</v>
      </c>
      <c r="V51" s="69" t="s">
        <v>5401</v>
      </c>
      <c r="W51" s="69" t="s">
        <v>5678</v>
      </c>
      <c r="X51" s="69" t="s">
        <v>5404</v>
      </c>
      <c r="Y51" s="69" t="s">
        <v>5532</v>
      </c>
      <c r="Z51" s="69" t="s">
        <v>5406</v>
      </c>
      <c r="AA51" s="69" t="s">
        <v>5401</v>
      </c>
      <c r="AB51" s="69" t="s">
        <v>5401</v>
      </c>
      <c r="AC51" s="69" t="s">
        <v>5407</v>
      </c>
      <c r="AD51" s="69" t="s">
        <v>5407</v>
      </c>
      <c r="AE51" s="69" t="s">
        <v>5406</v>
      </c>
      <c r="AF51" s="69" t="s">
        <v>5401</v>
      </c>
      <c r="AG51" s="69" t="s">
        <v>5408</v>
      </c>
      <c r="AH51" s="69" t="s">
        <v>5406</v>
      </c>
      <c r="AI51" s="69" t="s">
        <v>5406</v>
      </c>
      <c r="AJ51" s="69" t="s">
        <v>5401</v>
      </c>
      <c r="AK51" s="69" t="s">
        <v>5409</v>
      </c>
      <c r="AL51" s="69" t="s">
        <v>5401</v>
      </c>
      <c r="AM51" s="69" t="s">
        <v>5401</v>
      </c>
    </row>
  </sheetData>
  <sheetProtection formatCells="0" insertHyperlinks="0" autoFilter="0"/>
  <autoFilter ref="A1:AM51" xr:uid="{00000000-0009-0000-0000-000001000000}">
    <filterColumn colId="2">
      <filters>
        <filter val="#N/A"/>
      </filters>
    </filterColumn>
  </autoFilter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8"/>
  <sheetViews>
    <sheetView workbookViewId="0">
      <selection activeCell="K27" sqref="K27"/>
    </sheetView>
  </sheetViews>
  <sheetFormatPr baseColWidth="10" defaultColWidth="8.6640625" defaultRowHeight="15"/>
  <cols>
    <col min="18" max="18" width="10.83203125" customWidth="1"/>
  </cols>
  <sheetData>
    <row r="1" spans="1:31" s="1" customFormat="1" ht="1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0" t="s">
        <v>7</v>
      </c>
      <c r="I1" s="10"/>
      <c r="J1" s="13" t="s">
        <v>8</v>
      </c>
      <c r="K1" s="13" t="s">
        <v>9</v>
      </c>
      <c r="L1" s="13" t="s">
        <v>10</v>
      </c>
      <c r="M1" s="13" t="s">
        <v>11</v>
      </c>
      <c r="N1" s="17" t="s">
        <v>12</v>
      </c>
      <c r="O1" s="13" t="s">
        <v>13</v>
      </c>
      <c r="P1" s="18" t="s">
        <v>14</v>
      </c>
      <c r="Q1" s="18" t="s">
        <v>15</v>
      </c>
      <c r="R1" s="18" t="s">
        <v>16</v>
      </c>
      <c r="S1" s="24" t="s">
        <v>17</v>
      </c>
      <c r="T1" s="25" t="s">
        <v>18</v>
      </c>
      <c r="U1" s="25" t="s">
        <v>19</v>
      </c>
      <c r="V1" s="32" t="s">
        <v>20</v>
      </c>
      <c r="W1" s="33" t="s">
        <v>21</v>
      </c>
      <c r="X1" s="17" t="s">
        <v>22</v>
      </c>
      <c r="Y1" s="17" t="s">
        <v>23</v>
      </c>
      <c r="Z1" s="40" t="s">
        <v>24</v>
      </c>
      <c r="AA1" s="41" t="s">
        <v>25</v>
      </c>
      <c r="AB1" s="41" t="s">
        <v>26</v>
      </c>
      <c r="AC1" s="41" t="s">
        <v>27</v>
      </c>
      <c r="AD1" s="47"/>
    </row>
    <row r="2" spans="1:31" s="2" customFormat="1" ht="15" customHeight="1">
      <c r="A2" s="5" t="s">
        <v>267</v>
      </c>
      <c r="B2" s="6" t="s">
        <v>213</v>
      </c>
      <c r="C2" s="7" t="s">
        <v>214</v>
      </c>
      <c r="D2" s="6" t="s">
        <v>215</v>
      </c>
      <c r="E2" s="5" t="s">
        <v>764</v>
      </c>
      <c r="F2" s="5" t="s">
        <v>765</v>
      </c>
      <c r="G2" s="5" t="s">
        <v>34</v>
      </c>
      <c r="H2" s="11" t="s">
        <v>772</v>
      </c>
      <c r="I2" s="11" t="e">
        <v>#N/A</v>
      </c>
      <c r="J2" s="14" t="s">
        <v>36</v>
      </c>
      <c r="K2" s="5" t="s">
        <v>767</v>
      </c>
      <c r="L2" s="11" t="s">
        <v>773</v>
      </c>
      <c r="M2" s="5" t="s">
        <v>774</v>
      </c>
      <c r="N2" s="19">
        <v>44835</v>
      </c>
      <c r="O2" s="5" t="s">
        <v>582</v>
      </c>
      <c r="P2" s="20">
        <v>6740</v>
      </c>
      <c r="Q2" s="26">
        <v>46.1</v>
      </c>
      <c r="R2" s="27">
        <v>310714</v>
      </c>
      <c r="S2" s="28">
        <v>202305</v>
      </c>
      <c r="T2" s="29" t="s">
        <v>1261</v>
      </c>
      <c r="U2" s="29"/>
      <c r="V2" s="34">
        <v>120.741</v>
      </c>
      <c r="W2" s="35">
        <v>166.84</v>
      </c>
      <c r="X2" s="36">
        <v>44927</v>
      </c>
      <c r="Y2" s="36">
        <v>45107</v>
      </c>
      <c r="Z2" s="42"/>
      <c r="AA2" s="43"/>
      <c r="AB2" s="43"/>
      <c r="AC2" s="43"/>
      <c r="AE2" s="48"/>
    </row>
    <row r="24" spans="1:31">
      <c r="K24">
        <v>40.75</v>
      </c>
    </row>
    <row r="25" spans="1:31">
      <c r="K25">
        <v>126.09</v>
      </c>
    </row>
    <row r="26" spans="1:31">
      <c r="K26">
        <f>SUM(K24:K25)</f>
        <v>166.84</v>
      </c>
    </row>
    <row r="29" spans="1:31" s="1" customFormat="1" ht="15" customHeight="1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10" t="s">
        <v>7</v>
      </c>
      <c r="I29" s="10"/>
      <c r="J29" s="13" t="s">
        <v>8</v>
      </c>
      <c r="K29" s="13" t="s">
        <v>9</v>
      </c>
      <c r="L29" s="13" t="s">
        <v>10</v>
      </c>
      <c r="M29" s="13" t="s">
        <v>11</v>
      </c>
      <c r="N29" s="17" t="s">
        <v>12</v>
      </c>
      <c r="O29" s="13" t="s">
        <v>13</v>
      </c>
      <c r="P29" s="18" t="s">
        <v>14</v>
      </c>
      <c r="Q29" s="18" t="s">
        <v>15</v>
      </c>
      <c r="R29" s="18" t="s">
        <v>16</v>
      </c>
      <c r="S29" s="24" t="s">
        <v>17</v>
      </c>
      <c r="T29" s="25" t="s">
        <v>18</v>
      </c>
      <c r="U29" s="25" t="s">
        <v>19</v>
      </c>
      <c r="V29" s="32" t="s">
        <v>20</v>
      </c>
      <c r="W29" s="33" t="s">
        <v>21</v>
      </c>
      <c r="X29" s="17" t="s">
        <v>22</v>
      </c>
      <c r="Y29" s="17" t="s">
        <v>23</v>
      </c>
      <c r="Z29" s="40" t="s">
        <v>24</v>
      </c>
      <c r="AA29" s="41" t="s">
        <v>25</v>
      </c>
      <c r="AB29" s="41" t="s">
        <v>26</v>
      </c>
      <c r="AC29" s="41" t="s">
        <v>27</v>
      </c>
      <c r="AD29" s="47"/>
    </row>
    <row r="30" spans="1:31" s="2" customFormat="1" ht="15" customHeight="1">
      <c r="A30" s="8" t="s">
        <v>212</v>
      </c>
      <c r="B30" s="8" t="s">
        <v>3666</v>
      </c>
      <c r="C30" s="8" t="s">
        <v>4383</v>
      </c>
      <c r="D30" s="9" t="s">
        <v>3737</v>
      </c>
      <c r="E30" s="9" t="s">
        <v>4411</v>
      </c>
      <c r="F30" s="9" t="s">
        <v>4412</v>
      </c>
      <c r="G30" s="11" t="s">
        <v>34</v>
      </c>
      <c r="H30" s="12" t="s">
        <v>4413</v>
      </c>
      <c r="I30" s="11" t="e">
        <v>#N/A</v>
      </c>
      <c r="J30" s="9" t="s">
        <v>36</v>
      </c>
      <c r="K30" s="15" t="s">
        <v>2359</v>
      </c>
      <c r="L30" s="16" t="s">
        <v>4414</v>
      </c>
      <c r="M30" s="21"/>
      <c r="N30" s="21">
        <v>43344</v>
      </c>
      <c r="O30" s="22" t="s">
        <v>670</v>
      </c>
      <c r="P30" s="23">
        <v>9000</v>
      </c>
      <c r="Q30" s="27">
        <v>89.3</v>
      </c>
      <c r="R30" s="30">
        <v>803700</v>
      </c>
      <c r="S30" s="28">
        <v>202112</v>
      </c>
      <c r="T30" s="31" t="s">
        <v>4415</v>
      </c>
      <c r="U30" s="37"/>
      <c r="V30" s="38"/>
      <c r="W30" s="39"/>
      <c r="X30" s="21">
        <v>44531</v>
      </c>
      <c r="Y30" s="21">
        <v>44895</v>
      </c>
      <c r="Z30" s="44" t="s">
        <v>4416</v>
      </c>
      <c r="AA30" s="45"/>
      <c r="AB30" s="46"/>
      <c r="AC30" s="46"/>
      <c r="AE30" s="48"/>
    </row>
    <row r="67" spans="1:31" s="1" customFormat="1" ht="15" customHeight="1">
      <c r="A67" s="4" t="s">
        <v>0</v>
      </c>
      <c r="B67" s="4" t="s">
        <v>1</v>
      </c>
      <c r="C67" s="4" t="s">
        <v>2</v>
      </c>
      <c r="D67" s="4" t="s">
        <v>3</v>
      </c>
      <c r="E67" s="4" t="s">
        <v>4</v>
      </c>
      <c r="F67" s="4" t="s">
        <v>5</v>
      </c>
      <c r="G67" s="4" t="s">
        <v>6</v>
      </c>
      <c r="H67" s="10" t="s">
        <v>7</v>
      </c>
      <c r="I67" s="10"/>
      <c r="J67" s="13" t="s">
        <v>8</v>
      </c>
      <c r="K67" s="13" t="s">
        <v>9</v>
      </c>
      <c r="L67" s="13" t="s">
        <v>10</v>
      </c>
      <c r="M67" s="13" t="s">
        <v>11</v>
      </c>
      <c r="N67" s="17" t="s">
        <v>12</v>
      </c>
      <c r="O67" s="13" t="s">
        <v>13</v>
      </c>
      <c r="P67" s="18" t="s">
        <v>14</v>
      </c>
      <c r="Q67" s="18" t="s">
        <v>15</v>
      </c>
      <c r="R67" s="18" t="s">
        <v>16</v>
      </c>
      <c r="S67" s="24" t="s">
        <v>17</v>
      </c>
      <c r="T67" s="25" t="s">
        <v>18</v>
      </c>
      <c r="U67" s="25" t="s">
        <v>19</v>
      </c>
      <c r="V67" s="32" t="s">
        <v>20</v>
      </c>
      <c r="W67" s="33" t="s">
        <v>21</v>
      </c>
      <c r="X67" s="17" t="s">
        <v>22</v>
      </c>
      <c r="Y67" s="17" t="s">
        <v>23</v>
      </c>
      <c r="Z67" s="40" t="s">
        <v>24</v>
      </c>
      <c r="AA67" s="41" t="s">
        <v>25</v>
      </c>
      <c r="AB67" s="41" t="s">
        <v>26</v>
      </c>
      <c r="AC67" s="41" t="s">
        <v>27</v>
      </c>
      <c r="AD67" s="47"/>
    </row>
    <row r="68" spans="1:31" s="3" customFormat="1" ht="15" customHeight="1">
      <c r="A68" s="49" t="s">
        <v>212</v>
      </c>
      <c r="B68" s="50" t="s">
        <v>4749</v>
      </c>
      <c r="C68" s="50" t="s">
        <v>1838</v>
      </c>
      <c r="D68" s="50" t="s">
        <v>3667</v>
      </c>
      <c r="E68" s="50" t="s">
        <v>4849</v>
      </c>
      <c r="F68" s="51" t="s">
        <v>4850</v>
      </c>
      <c r="G68" s="50" t="s">
        <v>34</v>
      </c>
      <c r="H68" s="52" t="s">
        <v>5679</v>
      </c>
      <c r="I68" s="53" t="e">
        <v>#N/A</v>
      </c>
      <c r="J68" s="54" t="s">
        <v>36</v>
      </c>
      <c r="K68" s="55" t="s">
        <v>4937</v>
      </c>
      <c r="L68" s="55" t="s">
        <v>4938</v>
      </c>
      <c r="M68" s="55" t="s">
        <v>4939</v>
      </c>
      <c r="N68" s="55">
        <v>45047</v>
      </c>
      <c r="O68" s="56" t="s">
        <v>434</v>
      </c>
      <c r="P68" s="57">
        <v>9000</v>
      </c>
      <c r="Q68" s="58">
        <v>32.299999999999997</v>
      </c>
      <c r="R68" s="58">
        <v>290700</v>
      </c>
      <c r="S68" s="59">
        <v>202305</v>
      </c>
      <c r="T68" s="60" t="s">
        <v>4942</v>
      </c>
      <c r="U68" s="61"/>
      <c r="V68" s="62">
        <v>60.605226364000004</v>
      </c>
      <c r="W68" s="63">
        <v>60.91</v>
      </c>
      <c r="X68" s="64">
        <v>45047</v>
      </c>
      <c r="Y68" s="64"/>
      <c r="Z68" s="65" t="s">
        <v>4941</v>
      </c>
      <c r="AA68" s="66">
        <v>0.3</v>
      </c>
      <c r="AB68" s="62">
        <v>200</v>
      </c>
      <c r="AC68" s="67">
        <v>60</v>
      </c>
      <c r="AE68" s="68"/>
    </row>
  </sheetData>
  <sheetProtection formatCells="0" insertHyperlinks="0" autoFilter="0"/>
  <phoneticPr fontId="12" type="noConversion"/>
  <conditionalFormatting sqref="B68:H68 J68:N68 P68 Y68:AC68">
    <cfRule type="expression" dxfId="10" priority="1">
      <formula>(#REF!&lt;&gt;"")*(#REF!&lt;&gt;"")</formula>
    </cfRule>
  </conditionalFormatting>
  <conditionalFormatting sqref="D30 F30:H30">
    <cfRule type="expression" dxfId="9" priority="3">
      <formula>(#REF!&lt;&gt;"")*(#REF!&lt;&gt;"")</formula>
    </cfRule>
  </conditionalFormatting>
  <conditionalFormatting sqref="E30">
    <cfRule type="expression" dxfId="8" priority="2">
      <formula>(#REF!&lt;&gt;"")*(#REF!&lt;&gt;"")</formula>
    </cfRule>
  </conditionalFormatting>
  <conditionalFormatting sqref="J30:L30">
    <cfRule type="expression" dxfId="7" priority="12">
      <formula>(#REF!&lt;&gt;"")*(#REF!&lt;&gt;"")</formula>
    </cfRule>
  </conditionalFormatting>
  <conditionalFormatting sqref="M2">
    <cfRule type="expression" dxfId="6" priority="33">
      <formula>(#REF!&lt;&gt;"")*(#REF!&lt;&gt;"")</formula>
    </cfRule>
  </conditionalFormatting>
  <conditionalFormatting sqref="M30">
    <cfRule type="expression" dxfId="5" priority="11">
      <formula>(#REF!&lt;&gt;"")*(#REF!&lt;&gt;"")</formula>
    </cfRule>
  </conditionalFormatting>
  <conditionalFormatting sqref="N30:P30">
    <cfRule type="expression" dxfId="4" priority="4">
      <formula>(#REF!&lt;&gt;"")*(#REF!&lt;&gt;"")</formula>
    </cfRule>
  </conditionalFormatting>
  <conditionalFormatting sqref="O30:P30">
    <cfRule type="expression" dxfId="3" priority="7">
      <formula>(#REF!&lt;&gt;"")*(#REF!&lt;&gt;"")</formula>
    </cfRule>
  </conditionalFormatting>
  <conditionalFormatting sqref="R30">
    <cfRule type="expression" dxfId="2" priority="5">
      <formula>(#REF!&lt;&gt;"")*(#REF!&lt;&gt;"")</formula>
    </cfRule>
  </conditionalFormatting>
  <conditionalFormatting sqref="Z30">
    <cfRule type="expression" dxfId="1" priority="16">
      <formula>(#REF!&lt;&gt;"")*(#REF!&lt;&gt;"")</formula>
    </cfRule>
  </conditionalFormatting>
  <conditionalFormatting sqref="AB30:AC30">
    <cfRule type="expression" dxfId="0" priority="14">
      <formula>(#REF!&lt;&gt;"")*(#REF!&lt;&gt;"")</formula>
    </cfRule>
  </conditionalFormatting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3"/>
  <pixelatorList sheetStid="4"/>
  <pixelatorList sheetStid="5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comments xmlns="https://web.wps.cn/et/2018/main" xmlns:s="http://schemas.openxmlformats.org/spreadsheetml/2006/main">
  <commentList sheetStid="1">
    <comment s:ref="AC163" rgbClr="FF0000">
      <item id="{f60607df-f117-4317-b31e-5fe9e0a0aafb}" isNormal="1">
        <s:text>
          <s:r>
            <s:t xml:space="preserve">Wu,Rui:
2023.6保底
200G*0.4+300G*0.4*23/30=172G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202306带宽</vt:lpstr>
      <vt:lpstr>合同高级查询数据</vt:lpstr>
      <vt:lpstr>Sheet1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Wu,Rui</dc:creator>
  <cp:lastModifiedBy>较瘦 庄</cp:lastModifiedBy>
  <dcterms:created xsi:type="dcterms:W3CDTF">2023-07-02T14:07:00Z</dcterms:created>
  <dcterms:modified xsi:type="dcterms:W3CDTF">2023-10-11T02:08:06Z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25241E956679401493F9E0972870FAA9_12</vt:lpwstr>
  </property>
  <property fmtid="{D5CDD505-2E9C-101B-9397-08002B2CF9AE}" pid="3" name="KSOProductBuildVer">
    <vt:lpwstr>2052-0.0.0.0</vt:lpwstr>
  </property>
</Properties>
</file>