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zhuangyuhao/VSCodeProjects/IDC_3/预提表/"/>
    </mc:Choice>
  </mc:AlternateContent>
  <xr:revisionPtr revIDLastSave="0" documentId="13_ncr:1_{590A1B8B-48E9-1B49-AF3E-EC583EE882DF}" xr6:coauthVersionLast="47" xr6:coauthVersionMax="47" xr10:uidLastSave="{00000000-0000-0000-0000-000000000000}"/>
  <bookViews>
    <workbookView xWindow="0" yWindow="740" windowWidth="29400" windowHeight="17440" xr2:uid="{00000000-000D-0000-FFFF-FFFF00000000}"/>
  </bookViews>
  <sheets>
    <sheet name="202308带宽" sheetId="1" r:id="rId1"/>
    <sheet name="合同高级查询数据-8月返" sheetId="2" r:id="rId2"/>
    <sheet name="18带宽线上线下核对" sheetId="3" r:id="rId3"/>
    <sheet name="备注" sheetId="4" r:id="rId4"/>
  </sheets>
  <externalReferences>
    <externalReference r:id="rId5"/>
  </externalReferences>
  <definedNames>
    <definedName name="_xlnm._FilterDatabase" localSheetId="0" hidden="1">'202308带宽'!$A$1:$AY$1011</definedName>
    <definedName name="_xlnm._FilterDatabase" localSheetId="1" hidden="1">'合同高级查询数据-8月返'!$A$1:$AL$56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R1011" i="1"/>
  <c r="I1011" i="1"/>
  <c r="Q1010" i="1"/>
  <c r="R1010" i="1" s="1"/>
  <c r="I1010" i="1"/>
  <c r="Q1009" i="1"/>
  <c r="R1009" i="1" s="1"/>
  <c r="I1009" i="1"/>
  <c r="R1008" i="1"/>
  <c r="Q1008" i="1"/>
  <c r="I1008" i="1"/>
  <c r="R1007" i="1"/>
  <c r="I1007" i="1"/>
  <c r="AC1006" i="1"/>
  <c r="R1006" i="1"/>
  <c r="I1006" i="1"/>
  <c r="AC1005" i="1"/>
  <c r="R1005" i="1"/>
  <c r="I1005" i="1"/>
  <c r="AC1004" i="1"/>
  <c r="R1004" i="1"/>
  <c r="I1004" i="1"/>
  <c r="AC1003" i="1"/>
  <c r="R1003" i="1"/>
  <c r="I1003" i="1"/>
  <c r="AC1002" i="1"/>
  <c r="R1002" i="1"/>
  <c r="I1002" i="1"/>
  <c r="AC1001" i="1"/>
  <c r="R1001" i="1"/>
  <c r="I1001" i="1"/>
  <c r="AC1000" i="1"/>
  <c r="R1000" i="1"/>
  <c r="Q1000" i="1"/>
  <c r="I1000" i="1"/>
  <c r="AC999" i="1"/>
  <c r="R999" i="1"/>
  <c r="I999" i="1"/>
  <c r="AC998" i="1"/>
  <c r="R998" i="1"/>
  <c r="I998" i="1"/>
  <c r="AC997" i="1"/>
  <c r="R997" i="1"/>
  <c r="I997" i="1"/>
  <c r="AC996" i="1"/>
  <c r="R996" i="1"/>
  <c r="I996" i="1"/>
  <c r="R995" i="1"/>
  <c r="I995" i="1"/>
  <c r="AC994" i="1"/>
  <c r="R994" i="1"/>
  <c r="I994" i="1"/>
  <c r="AC993" i="1"/>
  <c r="R993" i="1"/>
  <c r="I993" i="1"/>
  <c r="R992" i="1"/>
  <c r="I992" i="1"/>
  <c r="AC991" i="1"/>
  <c r="R991" i="1"/>
  <c r="I991" i="1"/>
  <c r="AC990" i="1"/>
  <c r="R990" i="1"/>
  <c r="I990" i="1"/>
  <c r="AC989" i="1"/>
  <c r="R989" i="1"/>
  <c r="I989" i="1"/>
  <c r="AC988" i="1"/>
  <c r="R988" i="1"/>
  <c r="I988" i="1"/>
  <c r="AC987" i="1"/>
  <c r="R987" i="1"/>
  <c r="I987" i="1"/>
  <c r="R986" i="1"/>
  <c r="I986" i="1"/>
  <c r="R985" i="1"/>
  <c r="I985" i="1"/>
  <c r="Q984" i="1"/>
  <c r="R984" i="1" s="1"/>
  <c r="I984" i="1"/>
  <c r="AC983" i="1"/>
  <c r="R983" i="1"/>
  <c r="I983" i="1"/>
  <c r="AC982" i="1"/>
  <c r="R982" i="1"/>
  <c r="I982" i="1"/>
  <c r="AC981" i="1"/>
  <c r="R981" i="1"/>
  <c r="I981" i="1"/>
  <c r="AC980" i="1"/>
  <c r="R980" i="1"/>
  <c r="Q980" i="1"/>
  <c r="I980" i="1"/>
  <c r="AC979" i="1"/>
  <c r="R979" i="1"/>
  <c r="I979" i="1"/>
  <c r="AC978" i="1"/>
  <c r="R978" i="1"/>
  <c r="I978" i="1"/>
  <c r="AC977" i="1"/>
  <c r="R977" i="1"/>
  <c r="I977" i="1"/>
  <c r="R976" i="1"/>
  <c r="I976" i="1"/>
  <c r="R975" i="1"/>
  <c r="I975" i="1"/>
  <c r="R974" i="1"/>
  <c r="I974" i="1"/>
  <c r="Q973" i="1"/>
  <c r="R973" i="1" s="1"/>
  <c r="I973" i="1"/>
  <c r="R972" i="1"/>
  <c r="I972" i="1"/>
  <c r="R971" i="1"/>
  <c r="I971" i="1"/>
  <c r="Q970" i="1"/>
  <c r="R970" i="1" s="1"/>
  <c r="I970" i="1"/>
  <c r="R969" i="1"/>
  <c r="I969" i="1"/>
  <c r="R968" i="1"/>
  <c r="I968" i="1"/>
  <c r="R967" i="1"/>
  <c r="I967" i="1"/>
  <c r="R966" i="1"/>
  <c r="I966" i="1"/>
  <c r="R965" i="1"/>
  <c r="I965" i="1"/>
  <c r="R964" i="1"/>
  <c r="I964" i="1"/>
  <c r="R963" i="1"/>
  <c r="I963" i="1"/>
  <c r="R962" i="1"/>
  <c r="I962" i="1"/>
  <c r="R961" i="1"/>
  <c r="I961" i="1"/>
  <c r="R960" i="1"/>
  <c r="I960" i="1"/>
  <c r="R959" i="1"/>
  <c r="I959" i="1"/>
  <c r="R958" i="1"/>
  <c r="I958" i="1"/>
  <c r="R957" i="1"/>
  <c r="I957" i="1"/>
  <c r="R956" i="1"/>
  <c r="I956" i="1"/>
  <c r="R955" i="1"/>
  <c r="I955" i="1"/>
  <c r="R954" i="1"/>
  <c r="I954" i="1"/>
  <c r="R953" i="1"/>
  <c r="I953" i="1"/>
  <c r="R952" i="1"/>
  <c r="I952" i="1"/>
  <c r="R951" i="1"/>
  <c r="I951" i="1"/>
  <c r="R950" i="1"/>
  <c r="I950" i="1"/>
  <c r="AA949" i="1"/>
  <c r="R949" i="1"/>
  <c r="I949" i="1"/>
  <c r="R948" i="1"/>
  <c r="I948" i="1"/>
  <c r="R947" i="1"/>
  <c r="I947" i="1"/>
  <c r="R946" i="1"/>
  <c r="I946" i="1"/>
  <c r="R945" i="1"/>
  <c r="I945" i="1"/>
  <c r="R944" i="1"/>
  <c r="I944" i="1"/>
  <c r="R943" i="1"/>
  <c r="I943" i="1"/>
  <c r="R942" i="1"/>
  <c r="I942" i="1"/>
  <c r="R941" i="1"/>
  <c r="I941" i="1"/>
  <c r="R940" i="1"/>
  <c r="I940" i="1"/>
  <c r="R939" i="1"/>
  <c r="I939" i="1"/>
  <c r="R938" i="1"/>
  <c r="I938" i="1"/>
  <c r="R937" i="1"/>
  <c r="I937" i="1"/>
  <c r="AA936" i="1"/>
  <c r="R936" i="1"/>
  <c r="I936" i="1"/>
  <c r="AA935" i="1"/>
  <c r="R935" i="1"/>
  <c r="I935" i="1"/>
  <c r="AA934" i="1"/>
  <c r="R934" i="1"/>
  <c r="I934" i="1"/>
  <c r="AA933" i="1"/>
  <c r="Q933" i="1"/>
  <c r="R933" i="1" s="1"/>
  <c r="I933" i="1"/>
  <c r="AA932" i="1"/>
  <c r="R932" i="1"/>
  <c r="I932" i="1"/>
  <c r="AA931" i="1"/>
  <c r="R931" i="1"/>
  <c r="Q931" i="1"/>
  <c r="I931" i="1"/>
  <c r="AA930" i="1"/>
  <c r="R930" i="1"/>
  <c r="I930" i="1"/>
  <c r="AA929" i="1"/>
  <c r="R929" i="1"/>
  <c r="I929" i="1"/>
  <c r="Q928" i="1"/>
  <c r="R928" i="1" s="1"/>
  <c r="I928" i="1"/>
  <c r="R927" i="1"/>
  <c r="I927" i="1"/>
  <c r="R926" i="1"/>
  <c r="I926" i="1"/>
  <c r="R925" i="1"/>
  <c r="I925" i="1"/>
  <c r="R924" i="1"/>
  <c r="I924" i="1"/>
  <c r="R923" i="1"/>
  <c r="I923" i="1"/>
  <c r="R922" i="1"/>
  <c r="I922" i="1"/>
  <c r="R921" i="1"/>
  <c r="Q921" i="1"/>
  <c r="I921" i="1"/>
  <c r="R920" i="1"/>
  <c r="I920" i="1"/>
  <c r="R919" i="1"/>
  <c r="I919" i="1"/>
  <c r="R918" i="1"/>
  <c r="I918" i="1"/>
  <c r="R917" i="1"/>
  <c r="I917" i="1"/>
  <c r="R916" i="1"/>
  <c r="I916" i="1"/>
  <c r="R915" i="1"/>
  <c r="I915" i="1"/>
  <c r="R914" i="1"/>
  <c r="Q914" i="1"/>
  <c r="I914" i="1"/>
  <c r="R913" i="1"/>
  <c r="I913" i="1"/>
  <c r="R912" i="1"/>
  <c r="I912" i="1"/>
  <c r="R911" i="1"/>
  <c r="I911" i="1"/>
  <c r="R910" i="1"/>
  <c r="I910" i="1"/>
  <c r="R909" i="1"/>
  <c r="I909" i="1"/>
  <c r="R908" i="1"/>
  <c r="I908" i="1"/>
  <c r="R907" i="1"/>
  <c r="I907" i="1"/>
  <c r="R906" i="1"/>
  <c r="I906" i="1"/>
  <c r="R905" i="1"/>
  <c r="I905" i="1"/>
  <c r="R904" i="1"/>
  <c r="I904" i="1"/>
  <c r="R903" i="1"/>
  <c r="I903" i="1"/>
  <c r="R902" i="1"/>
  <c r="Q902" i="1"/>
  <c r="I902" i="1"/>
  <c r="R901" i="1"/>
  <c r="I901" i="1"/>
  <c r="R900" i="1"/>
  <c r="I900" i="1"/>
  <c r="R899" i="1"/>
  <c r="Q899" i="1"/>
  <c r="I899" i="1"/>
  <c r="R898" i="1"/>
  <c r="I898" i="1"/>
  <c r="R897" i="1"/>
  <c r="I897" i="1"/>
  <c r="R896" i="1"/>
  <c r="I896" i="1"/>
  <c r="AA895" i="1"/>
  <c r="Q895" i="1"/>
  <c r="R895" i="1" s="1"/>
  <c r="I895" i="1"/>
  <c r="AA894" i="1"/>
  <c r="R894" i="1"/>
  <c r="I894" i="1"/>
  <c r="AC893" i="1"/>
  <c r="R893" i="1"/>
  <c r="I893" i="1"/>
  <c r="AC892" i="1"/>
  <c r="R892" i="1"/>
  <c r="I892" i="1"/>
  <c r="AC891" i="1"/>
  <c r="R891" i="1"/>
  <c r="I891" i="1"/>
  <c r="AC890" i="1"/>
  <c r="R890" i="1"/>
  <c r="I890" i="1"/>
  <c r="AC889" i="1"/>
  <c r="R889" i="1"/>
  <c r="I889" i="1"/>
  <c r="AC888" i="1"/>
  <c r="R888" i="1"/>
  <c r="I888" i="1"/>
  <c r="AC887" i="1"/>
  <c r="R887" i="1"/>
  <c r="I887" i="1"/>
  <c r="AC886" i="1"/>
  <c r="R886" i="1"/>
  <c r="I886" i="1"/>
  <c r="AC885" i="1"/>
  <c r="R885" i="1"/>
  <c r="I885" i="1"/>
  <c r="AC884" i="1"/>
  <c r="R884" i="1"/>
  <c r="I884" i="1"/>
  <c r="AC883" i="1"/>
  <c r="R883" i="1"/>
  <c r="I883" i="1"/>
  <c r="AC882" i="1"/>
  <c r="R882" i="1"/>
  <c r="I882" i="1"/>
  <c r="AC881" i="1"/>
  <c r="R881" i="1"/>
  <c r="I881" i="1"/>
  <c r="AC880" i="1"/>
  <c r="R880" i="1"/>
  <c r="I880" i="1"/>
  <c r="AC879" i="1"/>
  <c r="R879" i="1"/>
  <c r="I879" i="1"/>
  <c r="AC878" i="1"/>
  <c r="R878" i="1"/>
  <c r="I878" i="1"/>
  <c r="AC877" i="1"/>
  <c r="R877" i="1"/>
  <c r="I877" i="1"/>
  <c r="AC876" i="1"/>
  <c r="R876" i="1"/>
  <c r="I876" i="1"/>
  <c r="AC875" i="1"/>
  <c r="R875" i="1"/>
  <c r="I875" i="1"/>
  <c r="AC874" i="1"/>
  <c r="R874" i="1"/>
  <c r="I874" i="1"/>
  <c r="AC873" i="1"/>
  <c r="R873" i="1"/>
  <c r="I873" i="1"/>
  <c r="R872" i="1"/>
  <c r="I872" i="1"/>
  <c r="AC871" i="1"/>
  <c r="R871" i="1"/>
  <c r="I871" i="1"/>
  <c r="AC870" i="1"/>
  <c r="R870" i="1"/>
  <c r="I870" i="1"/>
  <c r="AC869" i="1"/>
  <c r="R869" i="1"/>
  <c r="I869" i="1"/>
  <c r="AC868" i="1"/>
  <c r="R868" i="1"/>
  <c r="I868" i="1"/>
  <c r="AC867" i="1"/>
  <c r="R867" i="1"/>
  <c r="I867" i="1"/>
  <c r="AC866" i="1"/>
  <c r="R866" i="1"/>
  <c r="I866" i="1"/>
  <c r="AC865" i="1"/>
  <c r="R865" i="1"/>
  <c r="I865" i="1"/>
  <c r="AC864" i="1"/>
  <c r="R864" i="1"/>
  <c r="I864" i="1"/>
  <c r="AC863" i="1"/>
  <c r="R863" i="1"/>
  <c r="I863" i="1"/>
  <c r="AC862" i="1"/>
  <c r="R862" i="1"/>
  <c r="I862" i="1"/>
  <c r="AC861" i="1"/>
  <c r="R861" i="1"/>
  <c r="I861" i="1"/>
  <c r="AC860" i="1"/>
  <c r="R860" i="1"/>
  <c r="I860" i="1"/>
  <c r="AC859" i="1"/>
  <c r="R859" i="1"/>
  <c r="I859" i="1"/>
  <c r="AC858" i="1"/>
  <c r="R858" i="1"/>
  <c r="I858" i="1"/>
  <c r="AC857" i="1"/>
  <c r="R857" i="1"/>
  <c r="I857" i="1"/>
  <c r="AC856" i="1"/>
  <c r="R856" i="1"/>
  <c r="I856" i="1"/>
  <c r="AC855" i="1"/>
  <c r="R855" i="1"/>
  <c r="I855" i="1"/>
  <c r="AC854" i="1"/>
  <c r="R854" i="1"/>
  <c r="I854" i="1"/>
  <c r="AC853" i="1"/>
  <c r="R853" i="1"/>
  <c r="I853" i="1"/>
  <c r="AC852" i="1"/>
  <c r="R852" i="1"/>
  <c r="I852" i="1"/>
  <c r="AC851" i="1"/>
  <c r="R851" i="1"/>
  <c r="I851" i="1"/>
  <c r="AC850" i="1"/>
  <c r="R850" i="1"/>
  <c r="I850" i="1"/>
  <c r="AC849" i="1"/>
  <c r="R849" i="1"/>
  <c r="I849" i="1"/>
  <c r="AC848" i="1"/>
  <c r="R848" i="1"/>
  <c r="I848" i="1"/>
  <c r="AC847" i="1"/>
  <c r="R847" i="1"/>
  <c r="I847" i="1"/>
  <c r="AC846" i="1"/>
  <c r="R846" i="1"/>
  <c r="I846" i="1"/>
  <c r="AC845" i="1"/>
  <c r="R845" i="1"/>
  <c r="I845" i="1"/>
  <c r="AC844" i="1"/>
  <c r="R844" i="1"/>
  <c r="I844" i="1"/>
  <c r="AC843" i="1"/>
  <c r="R843" i="1"/>
  <c r="I843" i="1"/>
  <c r="AC842" i="1"/>
  <c r="R842" i="1"/>
  <c r="I842" i="1"/>
  <c r="AC841" i="1"/>
  <c r="R841" i="1"/>
  <c r="I841" i="1"/>
  <c r="AC840" i="1"/>
  <c r="R840" i="1"/>
  <c r="I840" i="1"/>
  <c r="AC839" i="1"/>
  <c r="R839" i="1"/>
  <c r="I839" i="1"/>
  <c r="AC838" i="1"/>
  <c r="R838" i="1"/>
  <c r="I838" i="1"/>
  <c r="AC837" i="1"/>
  <c r="R837" i="1"/>
  <c r="I837" i="1"/>
  <c r="AC836" i="1"/>
  <c r="R836" i="1"/>
  <c r="I836" i="1"/>
  <c r="R835" i="1"/>
  <c r="I835" i="1"/>
  <c r="AC834" i="1"/>
  <c r="R834" i="1"/>
  <c r="I834" i="1"/>
  <c r="R833" i="1"/>
  <c r="I833" i="1"/>
  <c r="AC832" i="1"/>
  <c r="R832" i="1"/>
  <c r="I832" i="1"/>
  <c r="AC831" i="1"/>
  <c r="R831" i="1"/>
  <c r="I831" i="1"/>
  <c r="AC830" i="1"/>
  <c r="R830" i="1"/>
  <c r="I830" i="1"/>
  <c r="AC829" i="1"/>
  <c r="R829" i="1"/>
  <c r="I829" i="1"/>
  <c r="R828" i="1"/>
  <c r="I828" i="1"/>
  <c r="AC827" i="1"/>
  <c r="R827" i="1"/>
  <c r="I827" i="1"/>
  <c r="AC826" i="1"/>
  <c r="R826" i="1"/>
  <c r="I826" i="1"/>
  <c r="R825" i="1"/>
  <c r="I825" i="1"/>
  <c r="AC824" i="1"/>
  <c r="R824" i="1"/>
  <c r="I824" i="1"/>
  <c r="AC823" i="1"/>
  <c r="R823" i="1"/>
  <c r="I823" i="1"/>
  <c r="AC822" i="1"/>
  <c r="R822" i="1"/>
  <c r="I822" i="1"/>
  <c r="R821" i="1"/>
  <c r="I821" i="1"/>
  <c r="AC820" i="1"/>
  <c r="R820" i="1"/>
  <c r="I820" i="1"/>
  <c r="AC819" i="1"/>
  <c r="R819" i="1"/>
  <c r="I819" i="1"/>
  <c r="AC818" i="1"/>
  <c r="R818" i="1"/>
  <c r="I818" i="1"/>
  <c r="AC817" i="1"/>
  <c r="R817" i="1"/>
  <c r="I817" i="1"/>
  <c r="AC816" i="1"/>
  <c r="R816" i="1"/>
  <c r="I816" i="1"/>
  <c r="AC815" i="1"/>
  <c r="R815" i="1"/>
  <c r="I815" i="1"/>
  <c r="AC814" i="1"/>
  <c r="R814" i="1"/>
  <c r="I814" i="1"/>
  <c r="AC813" i="1"/>
  <c r="R813" i="1"/>
  <c r="I813" i="1"/>
  <c r="R812" i="1"/>
  <c r="I812" i="1"/>
  <c r="AC811" i="1"/>
  <c r="R811" i="1"/>
  <c r="I811" i="1"/>
  <c r="AC810" i="1"/>
  <c r="R810" i="1"/>
  <c r="I810" i="1"/>
  <c r="AC809" i="1"/>
  <c r="R809" i="1"/>
  <c r="I809" i="1"/>
  <c r="AC808" i="1"/>
  <c r="R808" i="1"/>
  <c r="I808" i="1"/>
  <c r="R807" i="1"/>
  <c r="I807" i="1"/>
  <c r="AC806" i="1"/>
  <c r="R806" i="1"/>
  <c r="I806" i="1"/>
  <c r="AC805" i="1"/>
  <c r="R805" i="1"/>
  <c r="I805" i="1"/>
  <c r="AC804" i="1"/>
  <c r="R804" i="1"/>
  <c r="I804" i="1"/>
  <c r="AC803" i="1"/>
  <c r="R803" i="1"/>
  <c r="I803" i="1"/>
  <c r="AC802" i="1"/>
  <c r="R802" i="1"/>
  <c r="I802" i="1"/>
  <c r="AC801" i="1"/>
  <c r="R801" i="1"/>
  <c r="I801" i="1"/>
  <c r="AC800" i="1"/>
  <c r="R800" i="1"/>
  <c r="I800" i="1"/>
  <c r="AC799" i="1"/>
  <c r="R799" i="1"/>
  <c r="I799" i="1"/>
  <c r="AC798" i="1"/>
  <c r="R798" i="1"/>
  <c r="I798" i="1"/>
  <c r="R797" i="1"/>
  <c r="I797" i="1"/>
  <c r="AC796" i="1"/>
  <c r="R796" i="1"/>
  <c r="I796" i="1"/>
  <c r="AC795" i="1"/>
  <c r="R795" i="1"/>
  <c r="I795" i="1"/>
  <c r="AC794" i="1"/>
  <c r="R794" i="1"/>
  <c r="I794" i="1"/>
  <c r="AC793" i="1"/>
  <c r="R793" i="1"/>
  <c r="I793" i="1"/>
  <c r="R792" i="1"/>
  <c r="I792" i="1"/>
  <c r="AC791" i="1"/>
  <c r="R791" i="1"/>
  <c r="I791" i="1"/>
  <c r="R790" i="1"/>
  <c r="I790" i="1"/>
  <c r="AC789" i="1"/>
  <c r="R789" i="1"/>
  <c r="I789" i="1"/>
  <c r="AC788" i="1"/>
  <c r="R788" i="1"/>
  <c r="I788" i="1"/>
  <c r="R787" i="1"/>
  <c r="I787" i="1"/>
  <c r="AC786" i="1"/>
  <c r="R786" i="1"/>
  <c r="I786" i="1"/>
  <c r="R785" i="1"/>
  <c r="I785" i="1"/>
  <c r="AC784" i="1"/>
  <c r="R784" i="1"/>
  <c r="I784" i="1"/>
  <c r="AC783" i="1"/>
  <c r="R783" i="1"/>
  <c r="I783" i="1"/>
  <c r="AC782" i="1"/>
  <c r="R782" i="1"/>
  <c r="I782" i="1"/>
  <c r="AC781" i="1"/>
  <c r="R781" i="1"/>
  <c r="I781" i="1"/>
  <c r="AC780" i="1"/>
  <c r="R780" i="1"/>
  <c r="I780" i="1"/>
  <c r="AC779" i="1"/>
  <c r="R779" i="1"/>
  <c r="I779" i="1"/>
  <c r="AC778" i="1"/>
  <c r="R778" i="1"/>
  <c r="I778" i="1"/>
  <c r="AC777" i="1"/>
  <c r="R777" i="1"/>
  <c r="I777" i="1"/>
  <c r="AC776" i="1"/>
  <c r="R776" i="1"/>
  <c r="I776" i="1"/>
  <c r="AC775" i="1"/>
  <c r="R775" i="1"/>
  <c r="I775" i="1"/>
  <c r="R774" i="1"/>
  <c r="I774" i="1"/>
  <c r="R773" i="1"/>
  <c r="I773" i="1"/>
  <c r="AC772" i="1"/>
  <c r="R772" i="1"/>
  <c r="I772" i="1"/>
  <c r="AC771" i="1"/>
  <c r="R771" i="1"/>
  <c r="I771" i="1"/>
  <c r="AC770" i="1"/>
  <c r="R770" i="1"/>
  <c r="I770" i="1"/>
  <c r="AC769" i="1"/>
  <c r="R769" i="1"/>
  <c r="I769" i="1"/>
  <c r="R768" i="1"/>
  <c r="I768" i="1"/>
  <c r="AC767" i="1"/>
  <c r="R767" i="1"/>
  <c r="I767" i="1"/>
  <c r="R766" i="1"/>
  <c r="I766" i="1"/>
  <c r="AC765" i="1"/>
  <c r="R765" i="1"/>
  <c r="I765" i="1"/>
  <c r="AC764" i="1"/>
  <c r="R764" i="1"/>
  <c r="I764" i="1"/>
  <c r="AC763" i="1"/>
  <c r="R763" i="1"/>
  <c r="I763" i="1"/>
  <c r="AC762" i="1"/>
  <c r="R762" i="1"/>
  <c r="I762" i="1"/>
  <c r="AC761" i="1"/>
  <c r="R761" i="1"/>
  <c r="I761" i="1"/>
  <c r="AC760" i="1"/>
  <c r="R760" i="1"/>
  <c r="I760" i="1"/>
  <c r="R759" i="1"/>
  <c r="I759" i="1"/>
  <c r="AC758" i="1"/>
  <c r="R758" i="1"/>
  <c r="I758" i="1"/>
  <c r="AC757" i="1"/>
  <c r="R757" i="1"/>
  <c r="I757" i="1"/>
  <c r="AC756" i="1"/>
  <c r="R756" i="1"/>
  <c r="I756" i="1"/>
  <c r="AC755" i="1"/>
  <c r="R755" i="1"/>
  <c r="I755" i="1"/>
  <c r="AC754" i="1"/>
  <c r="R754" i="1"/>
  <c r="I754" i="1"/>
  <c r="AC753" i="1"/>
  <c r="R753" i="1"/>
  <c r="I753" i="1"/>
  <c r="AC752" i="1"/>
  <c r="R752" i="1"/>
  <c r="I752" i="1"/>
  <c r="AC751" i="1"/>
  <c r="R751" i="1"/>
  <c r="I751" i="1"/>
  <c r="AC750" i="1"/>
  <c r="R750" i="1"/>
  <c r="I750" i="1"/>
  <c r="AC749" i="1"/>
  <c r="R749" i="1"/>
  <c r="I749" i="1"/>
  <c r="R748" i="1"/>
  <c r="I748" i="1"/>
  <c r="AC747" i="1"/>
  <c r="R747" i="1"/>
  <c r="I747" i="1"/>
  <c r="R746" i="1"/>
  <c r="I746" i="1"/>
  <c r="R745" i="1"/>
  <c r="I745" i="1"/>
  <c r="R744" i="1"/>
  <c r="I744" i="1"/>
  <c r="AC743" i="1"/>
  <c r="R743" i="1"/>
  <c r="I743" i="1"/>
  <c r="AC742" i="1"/>
  <c r="R742" i="1"/>
  <c r="I742" i="1"/>
  <c r="AC741" i="1"/>
  <c r="R741" i="1"/>
  <c r="I741" i="1"/>
  <c r="AC740" i="1"/>
  <c r="R740" i="1"/>
  <c r="I740" i="1"/>
  <c r="AC739" i="1"/>
  <c r="R739" i="1"/>
  <c r="I739" i="1"/>
  <c r="AC738" i="1"/>
  <c r="R738" i="1"/>
  <c r="I738" i="1"/>
  <c r="AC737" i="1"/>
  <c r="R737" i="1"/>
  <c r="I737" i="1"/>
  <c r="AC736" i="1"/>
  <c r="R736" i="1"/>
  <c r="I736" i="1"/>
  <c r="AC735" i="1"/>
  <c r="R735" i="1"/>
  <c r="I735" i="1"/>
  <c r="AC734" i="1"/>
  <c r="R734" i="1"/>
  <c r="I734" i="1"/>
  <c r="AC733" i="1"/>
  <c r="R733" i="1"/>
  <c r="I733" i="1"/>
  <c r="AC732" i="1"/>
  <c r="R732" i="1"/>
  <c r="I732" i="1"/>
  <c r="AC731" i="1"/>
  <c r="R731" i="1"/>
  <c r="I731" i="1"/>
  <c r="AC730" i="1"/>
  <c r="R730" i="1"/>
  <c r="I730" i="1"/>
  <c r="AC729" i="1"/>
  <c r="R729" i="1"/>
  <c r="I729" i="1"/>
  <c r="AC728" i="1"/>
  <c r="R728" i="1"/>
  <c r="I728" i="1"/>
  <c r="AC727" i="1"/>
  <c r="R727" i="1"/>
  <c r="I727" i="1"/>
  <c r="AC726" i="1"/>
  <c r="R726" i="1"/>
  <c r="I726" i="1"/>
  <c r="AC725" i="1"/>
  <c r="R725" i="1"/>
  <c r="I725" i="1"/>
  <c r="R724" i="1"/>
  <c r="I724" i="1"/>
  <c r="AC723" i="1"/>
  <c r="R723" i="1"/>
  <c r="I723" i="1"/>
  <c r="AC722" i="1"/>
  <c r="R722" i="1"/>
  <c r="I722" i="1"/>
  <c r="AC721" i="1"/>
  <c r="R721" i="1"/>
  <c r="I721" i="1"/>
  <c r="AC720" i="1"/>
  <c r="R720" i="1"/>
  <c r="I720" i="1"/>
  <c r="AC719" i="1"/>
  <c r="R719" i="1"/>
  <c r="I719" i="1"/>
  <c r="AC718" i="1"/>
  <c r="R718" i="1"/>
  <c r="I718" i="1"/>
  <c r="AC717" i="1"/>
  <c r="R717" i="1"/>
  <c r="I717" i="1"/>
  <c r="AC716" i="1"/>
  <c r="R716" i="1"/>
  <c r="I716" i="1"/>
  <c r="AC715" i="1"/>
  <c r="R715" i="1"/>
  <c r="I715" i="1"/>
  <c r="AC714" i="1"/>
  <c r="R714" i="1"/>
  <c r="I714" i="1"/>
  <c r="R713" i="1"/>
  <c r="I713" i="1"/>
  <c r="AC712" i="1"/>
  <c r="R712" i="1"/>
  <c r="I712" i="1"/>
  <c r="AC711" i="1"/>
  <c r="R711" i="1"/>
  <c r="I711" i="1"/>
  <c r="AC710" i="1"/>
  <c r="R710" i="1"/>
  <c r="I710" i="1"/>
  <c r="AC709" i="1"/>
  <c r="R709" i="1"/>
  <c r="I709" i="1"/>
  <c r="AC708" i="1"/>
  <c r="R708" i="1"/>
  <c r="I708" i="1"/>
  <c r="AC707" i="1"/>
  <c r="R707" i="1"/>
  <c r="I707" i="1"/>
  <c r="R706" i="1"/>
  <c r="I706" i="1"/>
  <c r="R705" i="1"/>
  <c r="I705" i="1"/>
  <c r="R704" i="1"/>
  <c r="I704" i="1"/>
  <c r="AC703" i="1"/>
  <c r="R703" i="1"/>
  <c r="I703" i="1"/>
  <c r="AC702" i="1"/>
  <c r="R702" i="1"/>
  <c r="I702" i="1"/>
  <c r="AC701" i="1"/>
  <c r="R701" i="1"/>
  <c r="I701" i="1"/>
  <c r="AC700" i="1"/>
  <c r="R700" i="1"/>
  <c r="I700" i="1"/>
  <c r="AC699" i="1"/>
  <c r="R699" i="1"/>
  <c r="I699" i="1"/>
  <c r="AC698" i="1"/>
  <c r="R698" i="1"/>
  <c r="I698" i="1"/>
  <c r="AC697" i="1"/>
  <c r="R697" i="1"/>
  <c r="I697" i="1"/>
  <c r="AC696" i="1"/>
  <c r="R696" i="1"/>
  <c r="I696" i="1"/>
  <c r="R695" i="1"/>
  <c r="I695" i="1"/>
  <c r="AC694" i="1"/>
  <c r="R694" i="1"/>
  <c r="I694" i="1"/>
  <c r="R693" i="1"/>
  <c r="I693" i="1"/>
  <c r="AC692" i="1"/>
  <c r="R692" i="1"/>
  <c r="I692" i="1"/>
  <c r="AC691" i="1"/>
  <c r="R691" i="1"/>
  <c r="I691" i="1"/>
  <c r="AC690" i="1"/>
  <c r="R690" i="1"/>
  <c r="I690" i="1"/>
  <c r="AC689" i="1"/>
  <c r="R689" i="1"/>
  <c r="I689" i="1"/>
  <c r="AC688" i="1"/>
  <c r="R688" i="1"/>
  <c r="I688" i="1"/>
  <c r="AC687" i="1"/>
  <c r="R687" i="1"/>
  <c r="I687" i="1"/>
  <c r="AC686" i="1"/>
  <c r="R686" i="1"/>
  <c r="I686" i="1"/>
  <c r="AC685" i="1"/>
  <c r="R685" i="1"/>
  <c r="I685" i="1"/>
  <c r="AC684" i="1"/>
  <c r="R684" i="1"/>
  <c r="I684" i="1"/>
  <c r="AC683" i="1"/>
  <c r="R683" i="1"/>
  <c r="I683" i="1"/>
  <c r="R682" i="1"/>
  <c r="I682" i="1"/>
  <c r="R681" i="1"/>
  <c r="I681" i="1"/>
  <c r="R680" i="1"/>
  <c r="I680" i="1"/>
  <c r="AC679" i="1"/>
  <c r="R679" i="1"/>
  <c r="I679" i="1"/>
  <c r="AC678" i="1"/>
  <c r="R678" i="1"/>
  <c r="I678" i="1"/>
  <c r="R677" i="1"/>
  <c r="I677" i="1"/>
  <c r="R676" i="1"/>
  <c r="I676" i="1"/>
  <c r="AC675" i="1"/>
  <c r="R675" i="1"/>
  <c r="I675" i="1"/>
  <c r="AC674" i="1"/>
  <c r="R674" i="1"/>
  <c r="I674" i="1"/>
  <c r="AC673" i="1"/>
  <c r="R673" i="1"/>
  <c r="I673" i="1"/>
  <c r="AC672" i="1"/>
  <c r="R672" i="1"/>
  <c r="I672" i="1"/>
  <c r="AC671" i="1"/>
  <c r="R671" i="1"/>
  <c r="I671" i="1"/>
  <c r="R670" i="1"/>
  <c r="I670" i="1"/>
  <c r="AC669" i="1"/>
  <c r="R669" i="1"/>
  <c r="I669" i="1"/>
  <c r="AC668" i="1"/>
  <c r="R668" i="1"/>
  <c r="I668" i="1"/>
  <c r="AC667" i="1"/>
  <c r="R667" i="1"/>
  <c r="I667" i="1"/>
  <c r="AC666" i="1"/>
  <c r="R666" i="1"/>
  <c r="I666" i="1"/>
  <c r="AC665" i="1"/>
  <c r="R665" i="1"/>
  <c r="I665" i="1"/>
  <c r="AC664" i="1"/>
  <c r="R664" i="1"/>
  <c r="I664" i="1"/>
  <c r="R663" i="1"/>
  <c r="I663" i="1"/>
  <c r="R662" i="1"/>
  <c r="I662" i="1"/>
  <c r="AC661" i="1"/>
  <c r="R661" i="1"/>
  <c r="I661" i="1"/>
  <c r="AC660" i="1"/>
  <c r="R660" i="1"/>
  <c r="I660" i="1"/>
  <c r="AC659" i="1"/>
  <c r="R659" i="1"/>
  <c r="I659" i="1"/>
  <c r="AC658" i="1"/>
  <c r="R658" i="1"/>
  <c r="I658" i="1"/>
  <c r="AC657" i="1"/>
  <c r="R657" i="1"/>
  <c r="I657" i="1"/>
  <c r="AC656" i="1"/>
  <c r="R656" i="1"/>
  <c r="I656" i="1"/>
  <c r="AC655" i="1"/>
  <c r="R655" i="1"/>
  <c r="I655" i="1"/>
  <c r="AC654" i="1"/>
  <c r="R654" i="1"/>
  <c r="I654" i="1"/>
  <c r="AC653" i="1"/>
  <c r="R653" i="1"/>
  <c r="I653" i="1"/>
  <c r="AC652" i="1"/>
  <c r="R652" i="1"/>
  <c r="I652" i="1"/>
  <c r="AC651" i="1"/>
  <c r="R651" i="1"/>
  <c r="I651" i="1"/>
  <c r="AC650" i="1"/>
  <c r="R650" i="1"/>
  <c r="I650" i="1"/>
  <c r="AC649" i="1"/>
  <c r="R649" i="1"/>
  <c r="I649" i="1"/>
  <c r="AC648" i="1"/>
  <c r="R648" i="1"/>
  <c r="I648" i="1"/>
  <c r="R647" i="1"/>
  <c r="I647" i="1"/>
  <c r="R646" i="1"/>
  <c r="I646" i="1"/>
  <c r="AC645" i="1"/>
  <c r="R645" i="1"/>
  <c r="I645" i="1"/>
  <c r="AC644" i="1"/>
  <c r="R644" i="1"/>
  <c r="I644" i="1"/>
  <c r="AC643" i="1"/>
  <c r="R643" i="1"/>
  <c r="I643" i="1"/>
  <c r="AC642" i="1"/>
  <c r="R642" i="1"/>
  <c r="I642" i="1"/>
  <c r="R641" i="1"/>
  <c r="I641" i="1"/>
  <c r="R640" i="1"/>
  <c r="I640" i="1"/>
  <c r="AC639" i="1"/>
  <c r="R639" i="1"/>
  <c r="I639" i="1"/>
  <c r="AC638" i="1"/>
  <c r="R638" i="1"/>
  <c r="I638" i="1"/>
  <c r="AC637" i="1"/>
  <c r="R637" i="1"/>
  <c r="I637" i="1"/>
  <c r="AC636" i="1"/>
  <c r="R636" i="1"/>
  <c r="I636" i="1"/>
  <c r="AC635" i="1"/>
  <c r="R635" i="1"/>
  <c r="I635" i="1"/>
  <c r="AC634" i="1"/>
  <c r="R634" i="1"/>
  <c r="I634" i="1"/>
  <c r="AC633" i="1"/>
  <c r="R633" i="1"/>
  <c r="I633" i="1"/>
  <c r="AC632" i="1"/>
  <c r="R632" i="1"/>
  <c r="I632" i="1"/>
  <c r="AC631" i="1"/>
  <c r="R631" i="1"/>
  <c r="I631" i="1"/>
  <c r="AC630" i="1"/>
  <c r="R630" i="1"/>
  <c r="I630" i="1"/>
  <c r="AC629" i="1"/>
  <c r="R629" i="1"/>
  <c r="I629" i="1"/>
  <c r="AC628" i="1"/>
  <c r="R628" i="1"/>
  <c r="I628" i="1"/>
  <c r="AC627" i="1"/>
  <c r="R627" i="1"/>
  <c r="I627" i="1"/>
  <c r="AC626" i="1"/>
  <c r="R626" i="1"/>
  <c r="I626" i="1"/>
  <c r="AC625" i="1"/>
  <c r="R625" i="1"/>
  <c r="I625" i="1"/>
  <c r="AC624" i="1"/>
  <c r="R624" i="1"/>
  <c r="I624" i="1"/>
  <c r="AC623" i="1"/>
  <c r="R623" i="1"/>
  <c r="I623" i="1"/>
  <c r="AC622" i="1"/>
  <c r="R622" i="1"/>
  <c r="I622" i="1"/>
  <c r="AC621" i="1"/>
  <c r="R621" i="1"/>
  <c r="I621" i="1"/>
  <c r="AC620" i="1"/>
  <c r="R620" i="1"/>
  <c r="I620" i="1"/>
  <c r="AC619" i="1"/>
  <c r="R619" i="1"/>
  <c r="I619" i="1"/>
  <c r="AC618" i="1"/>
  <c r="R618" i="1"/>
  <c r="I618" i="1"/>
  <c r="AC617" i="1"/>
  <c r="R617" i="1"/>
  <c r="I617" i="1"/>
  <c r="AC616" i="1"/>
  <c r="R616" i="1"/>
  <c r="I616" i="1"/>
  <c r="AC615" i="1"/>
  <c r="R615" i="1"/>
  <c r="I615" i="1"/>
  <c r="R614" i="1"/>
  <c r="I614" i="1"/>
  <c r="R613" i="1"/>
  <c r="I613" i="1"/>
  <c r="R612" i="1"/>
  <c r="I612" i="1"/>
  <c r="R611" i="1"/>
  <c r="I611" i="1"/>
  <c r="AC610" i="1"/>
  <c r="R610" i="1"/>
  <c r="I610" i="1"/>
  <c r="AC609" i="1"/>
  <c r="R609" i="1"/>
  <c r="I609" i="1"/>
  <c r="AC608" i="1"/>
  <c r="R608" i="1"/>
  <c r="I608" i="1"/>
  <c r="AC607" i="1"/>
  <c r="R607" i="1"/>
  <c r="I607" i="1"/>
  <c r="AC606" i="1"/>
  <c r="R606" i="1"/>
  <c r="I606" i="1"/>
  <c r="AC605" i="1"/>
  <c r="R605" i="1"/>
  <c r="I605" i="1"/>
  <c r="AC604" i="1"/>
  <c r="R604" i="1"/>
  <c r="I604" i="1"/>
  <c r="AC603" i="1"/>
  <c r="R603" i="1"/>
  <c r="I603" i="1"/>
  <c r="AC602" i="1"/>
  <c r="R602" i="1"/>
  <c r="I602" i="1"/>
  <c r="AC601" i="1"/>
  <c r="R601" i="1"/>
  <c r="I601" i="1"/>
  <c r="AC600" i="1"/>
  <c r="R600" i="1"/>
  <c r="I600" i="1"/>
  <c r="AC599" i="1"/>
  <c r="R599" i="1"/>
  <c r="I599" i="1"/>
  <c r="AC598" i="1"/>
  <c r="R598" i="1"/>
  <c r="I598" i="1"/>
  <c r="R597" i="1"/>
  <c r="I597" i="1"/>
  <c r="R596" i="1"/>
  <c r="I596" i="1"/>
  <c r="AC595" i="1"/>
  <c r="R595" i="1"/>
  <c r="I595" i="1"/>
  <c r="AC594" i="1"/>
  <c r="R594" i="1"/>
  <c r="I594" i="1"/>
  <c r="AC593" i="1"/>
  <c r="R593" i="1"/>
  <c r="I593" i="1"/>
  <c r="AC592" i="1"/>
  <c r="R592" i="1"/>
  <c r="I592" i="1"/>
  <c r="AC591" i="1"/>
  <c r="R591" i="1"/>
  <c r="I591" i="1"/>
  <c r="AC590" i="1"/>
  <c r="R590" i="1"/>
  <c r="I590" i="1"/>
  <c r="AC589" i="1"/>
  <c r="R589" i="1"/>
  <c r="I589" i="1"/>
  <c r="AC588" i="1"/>
  <c r="R588" i="1"/>
  <c r="I588" i="1"/>
  <c r="AC587" i="1"/>
  <c r="R587" i="1"/>
  <c r="I587" i="1"/>
  <c r="AC586" i="1"/>
  <c r="R586" i="1"/>
  <c r="I586" i="1"/>
  <c r="AC585" i="1"/>
  <c r="R585" i="1"/>
  <c r="I585" i="1"/>
  <c r="AC584" i="1"/>
  <c r="R584" i="1"/>
  <c r="I584" i="1"/>
  <c r="AC583" i="1"/>
  <c r="R583" i="1"/>
  <c r="I583" i="1"/>
  <c r="AC582" i="1"/>
  <c r="R582" i="1"/>
  <c r="I582" i="1"/>
  <c r="AC581" i="1"/>
  <c r="R581" i="1"/>
  <c r="I581" i="1"/>
  <c r="AC580" i="1"/>
  <c r="R580" i="1"/>
  <c r="I580" i="1"/>
  <c r="AC579" i="1"/>
  <c r="R579" i="1"/>
  <c r="I579" i="1"/>
  <c r="AC578" i="1"/>
  <c r="R578" i="1"/>
  <c r="I578" i="1"/>
  <c r="AC577" i="1"/>
  <c r="R577" i="1"/>
  <c r="I577" i="1"/>
  <c r="AC576" i="1"/>
  <c r="R576" i="1"/>
  <c r="I576" i="1"/>
  <c r="AC575" i="1"/>
  <c r="R575" i="1"/>
  <c r="I575" i="1"/>
  <c r="AC574" i="1"/>
  <c r="R574" i="1"/>
  <c r="I574" i="1"/>
  <c r="AC573" i="1"/>
  <c r="R573" i="1"/>
  <c r="I573" i="1"/>
  <c r="AC572" i="1"/>
  <c r="R572" i="1"/>
  <c r="I572" i="1"/>
  <c r="AC571" i="1"/>
  <c r="R571" i="1"/>
  <c r="I571" i="1"/>
  <c r="AC570" i="1"/>
  <c r="R570" i="1"/>
  <c r="I570" i="1"/>
  <c r="AC569" i="1"/>
  <c r="R569" i="1"/>
  <c r="I569" i="1"/>
  <c r="AC568" i="1"/>
  <c r="R568" i="1"/>
  <c r="I568" i="1"/>
  <c r="AC567" i="1"/>
  <c r="R567" i="1"/>
  <c r="I567" i="1"/>
  <c r="AC566" i="1"/>
  <c r="R566" i="1"/>
  <c r="I566" i="1"/>
  <c r="AC565" i="1"/>
  <c r="R565" i="1"/>
  <c r="I565" i="1"/>
  <c r="AC564" i="1"/>
  <c r="R564" i="1"/>
  <c r="I564" i="1"/>
  <c r="AC563" i="1"/>
  <c r="R563" i="1"/>
  <c r="I563" i="1"/>
  <c r="AC562" i="1"/>
  <c r="R562" i="1"/>
  <c r="I562" i="1"/>
  <c r="AC561" i="1"/>
  <c r="R561" i="1"/>
  <c r="I561" i="1"/>
  <c r="AC560" i="1"/>
  <c r="R560" i="1"/>
  <c r="I560" i="1"/>
  <c r="AC559" i="1"/>
  <c r="R559" i="1"/>
  <c r="I559" i="1"/>
  <c r="AC558" i="1"/>
  <c r="R558" i="1"/>
  <c r="I558" i="1"/>
  <c r="AC557" i="1"/>
  <c r="R557" i="1"/>
  <c r="I557" i="1"/>
  <c r="AC556" i="1"/>
  <c r="R556" i="1"/>
  <c r="I556" i="1"/>
  <c r="AC555" i="1"/>
  <c r="R555" i="1"/>
  <c r="I555" i="1"/>
  <c r="AC554" i="1"/>
  <c r="R554" i="1"/>
  <c r="I554" i="1"/>
  <c r="AC553" i="1"/>
  <c r="R553" i="1"/>
  <c r="I553" i="1"/>
  <c r="AC552" i="1"/>
  <c r="R552" i="1"/>
  <c r="I552" i="1"/>
  <c r="AC551" i="1"/>
  <c r="R551" i="1"/>
  <c r="I551" i="1"/>
  <c r="AC550" i="1"/>
  <c r="R550" i="1"/>
  <c r="I550" i="1"/>
  <c r="AC549" i="1"/>
  <c r="R549" i="1"/>
  <c r="I549" i="1"/>
  <c r="AC548" i="1"/>
  <c r="R548" i="1"/>
  <c r="I548" i="1"/>
  <c r="AC547" i="1"/>
  <c r="R547" i="1"/>
  <c r="I547" i="1"/>
  <c r="AC546" i="1"/>
  <c r="R546" i="1"/>
  <c r="I546" i="1"/>
  <c r="AC545" i="1"/>
  <c r="R545" i="1"/>
  <c r="I545" i="1"/>
  <c r="AC544" i="1"/>
  <c r="R544" i="1"/>
  <c r="I544" i="1"/>
  <c r="AC543" i="1"/>
  <c r="R543" i="1"/>
  <c r="I543" i="1"/>
  <c r="AC542" i="1"/>
  <c r="R542" i="1"/>
  <c r="I542" i="1"/>
  <c r="AC541" i="1"/>
  <c r="R541" i="1"/>
  <c r="I541" i="1"/>
  <c r="AC540" i="1"/>
  <c r="R540" i="1"/>
  <c r="I540" i="1"/>
  <c r="AC539" i="1"/>
  <c r="R539" i="1"/>
  <c r="I539" i="1"/>
  <c r="AC538" i="1"/>
  <c r="R538" i="1"/>
  <c r="I538" i="1"/>
  <c r="AC537" i="1"/>
  <c r="R537" i="1"/>
  <c r="I537" i="1"/>
  <c r="AC536" i="1"/>
  <c r="R536" i="1"/>
  <c r="I536" i="1"/>
  <c r="AC535" i="1"/>
  <c r="R535" i="1"/>
  <c r="I535" i="1"/>
  <c r="AC534" i="1"/>
  <c r="R534" i="1"/>
  <c r="I534" i="1"/>
  <c r="AC533" i="1"/>
  <c r="R533" i="1"/>
  <c r="I533" i="1"/>
  <c r="AC532" i="1"/>
  <c r="R532" i="1"/>
  <c r="I532" i="1"/>
  <c r="AC531" i="1"/>
  <c r="R531" i="1"/>
  <c r="I531" i="1"/>
  <c r="AC530" i="1"/>
  <c r="R530" i="1"/>
  <c r="I530" i="1"/>
  <c r="AC529" i="1"/>
  <c r="R529" i="1"/>
  <c r="I529" i="1"/>
  <c r="AC528" i="1"/>
  <c r="R528" i="1"/>
  <c r="I528" i="1"/>
  <c r="AC527" i="1"/>
  <c r="R527" i="1"/>
  <c r="I527" i="1"/>
  <c r="AC526" i="1"/>
  <c r="R526" i="1"/>
  <c r="I526" i="1"/>
  <c r="AC525" i="1"/>
  <c r="R525" i="1"/>
  <c r="I525" i="1"/>
  <c r="AC524" i="1"/>
  <c r="R524" i="1"/>
  <c r="I524" i="1"/>
  <c r="AC523" i="1"/>
  <c r="R523" i="1"/>
  <c r="I523" i="1"/>
  <c r="AC522" i="1"/>
  <c r="R522" i="1"/>
  <c r="I522" i="1"/>
  <c r="AC521" i="1"/>
  <c r="R521" i="1"/>
  <c r="I521" i="1"/>
  <c r="AC520" i="1"/>
  <c r="R520" i="1"/>
  <c r="I520" i="1"/>
  <c r="AC519" i="1"/>
  <c r="R519" i="1"/>
  <c r="I519" i="1"/>
  <c r="R518" i="1"/>
  <c r="I518" i="1"/>
  <c r="R517" i="1"/>
  <c r="I517" i="1"/>
  <c r="AC516" i="1"/>
  <c r="R516" i="1"/>
  <c r="I516" i="1"/>
  <c r="AC515" i="1"/>
  <c r="R515" i="1"/>
  <c r="I515" i="1"/>
  <c r="AC514" i="1"/>
  <c r="R514" i="1"/>
  <c r="I514" i="1"/>
  <c r="AC513" i="1"/>
  <c r="R513" i="1"/>
  <c r="I513" i="1"/>
  <c r="AC512" i="1"/>
  <c r="R512" i="1"/>
  <c r="I512" i="1"/>
  <c r="AC511" i="1"/>
  <c r="R511" i="1"/>
  <c r="I511" i="1"/>
  <c r="AC510" i="1"/>
  <c r="R510" i="1"/>
  <c r="I510" i="1"/>
  <c r="AC509" i="1"/>
  <c r="R509" i="1"/>
  <c r="I509" i="1"/>
  <c r="AC508" i="1"/>
  <c r="R508" i="1"/>
  <c r="I508" i="1"/>
  <c r="AC507" i="1"/>
  <c r="R507" i="1"/>
  <c r="I507" i="1"/>
  <c r="AC506" i="1"/>
  <c r="R506" i="1"/>
  <c r="I506" i="1"/>
  <c r="AC505" i="1"/>
  <c r="R505" i="1"/>
  <c r="I505" i="1"/>
  <c r="AC504" i="1"/>
  <c r="R504" i="1"/>
  <c r="I504" i="1"/>
  <c r="AC503" i="1"/>
  <c r="R503" i="1"/>
  <c r="I503" i="1"/>
  <c r="AC502" i="1"/>
  <c r="R502" i="1"/>
  <c r="I502" i="1"/>
  <c r="AC501" i="1"/>
  <c r="R501" i="1"/>
  <c r="I501" i="1"/>
  <c r="AC500" i="1"/>
  <c r="R500" i="1"/>
  <c r="I500" i="1"/>
  <c r="AC499" i="1"/>
  <c r="R499" i="1"/>
  <c r="I499" i="1"/>
  <c r="AC498" i="1"/>
  <c r="R498" i="1"/>
  <c r="I498" i="1"/>
  <c r="AC497" i="1"/>
  <c r="R497" i="1"/>
  <c r="I497" i="1"/>
  <c r="AC496" i="1"/>
  <c r="R496" i="1"/>
  <c r="I496" i="1"/>
  <c r="AC495" i="1"/>
  <c r="R495" i="1"/>
  <c r="I495" i="1"/>
  <c r="AC494" i="1"/>
  <c r="R494" i="1"/>
  <c r="I494" i="1"/>
  <c r="AC493" i="1"/>
  <c r="R493" i="1"/>
  <c r="I493" i="1"/>
  <c r="AC492" i="1"/>
  <c r="R492" i="1"/>
  <c r="I492" i="1"/>
  <c r="AC491" i="1"/>
  <c r="R491" i="1"/>
  <c r="I491" i="1"/>
  <c r="AC490" i="1"/>
  <c r="R490" i="1"/>
  <c r="I490" i="1"/>
  <c r="AC489" i="1"/>
  <c r="R489" i="1"/>
  <c r="I489" i="1"/>
  <c r="AC488" i="1"/>
  <c r="R488" i="1"/>
  <c r="I488" i="1"/>
  <c r="AC487" i="1"/>
  <c r="R487" i="1"/>
  <c r="I487" i="1"/>
  <c r="AC486" i="1"/>
  <c r="R486" i="1"/>
  <c r="I486" i="1"/>
  <c r="AC485" i="1"/>
  <c r="R485" i="1"/>
  <c r="I485" i="1"/>
  <c r="AC484" i="1"/>
  <c r="R484" i="1"/>
  <c r="I484" i="1"/>
  <c r="AC483" i="1"/>
  <c r="R483" i="1"/>
  <c r="I483" i="1"/>
  <c r="AC482" i="1"/>
  <c r="R482" i="1"/>
  <c r="I482" i="1"/>
  <c r="R481" i="1"/>
  <c r="I481" i="1"/>
  <c r="AC480" i="1"/>
  <c r="R480" i="1"/>
  <c r="I480" i="1"/>
  <c r="AC479" i="1"/>
  <c r="R479" i="1"/>
  <c r="I479" i="1"/>
  <c r="AC478" i="1"/>
  <c r="R478" i="1"/>
  <c r="I478" i="1"/>
  <c r="AC477" i="1"/>
  <c r="R477" i="1"/>
  <c r="I477" i="1"/>
  <c r="AC476" i="1"/>
  <c r="R476" i="1"/>
  <c r="I476" i="1"/>
  <c r="AC475" i="1"/>
  <c r="R475" i="1"/>
  <c r="I475" i="1"/>
  <c r="AC474" i="1"/>
  <c r="R474" i="1"/>
  <c r="I474" i="1"/>
  <c r="AC473" i="1"/>
  <c r="R473" i="1"/>
  <c r="I473" i="1"/>
  <c r="AC472" i="1"/>
  <c r="R472" i="1"/>
  <c r="I472" i="1"/>
  <c r="AC471" i="1"/>
  <c r="R471" i="1"/>
  <c r="I471" i="1"/>
  <c r="AC470" i="1"/>
  <c r="R470" i="1"/>
  <c r="I470" i="1"/>
  <c r="AC469" i="1"/>
  <c r="R469" i="1"/>
  <c r="I469" i="1"/>
  <c r="AC468" i="1"/>
  <c r="R468" i="1"/>
  <c r="I468" i="1"/>
  <c r="AC467" i="1"/>
  <c r="R467" i="1"/>
  <c r="I467" i="1"/>
  <c r="AC466" i="1"/>
  <c r="R466" i="1"/>
  <c r="I466" i="1"/>
  <c r="AC465" i="1"/>
  <c r="R465" i="1"/>
  <c r="I465" i="1"/>
  <c r="AC464" i="1"/>
  <c r="R464" i="1"/>
  <c r="I464" i="1"/>
  <c r="AC463" i="1"/>
  <c r="R463" i="1"/>
  <c r="I463" i="1"/>
  <c r="AC462" i="1"/>
  <c r="R462" i="1"/>
  <c r="I462" i="1"/>
  <c r="AC461" i="1"/>
  <c r="R461" i="1"/>
  <c r="I461" i="1"/>
  <c r="AC460" i="1"/>
  <c r="R460" i="1"/>
  <c r="I460" i="1"/>
  <c r="AC459" i="1"/>
  <c r="R459" i="1"/>
  <c r="I459" i="1"/>
  <c r="AC458" i="1"/>
  <c r="R458" i="1"/>
  <c r="I458" i="1"/>
  <c r="AC457" i="1"/>
  <c r="R457" i="1"/>
  <c r="I457" i="1"/>
  <c r="AC456" i="1"/>
  <c r="R456" i="1"/>
  <c r="I456" i="1"/>
  <c r="AC455" i="1"/>
  <c r="R455" i="1"/>
  <c r="I455" i="1"/>
  <c r="AC454" i="1"/>
  <c r="R454" i="1"/>
  <c r="I454" i="1"/>
  <c r="AC453" i="1"/>
  <c r="R453" i="1"/>
  <c r="I453" i="1"/>
  <c r="AC452" i="1"/>
  <c r="R452" i="1"/>
  <c r="I452" i="1"/>
  <c r="AC451" i="1"/>
  <c r="R451" i="1"/>
  <c r="I451" i="1"/>
  <c r="AC450" i="1"/>
  <c r="R450" i="1"/>
  <c r="I450" i="1"/>
  <c r="AC449" i="1"/>
  <c r="R449" i="1"/>
  <c r="I449" i="1"/>
  <c r="AC448" i="1"/>
  <c r="R448" i="1"/>
  <c r="I448" i="1"/>
  <c r="AC447" i="1"/>
  <c r="R447" i="1"/>
  <c r="I447" i="1"/>
  <c r="AC446" i="1"/>
  <c r="R446" i="1"/>
  <c r="I446" i="1"/>
  <c r="AC445" i="1"/>
  <c r="R445" i="1"/>
  <c r="I445" i="1"/>
  <c r="AC444" i="1"/>
  <c r="R444" i="1"/>
  <c r="I444" i="1"/>
  <c r="AC443" i="1"/>
  <c r="R443" i="1"/>
  <c r="I443" i="1"/>
  <c r="AC442" i="1"/>
  <c r="R442" i="1"/>
  <c r="I442" i="1"/>
  <c r="AC441" i="1"/>
  <c r="R441" i="1"/>
  <c r="I441" i="1"/>
  <c r="AC440" i="1"/>
  <c r="R440" i="1"/>
  <c r="I440" i="1"/>
  <c r="AC439" i="1"/>
  <c r="R439" i="1"/>
  <c r="I439" i="1"/>
  <c r="AC438" i="1"/>
  <c r="R438" i="1"/>
  <c r="I438" i="1"/>
  <c r="AC437" i="1"/>
  <c r="R437" i="1"/>
  <c r="I437" i="1"/>
  <c r="AC436" i="1"/>
  <c r="R436" i="1"/>
  <c r="I436" i="1"/>
  <c r="AC435" i="1"/>
  <c r="R435" i="1"/>
  <c r="I435" i="1"/>
  <c r="AC434" i="1"/>
  <c r="R434" i="1"/>
  <c r="I434" i="1"/>
  <c r="AC433" i="1"/>
  <c r="R433" i="1"/>
  <c r="I433" i="1"/>
  <c r="AC432" i="1"/>
  <c r="R432" i="1"/>
  <c r="I432" i="1"/>
  <c r="AC431" i="1"/>
  <c r="R431" i="1"/>
  <c r="I431" i="1"/>
  <c r="AC430" i="1"/>
  <c r="R430" i="1"/>
  <c r="I430" i="1"/>
  <c r="AC429" i="1"/>
  <c r="R429" i="1"/>
  <c r="I429" i="1"/>
  <c r="AC428" i="1"/>
  <c r="R428" i="1"/>
  <c r="I428" i="1"/>
  <c r="AC427" i="1"/>
  <c r="R427" i="1"/>
  <c r="I427" i="1"/>
  <c r="AC426" i="1"/>
  <c r="R426" i="1"/>
  <c r="I426" i="1"/>
  <c r="AC425" i="1"/>
  <c r="R425" i="1"/>
  <c r="I425" i="1"/>
  <c r="AC424" i="1"/>
  <c r="R424" i="1"/>
  <c r="I424" i="1"/>
  <c r="AC423" i="1"/>
  <c r="R423" i="1"/>
  <c r="I423" i="1"/>
  <c r="AC422" i="1"/>
  <c r="R422" i="1"/>
  <c r="I422" i="1"/>
  <c r="AC421" i="1"/>
  <c r="R421" i="1"/>
  <c r="I421" i="1"/>
  <c r="R420" i="1"/>
  <c r="I420" i="1"/>
  <c r="AC419" i="1"/>
  <c r="R419" i="1"/>
  <c r="I419" i="1"/>
  <c r="AC418" i="1"/>
  <c r="R418" i="1"/>
  <c r="I418" i="1"/>
  <c r="AC417" i="1"/>
  <c r="R417" i="1"/>
  <c r="I417" i="1"/>
  <c r="AC416" i="1"/>
  <c r="R416" i="1"/>
  <c r="I416" i="1"/>
  <c r="AC415" i="1"/>
  <c r="R415" i="1"/>
  <c r="I415" i="1"/>
  <c r="AC414" i="1"/>
  <c r="R414" i="1"/>
  <c r="I414" i="1"/>
  <c r="AC413" i="1"/>
  <c r="R413" i="1"/>
  <c r="I413" i="1"/>
  <c r="AC412" i="1"/>
  <c r="R412" i="1"/>
  <c r="I412" i="1"/>
  <c r="AC411" i="1"/>
  <c r="R411" i="1"/>
  <c r="I411" i="1"/>
  <c r="AC410" i="1"/>
  <c r="R410" i="1"/>
  <c r="I410" i="1"/>
  <c r="AC409" i="1"/>
  <c r="R409" i="1"/>
  <c r="I409" i="1"/>
  <c r="AC408" i="1"/>
  <c r="R408" i="1"/>
  <c r="I408" i="1"/>
  <c r="AC407" i="1"/>
  <c r="R407" i="1"/>
  <c r="I407" i="1"/>
  <c r="AC406" i="1"/>
  <c r="R406" i="1"/>
  <c r="I406" i="1"/>
  <c r="AC405" i="1"/>
  <c r="R405" i="1"/>
  <c r="I405" i="1"/>
  <c r="AC404" i="1"/>
  <c r="R404" i="1"/>
  <c r="I404" i="1"/>
  <c r="AC403" i="1"/>
  <c r="R403" i="1"/>
  <c r="I403" i="1"/>
  <c r="AC402" i="1"/>
  <c r="R402" i="1"/>
  <c r="I402" i="1"/>
  <c r="AC401" i="1"/>
  <c r="R401" i="1"/>
  <c r="I401" i="1"/>
  <c r="AC400" i="1"/>
  <c r="R400" i="1"/>
  <c r="I400" i="1"/>
  <c r="AC399" i="1"/>
  <c r="R399" i="1"/>
  <c r="I399" i="1"/>
  <c r="AC398" i="1"/>
  <c r="R398" i="1"/>
  <c r="I398" i="1"/>
  <c r="AC397" i="1"/>
  <c r="R397" i="1"/>
  <c r="I397" i="1"/>
  <c r="AC396" i="1"/>
  <c r="R396" i="1"/>
  <c r="I396" i="1"/>
  <c r="AC395" i="1"/>
  <c r="R395" i="1"/>
  <c r="I395" i="1"/>
  <c r="AC394" i="1"/>
  <c r="R394" i="1"/>
  <c r="I394" i="1"/>
  <c r="AC393" i="1"/>
  <c r="R393" i="1"/>
  <c r="I393" i="1"/>
  <c r="AC392" i="1"/>
  <c r="R392" i="1"/>
  <c r="I392" i="1"/>
  <c r="AC391" i="1"/>
  <c r="R391" i="1"/>
  <c r="I391" i="1"/>
  <c r="AC390" i="1"/>
  <c r="R390" i="1"/>
  <c r="I390" i="1"/>
  <c r="AC389" i="1"/>
  <c r="R389" i="1"/>
  <c r="I389" i="1"/>
  <c r="AC388" i="1"/>
  <c r="R388" i="1"/>
  <c r="I388" i="1"/>
  <c r="AC387" i="1"/>
  <c r="R387" i="1"/>
  <c r="I387" i="1"/>
  <c r="AC386" i="1"/>
  <c r="R386" i="1"/>
  <c r="I386" i="1"/>
  <c r="AC385" i="1"/>
  <c r="R385" i="1"/>
  <c r="I385" i="1"/>
  <c r="AC384" i="1"/>
  <c r="R384" i="1"/>
  <c r="I384" i="1"/>
  <c r="AC383" i="1"/>
  <c r="R383" i="1"/>
  <c r="I383" i="1"/>
  <c r="AC382" i="1"/>
  <c r="R382" i="1"/>
  <c r="I382" i="1"/>
  <c r="AC381" i="1"/>
  <c r="R381" i="1"/>
  <c r="I381" i="1"/>
  <c r="AC380" i="1"/>
  <c r="R380" i="1"/>
  <c r="I380" i="1"/>
  <c r="AC379" i="1"/>
  <c r="R379" i="1"/>
  <c r="I379" i="1"/>
  <c r="AC378" i="1"/>
  <c r="R378" i="1"/>
  <c r="I378" i="1"/>
  <c r="AC377" i="1"/>
  <c r="R377" i="1"/>
  <c r="I377" i="1"/>
  <c r="AC376" i="1"/>
  <c r="R376" i="1"/>
  <c r="I376" i="1"/>
  <c r="AC375" i="1"/>
  <c r="R375" i="1"/>
  <c r="I375" i="1"/>
  <c r="AC374" i="1"/>
  <c r="R374" i="1"/>
  <c r="I374" i="1"/>
  <c r="AC373" i="1"/>
  <c r="R373" i="1"/>
  <c r="I373" i="1"/>
  <c r="AC372" i="1"/>
  <c r="R372" i="1"/>
  <c r="I372" i="1"/>
  <c r="AC371" i="1"/>
  <c r="R371" i="1"/>
  <c r="I371" i="1"/>
  <c r="AC370" i="1"/>
  <c r="R370" i="1"/>
  <c r="I370" i="1"/>
  <c r="AC369" i="1"/>
  <c r="R369" i="1"/>
  <c r="I369" i="1"/>
  <c r="AC368" i="1"/>
  <c r="R368" i="1"/>
  <c r="I368" i="1"/>
  <c r="AC367" i="1"/>
  <c r="R367" i="1"/>
  <c r="I367" i="1"/>
  <c r="AC366" i="1"/>
  <c r="R366" i="1"/>
  <c r="I366" i="1"/>
  <c r="AC365" i="1"/>
  <c r="R365" i="1"/>
  <c r="I365" i="1"/>
  <c r="AC364" i="1"/>
  <c r="R364" i="1"/>
  <c r="I364" i="1"/>
  <c r="AC363" i="1"/>
  <c r="R363" i="1"/>
  <c r="I363" i="1"/>
  <c r="R362" i="1"/>
  <c r="I362" i="1"/>
  <c r="R361" i="1"/>
  <c r="I361" i="1"/>
  <c r="AC360" i="1"/>
  <c r="R360" i="1"/>
  <c r="I360" i="1"/>
  <c r="AC359" i="1"/>
  <c r="R359" i="1"/>
  <c r="I359" i="1"/>
  <c r="AC358" i="1"/>
  <c r="R358" i="1"/>
  <c r="I358" i="1"/>
  <c r="AC357" i="1"/>
  <c r="R357" i="1"/>
  <c r="I357" i="1"/>
  <c r="AC356" i="1"/>
  <c r="R356" i="1"/>
  <c r="I356" i="1"/>
  <c r="AC355" i="1"/>
  <c r="R355" i="1"/>
  <c r="I355" i="1"/>
  <c r="AC354" i="1"/>
  <c r="R354" i="1"/>
  <c r="I354" i="1"/>
  <c r="AC353" i="1"/>
  <c r="R353" i="1"/>
  <c r="I353" i="1"/>
  <c r="AC352" i="1"/>
  <c r="R352" i="1"/>
  <c r="I352" i="1"/>
  <c r="AC351" i="1"/>
  <c r="R351" i="1"/>
  <c r="I351" i="1"/>
  <c r="AC350" i="1"/>
  <c r="R350" i="1"/>
  <c r="I350" i="1"/>
  <c r="AC349" i="1"/>
  <c r="R349" i="1"/>
  <c r="I349" i="1"/>
  <c r="AC348" i="1"/>
  <c r="R348" i="1"/>
  <c r="I348" i="1"/>
  <c r="AC347" i="1"/>
  <c r="R347" i="1"/>
  <c r="I347" i="1"/>
  <c r="AC346" i="1"/>
  <c r="R346" i="1"/>
  <c r="I346" i="1"/>
  <c r="AC345" i="1"/>
  <c r="R345" i="1"/>
  <c r="I345" i="1"/>
  <c r="AC344" i="1"/>
  <c r="R344" i="1"/>
  <c r="I344" i="1"/>
  <c r="AC343" i="1"/>
  <c r="R343" i="1"/>
  <c r="I343" i="1"/>
  <c r="AC342" i="1"/>
  <c r="R342" i="1"/>
  <c r="I342" i="1"/>
  <c r="AC341" i="1"/>
  <c r="R341" i="1"/>
  <c r="I341" i="1"/>
  <c r="AC340" i="1"/>
  <c r="R340" i="1"/>
  <c r="I340" i="1"/>
  <c r="AC339" i="1"/>
  <c r="R339" i="1"/>
  <c r="I339" i="1"/>
  <c r="AC338" i="1"/>
  <c r="R338" i="1"/>
  <c r="I338" i="1"/>
  <c r="AC337" i="1"/>
  <c r="R337" i="1"/>
  <c r="I337" i="1"/>
  <c r="AC336" i="1"/>
  <c r="R336" i="1"/>
  <c r="I336" i="1"/>
  <c r="AC335" i="1"/>
  <c r="R335" i="1"/>
  <c r="I335" i="1"/>
  <c r="AC334" i="1"/>
  <c r="R334" i="1"/>
  <c r="I334" i="1"/>
  <c r="AC333" i="1"/>
  <c r="R333" i="1"/>
  <c r="I333" i="1"/>
  <c r="AC332" i="1"/>
  <c r="R332" i="1"/>
  <c r="I332" i="1"/>
  <c r="AC331" i="1"/>
  <c r="R331" i="1"/>
  <c r="I331" i="1"/>
  <c r="AC330" i="1"/>
  <c r="R330" i="1"/>
  <c r="I330" i="1"/>
  <c r="AC329" i="1"/>
  <c r="R329" i="1"/>
  <c r="I329" i="1"/>
  <c r="AC328" i="1"/>
  <c r="R328" i="1"/>
  <c r="I328" i="1"/>
  <c r="AC327" i="1"/>
  <c r="R327" i="1"/>
  <c r="I327" i="1"/>
  <c r="AC326" i="1"/>
  <c r="R326" i="1"/>
  <c r="I326" i="1"/>
  <c r="AC325" i="1"/>
  <c r="R325" i="1"/>
  <c r="I325" i="1"/>
  <c r="AC324" i="1"/>
  <c r="R324" i="1"/>
  <c r="I324" i="1"/>
  <c r="AC323" i="1"/>
  <c r="R323" i="1"/>
  <c r="I323" i="1"/>
  <c r="AC322" i="1"/>
  <c r="R322" i="1"/>
  <c r="I322" i="1"/>
  <c r="AC321" i="1"/>
  <c r="R321" i="1"/>
  <c r="I321" i="1"/>
  <c r="AC320" i="1"/>
  <c r="R320" i="1"/>
  <c r="I320" i="1"/>
  <c r="AC319" i="1"/>
  <c r="R319" i="1"/>
  <c r="I319" i="1"/>
  <c r="AC318" i="1"/>
  <c r="R318" i="1"/>
  <c r="I318" i="1"/>
  <c r="AC317" i="1"/>
  <c r="R317" i="1"/>
  <c r="I317" i="1"/>
  <c r="AC316" i="1"/>
  <c r="R316" i="1"/>
  <c r="I316" i="1"/>
  <c r="AC315" i="1"/>
  <c r="R315" i="1"/>
  <c r="I315" i="1"/>
  <c r="AC314" i="1"/>
  <c r="R314" i="1"/>
  <c r="I314" i="1"/>
  <c r="AC313" i="1"/>
  <c r="R313" i="1"/>
  <c r="I313" i="1"/>
  <c r="AC312" i="1"/>
  <c r="R312" i="1"/>
  <c r="I312" i="1"/>
  <c r="AC311" i="1"/>
  <c r="R311" i="1"/>
  <c r="I311" i="1"/>
  <c r="AC310" i="1"/>
  <c r="R310" i="1"/>
  <c r="I310" i="1"/>
  <c r="AC309" i="1"/>
  <c r="R309" i="1"/>
  <c r="I309" i="1"/>
  <c r="AC308" i="1"/>
  <c r="R308" i="1"/>
  <c r="I308" i="1"/>
  <c r="AC307" i="1"/>
  <c r="R307" i="1"/>
  <c r="I307" i="1"/>
  <c r="AC306" i="1"/>
  <c r="R306" i="1"/>
  <c r="I306" i="1"/>
  <c r="AC305" i="1"/>
  <c r="R305" i="1"/>
  <c r="I305" i="1"/>
  <c r="AC304" i="1"/>
  <c r="R304" i="1"/>
  <c r="I304" i="1"/>
  <c r="AC303" i="1"/>
  <c r="R303" i="1"/>
  <c r="I303" i="1"/>
  <c r="AC302" i="1"/>
  <c r="R302" i="1"/>
  <c r="I302" i="1"/>
  <c r="AC301" i="1"/>
  <c r="R301" i="1"/>
  <c r="I301" i="1"/>
  <c r="AC300" i="1"/>
  <c r="R300" i="1"/>
  <c r="I300" i="1"/>
  <c r="AC299" i="1"/>
  <c r="R299" i="1"/>
  <c r="I299" i="1"/>
  <c r="AC298" i="1"/>
  <c r="R298" i="1"/>
  <c r="I298" i="1"/>
  <c r="R297" i="1"/>
  <c r="I297" i="1"/>
  <c r="AC296" i="1"/>
  <c r="R296" i="1"/>
  <c r="I296" i="1"/>
  <c r="R295" i="1"/>
  <c r="I295" i="1"/>
  <c r="R294" i="1"/>
  <c r="I294" i="1"/>
  <c r="AC293" i="1"/>
  <c r="R293" i="1"/>
  <c r="I293" i="1"/>
  <c r="AC292" i="1"/>
  <c r="R292" i="1"/>
  <c r="I292" i="1"/>
  <c r="AC291" i="1"/>
  <c r="R291" i="1"/>
  <c r="I291" i="1"/>
  <c r="AC290" i="1"/>
  <c r="R290" i="1"/>
  <c r="I290" i="1"/>
  <c r="AC289" i="1"/>
  <c r="R289" i="1"/>
  <c r="I289" i="1"/>
  <c r="AC288" i="1"/>
  <c r="R288" i="1"/>
  <c r="I288" i="1"/>
  <c r="AC287" i="1"/>
  <c r="R287" i="1"/>
  <c r="I287" i="1"/>
  <c r="R286" i="1"/>
  <c r="I286" i="1"/>
  <c r="R285" i="1"/>
  <c r="I285" i="1"/>
  <c r="R284" i="1"/>
  <c r="I284" i="1"/>
  <c r="R283" i="1"/>
  <c r="I283" i="1"/>
  <c r="R282" i="1"/>
  <c r="I282" i="1"/>
  <c r="R281" i="1"/>
  <c r="I281" i="1"/>
  <c r="AC280" i="1"/>
  <c r="R280" i="1"/>
  <c r="I280" i="1"/>
  <c r="AC279" i="1"/>
  <c r="R279" i="1"/>
  <c r="I279" i="1"/>
  <c r="AC278" i="1"/>
  <c r="R278" i="1"/>
  <c r="I278" i="1"/>
  <c r="AC277" i="1"/>
  <c r="R277" i="1"/>
  <c r="I277" i="1"/>
  <c r="R276" i="1"/>
  <c r="I276" i="1"/>
  <c r="R275" i="1"/>
  <c r="I275" i="1"/>
  <c r="AC274" i="1"/>
  <c r="R274" i="1"/>
  <c r="I274" i="1"/>
  <c r="AC273" i="1"/>
  <c r="R273" i="1"/>
  <c r="I273" i="1"/>
  <c r="AC272" i="1"/>
  <c r="R272" i="1"/>
  <c r="I272" i="1"/>
  <c r="AC271" i="1"/>
  <c r="R271" i="1"/>
  <c r="I271" i="1"/>
  <c r="AC270" i="1"/>
  <c r="R270" i="1"/>
  <c r="I270" i="1"/>
  <c r="AC269" i="1"/>
  <c r="R269" i="1"/>
  <c r="I269" i="1"/>
  <c r="R268" i="1"/>
  <c r="I268" i="1"/>
  <c r="R267" i="1"/>
  <c r="I267" i="1"/>
  <c r="AC266" i="1"/>
  <c r="R266" i="1"/>
  <c r="I266" i="1"/>
  <c r="AC265" i="1"/>
  <c r="R265" i="1"/>
  <c r="I265" i="1"/>
  <c r="AC264" i="1"/>
  <c r="R264" i="1"/>
  <c r="I264" i="1"/>
  <c r="AC263" i="1"/>
  <c r="R263" i="1"/>
  <c r="I263" i="1"/>
  <c r="R262" i="1"/>
  <c r="I262" i="1"/>
  <c r="AC261" i="1"/>
  <c r="R261" i="1"/>
  <c r="I261" i="1"/>
  <c r="AC260" i="1"/>
  <c r="R260" i="1"/>
  <c r="I260" i="1"/>
  <c r="AC259" i="1"/>
  <c r="R259" i="1"/>
  <c r="I259" i="1"/>
  <c r="AC258" i="1"/>
  <c r="R258" i="1"/>
  <c r="I258" i="1"/>
  <c r="AC257" i="1"/>
  <c r="R257" i="1"/>
  <c r="I257" i="1"/>
  <c r="AC256" i="1"/>
  <c r="R256" i="1"/>
  <c r="I256" i="1"/>
  <c r="AC255" i="1"/>
  <c r="R255" i="1"/>
  <c r="I255" i="1"/>
  <c r="AC254" i="1"/>
  <c r="R254" i="1"/>
  <c r="I254" i="1"/>
  <c r="AC253" i="1"/>
  <c r="R253" i="1"/>
  <c r="I253" i="1"/>
  <c r="AC252" i="1"/>
  <c r="R252" i="1"/>
  <c r="I252" i="1"/>
  <c r="AC251" i="1"/>
  <c r="R251" i="1"/>
  <c r="I251" i="1"/>
  <c r="AC250" i="1"/>
  <c r="R250" i="1"/>
  <c r="I250" i="1"/>
  <c r="AC249" i="1"/>
  <c r="R249" i="1"/>
  <c r="I249" i="1"/>
  <c r="AC248" i="1"/>
  <c r="R248" i="1"/>
  <c r="I248" i="1"/>
  <c r="AC247" i="1"/>
  <c r="R247" i="1"/>
  <c r="I247" i="1"/>
  <c r="AC246" i="1"/>
  <c r="R246" i="1"/>
  <c r="I246" i="1"/>
  <c r="AC245" i="1"/>
  <c r="R245" i="1"/>
  <c r="I245" i="1"/>
  <c r="AC244" i="1"/>
  <c r="R244" i="1"/>
  <c r="I244" i="1"/>
  <c r="AC243" i="1"/>
  <c r="R243" i="1"/>
  <c r="I243" i="1"/>
  <c r="AC242" i="1"/>
  <c r="R242" i="1"/>
  <c r="I242" i="1"/>
  <c r="AC241" i="1"/>
  <c r="R241" i="1"/>
  <c r="I241" i="1"/>
  <c r="AC240" i="1"/>
  <c r="R240" i="1"/>
  <c r="I240" i="1"/>
  <c r="AC239" i="1"/>
  <c r="R239" i="1"/>
  <c r="I239" i="1"/>
  <c r="AC238" i="1"/>
  <c r="R238" i="1"/>
  <c r="I238" i="1"/>
  <c r="AC237" i="1"/>
  <c r="R237" i="1"/>
  <c r="I237" i="1"/>
  <c r="AC236" i="1"/>
  <c r="R236" i="1"/>
  <c r="I236" i="1"/>
  <c r="AC235" i="1"/>
  <c r="R235" i="1"/>
  <c r="I235" i="1"/>
  <c r="AC234" i="1"/>
  <c r="R234" i="1"/>
  <c r="I234" i="1"/>
  <c r="AC233" i="1"/>
  <c r="R233" i="1"/>
  <c r="I233" i="1"/>
  <c r="AC232" i="1"/>
  <c r="R232" i="1"/>
  <c r="I232" i="1"/>
  <c r="AC231" i="1"/>
  <c r="R231" i="1"/>
  <c r="I231" i="1"/>
  <c r="AC230" i="1"/>
  <c r="R230" i="1"/>
  <c r="I230" i="1"/>
  <c r="AC229" i="1"/>
  <c r="R229" i="1"/>
  <c r="I229" i="1"/>
  <c r="AC228" i="1"/>
  <c r="R228" i="1"/>
  <c r="I228" i="1"/>
  <c r="AC227" i="1"/>
  <c r="R227" i="1"/>
  <c r="I227" i="1"/>
  <c r="AC226" i="1"/>
  <c r="R226" i="1"/>
  <c r="I226" i="1"/>
  <c r="AC225" i="1"/>
  <c r="R225" i="1"/>
  <c r="I225" i="1"/>
  <c r="AC224" i="1"/>
  <c r="R224" i="1"/>
  <c r="I224" i="1"/>
  <c r="AC223" i="1"/>
  <c r="R223" i="1"/>
  <c r="I223" i="1"/>
  <c r="AC222" i="1"/>
  <c r="R222" i="1"/>
  <c r="I222" i="1"/>
  <c r="AC221" i="1"/>
  <c r="R221" i="1"/>
  <c r="I221" i="1"/>
  <c r="AC220" i="1"/>
  <c r="R220" i="1"/>
  <c r="I220" i="1"/>
  <c r="AC219" i="1"/>
  <c r="R219" i="1"/>
  <c r="I219" i="1"/>
  <c r="AC218" i="1"/>
  <c r="R218" i="1"/>
  <c r="I218" i="1"/>
  <c r="AC217" i="1"/>
  <c r="R217" i="1"/>
  <c r="I217" i="1"/>
  <c r="AC216" i="1"/>
  <c r="R216" i="1"/>
  <c r="I216" i="1"/>
  <c r="AC215" i="1"/>
  <c r="R215" i="1"/>
  <c r="I215" i="1"/>
  <c r="AC214" i="1"/>
  <c r="R214" i="1"/>
  <c r="I214" i="1"/>
  <c r="AC213" i="1"/>
  <c r="R213" i="1"/>
  <c r="I213" i="1"/>
  <c r="AC212" i="1"/>
  <c r="R212" i="1"/>
  <c r="I212" i="1"/>
  <c r="AC211" i="1"/>
  <c r="R211" i="1"/>
  <c r="I211" i="1"/>
  <c r="R210" i="1"/>
  <c r="I210" i="1"/>
  <c r="AC209" i="1"/>
  <c r="R209" i="1"/>
  <c r="I209" i="1"/>
  <c r="AC208" i="1"/>
  <c r="R208" i="1"/>
  <c r="I208" i="1"/>
  <c r="AC207" i="1"/>
  <c r="R207" i="1"/>
  <c r="I207" i="1"/>
  <c r="AC206" i="1"/>
  <c r="R206" i="1"/>
  <c r="I206" i="1"/>
  <c r="AC205" i="1"/>
  <c r="R205" i="1"/>
  <c r="I205" i="1"/>
  <c r="Q204" i="1"/>
  <c r="R204" i="1" s="1"/>
  <c r="I204" i="1"/>
  <c r="Q203" i="1"/>
  <c r="R203" i="1" s="1"/>
  <c r="I203" i="1"/>
  <c r="Q202" i="1"/>
  <c r="R202" i="1" s="1"/>
  <c r="I202" i="1"/>
  <c r="R201" i="1"/>
  <c r="Q201" i="1"/>
  <c r="I201" i="1"/>
  <c r="Q200" i="1"/>
  <c r="R200" i="1" s="1"/>
  <c r="I200" i="1"/>
  <c r="R199" i="1"/>
  <c r="Q199" i="1"/>
  <c r="I199" i="1"/>
  <c r="Q198" i="1"/>
  <c r="R198" i="1" s="1"/>
  <c r="I198" i="1"/>
  <c r="R197" i="1"/>
  <c r="Q197" i="1"/>
  <c r="I197" i="1"/>
  <c r="Q196" i="1"/>
  <c r="R196" i="1" s="1"/>
  <c r="I196" i="1"/>
  <c r="Q195" i="1"/>
  <c r="R195" i="1" s="1"/>
  <c r="I195" i="1"/>
  <c r="Q194" i="1"/>
  <c r="R194" i="1" s="1"/>
  <c r="I194" i="1"/>
  <c r="R193" i="1"/>
  <c r="Q193" i="1"/>
  <c r="I193" i="1"/>
  <c r="Q192" i="1"/>
  <c r="R192" i="1" s="1"/>
  <c r="I192" i="1"/>
  <c r="R191" i="1"/>
  <c r="Q191" i="1"/>
  <c r="I191" i="1"/>
  <c r="Q190" i="1"/>
  <c r="R190" i="1" s="1"/>
  <c r="I190" i="1"/>
  <c r="R189" i="1"/>
  <c r="Q189" i="1"/>
  <c r="I189" i="1"/>
  <c r="Q188" i="1"/>
  <c r="R188" i="1" s="1"/>
  <c r="I188" i="1"/>
  <c r="Q187" i="1"/>
  <c r="R187" i="1" s="1"/>
  <c r="I187" i="1"/>
  <c r="Q186" i="1"/>
  <c r="R186" i="1" s="1"/>
  <c r="I186" i="1"/>
  <c r="R185" i="1"/>
  <c r="Q185" i="1"/>
  <c r="I185" i="1"/>
  <c r="R184" i="1"/>
  <c r="I184" i="1"/>
  <c r="Q183" i="1"/>
  <c r="R183" i="1" s="1"/>
  <c r="I183" i="1"/>
  <c r="R182" i="1"/>
  <c r="Q182" i="1"/>
  <c r="I182" i="1"/>
  <c r="AC181" i="1"/>
  <c r="R181" i="1"/>
  <c r="I181" i="1"/>
  <c r="R180" i="1"/>
  <c r="I180" i="1"/>
  <c r="R179" i="1"/>
  <c r="I179" i="1"/>
  <c r="R178" i="1"/>
  <c r="I178" i="1"/>
  <c r="AC177" i="1"/>
  <c r="R177" i="1"/>
  <c r="I177" i="1"/>
  <c r="AC176" i="1"/>
  <c r="R176" i="1"/>
  <c r="I176" i="1"/>
  <c r="AC175" i="1"/>
  <c r="R175" i="1"/>
  <c r="I175" i="1"/>
  <c r="AC174" i="1"/>
  <c r="R174" i="1"/>
  <c r="I174" i="1"/>
  <c r="R173" i="1"/>
  <c r="I173" i="1"/>
  <c r="AC172" i="1"/>
  <c r="R172" i="1"/>
  <c r="I172" i="1"/>
  <c r="AC171" i="1"/>
  <c r="R171" i="1"/>
  <c r="I171" i="1"/>
  <c r="AC170" i="1"/>
  <c r="R170" i="1"/>
  <c r="I170" i="1"/>
  <c r="AC169" i="1"/>
  <c r="R169" i="1"/>
  <c r="I169" i="1"/>
  <c r="AC168" i="1"/>
  <c r="R168" i="1"/>
  <c r="I168" i="1"/>
  <c r="R167" i="1"/>
  <c r="I167" i="1"/>
  <c r="R166" i="1"/>
  <c r="I166" i="1"/>
  <c r="R165" i="1"/>
  <c r="I165" i="1"/>
  <c r="R164" i="1"/>
  <c r="I164" i="1"/>
  <c r="R163" i="1"/>
  <c r="I163" i="1"/>
  <c r="AC162" i="1"/>
  <c r="R162" i="1"/>
  <c r="I162" i="1"/>
  <c r="AC161" i="1"/>
  <c r="R161" i="1"/>
  <c r="I161" i="1"/>
  <c r="AC160" i="1"/>
  <c r="R160" i="1"/>
  <c r="I160" i="1"/>
  <c r="AC159" i="1"/>
  <c r="R159" i="1"/>
  <c r="I159" i="1"/>
  <c r="AC158" i="1"/>
  <c r="R158" i="1"/>
  <c r="I158" i="1"/>
  <c r="R157" i="1"/>
  <c r="I157" i="1"/>
  <c r="R156" i="1"/>
  <c r="I156" i="1"/>
  <c r="R155" i="1"/>
  <c r="I155" i="1"/>
  <c r="R154" i="1"/>
  <c r="I154" i="1"/>
  <c r="R153" i="1"/>
  <c r="I153" i="1"/>
  <c r="R152" i="1"/>
  <c r="I152" i="1"/>
  <c r="R151" i="1"/>
  <c r="I151" i="1"/>
  <c r="AC150" i="1"/>
  <c r="R150" i="1"/>
  <c r="I150" i="1"/>
  <c r="AC149" i="1"/>
  <c r="R149" i="1"/>
  <c r="I149" i="1"/>
  <c r="AC148" i="1"/>
  <c r="R148" i="1"/>
  <c r="I148" i="1"/>
  <c r="AC147" i="1"/>
  <c r="R147" i="1"/>
  <c r="I147" i="1"/>
  <c r="AC146" i="1"/>
  <c r="R146" i="1"/>
  <c r="I146" i="1"/>
  <c r="AC145" i="1"/>
  <c r="R145" i="1"/>
  <c r="I145" i="1"/>
  <c r="R144" i="1"/>
  <c r="I144" i="1"/>
  <c r="R143" i="1"/>
  <c r="I143" i="1"/>
  <c r="R142" i="1"/>
  <c r="I142" i="1"/>
  <c r="R141" i="1"/>
  <c r="I141" i="1"/>
  <c r="AC140" i="1"/>
  <c r="R140" i="1"/>
  <c r="I140" i="1"/>
  <c r="R139" i="1"/>
  <c r="I139" i="1"/>
  <c r="R138" i="1"/>
  <c r="I138" i="1"/>
  <c r="AC137" i="1"/>
  <c r="R137" i="1"/>
  <c r="I137" i="1"/>
  <c r="AC136" i="1"/>
  <c r="R136" i="1"/>
  <c r="I136" i="1"/>
  <c r="AC135" i="1"/>
  <c r="R135" i="1"/>
  <c r="I135" i="1"/>
  <c r="AC134" i="1"/>
  <c r="R134" i="1"/>
  <c r="I134" i="1"/>
  <c r="AC133" i="1"/>
  <c r="R133" i="1"/>
  <c r="I133" i="1"/>
  <c r="AC132" i="1"/>
  <c r="R132" i="1"/>
  <c r="I132" i="1"/>
  <c r="AC131" i="1"/>
  <c r="R131" i="1"/>
  <c r="I131" i="1"/>
  <c r="AC130" i="1"/>
  <c r="R130" i="1"/>
  <c r="I130" i="1"/>
  <c r="AC129" i="1"/>
  <c r="R129" i="1"/>
  <c r="I129" i="1"/>
  <c r="R128" i="1"/>
  <c r="I128" i="1"/>
  <c r="R127" i="1"/>
  <c r="I127" i="1"/>
  <c r="AC126" i="1"/>
  <c r="R126" i="1"/>
  <c r="I126" i="1"/>
  <c r="R125" i="1"/>
  <c r="I125" i="1"/>
  <c r="R124" i="1"/>
  <c r="I124" i="1"/>
  <c r="R123" i="1"/>
  <c r="I123" i="1"/>
  <c r="AC122" i="1"/>
  <c r="R122" i="1"/>
  <c r="I122" i="1"/>
  <c r="R121" i="1"/>
  <c r="I121" i="1"/>
  <c r="AC120" i="1"/>
  <c r="R120" i="1"/>
  <c r="I120" i="1"/>
  <c r="AC119" i="1"/>
  <c r="R119" i="1"/>
  <c r="I119" i="1"/>
  <c r="AC118" i="1"/>
  <c r="R118" i="1"/>
  <c r="I118" i="1"/>
  <c r="AC117" i="1"/>
  <c r="R117" i="1"/>
  <c r="I117" i="1"/>
  <c r="AC116" i="1"/>
  <c r="R116" i="1"/>
  <c r="I116" i="1"/>
  <c r="AC115" i="1"/>
  <c r="R115" i="1"/>
  <c r="I115" i="1"/>
  <c r="R114" i="1"/>
  <c r="I114" i="1"/>
  <c r="R113" i="1"/>
  <c r="I113" i="1"/>
  <c r="AC112" i="1"/>
  <c r="R112" i="1"/>
  <c r="I112" i="1"/>
  <c r="AC111" i="1"/>
  <c r="R111" i="1"/>
  <c r="I111" i="1"/>
  <c r="R110" i="1"/>
  <c r="I110" i="1"/>
  <c r="AC109" i="1"/>
  <c r="R109" i="1"/>
  <c r="I109" i="1"/>
  <c r="AC108" i="1"/>
  <c r="R108" i="1"/>
  <c r="I108" i="1"/>
  <c r="R107" i="1"/>
  <c r="I107" i="1"/>
  <c r="R106" i="1"/>
  <c r="I106" i="1"/>
  <c r="R105" i="1"/>
  <c r="I105" i="1"/>
  <c r="R104" i="1"/>
  <c r="I104" i="1"/>
  <c r="R103" i="1"/>
  <c r="I103" i="1"/>
  <c r="R102" i="1"/>
  <c r="I102" i="1"/>
  <c r="R101" i="1"/>
  <c r="I101" i="1"/>
  <c r="R100" i="1"/>
  <c r="I100" i="1"/>
  <c r="R99" i="1"/>
  <c r="I99" i="1"/>
  <c r="R98" i="1"/>
  <c r="I98" i="1"/>
  <c r="R97" i="1"/>
  <c r="Q97" i="1"/>
  <c r="I97" i="1"/>
  <c r="R96" i="1"/>
  <c r="I96" i="1"/>
  <c r="R95" i="1"/>
  <c r="I95" i="1"/>
  <c r="R94" i="1"/>
  <c r="I94" i="1"/>
  <c r="AC93" i="1"/>
  <c r="R93" i="1"/>
  <c r="I93" i="1"/>
  <c r="R92" i="1"/>
  <c r="I92" i="1"/>
  <c r="R91" i="1"/>
  <c r="I91" i="1"/>
  <c r="AC90" i="1"/>
  <c r="R90" i="1"/>
  <c r="I90" i="1"/>
  <c r="R89" i="1"/>
  <c r="I89" i="1"/>
  <c r="R88" i="1"/>
  <c r="I88" i="1"/>
  <c r="R87" i="1"/>
  <c r="I87" i="1"/>
  <c r="R86" i="1"/>
  <c r="I86" i="1"/>
  <c r="R85" i="1"/>
  <c r="I85" i="1"/>
  <c r="R84" i="1"/>
  <c r="I84" i="1"/>
  <c r="R83" i="1"/>
  <c r="I83" i="1"/>
  <c r="R82" i="1"/>
  <c r="I82" i="1"/>
  <c r="R81" i="1"/>
  <c r="I81" i="1"/>
  <c r="AC80" i="1"/>
  <c r="R80" i="1"/>
  <c r="I80" i="1"/>
  <c r="R79" i="1"/>
  <c r="I79" i="1"/>
  <c r="AC78" i="1"/>
  <c r="R78" i="1"/>
  <c r="I78" i="1"/>
  <c r="R77" i="1"/>
  <c r="I77" i="1"/>
  <c r="R76" i="1"/>
  <c r="I76" i="1"/>
  <c r="R75" i="1"/>
  <c r="I75" i="1"/>
  <c r="R74" i="1"/>
  <c r="I74" i="1"/>
  <c r="R73" i="1"/>
  <c r="I73" i="1"/>
  <c r="R72" i="1"/>
  <c r="I72" i="1"/>
  <c r="AC71" i="1"/>
  <c r="R71" i="1"/>
  <c r="I71" i="1"/>
  <c r="R70" i="1"/>
  <c r="I70" i="1"/>
  <c r="R69" i="1"/>
  <c r="I69" i="1"/>
  <c r="AC68" i="1"/>
  <c r="R68" i="1"/>
  <c r="I68" i="1"/>
  <c r="R67" i="1"/>
  <c r="I67" i="1"/>
  <c r="R66" i="1"/>
  <c r="I66" i="1"/>
  <c r="R65" i="1"/>
  <c r="I65" i="1"/>
  <c r="R64" i="1"/>
  <c r="I64" i="1"/>
  <c r="R63" i="1"/>
  <c r="I63" i="1"/>
  <c r="R62" i="1"/>
  <c r="I62" i="1"/>
  <c r="AC61" i="1"/>
  <c r="R61" i="1"/>
  <c r="I61" i="1"/>
  <c r="AC60" i="1"/>
  <c r="R60" i="1"/>
  <c r="I60" i="1"/>
  <c r="AA59" i="1"/>
  <c r="R59" i="1"/>
  <c r="I59" i="1"/>
  <c r="R58" i="1"/>
  <c r="I58" i="1"/>
  <c r="AA57" i="1"/>
  <c r="R57" i="1"/>
  <c r="I57" i="1"/>
  <c r="AA56" i="1"/>
  <c r="R56" i="1"/>
  <c r="I56" i="1"/>
  <c r="R55" i="1"/>
  <c r="I55" i="1"/>
  <c r="R54" i="1"/>
  <c r="I54" i="1"/>
  <c r="R53" i="1"/>
  <c r="I53" i="1"/>
  <c r="AC52" i="1"/>
  <c r="R52" i="1"/>
  <c r="I52" i="1"/>
  <c r="R51" i="1"/>
  <c r="I51" i="1"/>
  <c r="R50" i="1"/>
  <c r="I50" i="1"/>
  <c r="R49" i="1"/>
  <c r="I49" i="1"/>
  <c r="R48" i="1"/>
  <c r="I48" i="1"/>
  <c r="R47" i="1"/>
  <c r="I47" i="1"/>
  <c r="R46" i="1"/>
  <c r="I46" i="1"/>
  <c r="R45" i="1"/>
  <c r="I45" i="1"/>
  <c r="R44" i="1"/>
  <c r="I44" i="1"/>
  <c r="R43" i="1"/>
  <c r="I43" i="1"/>
  <c r="R42" i="1"/>
  <c r="I42" i="1"/>
  <c r="R41" i="1"/>
  <c r="I41" i="1"/>
  <c r="R40" i="1"/>
  <c r="I40" i="1"/>
  <c r="R39" i="1"/>
  <c r="I39" i="1"/>
  <c r="R38" i="1"/>
  <c r="I38" i="1"/>
  <c r="R37" i="1"/>
  <c r="I37" i="1"/>
  <c r="R36" i="1"/>
  <c r="I36" i="1"/>
  <c r="R35" i="1"/>
  <c r="I35" i="1"/>
  <c r="R34" i="1"/>
  <c r="I34" i="1"/>
  <c r="R33" i="1"/>
  <c r="I33" i="1"/>
  <c r="I32" i="1"/>
  <c r="R31" i="1"/>
  <c r="I31" i="1"/>
  <c r="R30" i="1"/>
  <c r="I30" i="1"/>
  <c r="AC29" i="1"/>
  <c r="R29" i="1"/>
  <c r="I29" i="1"/>
  <c r="R28" i="1"/>
  <c r="I28" i="1"/>
  <c r="R27" i="1"/>
  <c r="I27" i="1"/>
  <c r="R26" i="1"/>
  <c r="I26" i="1"/>
  <c r="R25" i="1"/>
  <c r="I25" i="1"/>
  <c r="R24" i="1"/>
  <c r="I24" i="1"/>
  <c r="R23" i="1"/>
  <c r="I23" i="1"/>
  <c r="AC22" i="1"/>
  <c r="R22" i="1"/>
  <c r="I22" i="1"/>
  <c r="R21" i="1"/>
  <c r="I21" i="1"/>
  <c r="R20" i="1"/>
  <c r="I20" i="1"/>
  <c r="R19" i="1"/>
  <c r="I19" i="1"/>
  <c r="R18" i="1"/>
  <c r="I18" i="1"/>
  <c r="R17" i="1"/>
  <c r="I17" i="1"/>
  <c r="R16" i="1"/>
  <c r="I16" i="1"/>
  <c r="R15" i="1"/>
  <c r="I15" i="1"/>
  <c r="R14" i="1"/>
  <c r="I14" i="1"/>
  <c r="R13" i="1"/>
  <c r="I13" i="1"/>
  <c r="R12" i="1"/>
  <c r="I12" i="1"/>
  <c r="R11" i="1"/>
  <c r="I11" i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  <c r="R2" i="1"/>
  <c r="I2" i="1"/>
  <c r="M26" i="3" l="1"/>
  <c r="M2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Wu,Rui</author>
  </authors>
  <commentList>
    <comment ref="V18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Wu,Rui:</t>
        </r>
        <r>
          <rPr>
            <sz val="9"/>
            <rFont val="宋体"/>
            <family val="3"/>
            <charset val="134"/>
          </rPr>
          <t xml:space="preserve">
2023.8SYS更新流量，由0G更新为23.551G，</t>
        </r>
      </text>
    </comment>
    <comment ref="V18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Wu,Rui:</t>
        </r>
        <r>
          <rPr>
            <sz val="9"/>
            <rFont val="宋体"/>
            <family val="3"/>
            <charset val="134"/>
          </rPr>
          <t xml:space="preserve">
SYS更新流量，原41.16</t>
        </r>
      </text>
    </comment>
  </commentList>
</comments>
</file>

<file path=xl/sharedStrings.xml><?xml version="1.0" encoding="utf-8"?>
<sst xmlns="http://schemas.openxmlformats.org/spreadsheetml/2006/main" count="16992" uniqueCount="5784">
  <si>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</si>
  <si>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</si>
  <si>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</si>
  <si>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</si>
  <si>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</si>
  <si>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</si>
  <si>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</si>
  <si>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</si>
  <si>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是否本月新返回合同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</si>
  <si>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</si>
  <si>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</si>
  <si>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</si>
  <si>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</si>
  <si>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</si>
  <si>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</si>
  <si>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</si>
  <si>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</si>
  <si>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</si>
  <si>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</si>
  <si>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</si>
  <si>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</si>
  <si>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</si>
  <si>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</si>
  <si>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</si>
  <si>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</si>
  <si>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</si>
  <si>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</si>
  <si>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</si>
  <si>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</si>
  <si>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</si>
  <si>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</si>
  <si>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</si>
  <si>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</si>
  <si>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</si>
  <si>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</si>
  <si>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</si>
  <si>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L20230711005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</si>
  <si>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</si>
  <si>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</si>
  <si>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</si>
  <si>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</si>
  <si>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</si>
  <si>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</si>
  <si>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</si>
  <si>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</si>
  <si>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</si>
  <si>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</si>
  <si>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</si>
  <si>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错峰下载业务，小米。1M颗粒度，无保底。95计费，1000进制，系数1.1</t>
  </si>
  <si>
    <t>aliyun_xiaomi</t>
  </si>
  <si>
    <t>L20230630001</t>
  </si>
  <si>
    <t>阿里云_快手_移动</t>
  </si>
  <si>
    <t>1M颗粒度，无保底。日95月均，1000进制，系数1</t>
  </si>
  <si>
    <t>aliyun_kuaishou_cmnet</t>
  </si>
  <si>
    <t>北京超巨云威科技有限公司</t>
  </si>
  <si>
    <t>超巨云威</t>
  </si>
  <si>
    <t>182315IDC00213</t>
  </si>
  <si>
    <t>单采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</si>
  <si>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</si>
  <si>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</si>
  <si>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</si>
  <si>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</si>
  <si>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</si>
  <si>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北京创世云科技股份有限公司</t>
  </si>
  <si>
    <t>创世云</t>
  </si>
  <si>
    <t>182315IDC00180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</si>
  <si>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</si>
  <si>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</si>
  <si>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</si>
  <si>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</si>
  <si>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</si>
  <si>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</si>
  <si>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</si>
  <si>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</si>
  <si>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</si>
  <si>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L20230711011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</si>
  <si>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</si>
  <si>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</si>
  <si>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</si>
  <si>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</si>
  <si>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</si>
  <si>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</si>
  <si>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</si>
  <si>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</si>
  <si>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</si>
  <si>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L20230408004</t>
  </si>
  <si>
    <t>火山引擎_爱奇艺（移动+非移动）-换量</t>
  </si>
  <si>
    <t>火山引擎_爱奇艺</t>
  </si>
  <si>
    <t>包头系数1，1000进制，95计费</t>
  </si>
  <si>
    <t>volc_iqiyi</t>
  </si>
  <si>
    <t>北京朗玛峰科技有限公司</t>
  </si>
  <si>
    <t>朗玛峰</t>
  </si>
  <si>
    <t>182315IDC00217</t>
  </si>
  <si>
    <t>朗玛峰_快手_非电信</t>
  </si>
  <si>
    <t>3个1000进制 系数:1</t>
  </si>
  <si>
    <t>lmfcdn_kuaishou_not_ct</t>
  </si>
  <si>
    <t>朗玛峰_快手_电信</t>
  </si>
  <si>
    <t>不计提。3个1000进制 系数:1</t>
  </si>
  <si>
    <t>lmfcdn_kuaishou_ct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</si>
  <si>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</si>
  <si>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</si>
  <si>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</si>
  <si>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</si>
  <si>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</si>
  <si>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</si>
  <si>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杭州又拍云科技有限公司</t>
  </si>
  <si>
    <t>杭州又拍云</t>
  </si>
  <si>
    <t>L20230610014</t>
  </si>
  <si>
    <t>中移国际_又拍_南昌</t>
  </si>
  <si>
    <t>0G-16000000G 0.04854
16000000-40000000G 0.0436
40000000G-100000000G 0.0388
100000000G以上0.0339</t>
  </si>
  <si>
    <t>南昌，1P=1000000G</t>
  </si>
  <si>
    <t>cmiyp-nc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</si>
  <si>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</si>
  <si>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</si>
  <si>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</si>
  <si>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</si>
  <si>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</si>
  <si>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</si>
  <si>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</si>
  <si>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</si>
  <si>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</si>
  <si>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</si>
  <si>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</si>
  <si>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已退租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</si>
  <si>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</si>
  <si>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</si>
  <si>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</si>
  <si>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</si>
  <si>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</si>
  <si>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182315IDC00214</t>
  </si>
  <si>
    <t>意如CDN_爱奇艺_移动_山东</t>
  </si>
  <si>
    <t>1M颗粒度，无保底，1000进制，系数1。2022.10月计费方式为日95月均，2022.11月起执行月95</t>
  </si>
  <si>
    <t>yrcdn_iqiyi_cmnet_sd</t>
  </si>
  <si>
    <t>意如CDN_爱奇艺_移动_内蒙古</t>
  </si>
  <si>
    <t>1M颗粒度，无保底，1000进制，系数1</t>
  </si>
  <si>
    <t>yrcdn_iqiyi_cmnet_nmg</t>
  </si>
  <si>
    <t>联通</t>
  </si>
  <si>
    <t>华东-吴蕊</t>
  </si>
  <si>
    <t>江苏</t>
  </si>
  <si>
    <t>王阳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</si>
  <si>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</si>
  <si>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</si>
  <si>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</si>
  <si>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</si>
  <si>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</si>
  <si>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</si>
  <si>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</si>
  <si>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中值计提。保底2G。100M颗粒度。3%认乙方，超过协商</t>
  </si>
  <si>
    <t>NJ02-UNICOM_BGP</t>
  </si>
  <si>
    <t>L20230311026</t>
  </si>
  <si>
    <t>徐州机房 XZUNCACHE</t>
  </si>
  <si>
    <t>徐洲联通</t>
  </si>
  <si>
    <t>历史累计开通
2023/6/30</t>
  </si>
  <si>
    <t xml:space="preserve">160G
80G
-40G
</t>
  </si>
  <si>
    <t>暂按运营商计提。2023/6/30【CDN退租】CDN江苏徐州联通二级退租40G (XZUNCACHE)，退租后200G，保底60G。3%认乙方，超过协商。100M颗粒度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</si>
  <si>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</si>
  <si>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</si>
  <si>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</si>
  <si>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</si>
  <si>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</si>
  <si>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</si>
  <si>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</si>
  <si>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</si>
  <si>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</si>
  <si>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</si>
  <si>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</si>
  <si>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</si>
  <si>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</si>
  <si>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</si>
  <si>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</si>
  <si>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</si>
  <si>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</si>
  <si>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</si>
  <si>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SZTH-联通CDN</t>
  </si>
  <si>
    <t>180G</t>
  </si>
  <si>
    <t>中值计提。保底54G，100M</t>
  </si>
  <si>
    <t>SZTH-CU-ST-1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</si>
  <si>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</si>
  <si>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</si>
  <si>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</si>
  <si>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</si>
  <si>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</si>
  <si>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</si>
  <si>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</si>
  <si>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</si>
  <si>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</si>
  <si>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</si>
  <si>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</si>
  <si>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</si>
  <si>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</si>
  <si>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</si>
  <si>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</si>
  <si>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</si>
  <si>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</si>
  <si>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</si>
  <si>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</si>
  <si>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中值计提。22021/6/1扩容60G。30%保底，扩容后保底78G。100M颗粒度</t>
  </si>
  <si>
    <t>CZIXCM</t>
  </si>
  <si>
    <t>徐州机房</t>
  </si>
  <si>
    <t>徐州2联通</t>
  </si>
  <si>
    <t>CDNXZUN2</t>
  </si>
  <si>
    <t>2022/10/1
2023/7/1</t>
  </si>
  <si>
    <t>100G
40G</t>
  </si>
  <si>
    <t>中值计提。【BEC扩容】BEC江苏徐州联通扩容40G  2023-07-01 节点正式上线  (XZ2UN)，保底42G，100M颗粒度。分端口计费
【BEC新建】徐州联通新增100G 节点正式上线  (XZ2UN)</t>
  </si>
  <si>
    <t>XZ2UN</t>
  </si>
  <si>
    <t>L20230504028</t>
  </si>
  <si>
    <t>苏州</t>
  </si>
  <si>
    <t>苏州联通</t>
  </si>
  <si>
    <t>CDNSUZUN</t>
  </si>
  <si>
    <t>2023/4/10
2023/4/29</t>
  </si>
  <si>
    <t>1G
9G</t>
  </si>
  <si>
    <t>暂按运营商计提【BEC新建】苏州联通新增1G 2023-4-10节点正式上线 (CDNSUZUN)；
【BEC扩容】苏州联通新增9G 2023-4-29节点正式上线 (CDNSUZUN)</t>
  </si>
  <si>
    <t>SUZUN</t>
  </si>
  <si>
    <t>厦门哇哩科技有限公司</t>
  </si>
  <si>
    <t>哇哩科技</t>
  </si>
  <si>
    <t>L20230901007</t>
  </si>
  <si>
    <t>唯一CDN_小红书</t>
  </si>
  <si>
    <t>2023/8/1调整单价。1M颗粒度，无保底，1000进制，系数1，月95计费</t>
  </si>
  <si>
    <t>wycdn_xhs</t>
  </si>
  <si>
    <t>厦门网宿有限公司</t>
  </si>
  <si>
    <t>网宿</t>
  </si>
  <si>
    <t>L20230311030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</si>
  <si>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</si>
  <si>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</si>
  <si>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</si>
  <si>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</si>
  <si>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</si>
  <si>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</si>
  <si>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</si>
  <si>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</si>
  <si>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</si>
  <si>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</si>
  <si>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上海翌旭网络科技有限公司</t>
  </si>
  <si>
    <t>新壹云</t>
  </si>
  <si>
    <t>L20230408009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</si>
  <si>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</si>
  <si>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</si>
  <si>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</si>
  <si>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182315IDC00212</t>
  </si>
  <si>
    <t>新壹云_爱奇艺_移动</t>
  </si>
  <si>
    <t>202205价格变动。需要注意202207价格变动。2022.1调整单价。月95计费，包头系数1，1000进制）</t>
  </si>
  <si>
    <t>xyyun_iqiyi_cmnet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</si>
  <si>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</si>
  <si>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</si>
  <si>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</si>
  <si>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</si>
  <si>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</si>
  <si>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</si>
  <si>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腾讯云计算（北京）有限责任公司</t>
  </si>
  <si>
    <t>腾讯云</t>
  </si>
  <si>
    <t>182315IDC00181</t>
  </si>
  <si>
    <t>腾讯云_换量</t>
  </si>
  <si>
    <t>包头系数1.1，1000进制，计费方式：月95计费</t>
  </si>
  <si>
    <t>txyun_exchange</t>
  </si>
  <si>
    <t>天翼云科技有限公司</t>
  </si>
  <si>
    <t>天翼云</t>
  </si>
  <si>
    <t>182315IDC00104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</si>
  <si>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</si>
  <si>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</si>
  <si>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</si>
  <si>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</si>
  <si>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</si>
  <si>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</si>
  <si>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</si>
  <si>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</si>
  <si>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</si>
  <si>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</si>
  <si>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</si>
  <si>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</si>
  <si>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</si>
  <si>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</si>
  <si>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</si>
  <si>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</si>
  <si>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</si>
  <si>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</si>
  <si>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</si>
  <si>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</si>
  <si>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</si>
  <si>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</si>
  <si>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</si>
  <si>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</si>
  <si>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</si>
  <si>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</si>
  <si>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</si>
  <si>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</si>
  <si>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</si>
  <si>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</si>
  <si>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</si>
  <si>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</si>
  <si>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</si>
  <si>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</si>
  <si>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</si>
  <si>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</si>
  <si>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</si>
  <si>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</si>
  <si>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</si>
  <si>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有帮信息科技（北京）有限公司</t>
  </si>
  <si>
    <t>有帮</t>
  </si>
  <si>
    <t>182315IDC00098</t>
  </si>
  <si>
    <t>微软云_作业帮</t>
  </si>
  <si>
    <t>有帮（微软、蓝云），1M颗粒度，无保底，1000进制，系数1，月95计费</t>
  </si>
  <si>
    <t>wryun_zuoyebang</t>
  </si>
  <si>
    <t>山东</t>
  </si>
  <si>
    <t>付瑶</t>
  </si>
  <si>
    <t>中国电信股份有限公司济南分公司</t>
  </si>
  <si>
    <t>济南电信</t>
  </si>
  <si>
    <t>L20230711010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</si>
  <si>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</si>
  <si>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</si>
  <si>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</si>
  <si>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</si>
  <si>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</si>
  <si>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</si>
  <si>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</si>
  <si>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</si>
  <si>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L20230119002</t>
  </si>
  <si>
    <t>济南3电信</t>
  </si>
  <si>
    <t>CDNJNCT2</t>
  </si>
  <si>
    <t>2023/1/1
2023/3/31</t>
  </si>
  <si>
    <t>200G</t>
  </si>
  <si>
    <t>2023/3/31退租。【CDN新建】山东济南电信  新建200G  2023-1-1 节点正式上线  (JN3CT)，保底60G，10M</t>
  </si>
  <si>
    <t>JN3CT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</si>
  <si>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</si>
  <si>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</si>
  <si>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</si>
  <si>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</si>
  <si>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</si>
  <si>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</si>
  <si>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</si>
  <si>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</si>
  <si>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</si>
  <si>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</si>
  <si>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</si>
  <si>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</si>
  <si>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</si>
  <si>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</si>
  <si>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</si>
  <si>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</si>
  <si>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</si>
  <si>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</si>
  <si>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</si>
  <si>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</si>
  <si>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</si>
  <si>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</si>
  <si>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</si>
  <si>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</si>
  <si>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</si>
  <si>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</si>
  <si>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</si>
  <si>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</si>
  <si>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</si>
  <si>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</si>
  <si>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宿迁2电信调整为宿迁电信二级。保底120G,100M。
SQCT 200G与SQ2CT 200G合并计费
共配送40个机柜，每万兆送32个IP</t>
  </si>
  <si>
    <t>SQ2CT</t>
  </si>
  <si>
    <t>宿迁电信二级</t>
  </si>
  <si>
    <t>400G</t>
  </si>
  <si>
    <t>中值计提。2022/6/17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</si>
  <si>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</si>
  <si>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</si>
  <si>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</si>
  <si>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140G
NJ02-电信代播 200G
NJ03 80G</t>
  </si>
  <si>
    <t>NJ02-电信</t>
  </si>
  <si>
    <t>420G</t>
  </si>
  <si>
    <t>阶梯计费
0-100G   15000
100G以上   14000</t>
  </si>
  <si>
    <t>2022.7原NJ02【南京凤凰】拆分为【NJ02-电信代播】和【NJ02-电信IDC】。颗粒度1M,与南京吉山电信合并保底85G，合并计算阶梯价格
原南京凤凰节点流量，拆分出到南京凤凰、南京吉山电信2个节点上。NJ02 300G
NJ03 80G合并至NJ02</t>
  </si>
  <si>
    <t>NJ02-CT-ST-2</t>
  </si>
  <si>
    <t>南京凤凰与南京吉山电信合并保底85G</t>
  </si>
  <si>
    <t>南京
NJJS 200G</t>
  </si>
  <si>
    <t>南京吉山电信</t>
  </si>
  <si>
    <t>颗粒度1M,与南京凤凰合并保底85G，合并计算阶梯价格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</si>
  <si>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</si>
  <si>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</si>
  <si>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</si>
  <si>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</si>
  <si>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</si>
  <si>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</si>
  <si>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</si>
  <si>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</si>
  <si>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</si>
  <si>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15000
16G以上   14000</t>
  </si>
  <si>
    <t xml:space="preserve">中值计提。保底16G。1M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</si>
  <si>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</si>
  <si>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</si>
  <si>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</si>
  <si>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</si>
  <si>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SZTH-电信CDN</t>
  </si>
  <si>
    <t>2021/10/1
2023/4/1</t>
  </si>
  <si>
    <t>280G
120G</t>
  </si>
  <si>
    <t>中值计提。2023.4.1扩容120G，扩容后共400G，保底120G，颗粒度100M，2021/10/1开通苏州太湖三线</t>
  </si>
  <si>
    <t>SZTH-CT-ST-2</t>
  </si>
  <si>
    <t>连云港电信</t>
  </si>
  <si>
    <t>182315IDC00276</t>
  </si>
  <si>
    <t>连云港</t>
  </si>
  <si>
    <t>连云港三线电信</t>
  </si>
  <si>
    <t>CDNLYGIX</t>
  </si>
  <si>
    <t>50G</t>
  </si>
  <si>
    <t>【BEC新建】连云港三线电信新建50G 2023-2-1节点正式上线  (LYGIXCT)：保底30%即15G，100M。3个1024</t>
  </si>
  <si>
    <t>LYGIXCT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</si>
  <si>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</si>
  <si>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</si>
  <si>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</si>
  <si>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</si>
  <si>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</si>
  <si>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</si>
  <si>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</si>
  <si>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</si>
  <si>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</si>
  <si>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</si>
  <si>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</si>
  <si>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</si>
  <si>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</si>
  <si>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</si>
  <si>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</si>
  <si>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</si>
  <si>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</si>
  <si>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</si>
  <si>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</si>
  <si>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</si>
  <si>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</si>
  <si>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</si>
  <si>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</si>
  <si>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</si>
  <si>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颗粒度100M，保底54G，2021.6.30退租60G</t>
  </si>
  <si>
    <t>QD4CT</t>
  </si>
  <si>
    <t>青岛电信
QDSSLTELECOM</t>
  </si>
  <si>
    <t>青岛电信SSL</t>
  </si>
  <si>
    <t>10G</t>
  </si>
  <si>
    <t>颗粒度100M，保底1G</t>
  </si>
  <si>
    <t>QDSSLTELECOM</t>
  </si>
  <si>
    <t>上海</t>
  </si>
  <si>
    <t>中国电信股份有限公司上海分公司</t>
  </si>
  <si>
    <t>上海电信</t>
  </si>
  <si>
    <t>L20230527001</t>
  </si>
  <si>
    <t>上海电信-华信 SHCT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</si>
  <si>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</si>
  <si>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</si>
  <si>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</si>
  <si>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</si>
  <si>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</si>
  <si>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</si>
  <si>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</si>
  <si>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</si>
  <si>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暂按运营商计提。20G带宽，保底8G。2022/7/31退租200G，剩余60G（其中SSL复用40G）保底24G。2021.10扩容60G，无机架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</si>
  <si>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</si>
  <si>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</si>
  <si>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</si>
  <si>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</si>
  <si>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100G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</si>
  <si>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</si>
  <si>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</si>
  <si>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</si>
  <si>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</si>
  <si>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L20230610016</t>
  </si>
  <si>
    <t>JNGFTELECOM-SDTELECOM_BGP</t>
  </si>
  <si>
    <t>济南高防电信山东电信BGP</t>
  </si>
  <si>
    <t>分段计费
0-5G 50000
5G以上 40000</t>
  </si>
  <si>
    <t>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</si>
  <si>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</si>
  <si>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</si>
  <si>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</si>
  <si>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</t>
  </si>
  <si>
    <t>济南联通2</t>
  </si>
  <si>
    <t>历史开通
2017/1/20
2017/11/28
2019/1/26
2021/10/1
2022/5/31
2022/8/31</t>
  </si>
  <si>
    <t>CDN&amp;云：380G
240G
60G
-200G(JN2UN)
-300G（JNUNCACHE）</t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</si>
  <si>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</si>
  <si>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</si>
  <si>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</si>
  <si>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</si>
  <si>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中值计提。我方流量未达保底，运营商流量93.2G，按双方中值计提。2022.9.1开始JN2UN和JNUNCACHE单独计费，JNUNCACHE保底90G。2022/5/31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</si>
  <si>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</si>
  <si>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</si>
  <si>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</si>
  <si>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</si>
  <si>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</si>
  <si>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</si>
  <si>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</si>
  <si>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</si>
  <si>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</si>
  <si>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</si>
  <si>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</si>
  <si>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</si>
  <si>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</si>
  <si>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</si>
  <si>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</si>
  <si>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</si>
  <si>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</si>
  <si>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</si>
  <si>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</si>
  <si>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</si>
  <si>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</si>
  <si>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</si>
  <si>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</si>
  <si>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</si>
  <si>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</si>
  <si>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</si>
  <si>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【BEC新建】济南联通新建500G，100M，保底150G。计提参考</t>
  </si>
  <si>
    <t>JN9UN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</si>
  <si>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</si>
  <si>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</si>
  <si>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</si>
  <si>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</si>
  <si>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</si>
  <si>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</si>
  <si>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中国联合网络通信有限公司青岛市分公司</t>
  </si>
  <si>
    <t>青岛联通</t>
  </si>
  <si>
    <t>182315IDC00312</t>
  </si>
  <si>
    <t>滨海机房
QDBHUNICOM</t>
  </si>
  <si>
    <t>青岛滨海联通</t>
  </si>
  <si>
    <t>QDBH</t>
  </si>
  <si>
    <t>保底72G，1M颗粒度，0-1以百度为准，超出取中值。争议解决条款及颗粒度来源于181715IDC00215</t>
  </si>
  <si>
    <t>QDBHUNICOM</t>
  </si>
  <si>
    <t>182315IDC00308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</si>
  <si>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</si>
  <si>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</si>
  <si>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</si>
  <si>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</si>
  <si>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中值计提。3%认乙方，超过协商。2022.8.1原QD5UN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1M；包含青岛三级联通节点;2021.5.1从QD3UN节点迁移120G至QD5UN节点；2021.6.30退租260G带宽；自2022.1.20起，QD6UN节点100G带宽转BEC使用</t>
  </si>
  <si>
    <t>QD2UN</t>
  </si>
  <si>
    <t>QD5UN 200G 二枢纽</t>
  </si>
  <si>
    <t xml:space="preserve">青岛5联通 </t>
  </si>
  <si>
    <t>2022/8/1
2023/6/30</t>
  </si>
  <si>
    <t>200G
-200G</t>
  </si>
  <si>
    <t>2023/6/30退租转代理。3%认乙方，超过协商。2022.8.1原QD5UN 200G+QDIXUN 180G +QD2UN 160G 合并计费，本月拆分为单节点计费。</t>
  </si>
  <si>
    <t>QD5UN</t>
  </si>
  <si>
    <t>QDIXUN 180G 崂山</t>
  </si>
  <si>
    <t>暂按运营商计提。2022.8.1原QD5UN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</si>
  <si>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</si>
  <si>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</si>
  <si>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</si>
  <si>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</si>
  <si>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</si>
  <si>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10G
-10G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</si>
  <si>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</si>
  <si>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</si>
  <si>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</si>
  <si>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</si>
  <si>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</si>
  <si>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</si>
  <si>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</si>
  <si>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</si>
  <si>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</si>
  <si>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</si>
  <si>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2022/9/1
2022/12/31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</si>
  <si>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</si>
  <si>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</si>
  <si>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</si>
  <si>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</si>
  <si>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</si>
  <si>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>青岛7联通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</si>
  <si>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</si>
  <si>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</si>
  <si>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</si>
  <si>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</si>
  <si>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L20230204002</t>
  </si>
  <si>
    <t>青岛10联通</t>
  </si>
  <si>
    <t>CDNQD2</t>
  </si>
  <si>
    <t>2023/2/1
2023/6/30
2023/8/1</t>
  </si>
  <si>
    <t>120G
-120G
120G</t>
  </si>
  <si>
    <t>免费节点，2023/8/1重新开通，2023/6/30临时关停。 【CDN新建】山东青岛联通  新建120G  2023-02-01 节点正式上线  (QD10UN)</t>
  </si>
  <si>
    <t>QD10UN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</si>
  <si>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</si>
  <si>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</si>
  <si>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</si>
  <si>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</si>
  <si>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</si>
  <si>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</si>
  <si>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</si>
  <si>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</si>
  <si>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</si>
  <si>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</si>
  <si>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</si>
  <si>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</si>
  <si>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</si>
  <si>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</si>
  <si>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保底计提。2022/3/31退租后保底变为30G，2022/5/31退租40G，从2022.5带宽总量为60G，保底18G，100M颗粒度；</t>
  </si>
  <si>
    <t>YTUN</t>
  </si>
  <si>
    <t>中国移动通信集团江苏有限公司连云港分公司</t>
  </si>
  <si>
    <t>连云港移动</t>
  </si>
  <si>
    <t>L20230610002</t>
  </si>
  <si>
    <t>连云港三线移动</t>
  </si>
  <si>
    <t>70G</t>
  </si>
  <si>
    <t>保底计提。【BEC新建】连云港三线移动新建70G 2023-2-1节点正式上线  (LYGIXCM)：保底40%即28G，10M。3个1024</t>
  </si>
  <si>
    <t>LYGIXCM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</si>
  <si>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</si>
  <si>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</si>
  <si>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</si>
  <si>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</si>
  <si>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</si>
  <si>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</si>
  <si>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</si>
  <si>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保底计提。颗粒度10M，南京凤凰机房，保底20%，4G。计费带宽以G为单位保留至个位，小数点后四舍五入</t>
  </si>
  <si>
    <t>NJ02-MOBCOM_BGP</t>
  </si>
  <si>
    <t>L20230408005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</si>
  <si>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</si>
  <si>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</si>
  <si>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</si>
  <si>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</si>
  <si>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</si>
  <si>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</si>
  <si>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</si>
  <si>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L20230610012</t>
  </si>
  <si>
    <t>苏州太湖三线-移动（CDN代静态）</t>
  </si>
  <si>
    <t>SZTH-移动CDN</t>
  </si>
  <si>
    <t>2021/9/11
2023/4/8</t>
  </si>
  <si>
    <t>260G
140G</t>
  </si>
  <si>
    <t>2023/4/8扩容140G，扩容后共400G，保底160G，颗粒度10M,CDN代静态。2021/9/11开通苏州太湖三线。保底104G</t>
  </si>
  <si>
    <t>SZTH-CM-ST-1</t>
  </si>
  <si>
    <t>中国移动通信集团江苏有限公司宿迁分公司</t>
  </si>
  <si>
    <t>宿迁移动</t>
  </si>
  <si>
    <t>L20230408006</t>
  </si>
  <si>
    <t>宿迁</t>
  </si>
  <si>
    <t>宿迁3移动</t>
  </si>
  <si>
    <t>CDNSQCM</t>
  </si>
  <si>
    <t>2022/5/1
2023/4/30</t>
  </si>
  <si>
    <t>2023/4/30节点退租，由BEC转为CDN 宿迁5移动。2022/6/24该节点转BEC使用。
2022/5/1【CDN新建】江苏宿迁移动新建200G，40%保底，80G,10M</t>
  </si>
  <si>
    <t>SQ3CM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</si>
  <si>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</si>
  <si>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</si>
  <si>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</si>
  <si>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</si>
  <si>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</si>
  <si>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</si>
  <si>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保底计提。【BEC新建】泰州移动新建220G 2022-12-30节点正式上线 (TAIZCM)，保底88G，10M</t>
  </si>
  <si>
    <t>TAIZCM</t>
  </si>
  <si>
    <t>中国移动通信集团江苏有限公司无锡分公司</t>
  </si>
  <si>
    <t>无锡移动</t>
  </si>
  <si>
    <t>L20230610007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</si>
  <si>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</si>
  <si>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</si>
  <si>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</si>
  <si>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</si>
  <si>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</si>
  <si>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</si>
  <si>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</si>
  <si>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</si>
  <si>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</si>
  <si>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保底计提，2022/7/31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</si>
  <si>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</si>
  <si>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</si>
  <si>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</si>
  <si>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</si>
  <si>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</si>
  <si>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</si>
  <si>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</si>
  <si>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</si>
  <si>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</si>
  <si>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</si>
  <si>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</si>
  <si>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</si>
  <si>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</si>
  <si>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</si>
  <si>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</si>
  <si>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L20230511002</t>
  </si>
  <si>
    <t>盐城</t>
  </si>
  <si>
    <t>2019/2/1
2022/4/30</t>
  </si>
  <si>
    <t>240G
-40G</t>
  </si>
  <si>
    <t>2022.6该节点转为BEC使用。
2022/4/30退租40G，退租后保底80G,10M</t>
  </si>
  <si>
    <t>YANCCM</t>
  </si>
  <si>
    <t>L20230610008</t>
  </si>
  <si>
    <t>盐城3移动</t>
  </si>
  <si>
    <t>CDNYANCCM2</t>
  </si>
  <si>
    <t>100G+200G分两组核算，需根据各自实际流量分别计算保底【BEC新建】300G，保底120G。计提参考值</t>
  </si>
  <si>
    <t>YANC3CM</t>
  </si>
  <si>
    <t>中国移动通信集团江苏有限公司扬州分公司</t>
  </si>
  <si>
    <t>扬州移动</t>
  </si>
  <si>
    <t>L20230610006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</si>
  <si>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</si>
  <si>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</si>
  <si>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</si>
  <si>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</si>
  <si>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</si>
  <si>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</si>
  <si>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</si>
  <si>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</si>
  <si>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</si>
  <si>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</si>
  <si>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</si>
  <si>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</si>
  <si>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</si>
  <si>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</si>
  <si>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</si>
  <si>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保底计提。2022/7/31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</si>
  <si>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</si>
  <si>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</si>
  <si>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</si>
  <si>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L20230610003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</si>
  <si>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</si>
  <si>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</si>
  <si>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</si>
  <si>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</si>
  <si>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</si>
  <si>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</si>
  <si>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</si>
  <si>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</si>
  <si>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</si>
  <si>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</si>
  <si>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</si>
  <si>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</si>
  <si>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</si>
  <si>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</si>
  <si>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</si>
  <si>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</si>
  <si>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</si>
  <si>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L20230610004</t>
  </si>
  <si>
    <t>青岛4移动</t>
  </si>
  <si>
    <t>2020/1/24
2020/12/31
2021/1/31
2022/7/31
2023/7/13</t>
  </si>
  <si>
    <t>400G
200G
-200G
-100G
-150G</t>
  </si>
  <si>
    <t>【CDN新建】山东青岛移动  新建150G  2023-07-14 节点正式上线  (QD7CM)。2023/7/14原青岛4移动拆分节点，保留150G带宽，拆分青岛7移动150G带宽，保底60G。
2022/7/31 退租100G，剩余300G，保底120G，颗粒度10M，于2020.12.31扩容200G，于2021.2.1迁移至青岛移动二级200G；</t>
  </si>
  <si>
    <t>QD4CM</t>
  </si>
  <si>
    <t>L20230720004</t>
  </si>
  <si>
    <t>青岛7移动</t>
  </si>
  <si>
    <t>150G</t>
  </si>
  <si>
    <t>【CDN新建】山东青岛移动  新建150G  2023-07-14 节点正式上线  (QD7CM)。2023/7/14原青岛4移动拆分节点，保留150G带宽，拆分青岛7移动150G带宽，保底60G</t>
  </si>
  <si>
    <t>QD7CM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</si>
  <si>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</si>
  <si>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</si>
  <si>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</si>
  <si>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</si>
  <si>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中国移动通信集团山东有限公司潍坊分公司</t>
  </si>
  <si>
    <t>潍坊移动</t>
  </si>
  <si>
    <t>L20230610001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</si>
  <si>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</si>
  <si>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</si>
  <si>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</si>
  <si>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</si>
  <si>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</si>
  <si>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</si>
  <si>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中国移动通信集团山东有限公司淄博分公司</t>
  </si>
  <si>
    <t>淄博移动</t>
  </si>
  <si>
    <t>L20230711004</t>
  </si>
  <si>
    <t>淄博</t>
  </si>
  <si>
    <t>淄博三级移动</t>
  </si>
  <si>
    <t>CDNZBIX</t>
  </si>
  <si>
    <t>【CDN新建】山东淄博三级移动新建200G  2023-04-06 节点正式上线  (ZBIXCM)，保底80G</t>
  </si>
  <si>
    <t>ZBIXCM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</si>
  <si>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</si>
  <si>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</si>
  <si>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</si>
  <si>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</si>
  <si>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</si>
  <si>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</si>
  <si>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</si>
  <si>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</si>
  <si>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</si>
  <si>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</si>
  <si>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</si>
  <si>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</si>
  <si>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</si>
  <si>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</si>
  <si>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</si>
  <si>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代理商-电信</t>
  </si>
  <si>
    <t>浙江</t>
  </si>
  <si>
    <t>浙江挚云信息科技有限公司</t>
  </si>
  <si>
    <t>温州三线-电信</t>
  </si>
  <si>
    <t>L20230504002</t>
  </si>
  <si>
    <t>温州三线</t>
  </si>
  <si>
    <t>温州三级电信</t>
  </si>
  <si>
    <t>CDNWZIX</t>
  </si>
  <si>
    <t>2022/6/1
2022/8/1</t>
  </si>
  <si>
    <t>160G
120G</t>
  </si>
  <si>
    <t>2023.8调整单价。20220801扩容120G，扩容后带宽280G，保底30%，84G，100M。不达保底可按实际流量计提</t>
  </si>
  <si>
    <t>WZIXCT</t>
  </si>
  <si>
    <t>代理商-联通</t>
  </si>
  <si>
    <t>温州三线-联通</t>
  </si>
  <si>
    <t>L20230504001</t>
  </si>
  <si>
    <t>温州三级联通</t>
  </si>
  <si>
    <t>160G
20G</t>
  </si>
  <si>
    <t>2023.8调整单价。20220801扩容20G，扩容后带宽180G，保底30%，54G，100M</t>
  </si>
  <si>
    <t>WZIXUN</t>
  </si>
  <si>
    <t>代理商-移动</t>
  </si>
  <si>
    <t>温州三线-移动</t>
  </si>
  <si>
    <t>L20230511005</t>
  </si>
  <si>
    <t>温州三级移动</t>
  </si>
  <si>
    <t>160G
100G</t>
  </si>
  <si>
    <t>2023.8调整单价。按实际流量计提。20220801扩容100G，扩容后带宽260G，保底40%，104G，100M。不达保底可按实际流量计提</t>
  </si>
  <si>
    <t>WZIXCM</t>
  </si>
  <si>
    <t>中国电信股份有限公司湖州分公司</t>
  </si>
  <si>
    <t>湖州电信</t>
  </si>
  <si>
    <t>182315IDC00041</t>
  </si>
  <si>
    <t>湖州</t>
  </si>
  <si>
    <t>湖州2电信</t>
  </si>
  <si>
    <t>CDNHUZCT</t>
  </si>
  <si>
    <t>保底计提。20230108开始计费。颗粒度1M，保底90G</t>
  </si>
  <si>
    <t>HUZ2CT</t>
  </si>
  <si>
    <t>中国电信股份有限公司宁波分公司</t>
  </si>
  <si>
    <t>宁波电信</t>
  </si>
  <si>
    <t>182315IDC00258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</si>
  <si>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</si>
  <si>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</si>
  <si>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</si>
  <si>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</si>
  <si>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</si>
  <si>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</si>
  <si>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</si>
  <si>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</si>
  <si>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</si>
  <si>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</si>
  <si>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</si>
  <si>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</si>
  <si>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</si>
  <si>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保底计提。100M颗粒度，从19.4.1开始保底降为3G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</si>
  <si>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</si>
  <si>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</si>
  <si>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</si>
  <si>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</si>
  <si>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</si>
  <si>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</si>
  <si>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</si>
  <si>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</si>
  <si>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</si>
  <si>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</si>
  <si>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</si>
  <si>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</si>
  <si>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</si>
  <si>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</si>
  <si>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</t>
  </si>
  <si>
    <t>温州5电信</t>
  </si>
  <si>
    <t>2018/8/10
2019/12/31</t>
  </si>
  <si>
    <t>120G
-120G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</si>
  <si>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</si>
  <si>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</si>
  <si>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</si>
  <si>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</si>
  <si>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</si>
  <si>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</si>
  <si>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</si>
  <si>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</si>
  <si>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182215IDC00346</t>
  </si>
  <si>
    <t>杭州2联通</t>
  </si>
  <si>
    <t>CDNHZUN3</t>
  </si>
  <si>
    <t>2022/5/15
2023/3/31</t>
  </si>
  <si>
    <t>120G-40G</t>
  </si>
  <si>
    <t>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</si>
  <si>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</si>
  <si>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</si>
  <si>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</si>
  <si>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</si>
  <si>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</si>
  <si>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</si>
  <si>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</si>
  <si>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10G-10G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</si>
  <si>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</si>
  <si>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</si>
  <si>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</si>
  <si>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</si>
  <si>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</si>
  <si>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</si>
  <si>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</si>
  <si>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</si>
  <si>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</si>
  <si>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L20230511003</t>
  </si>
  <si>
    <t>CDNJIAXUN</t>
  </si>
  <si>
    <t>2022/10/1
2022/11/1</t>
  </si>
  <si>
    <t>100G+100G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</si>
  <si>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</si>
  <si>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</si>
  <si>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</si>
  <si>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</si>
  <si>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182215IDC00691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</si>
  <si>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</si>
  <si>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</si>
  <si>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</si>
  <si>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</si>
  <si>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</si>
  <si>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中国联合网络通信有限公司绍兴市分公司</t>
  </si>
  <si>
    <t>绍兴联通</t>
  </si>
  <si>
    <t>L20230330006</t>
  </si>
  <si>
    <t>绍兴2联通</t>
  </si>
  <si>
    <t>CDNSHAOXUN</t>
  </si>
  <si>
    <t>2018/6/20
2019/1/20
2020/4/30</t>
  </si>
  <si>
    <t>40G
40G
-40G</t>
  </si>
  <si>
    <t>中值计提。按集约约定，3%认乙方。颗粒度100M,保底12G
2020.4.30绍兴联通40G退租，退租后只剩绍兴2联通40G</t>
  </si>
  <si>
    <t>SHAOX2UN</t>
  </si>
  <si>
    <t>L20230306001</t>
  </si>
  <si>
    <t>绍兴3联通</t>
  </si>
  <si>
    <t>按运营商大数计提。按集约约定，3%认乙方。20230316开始计费。边缘计算，保底30G</t>
  </si>
  <si>
    <t>SHAOX3UN</t>
  </si>
  <si>
    <t>中国联合网络通信有限公司台州市分公司</t>
  </si>
  <si>
    <t>台州联通</t>
  </si>
  <si>
    <t>L20230711007</t>
  </si>
  <si>
    <t>CDNTZUN</t>
  </si>
  <si>
    <t>2022/8/1
2022/10/1</t>
  </si>
  <si>
    <t>100G+
100G</t>
  </si>
  <si>
    <t>暂按运营商计提。【BEC扩容】台州联通扩容100G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</si>
  <si>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</si>
  <si>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</si>
  <si>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</si>
  <si>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182215IDC00342</t>
  </si>
  <si>
    <t>CDNWZUN</t>
  </si>
  <si>
    <t>2022/4/15
2022/6/15
2022/10/15
2023/5/31</t>
  </si>
  <si>
    <t>300G
100G
100G
-100G</t>
  </si>
  <si>
    <t>按运营商大数计提。2023/5/31退租100G，退租后保底80G。100M。
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</si>
  <si>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</si>
  <si>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</si>
  <si>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</si>
  <si>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L20230711006</t>
  </si>
  <si>
    <t>CDNZHOUSUN</t>
  </si>
  <si>
    <t>保底计提。【BEC新建】舟山联通新增100G ，20%保底即20G，10M</t>
  </si>
  <si>
    <t>ZHOUSHUN</t>
  </si>
  <si>
    <t>中国移动通信集团浙江有限公司杭州分公司</t>
  </si>
  <si>
    <t>杭州移动</t>
  </si>
  <si>
    <t>L20230604007</t>
  </si>
  <si>
    <t>CDNHZCM</t>
  </si>
  <si>
    <t>2017/1/1
2019/12/10
2020/9/1</t>
  </si>
  <si>
    <t>80G
20G
10G</t>
  </si>
  <si>
    <t>保底44G，10M。
117.148.160.128/25；117.148.161.0/24</t>
  </si>
  <si>
    <t>HZCM</t>
  </si>
  <si>
    <t>杭州4移动</t>
  </si>
  <si>
    <t>CDNHZCM2</t>
  </si>
  <si>
    <t>2022/11/3
2023/6/8</t>
  </si>
  <si>
    <t>200G
300G</t>
  </si>
  <si>
    <t>【BEC扩容】BEC浙江杭州移动扩容300G 2023-5-30 节点正式上线 (BECHZ4CM)，从6.8计费。累计500G，保底200G
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</si>
  <si>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</si>
  <si>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</si>
  <si>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</si>
  <si>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</si>
  <si>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</si>
  <si>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</si>
  <si>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</si>
  <si>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</si>
  <si>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</si>
  <si>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</si>
  <si>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</si>
  <si>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L20230610005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</si>
  <si>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</si>
  <si>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</si>
  <si>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</si>
  <si>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</si>
  <si>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</si>
  <si>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</si>
  <si>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</si>
  <si>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</si>
  <si>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</si>
  <si>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</si>
  <si>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</si>
  <si>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</si>
  <si>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</si>
  <si>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</si>
  <si>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</si>
  <si>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</si>
  <si>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</si>
  <si>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</si>
  <si>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</si>
  <si>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</si>
  <si>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</si>
  <si>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</si>
  <si>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</si>
  <si>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</si>
  <si>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</si>
  <si>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</si>
  <si>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</si>
  <si>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</si>
  <si>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</si>
  <si>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</si>
  <si>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</si>
  <si>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</si>
  <si>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</si>
  <si>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</si>
  <si>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</si>
  <si>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</si>
  <si>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</si>
  <si>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</si>
  <si>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</si>
  <si>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</si>
  <si>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保底计提。20230401开始计费，保底80G</t>
  </si>
  <si>
    <t>QUZCM</t>
  </si>
  <si>
    <t>中国移动通信集团浙江有限公司绍兴分公司</t>
  </si>
  <si>
    <t>绍兴移动</t>
  </si>
  <si>
    <t>182215IDC00611</t>
  </si>
  <si>
    <t>绍兴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</si>
  <si>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</si>
  <si>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</si>
  <si>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</si>
  <si>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</si>
  <si>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</si>
  <si>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台州移动</t>
  </si>
  <si>
    <t>L20230610009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</si>
  <si>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</si>
  <si>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</si>
  <si>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</si>
  <si>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</si>
  <si>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</si>
  <si>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</si>
  <si>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</t>
  </si>
  <si>
    <t>台州3移动</t>
  </si>
  <si>
    <t>260G</t>
  </si>
  <si>
    <t>【BEC新建】台州移动 (TZ3CM)：保底40%，即104G，10M</t>
  </si>
  <si>
    <t>TZ3CM</t>
  </si>
  <si>
    <t>中国移动通信集团浙江有限公司温州分公司</t>
  </si>
  <si>
    <t>温州移动</t>
  </si>
  <si>
    <t>L20230610010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</si>
  <si>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</si>
  <si>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</si>
  <si>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</si>
  <si>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</si>
  <si>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</si>
  <si>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</si>
  <si>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</si>
  <si>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</si>
  <si>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L20230622001</t>
  </si>
  <si>
    <t>舟山</t>
  </si>
  <si>
    <t>CDNZHOUSCM</t>
  </si>
  <si>
    <t>2022/6/26
2022/9/1
2023/6/8</t>
  </si>
  <si>
    <t>240G+
60G
400G</t>
  </si>
  <si>
    <t>中值计提。【BEC扩容】BEC浙江舟山移动扩容400G  2023-06-01 节点正式上线  (ZHOUSCM)，累计700G，保底280G；
20220901扩容60G，共300G，保底120G，10M。【BEC新建】舟山移动新建240G</t>
  </si>
  <si>
    <t>ZHOUSCM</t>
  </si>
  <si>
    <t>华南-吴蕊</t>
  </si>
  <si>
    <t>福建</t>
  </si>
  <si>
    <t>中国电信股份有限公司福建分公司</t>
  </si>
  <si>
    <t>福州电信</t>
  </si>
  <si>
    <t>L20230711002</t>
  </si>
  <si>
    <t>福州仓科机房</t>
  </si>
  <si>
    <t>福州电信SSL</t>
  </si>
  <si>
    <t>CDNFZCT</t>
  </si>
  <si>
    <t>2013/6/26
2019/10/10
2022/8/31</t>
  </si>
  <si>
    <t>2022/8/31退租10G，节点下线。2022年5月1日-15日免费，颗粒度100M，保底3G，与CDN合并计费；8月让CDN帮SSL跑了保底，SSL无成本，9月不需要</t>
  </si>
  <si>
    <t>FZSSLTELECOM</t>
  </si>
  <si>
    <t>福州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</si>
  <si>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</si>
  <si>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</si>
  <si>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</si>
  <si>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</si>
  <si>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</si>
  <si>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</si>
  <si>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</si>
  <si>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</si>
  <si>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</si>
  <si>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</si>
  <si>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</si>
  <si>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</si>
  <si>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中国联合网络通信有限公司福州市分公司</t>
  </si>
  <si>
    <t>福州联通</t>
  </si>
  <si>
    <t>L20230327007</t>
  </si>
  <si>
    <t>福州3联通</t>
  </si>
  <si>
    <t>CDNFZUN2</t>
  </si>
  <si>
    <t>2019/6/26
2020/1/31</t>
  </si>
  <si>
    <t>80G-60G</t>
  </si>
  <si>
    <t>中值计提。需要注意2020年1月31日退租60G。颗粒度100M，保底6G</t>
  </si>
  <si>
    <t>FZ3UN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</si>
  <si>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</si>
  <si>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</si>
  <si>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</si>
  <si>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</si>
  <si>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</si>
  <si>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</si>
  <si>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2022/7/31退租。（1）需要注意20200629扩容20G，颗粒度10M，保底40%；（2）202006开始合并了福州移动2+福州3移动</t>
  </si>
  <si>
    <t>FZCM</t>
  </si>
  <si>
    <t>福州长乐</t>
  </si>
  <si>
    <t>福州移动2</t>
  </si>
  <si>
    <t>CDNFZCM2</t>
  </si>
  <si>
    <t>2017/9/30
2020/6/29
2022/5/13
2022/7/31</t>
  </si>
  <si>
    <t>80G+50G-30G
-80G</t>
  </si>
  <si>
    <t>保底计提。(1)需要注意20200629扩容50G，颗粒度10M，保底40%；（2）历史备注信息：2018年9月11日扩容80G，2019年10月11日计费。以后此节点保底64G。2022.7.31退租后此节点剩余带宽是BEC使用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</si>
  <si>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</si>
  <si>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</si>
  <si>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</si>
  <si>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</si>
  <si>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</si>
  <si>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2022/5/13退租。（1）需要注意20200629扩容90G，颗粒度10M，保底40%；（2）历史备注信息：2018年9月11日扩容80G，2019年10月11日计费。以后此节点保底64G。</t>
  </si>
  <si>
    <t>FZ3CM</t>
  </si>
  <si>
    <t>中国移动通信集团福建有限公司厦门分公司</t>
  </si>
  <si>
    <t>厦门移动</t>
  </si>
  <si>
    <t>L20221230001</t>
  </si>
  <si>
    <t>厦门2</t>
  </si>
  <si>
    <t>厦门2移动</t>
  </si>
  <si>
    <t>CDNXMCM2</t>
  </si>
  <si>
    <t>2023/1/1
2023/6/8</t>
  </si>
  <si>
    <t>600G
200G</t>
  </si>
  <si>
    <t>【BEC扩容】BEC福建厦门移动扩容200G 2023-6-1 节点正式上线 (BECXM2CM )，累计800G，保底320G，从6.8开始计费。
【BEC新建】厦门移动新建600G 2022-12-3节点正式上线  (XM2CM)，增量600G</t>
  </si>
  <si>
    <t>XM2CM</t>
  </si>
  <si>
    <t>厦门4</t>
  </si>
  <si>
    <t>厦门4移动</t>
  </si>
  <si>
    <t>【BEC扩容】BEC福建厦门移动扩容200G  2023-08-01 节点正式上线  (XM4CM)，保底80G</t>
  </si>
  <si>
    <t>XM4CM</t>
  </si>
  <si>
    <t>L20230514001</t>
  </si>
  <si>
    <t>宿迁5移动</t>
  </si>
  <si>
    <t>SQ5CM</t>
  </si>
  <si>
    <t>L20230514002</t>
  </si>
  <si>
    <t>福州6移动-北数据机房</t>
  </si>
  <si>
    <t>福州6移动</t>
  </si>
  <si>
    <t>CDNFZCM3</t>
  </si>
  <si>
    <t>BEC福州移动新增400G 2023-5-1节点正式上线 (FZ6CM)，保底160G</t>
  </si>
  <si>
    <t>FZ6CM</t>
  </si>
  <si>
    <t>L20230514003</t>
  </si>
  <si>
    <t>潍坊4移动</t>
  </si>
  <si>
    <t>【BEC-新建】潍坊移动 新建200G 2023-05-01 节点正式上线 (WF4CM)，保底80G</t>
  </si>
  <si>
    <t>WF4CM</t>
  </si>
  <si>
    <t>新壹云_小红书_移动</t>
  </si>
  <si>
    <t>新壹云_小红书</t>
  </si>
  <si>
    <t>1M颗粒度，无保底，3个1000进制，系数1</t>
  </si>
  <si>
    <t>xyyun_xhs</t>
  </si>
  <si>
    <t>182315IDC00279</t>
  </si>
  <si>
    <t>新壹云_帆一</t>
  </si>
  <si>
    <t>1M颗粒度，无保底。95计费，1000进制，系数1</t>
  </si>
  <si>
    <t>xyyun_fanyi</t>
  </si>
  <si>
    <t>L20230601012</t>
  </si>
  <si>
    <t>华为云_快手_移动</t>
  </si>
  <si>
    <t>hwyun_kuaishou_cmnet</t>
  </si>
  <si>
    <t>贵州白山云科技股份有限公司</t>
  </si>
  <si>
    <t>白山云</t>
  </si>
  <si>
    <t>182315IDC00278</t>
  </si>
  <si>
    <t>白山CDN_爱奇艺_移动</t>
  </si>
  <si>
    <t>按运营商计提。1M颗粒度，无保底，3个1000进制，系数1</t>
  </si>
  <si>
    <t>bscdn_iqiyi_cmnet</t>
  </si>
  <si>
    <t>182315IDC00216</t>
  </si>
  <si>
    <t>意如CDN_快手_联通</t>
  </si>
  <si>
    <t>yrcdn_kuaishou_cnc</t>
  </si>
  <si>
    <t>L20230604003</t>
  </si>
  <si>
    <t>丽水4移动</t>
  </si>
  <si>
    <t>CDNLSCM2</t>
  </si>
  <si>
    <t>【BEC新建】BEC浙江丽水移动新建400G 2023-6-1 节点正式上线 (BECLS4CM )，保底160G</t>
  </si>
  <si>
    <t>LS4CM</t>
  </si>
  <si>
    <t>中国移动通信集团福建有限公司泉州分公司</t>
  </si>
  <si>
    <t>泉州移动</t>
  </si>
  <si>
    <t>L20230604004</t>
  </si>
  <si>
    <t>CDNQZCM</t>
  </si>
  <si>
    <t>2023/6/1
2023/7/1</t>
  </si>
  <si>
    <t>200G
400G</t>
  </si>
  <si>
    <t>保底计提。【BEC扩容】BEC泉州移动新增400G 2023-6-1节点正式上线 (QZCM)，保底240G；
【CDN新建】BEC泉州移动新增200G 2023-4-27节点正式上线 (QZCM)</t>
  </si>
  <si>
    <t>QZCM</t>
  </si>
  <si>
    <t>中国移动通信集团江苏有限公司徐州分公司</t>
  </si>
  <si>
    <t>徐州移动</t>
  </si>
  <si>
    <t>L20230604005</t>
  </si>
  <si>
    <t>徐州2移动</t>
  </si>
  <si>
    <t>CDNXZCM</t>
  </si>
  <si>
    <t>200G
200G</t>
  </si>
  <si>
    <t xml:space="preserve">保底计提。保底160G【BEC扩容】BEC江苏徐州移动扩容200G 2023-7-1 节点正式上线 (BECXZ2CM)
【BEC新建】BEC江苏徐州移动新建200G  2023-05-30 节点正式上线  (BECXZ2CM)
</t>
  </si>
  <si>
    <t>XZ2CM</t>
  </si>
  <si>
    <t>L20230604006</t>
  </si>
  <si>
    <t>杭州6移动</t>
  </si>
  <si>
    <t>CDNHZCM3</t>
  </si>
  <si>
    <t>【BEC新建】BEC浙江杭州移动新建400G  2023-06-01 节点正式上线  (HZ6CM)，保底160G</t>
  </si>
  <si>
    <t>HZ6CM</t>
  </si>
  <si>
    <t>L20230604008</t>
  </si>
  <si>
    <t>济南13移动</t>
  </si>
  <si>
    <t>CDNJNCM2</t>
  </si>
  <si>
    <t>保底计提。BEC新建】BEC山东济南移动新建100G 2023-6-1 节点正式上线 (BECJN13CM )，保底40G</t>
  </si>
  <si>
    <t>JN13CM</t>
  </si>
  <si>
    <t>L20230604009</t>
  </si>
  <si>
    <t>烟台2联通</t>
  </si>
  <si>
    <t>CDNYTUN2</t>
  </si>
  <si>
    <t>2023/6/1
2023/6/21
2023/8/1</t>
  </si>
  <si>
    <t>60G
-60G
60G</t>
  </si>
  <si>
    <t>2023/8/1重新开通。2023/6/21临时关停。【CDN新建】山东烟台联通新建60G  2023-06-01 节点正式上线  (YT2UN)，免费节点。赠送5个月，23年6月-10月，7月暂停，8月开启，使用期延长至11月</t>
  </si>
  <si>
    <t>YT2UN</t>
  </si>
  <si>
    <t>L20230712013</t>
  </si>
  <si>
    <t>青岛11联通</t>
  </si>
  <si>
    <t>CDNQDUN1</t>
  </si>
  <si>
    <t>保底计提。【BEC新建】BEC山东青岛联通新建200G 2023-7-1 节点正式上线 (BECQD11UN )，保底60G</t>
  </si>
  <si>
    <t>QD11UN</t>
  </si>
  <si>
    <t>中国移动通信集团山东有限公司威海分公司</t>
  </si>
  <si>
    <t>威海移动</t>
  </si>
  <si>
    <t>L20230712014</t>
  </si>
  <si>
    <t>威海2移动</t>
  </si>
  <si>
    <t>CDNWEIHCM</t>
  </si>
  <si>
    <t>【BEC扩容】BEC山东威海移动扩容200G  2023-7-01 节点正式上线  (WEIH2CM），保底80G</t>
  </si>
  <si>
    <t>WEIH2CM</t>
  </si>
  <si>
    <t>L20230712012</t>
  </si>
  <si>
    <t>常州5电信</t>
  </si>
  <si>
    <t>CDNCZCT2</t>
  </si>
  <si>
    <t>【BEC新建】BEC江苏常州电信新建200G 2023-7-1 节点正式上线 (BECCZ5CT )，保底60G</t>
  </si>
  <si>
    <t>CZ5CT</t>
  </si>
  <si>
    <t>L20230712015</t>
  </si>
  <si>
    <t>宿迁6移动</t>
  </si>
  <si>
    <t>中值计提【BEC新建】BEC江苏宿迁移动新建200G 2023-7-1 节点正式上线 (BECSQ6CM)，保底80G</t>
  </si>
  <si>
    <t>SQ6CM</t>
  </si>
  <si>
    <t>金山云（深圳）边缘计算科技有限公司</t>
  </si>
  <si>
    <t>金山云</t>
  </si>
  <si>
    <t>L20230801019</t>
  </si>
  <si>
    <t>金山云_快手_联通</t>
  </si>
  <si>
    <t>不计提。1M颗粒度，无保底。95计费，1000进制，系数1.0</t>
  </si>
  <si>
    <t>ksyun_kuaishou_cnc</t>
  </si>
  <si>
    <t>L20230801021</t>
  </si>
  <si>
    <t>梦网_点播_西瓜</t>
  </si>
  <si>
    <t>1M颗粒度，无保底。95计费，1000进制，系数1.0</t>
  </si>
  <si>
    <t>mwcdn_video_xigua</t>
  </si>
  <si>
    <t>L20230801022</t>
  </si>
  <si>
    <t>超巨云威_点播_电联</t>
  </si>
  <si>
    <t>cjcdn_video_ct_cnc</t>
  </si>
  <si>
    <t>厦门5</t>
  </si>
  <si>
    <t>厦门5移动</t>
  </si>
  <si>
    <t>【BEC新建】BEC福建厦门移动新建200G 2023-8-3 节点正式上线 (BECXM5CM)，保底80G，10M</t>
  </si>
  <si>
    <t>XM5CM</t>
  </si>
  <si>
    <t>182315IDC00239</t>
  </si>
  <si>
    <t>补提5月淄博三级移动带宽结算差异，结算85.46G，提84.82G，补0.64G</t>
  </si>
  <si>
    <t>补提6月淄博三级移动带宽结算差异，结算86.52G，提85.84G，补0.68G</t>
  </si>
  <si>
    <t>补提5月新壹云_帆一带宽结算差异，SYS更新流量，由0更新为23.551G</t>
  </si>
  <si>
    <t>补提7月徐州2联通带宽结算差异，SYS更新流量，由41.16更新为57.55G，结算流量56.822G，提42G，补14.822G</t>
  </si>
  <si>
    <t>补提7月华为云换量带宽结算差异，结算1862.1556216956G，提1862.049G，补0.1066216956G</t>
  </si>
  <si>
    <t>补提7月厦门2电信带宽结算差异，结算10.52G，提10.5G，补0.02G</t>
  </si>
  <si>
    <t>补提7月连云港三线电信带宽结算差异，暂按双方中值计提26.94G，已提24.14G，补2.8G</t>
  </si>
  <si>
    <t>补提7月太湖电信带宽结算差异，结算28.207G，提27.97G，补0.237G</t>
  </si>
  <si>
    <t>补提7月SZTH-电信CDN带宽结算差异，结算132.93G，提131.4G，补1.53G</t>
  </si>
  <si>
    <t>补提7月上海4电信带宽结算差异，结算8.9G，提8.7G，补0.2G</t>
  </si>
  <si>
    <t>补提7月青岛滨海联通带宽结算差异，结算114.443G，提114.4G，补0.043G</t>
  </si>
  <si>
    <t>补提7月青岛联通带宽结算差异，结算61.168G，提59.76G，补1.408G</t>
  </si>
  <si>
    <t>补提7月宿迁5移动带宽结算差异，结算82.92G，提82.17G，补0.75G</t>
  </si>
  <si>
    <t>补提7月盐城移动带宽结算差异，结算138.2G，提136.95G，补1.25G</t>
  </si>
  <si>
    <t>补提7月盐城3移动带宽结算差异，结算125.41G，提120.29G，补5.12G</t>
  </si>
  <si>
    <t>补提7月济南4移动带宽结算差异，结算212.91G，提211.02G，补1.89G</t>
  </si>
  <si>
    <t>补提7月青岛4移动带宽结算差异，暂按双方中值74.93G计提，技术核对中，已提72.34G，补2.59G</t>
  </si>
  <si>
    <t>补提7月青岛2移动二级带宽结算差异，暂按双方中值83.56G计提，技术核对中，已提81.11G，补2.45G</t>
  </si>
  <si>
    <t>补提7月青岛7移动带宽结算差异，暂按双方中值62.85G计提，技术核对中，已提60.75G，补2.1G</t>
  </si>
  <si>
    <t>补提7月淄博三级移动带宽结算差异，结算80.87G，提80.3G，补0.57G</t>
  </si>
  <si>
    <t>补提7月金华2移动带宽，结算32.37G，提32.35G，补0.02G</t>
  </si>
  <si>
    <t>补提7月绍兴3移动带宽，结算114.37G，提113.25G，补1.12G</t>
  </si>
  <si>
    <t>补提7月台州2移动带宽结算差异，结算48.78G，提48.38G，补0.4G</t>
  </si>
  <si>
    <t>L20230802002</t>
  </si>
  <si>
    <t>青岛_爱奇艺</t>
  </si>
  <si>
    <t>青岛联通爱奇艺合作项目。0保底，1M</t>
  </si>
  <si>
    <t>qingdao_iqiyi</t>
  </si>
  <si>
    <t>华南</t>
  </si>
  <si>
    <t>湖南</t>
  </si>
  <si>
    <t>王腾</t>
  </si>
  <si>
    <t>中国电信股份有限公司湖南分公司</t>
  </si>
  <si>
    <t>湖南电信</t>
  </si>
  <si>
    <t>182315IDC00267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</si>
  <si>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</si>
  <si>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</si>
  <si>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</si>
  <si>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</si>
  <si>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</si>
  <si>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</si>
  <si>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</si>
  <si>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</si>
  <si>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</si>
  <si>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</si>
  <si>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</si>
  <si>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</si>
  <si>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</si>
  <si>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</si>
  <si>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</si>
  <si>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</si>
  <si>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</si>
  <si>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</si>
  <si>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</si>
  <si>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</si>
  <si>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</si>
  <si>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</si>
  <si>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</si>
  <si>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</si>
  <si>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补202307，已计提57.73，先按照均值58.3，补0.57</t>
  </si>
  <si>
    <t>广东</t>
  </si>
  <si>
    <t>中国电信股份有限公司广东分公司</t>
  </si>
  <si>
    <t>广东电信</t>
  </si>
  <si>
    <t>182315IDC00175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</si>
  <si>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</si>
  <si>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</si>
  <si>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</si>
  <si>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</si>
  <si>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</si>
  <si>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</si>
  <si>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</si>
  <si>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</si>
  <si>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</si>
  <si>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</si>
  <si>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</si>
  <si>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</si>
  <si>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</si>
  <si>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</si>
  <si>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</si>
  <si>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</si>
  <si>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</si>
  <si>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</si>
  <si>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</si>
  <si>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</si>
  <si>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</si>
  <si>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</si>
  <si>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</si>
  <si>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</si>
  <si>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</si>
  <si>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</si>
  <si>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</si>
  <si>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</si>
  <si>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需要注意资源变动。5.1日起2个万兆，无保底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</si>
  <si>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</si>
  <si>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</si>
  <si>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</si>
  <si>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</si>
  <si>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</si>
  <si>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</si>
  <si>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</si>
  <si>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</si>
  <si>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</si>
  <si>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</si>
  <si>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</si>
  <si>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</si>
  <si>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</si>
  <si>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</si>
  <si>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</si>
  <si>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</si>
  <si>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</si>
  <si>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</si>
  <si>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</si>
  <si>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</si>
  <si>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</si>
  <si>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</si>
  <si>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</si>
  <si>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</si>
  <si>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</si>
  <si>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</si>
  <si>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</si>
  <si>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</si>
  <si>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</si>
  <si>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</si>
  <si>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182315IDC00179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</si>
  <si>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</si>
  <si>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</si>
  <si>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</si>
  <si>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</si>
  <si>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</si>
  <si>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</si>
  <si>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</si>
  <si>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L20230330004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</si>
  <si>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</si>
  <si>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</si>
  <si>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</si>
  <si>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</si>
  <si>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</si>
  <si>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</si>
  <si>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</si>
  <si>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</si>
  <si>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</si>
  <si>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</si>
  <si>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</si>
  <si>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</si>
  <si>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</si>
  <si>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</si>
  <si>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</si>
  <si>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</si>
  <si>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</si>
  <si>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</si>
  <si>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</si>
  <si>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</si>
  <si>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</si>
  <si>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</si>
  <si>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需要注意资源变动。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</si>
  <si>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</si>
  <si>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</si>
  <si>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</si>
  <si>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
2023/6/30</t>
  </si>
  <si>
    <t>400G-200G-200G</t>
  </si>
  <si>
    <t>20220731退租200G。202206从成都电信2拆分，颗粒度100M，保底60G</t>
  </si>
  <si>
    <t>成都5</t>
  </si>
  <si>
    <t>成都5电信</t>
  </si>
  <si>
    <t>2019/1/25
2021/4/1
2022/7/31</t>
  </si>
  <si>
    <t>300G+100G-200G</t>
  </si>
  <si>
    <t>需要注意资源变动。20220731退租200G。需要注意资源变动。需要注意单价打折后每月保底情况；20210401扩容100G开始计费，202009-202010带宽不计费，与系统部核实成都5电信单独计费，颗粒度100M，保底60G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</si>
  <si>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</si>
  <si>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</si>
  <si>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</si>
  <si>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</si>
  <si>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</si>
  <si>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</si>
  <si>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</si>
  <si>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</si>
  <si>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</si>
  <si>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</si>
  <si>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</si>
  <si>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</si>
  <si>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</si>
  <si>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</si>
  <si>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</si>
  <si>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</si>
  <si>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</si>
  <si>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</si>
  <si>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</si>
  <si>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</si>
  <si>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</si>
  <si>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</si>
  <si>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</si>
  <si>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2023/4/6
2023/5/1</t>
  </si>
  <si>
    <t>160G+120G</t>
  </si>
  <si>
    <t>20230406开始计费，20230501扩容120G开始计费。颗粒度100M，保底84G</t>
  </si>
  <si>
    <t>CDMT-电信CDN</t>
  </si>
  <si>
    <t>CDMT</t>
  </si>
  <si>
    <t>CDMT-电信CDN=成都三级电信。2023年6月开始看IDC出数</t>
  </si>
  <si>
    <t>CDMT-CT-ST-1</t>
  </si>
  <si>
    <t>L20230703001</t>
  </si>
  <si>
    <t>成都电信二级</t>
  </si>
  <si>
    <t>CDNCDCTCACHE</t>
  </si>
  <si>
    <t>20230701开始计费，保底60G</t>
  </si>
  <si>
    <t>CDCTCACHE</t>
  </si>
  <si>
    <t>重庆</t>
  </si>
  <si>
    <t>中国电信股份有限公司重庆分公司</t>
  </si>
  <si>
    <t>重庆电信</t>
  </si>
  <si>
    <t>L20230330005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</si>
  <si>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</si>
  <si>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</si>
  <si>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</si>
  <si>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</si>
  <si>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</si>
  <si>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</si>
  <si>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</si>
  <si>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202308按照保底差额计提。颗粒度100M，保底3G</t>
  </si>
  <si>
    <t>CQSSLTELECOM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</si>
  <si>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</si>
  <si>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</si>
  <si>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</si>
  <si>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</si>
  <si>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</si>
  <si>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</si>
  <si>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182315IDC00325</t>
  </si>
  <si>
    <t>株洲联通2</t>
  </si>
  <si>
    <t>CDNZHUZUN</t>
  </si>
  <si>
    <t>2016/7/1
2020/1/31
2022/7/31</t>
  </si>
  <si>
    <t>240G-80G-80G</t>
  </si>
  <si>
    <t>需要注意资源变动。20220731退租80G。需要注意202107故障（1）需要注意周睿反馈20200131退租80G；（2）颗粒度100M，保底24G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</si>
  <si>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</si>
  <si>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</si>
  <si>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</si>
  <si>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</si>
  <si>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</si>
  <si>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</si>
  <si>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</si>
  <si>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202308按照均值计提。（1）颗粒度100M，保底3G；（2）需要注意20200331退租30G；（3）依据合同差异在1%-3%取双方平均值；（4）181915IDC00338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</si>
  <si>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</si>
  <si>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</si>
  <si>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</si>
  <si>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2023/4/6
2023/5/1
2023/6/1</t>
  </si>
  <si>
    <t>40G+80G+60G</t>
  </si>
  <si>
    <t>20230406开始计费，20230501扩容80G开始计费。20230601扩容60G开始计费。颗粒度100M，保底54G</t>
  </si>
  <si>
    <t>CDMT-联通CDN</t>
  </si>
  <si>
    <t>202308按照均值计提。CDMT-联通CDN=成都三级联通。2023年6月开始看IDC出数</t>
  </si>
  <si>
    <t>CDMT-CU-ST-1</t>
  </si>
  <si>
    <t>L20230613001</t>
  </si>
  <si>
    <t>CDMT-联通BGP</t>
  </si>
  <si>
    <t>0.1G</t>
  </si>
  <si>
    <t>202308按照保底计提。20230603开始计费，包端口。</t>
  </si>
  <si>
    <t>CDMT-CU-BGP-1</t>
  </si>
  <si>
    <t>中国联合网络通信有限公司重庆市分公司</t>
  </si>
  <si>
    <t>重庆联通</t>
  </si>
  <si>
    <t>182315IDC00298</t>
  </si>
  <si>
    <t>重庆4联通</t>
  </si>
  <si>
    <t>CDNCQUN</t>
  </si>
  <si>
    <t>2021/6/1
2022/7/31</t>
  </si>
  <si>
    <t>40G-40G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</si>
  <si>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</si>
  <si>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</si>
  <si>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</si>
  <si>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</si>
  <si>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</si>
  <si>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</si>
  <si>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</si>
  <si>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</si>
  <si>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</si>
  <si>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</si>
  <si>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2016/7/25
2023/8/31</t>
  </si>
  <si>
    <t>202308按照保底差额计提。需要注意资源变动。2019.8.1-2019.9.30租用110G独享带宽，单价10833；2019.10.1-2019．12.31租用70G独享带宽，单价10000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</si>
  <si>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</si>
  <si>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</si>
  <si>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</si>
  <si>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</si>
  <si>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</si>
  <si>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</si>
  <si>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202308按照保底计提。颗粒度100M，保底2G</t>
  </si>
  <si>
    <t>GZNSCNC_BGP</t>
  </si>
  <si>
    <t>182115IDC00140</t>
  </si>
  <si>
    <t>广州</t>
  </si>
  <si>
    <t>广州联通SSL</t>
  </si>
  <si>
    <t>CDNGZUN</t>
  </si>
  <si>
    <t>2016/4/8
2023/8/31</t>
  </si>
  <si>
    <t>202308按照保底计提。需要注意资源变动。需要注意2020年4月1日开始新合同颗粒度100M，保底3G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</si>
  <si>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</si>
  <si>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</si>
  <si>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</si>
  <si>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</si>
  <si>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</si>
  <si>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</si>
  <si>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</si>
  <si>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</si>
  <si>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182115IDC00226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</si>
  <si>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</si>
  <si>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</si>
  <si>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</si>
  <si>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</si>
  <si>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</si>
  <si>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</si>
  <si>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</si>
  <si>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</si>
  <si>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</si>
  <si>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</si>
  <si>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</si>
  <si>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</si>
  <si>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</si>
  <si>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</si>
  <si>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</si>
  <si>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</si>
  <si>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</si>
  <si>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</si>
  <si>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</si>
  <si>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</si>
  <si>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</si>
  <si>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</si>
  <si>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</si>
  <si>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</si>
  <si>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</si>
  <si>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</si>
  <si>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揭阳2联通</t>
  </si>
  <si>
    <t>CDNJIEYUN2</t>
  </si>
  <si>
    <t>颗粒度100M，保底60G</t>
  </si>
  <si>
    <t>JIEY2UN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</si>
  <si>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</si>
  <si>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</si>
  <si>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</si>
  <si>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</si>
  <si>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</si>
  <si>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</si>
  <si>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202307按照保底计提。颗粒度100M，保底6G</t>
  </si>
  <si>
    <t>GYUN</t>
  </si>
  <si>
    <t>L20230807001</t>
  </si>
  <si>
    <t>贵阳2联通</t>
  </si>
  <si>
    <t>202308按照保底折天计提。20230803开始计费，颗粒度100M，保底60G</t>
  </si>
  <si>
    <t>GY2UN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</si>
  <si>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</si>
  <si>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</si>
  <si>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</si>
  <si>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</si>
  <si>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</si>
  <si>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</si>
  <si>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</si>
  <si>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</si>
  <si>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</si>
  <si>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</si>
  <si>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182315IDC00242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</si>
  <si>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</si>
  <si>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</si>
  <si>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</si>
  <si>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</si>
  <si>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</si>
  <si>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L20230701001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</si>
  <si>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</si>
  <si>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</si>
  <si>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</si>
  <si>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</si>
  <si>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</si>
  <si>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</si>
  <si>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</si>
  <si>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</si>
  <si>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
2023/8/31</t>
  </si>
  <si>
    <t>30G-20G-10G</t>
  </si>
  <si>
    <t>202308按照保底差额计提。需要注意资源变动。20210531退租20G，颗粒度10M，带宽保底4G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</si>
  <si>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</si>
  <si>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</si>
  <si>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</si>
  <si>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</si>
  <si>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</si>
  <si>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</si>
  <si>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</si>
  <si>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</si>
  <si>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</si>
  <si>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</si>
  <si>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</si>
  <si>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广州南沙</t>
  </si>
  <si>
    <t>BGP广州南沙移动</t>
  </si>
  <si>
    <t>2015/10/1
2020/4/1
2020/9/9
2020/11/3</t>
  </si>
  <si>
    <t>60G-10G-20G-10G</t>
  </si>
  <si>
    <t>202308按照保底计提。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</si>
  <si>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</si>
  <si>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GZBH移动CDN</t>
  </si>
  <si>
    <t>202308按照保底计提。20230202开始计费，保底40G</t>
  </si>
  <si>
    <t>GZBH-CM-ST-2</t>
  </si>
  <si>
    <t>L20230703002</t>
  </si>
  <si>
    <t>广州9移动</t>
  </si>
  <si>
    <t>CDNGZCM4</t>
  </si>
  <si>
    <t>20230701开始计费，保底80G</t>
  </si>
  <si>
    <t>GZ9CM</t>
  </si>
  <si>
    <t>L20230801030</t>
  </si>
  <si>
    <t>广州10移动</t>
  </si>
  <si>
    <t>160G</t>
  </si>
  <si>
    <t>20230801开始计费，保底64G</t>
  </si>
  <si>
    <t>GZ10CM</t>
  </si>
  <si>
    <t>补202307，已计提4400*9726，补价差</t>
  </si>
  <si>
    <t>补202307，已计提105，结算107，补2</t>
  </si>
  <si>
    <t>中国移动通信集团湖南有限公司长沙分公司</t>
  </si>
  <si>
    <t>长沙移动</t>
  </si>
  <si>
    <t>L20230423019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</si>
  <si>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</si>
  <si>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</si>
  <si>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</si>
  <si>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</si>
  <si>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</si>
  <si>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</si>
  <si>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</si>
  <si>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</si>
  <si>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</si>
  <si>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</si>
  <si>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</si>
  <si>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</si>
  <si>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</si>
  <si>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</si>
  <si>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</si>
  <si>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</si>
  <si>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</si>
  <si>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</si>
  <si>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</si>
  <si>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</si>
  <si>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</si>
  <si>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</si>
  <si>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</si>
  <si>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</si>
  <si>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</si>
  <si>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</si>
  <si>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</si>
  <si>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</si>
  <si>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L20230703003</t>
  </si>
  <si>
    <t>长沙8移动</t>
  </si>
  <si>
    <t>CDNCSCM3</t>
  </si>
  <si>
    <t>20230701开始计费，保底160G</t>
  </si>
  <si>
    <t>CS8CM</t>
  </si>
  <si>
    <t>补202307，已计提208.95，结算210.28，补1.33</t>
  </si>
  <si>
    <t>补202307，已计提296.52，结算299.75，补3.23</t>
  </si>
  <si>
    <t>中国移动通信集团重庆有限公司</t>
  </si>
  <si>
    <t>重庆移动</t>
  </si>
  <si>
    <t>L20230627003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</si>
  <si>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</si>
  <si>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</si>
  <si>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</si>
  <si>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</si>
  <si>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</si>
  <si>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</si>
  <si>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</si>
  <si>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</si>
  <si>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</si>
  <si>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</si>
  <si>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</si>
  <si>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</si>
  <si>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</si>
  <si>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</si>
  <si>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</si>
  <si>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</si>
  <si>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</si>
  <si>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182315IDC00084</t>
  </si>
  <si>
    <t>补202301，已计提79.02，结算79.47，补0.45</t>
  </si>
  <si>
    <t>补202302，已计提66.33，结算66.8，补0.47</t>
  </si>
  <si>
    <t>补202303，已计提71.28，结算71.67，补0.39</t>
  </si>
  <si>
    <t>补202304，已计提74.43，结算74.86，补0.43</t>
  </si>
  <si>
    <t>补202305，已计提72.41，结算72.83，补0.42</t>
  </si>
  <si>
    <t>补202306，已计提70.62，结算71.11，补0.49</t>
  </si>
  <si>
    <t>中国移动通信集团四川有限公司</t>
  </si>
  <si>
    <t>成都移动</t>
  </si>
  <si>
    <t>L20230423017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</si>
  <si>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</si>
  <si>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</si>
  <si>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</si>
  <si>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</si>
  <si>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</si>
  <si>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需要注意资源变动。（1）需要注意成都3移动20200701扩容100G，20220515成都2移动退租100G，20220531成都3移动退租80G.颗粒度10M，20220531成都2移动退租20G.保底40%。（2）历史备注信息：1.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</si>
  <si>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</si>
  <si>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</si>
  <si>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</si>
  <si>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</si>
  <si>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</si>
  <si>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</si>
  <si>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</si>
  <si>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</si>
  <si>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</si>
  <si>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</si>
  <si>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</si>
  <si>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202308按照保底计提。20221222开始计费。20230113扩容10G开始机房。边缘计算，保底8G</t>
  </si>
  <si>
    <t>CD11CM</t>
  </si>
  <si>
    <t>L20230417003</t>
  </si>
  <si>
    <t>成都三级移动</t>
  </si>
  <si>
    <t>2023/4/6
2023/5/4</t>
  </si>
  <si>
    <t>160G+40G</t>
  </si>
  <si>
    <t>20230406开始计费，20230504扩容40G开始计费。颗粒度10M，保底80G</t>
  </si>
  <si>
    <t>CDMT-移动CDN</t>
  </si>
  <si>
    <t>CDMT-移动CDN=成都三级移动。2023年6月开始看IDC出数</t>
  </si>
  <si>
    <t>CDMT-CM-ST-1</t>
  </si>
  <si>
    <t>CDMT-移动_BGP</t>
  </si>
  <si>
    <t>202308按照保底计提。20230701开始计费，包端口</t>
  </si>
  <si>
    <t>CDMT-CM-BGP-1</t>
  </si>
  <si>
    <t>补202307，已计提61.01，结算61.65，补0.64</t>
  </si>
  <si>
    <t>补202307，已计提99.66，结算100.72，补1.06</t>
  </si>
  <si>
    <t>中国移动通信集团贵州有限公司贵阳分公司</t>
  </si>
  <si>
    <t>贵阳移动</t>
  </si>
  <si>
    <t>L20230423014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</si>
  <si>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</si>
  <si>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</si>
  <si>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</si>
  <si>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</si>
  <si>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</si>
  <si>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补202307，已计提47.24，结算47.39，补0.15</t>
  </si>
  <si>
    <t>中国移动通信集团广东有限公司东莞分公司</t>
  </si>
  <si>
    <t>东莞移动</t>
  </si>
  <si>
    <t>L20230423015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</si>
  <si>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</si>
  <si>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</si>
  <si>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</si>
  <si>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</si>
  <si>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</si>
  <si>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</si>
  <si>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</si>
  <si>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</si>
  <si>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</si>
  <si>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</si>
  <si>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深圳</t>
  </si>
  <si>
    <t>CDNSZCM</t>
  </si>
  <si>
    <t>2019/9/1
2019/12/31
2022/5/31</t>
  </si>
  <si>
    <t>400G-60G-340G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</si>
  <si>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</si>
  <si>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</si>
  <si>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</si>
  <si>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</si>
  <si>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</si>
  <si>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</si>
  <si>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</si>
  <si>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</si>
  <si>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成都旭荣云科技有限公司</t>
  </si>
  <si>
    <t>成都旭荣</t>
  </si>
  <si>
    <t>182215IDC00323</t>
  </si>
  <si>
    <t>成都2联通</t>
  </si>
  <si>
    <t>CACDNCDUN</t>
  </si>
  <si>
    <t>2022/4/1
2023/2/28</t>
  </si>
  <si>
    <t>60G-60G</t>
  </si>
  <si>
    <t>20230301开始换成和顺泰。边缘计算：20220401开始计费，保底30%，18G，1M颗粒度计提
后续待CDN上量后关注交付邮件，应该扩容了40G给CDN使用</t>
  </si>
  <si>
    <t>辽宁</t>
  </si>
  <si>
    <t>陈媛媛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</si>
  <si>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</si>
  <si>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</si>
  <si>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</si>
  <si>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</si>
  <si>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</si>
  <si>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</si>
  <si>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</si>
  <si>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</si>
  <si>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</si>
  <si>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安徽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</si>
  <si>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</si>
  <si>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</si>
  <si>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</si>
  <si>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</si>
  <si>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</si>
  <si>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</si>
  <si>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</si>
  <si>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</si>
  <si>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</si>
  <si>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</si>
  <si>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</si>
  <si>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</si>
  <si>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</si>
  <si>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</si>
  <si>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</si>
  <si>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</si>
  <si>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</si>
  <si>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</si>
  <si>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</si>
  <si>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</si>
  <si>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</si>
  <si>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</si>
  <si>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</si>
  <si>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</si>
  <si>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</si>
  <si>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</si>
  <si>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</si>
  <si>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</si>
  <si>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</si>
  <si>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</si>
  <si>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</si>
  <si>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湖北</t>
  </si>
  <si>
    <t>王超越</t>
  </si>
  <si>
    <t>佰云互联（北京）科技有限公司</t>
  </si>
  <si>
    <t>佰云互联</t>
  </si>
  <si>
    <t>182315IDC00299</t>
  </si>
  <si>
    <t>宜昌</t>
  </si>
  <si>
    <t>宜昌2联通</t>
  </si>
  <si>
    <t>CACDNYICUN</t>
  </si>
  <si>
    <t>40G</t>
  </si>
  <si>
    <t>202308按照均值计提。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</si>
  <si>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</si>
  <si>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</si>
  <si>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182215IDC00618</t>
  </si>
  <si>
    <t>西宁</t>
  </si>
  <si>
    <t>西宁2联通</t>
  </si>
  <si>
    <t>CACDNXNUN</t>
  </si>
  <si>
    <t>2020/7/1
2022/10/1</t>
  </si>
  <si>
    <t>80G+40G</t>
  </si>
  <si>
    <t>202308按照均值计提（1）20200701开始计费80G,20221001开始计费扩容40G，颗粒度100M，保底36G；（2）甲乙双方实际流量以100M为结算单位，不足50M按照0M收取，大于等于50M按100M收取。</t>
  </si>
  <si>
    <t>XN2UN</t>
  </si>
  <si>
    <t>182315IDC00315</t>
  </si>
  <si>
    <t>枣庄</t>
  </si>
  <si>
    <t>枣庄联通</t>
  </si>
  <si>
    <t xml:space="preserve">CACDNZAOZUN </t>
  </si>
  <si>
    <t>2022/5/1
2022/7/31
2022/8/1
2023/6/30
2023/7/31</t>
  </si>
  <si>
    <t>200G-100G+100G-40G-60G</t>
  </si>
  <si>
    <t>202308按照均值计提.20220731BEC退租100G。20220801CDN新增100G；20220501开始计费，颗粒度100M，保底30G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</si>
  <si>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</si>
  <si>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</si>
  <si>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</si>
  <si>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</si>
  <si>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</si>
  <si>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</si>
  <si>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</si>
  <si>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</si>
  <si>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</si>
  <si>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</si>
  <si>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</si>
  <si>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</si>
  <si>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</si>
  <si>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</si>
  <si>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</si>
  <si>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182315IDC00177</t>
  </si>
  <si>
    <t>广州8移动</t>
  </si>
  <si>
    <t>CACDNGZCM5</t>
  </si>
  <si>
    <t>2023/3/1
2023/7/31</t>
  </si>
  <si>
    <t>20230301开始计费。颗粒度100M，保底64G</t>
  </si>
  <si>
    <t>河北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</si>
  <si>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</si>
  <si>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</si>
  <si>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</si>
  <si>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</si>
  <si>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</si>
  <si>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</si>
  <si>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2022/6/30
2022/9/30
2023/6/30</t>
  </si>
  <si>
    <t>100G+40G+160G+140G+200G-100G-260G-60G-20G</t>
  </si>
  <si>
    <t>20230630退租20G。需要注意20230301价格变动。20220201价格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,20220701开始廊坊6电信&amp;廊坊7电信拆分计费（2）甲乙双方实际流量以100M为结算单位，不足50M按照0M收取，大于等于50M按100M收取</t>
  </si>
  <si>
    <t>LF6CT</t>
  </si>
  <si>
    <t>廊坊7电信</t>
  </si>
  <si>
    <t>2021/4/1
2021/10/1
2022/7/1
2022/9/30
2023/6/30</t>
  </si>
  <si>
    <t>160G-160G+200G-200G+260-40-20G</t>
  </si>
  <si>
    <t>20230630退租20G。需要注意20230301价格变动。20220201价格变动。20210401开始计费160G，20211001扩容200G开始计费，20220930退租40G.颗粒度100M，保底108G；20210401合并至廊坊7电信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</si>
  <si>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</si>
  <si>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</si>
  <si>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</si>
  <si>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</si>
  <si>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</si>
  <si>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</si>
  <si>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</si>
  <si>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</si>
  <si>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</si>
  <si>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</si>
  <si>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</t>
  </si>
  <si>
    <t>泰安联通</t>
  </si>
  <si>
    <t>CACDNTAUN</t>
  </si>
  <si>
    <t>2022/11/1
2022/12/31</t>
  </si>
  <si>
    <t>20230101从CDN转给BEC。20221101开始计费，颗粒度100M，保底80G</t>
  </si>
  <si>
    <t>L20230801033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</si>
  <si>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</si>
  <si>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</si>
  <si>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</si>
  <si>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</si>
  <si>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</si>
  <si>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</si>
  <si>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</si>
  <si>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</si>
  <si>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</si>
  <si>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</si>
  <si>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</si>
  <si>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100G-100G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</si>
  <si>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</si>
  <si>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黑龙江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</si>
  <si>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</si>
  <si>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</si>
  <si>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</si>
  <si>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</si>
  <si>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</si>
  <si>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</si>
  <si>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</si>
  <si>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</si>
  <si>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</si>
  <si>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</si>
  <si>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</si>
  <si>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</si>
  <si>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</si>
  <si>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</si>
  <si>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</si>
  <si>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</si>
  <si>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</si>
  <si>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</si>
  <si>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</si>
  <si>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河南</t>
  </si>
  <si>
    <t>182315IDC00300</t>
  </si>
  <si>
    <t>洛阳</t>
  </si>
  <si>
    <t>洛阳4电信</t>
  </si>
  <si>
    <t>CACDNLYCT</t>
  </si>
  <si>
    <t>2020/11/1
2021/2/1
2021/9/1
2022/1/31
2023/7/31</t>
  </si>
  <si>
    <t>100G+200G+100G-100G-100G</t>
  </si>
  <si>
    <t>202305保底率降为35%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</si>
  <si>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</si>
  <si>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</si>
  <si>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</si>
  <si>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202305保底率降为35%。需要注意202206价格变化。需要注意202202开始价格变动。（1）20211001开始计费100G，20220201扩容100G开始计费，颗粒度100M，保底80G</t>
  </si>
  <si>
    <t>LY5CT</t>
  </si>
  <si>
    <t>182315IDC00296</t>
  </si>
  <si>
    <t>郴州电信</t>
  </si>
  <si>
    <t>CACDNCHENZCT</t>
  </si>
  <si>
    <t>300G+100G</t>
  </si>
  <si>
    <t>需要注意拆分计费。需要注意202306价格变动。202305保底率降为25%。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</si>
  <si>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</si>
  <si>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182315IDC00193</t>
  </si>
  <si>
    <t>株洲2联通</t>
  </si>
  <si>
    <t>CACDNZHUZUN</t>
  </si>
  <si>
    <t>2022/2/1
2023/7/31</t>
  </si>
  <si>
    <t>440G-140G</t>
  </si>
  <si>
    <t>需要注意拆分计费。20220201开始计费，颗粒度100M，保底132G</t>
  </si>
  <si>
    <t>ZHUZ2UN</t>
  </si>
  <si>
    <t>182315IDC00301</t>
  </si>
  <si>
    <t>洛阳2联通</t>
  </si>
  <si>
    <t>CACDNLYUN</t>
  </si>
  <si>
    <t>2022/6/1
2023/6/30</t>
  </si>
  <si>
    <t>300G-100G</t>
  </si>
  <si>
    <t>需要注意202306价格变动。20230630退租100G。20220601开始计费，颗粒度100M，保底90G</t>
  </si>
  <si>
    <t>LY2UN</t>
  </si>
  <si>
    <t>182315IDC00368</t>
  </si>
  <si>
    <t>株洲3联通</t>
  </si>
  <si>
    <t>20220802开始计费，颗粒度100M，保底60G</t>
  </si>
  <si>
    <t>ZHUZ3UN</t>
  </si>
  <si>
    <t>182315IDC00289</t>
  </si>
  <si>
    <t>重庆5移动</t>
  </si>
  <si>
    <t>CACDNCQCM5</t>
  </si>
  <si>
    <t>2023/3/2
2023/3/31</t>
  </si>
  <si>
    <t>80G-80G</t>
  </si>
  <si>
    <t>20230302开始计费。颗粒度100M，包端口，保底80G</t>
  </si>
  <si>
    <t>L20230803001</t>
  </si>
  <si>
    <t>东莞4移动</t>
  </si>
  <si>
    <t>CACDNDGCM2</t>
  </si>
  <si>
    <t>200G
+20G</t>
  </si>
  <si>
    <t>20230801从唯云转图纪。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</si>
  <si>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</si>
  <si>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厦门市唯云网络科技有限公司</t>
  </si>
  <si>
    <t>厦门唯云</t>
  </si>
  <si>
    <t>182215IDC00643</t>
  </si>
  <si>
    <t>2019/1/28 
2020/3/1
2023/7/31</t>
  </si>
  <si>
    <t>182315IDC00322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</si>
  <si>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</si>
  <si>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</si>
  <si>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</si>
  <si>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</si>
  <si>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</si>
  <si>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</si>
  <si>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</si>
  <si>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</si>
  <si>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</si>
  <si>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
2023/7/31</t>
  </si>
  <si>
    <t>200G+60G-120G</t>
  </si>
  <si>
    <t>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</si>
  <si>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</si>
  <si>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</si>
  <si>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</si>
  <si>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
2023/7/31</t>
  </si>
  <si>
    <t>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</si>
  <si>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</si>
  <si>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</si>
  <si>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182315IDC00321</t>
  </si>
  <si>
    <t>吉安</t>
  </si>
  <si>
    <t>吉安电信</t>
  </si>
  <si>
    <t>CACDNJACT</t>
  </si>
  <si>
    <t>2020/6/1
2020/12/1</t>
  </si>
  <si>
    <t>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</si>
  <si>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</si>
  <si>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</si>
  <si>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</si>
  <si>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</si>
  <si>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</si>
  <si>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</si>
  <si>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</si>
  <si>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</si>
  <si>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</si>
  <si>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</si>
  <si>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</si>
  <si>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</si>
  <si>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</si>
  <si>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</si>
  <si>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绍兴电信</t>
  </si>
  <si>
    <t>CACDNSHAOXCT</t>
  </si>
  <si>
    <t>2021/10/1
2023/5/31</t>
  </si>
  <si>
    <t>（1）20211001开始计费，颗粒度100M，保底200G。包端口；（2）甲乙双方实际流量以100M为结算单位，不足50M按照0M收取，大于等于50M按100M收取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</si>
  <si>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</si>
  <si>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</si>
  <si>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</si>
  <si>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</si>
  <si>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</si>
  <si>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</si>
  <si>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</si>
  <si>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</si>
  <si>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</si>
  <si>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</si>
  <si>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</si>
  <si>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</si>
  <si>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</si>
  <si>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</si>
  <si>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182315IDC00320</t>
  </si>
  <si>
    <t>常州</t>
  </si>
  <si>
    <t>常州3电信</t>
  </si>
  <si>
    <t>CACDNCZCT</t>
  </si>
  <si>
    <t>202305保底率降为25%。20220901开始计费，颗粒度100M，保底30G</t>
  </si>
  <si>
    <t>CZ3CT</t>
  </si>
  <si>
    <t>云南</t>
  </si>
  <si>
    <t>182315IDC00007</t>
  </si>
  <si>
    <t>昆明</t>
  </si>
  <si>
    <t>昆明7电信</t>
  </si>
  <si>
    <t>CACDNKMCT</t>
  </si>
  <si>
    <t>2022/11/1
2023/6/30</t>
  </si>
  <si>
    <t>20230630退租。20221101开始计费，颗粒度100M，保底60G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</si>
  <si>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</si>
  <si>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</si>
  <si>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</si>
  <si>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</si>
  <si>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</si>
  <si>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</si>
  <si>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</si>
  <si>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</si>
  <si>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</si>
  <si>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</si>
  <si>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</si>
  <si>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</si>
  <si>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</si>
  <si>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</si>
  <si>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</si>
  <si>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</si>
  <si>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</si>
  <si>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</si>
  <si>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</si>
  <si>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</si>
  <si>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</si>
  <si>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</si>
  <si>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</si>
  <si>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L20230706009</t>
  </si>
  <si>
    <t>东莞6移动</t>
  </si>
  <si>
    <t>CACDNDGCM3</t>
  </si>
  <si>
    <t>注意202308价格变动。需要注意202205价格变动（1）20200101开始计费，颗粒度100M，保底80G；（2）甲乙双方实际流量以100M为结算单位，不足50M按0M收取，大于等于50M按100M收取。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</si>
  <si>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</si>
  <si>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</si>
  <si>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</si>
  <si>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</si>
  <si>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</si>
  <si>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</si>
  <si>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</si>
  <si>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</si>
  <si>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</si>
  <si>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</si>
  <si>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</si>
  <si>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</si>
  <si>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</si>
  <si>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</si>
  <si>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</si>
  <si>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</si>
  <si>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</si>
  <si>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</si>
  <si>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</si>
  <si>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</si>
  <si>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</si>
  <si>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</si>
  <si>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</si>
  <si>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</si>
  <si>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</si>
  <si>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</si>
  <si>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</si>
  <si>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</si>
  <si>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</si>
  <si>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</si>
  <si>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</si>
  <si>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</si>
  <si>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</si>
  <si>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</si>
  <si>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</si>
  <si>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</si>
  <si>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</si>
  <si>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</si>
  <si>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</si>
  <si>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</si>
  <si>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</si>
  <si>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</si>
  <si>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</si>
  <si>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</si>
  <si>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</si>
  <si>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</si>
  <si>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</si>
  <si>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</si>
  <si>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</si>
  <si>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</si>
  <si>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</si>
  <si>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</si>
  <si>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</si>
  <si>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</si>
  <si>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</si>
  <si>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</si>
  <si>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</si>
  <si>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</si>
  <si>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</si>
  <si>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</si>
  <si>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</si>
  <si>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</si>
  <si>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</si>
  <si>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</si>
  <si>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</si>
  <si>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</si>
  <si>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</si>
  <si>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</si>
  <si>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</si>
  <si>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</si>
  <si>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</si>
  <si>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</si>
  <si>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</si>
  <si>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</si>
  <si>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</t>
  </si>
  <si>
    <t>哈尔滨4电信</t>
  </si>
  <si>
    <t>CACDNHEBCT</t>
  </si>
  <si>
    <t>2019/11/5
2020/11/1
2023/5/31
2023/6/30</t>
  </si>
  <si>
    <t>200G+40G-120G-20G</t>
  </si>
  <si>
    <t>20230630退租20G。20230601拆分120G到哈尔滨5电信。202303开始价格变动。202103价格变动（1）20191105存量200G开始计费，2020年11月1日扩容40G开始计费，颗粒度100M，保底36G；（2）甲乙双方实际流量以100M为结算单位，不足100M按100M收取。</t>
  </si>
  <si>
    <t>HRB4CT</t>
  </si>
  <si>
    <t>哈尔滨5电信</t>
  </si>
  <si>
    <t>2023/6/1
2023/6/30</t>
  </si>
  <si>
    <t>120G-20G</t>
  </si>
  <si>
    <t>20230630退租20G。颗粒度100M，20230601开始从哈尔滨4电信拆分120G给哈尔滨5电信，保底36G</t>
  </si>
  <si>
    <t>HRB5CT</t>
  </si>
  <si>
    <t>杭州天舰信息技术股份有限公司</t>
  </si>
  <si>
    <t>杭州天舰</t>
  </si>
  <si>
    <t>182315IDC00311</t>
  </si>
  <si>
    <t>丽水</t>
  </si>
  <si>
    <t>丽水电信</t>
  </si>
  <si>
    <t>CACDNLSCT</t>
  </si>
  <si>
    <t>80G</t>
  </si>
  <si>
    <t>202304开始价格变动。202209价格变动（1）颗粒度100M，保底32G；20230501开始保底36G （2）甲乙双方实际流量以100M为结算单位，不足50M按照0M收取，大于等于50M按100M收取。</t>
  </si>
  <si>
    <t>LSCT</t>
  </si>
  <si>
    <t>182315IDC00349</t>
  </si>
  <si>
    <t>台州电信</t>
  </si>
  <si>
    <t>CACDNTZCT</t>
  </si>
  <si>
    <t>202304开始价格变动。202209价格变动（1）颗粒度100M，保底32G；20230501开始保底36G （2）甲乙双方实际流量以100M为结算单位，不足50M按照0M收取，大于等于50M按100M收取</t>
  </si>
  <si>
    <t>TZCT</t>
  </si>
  <si>
    <t>182315IDC00248</t>
  </si>
  <si>
    <t>丽水3移动</t>
  </si>
  <si>
    <t>CACDNLSCM2</t>
  </si>
  <si>
    <t>2021/4/1
2021/5/1</t>
  </si>
  <si>
    <t>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</si>
  <si>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</si>
  <si>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</si>
  <si>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</si>
  <si>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L20230504006</t>
  </si>
  <si>
    <t>CACDNHUZCT</t>
  </si>
  <si>
    <t>注意资源变动。202306保底率降为25%。需要注意202206价格变动（1）20200401开始计费，颗粒度100M，保底30G；（2）甲乙双方实际流量以100M为结算单位，不足50M按照0M收取，大于等于50M按100M收取。</t>
  </si>
  <si>
    <t>HUZCT</t>
  </si>
  <si>
    <t>L20230706007</t>
  </si>
  <si>
    <t>CACDNTZCM</t>
  </si>
  <si>
    <t>注意20230901保底变动。需要注意202102价格为5500（1）20200401开始计费，颗粒度100M，保底60G；（2）甲乙双方实际流量以100M为结算单位，不足50M按照0M收取，大于等于50M按100M收取。</t>
  </si>
  <si>
    <t>TZCM</t>
  </si>
  <si>
    <t>L20230726004</t>
  </si>
  <si>
    <t>厦门三级电信</t>
  </si>
  <si>
    <t>CACDNXMIX</t>
  </si>
  <si>
    <t>20230801开始计费，颗粒度100M，保底3G</t>
  </si>
  <si>
    <t>XMIXCT</t>
  </si>
  <si>
    <t>厦门三级联通</t>
  </si>
  <si>
    <t>XMIXUN</t>
  </si>
  <si>
    <t>厦门三级移动</t>
  </si>
  <si>
    <t>20230801开始计费，颗粒度100M,保底4G</t>
  </si>
  <si>
    <t>XMIXCM</t>
  </si>
  <si>
    <t>L20230726005</t>
  </si>
  <si>
    <t>厦门3移动</t>
  </si>
  <si>
    <t>CACDNXMCM</t>
  </si>
  <si>
    <t>20230801开始计费，颗粒度100M，保底80G</t>
  </si>
  <si>
    <t>XM3CM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</si>
  <si>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</si>
  <si>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</si>
  <si>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</si>
  <si>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</si>
  <si>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</si>
  <si>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</si>
  <si>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</si>
  <si>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</si>
  <si>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182315IDC00330</t>
  </si>
  <si>
    <t>天津4联通</t>
  </si>
  <si>
    <t>CACDNTJUN</t>
  </si>
  <si>
    <t>2020/11/3
2021/1/1
2023/7/31</t>
  </si>
  <si>
    <t>100G+100G-200G</t>
  </si>
  <si>
    <t>需要注意202306价格变动（1）存量100G20201103开始计费，扩容100G2021010开始计费，颗粒度100M，保底80G；（2）甲乙双方实际流量以100M为结算单位，不足50M按照0M收取，大于等于50M按100M收取。</t>
  </si>
  <si>
    <t>182315IDC00351</t>
  </si>
  <si>
    <t>宁波</t>
  </si>
  <si>
    <t>宁波4移动</t>
  </si>
  <si>
    <t>CACDNNBCM2</t>
  </si>
  <si>
    <t>需要注意202306价格变动。202111对账需要注意故障是否扣减；（1）20210601开始计费，颗粒度100M，保底100G；（2）甲乙双方实际流量以100M为结算单位，不足50M按照0M收取，大于等于50M按100M收取</t>
  </si>
  <si>
    <t>NB4CM</t>
  </si>
  <si>
    <t>182315IDC00328</t>
  </si>
  <si>
    <t>金华3电信</t>
  </si>
  <si>
    <t>CACDNJHCT3</t>
  </si>
  <si>
    <t>注意202307价格变动。20221001开始计费。颗粒度100M，保底90G</t>
  </si>
  <si>
    <t>JH3CT</t>
  </si>
  <si>
    <t>L20230706004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</si>
  <si>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</si>
  <si>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</si>
  <si>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</si>
  <si>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</si>
  <si>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</si>
  <si>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</si>
  <si>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L20230501001</t>
  </si>
  <si>
    <t>长沙3电信</t>
  </si>
  <si>
    <t>CACDNCSCT2</t>
  </si>
  <si>
    <t>202305保底率降为20%，202306保底率为25%。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</si>
  <si>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</si>
  <si>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内蒙古</t>
  </si>
  <si>
    <t>182315IDC00236</t>
  </si>
  <si>
    <t>包头电信</t>
  </si>
  <si>
    <t>CACDNBAOTCT</t>
  </si>
  <si>
    <t>60G</t>
  </si>
  <si>
    <t>202308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</si>
  <si>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</si>
  <si>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</si>
  <si>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</si>
  <si>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</si>
  <si>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</si>
  <si>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</si>
  <si>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</si>
  <si>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L20230711018</t>
  </si>
  <si>
    <t>长沙4移动</t>
  </si>
  <si>
    <t>CACDNCSCM</t>
  </si>
  <si>
    <t>2021/2/7
2021/10/1
2021/10/1
2021/12/1
2022/2/1
2022/2/1
2023/2/28
2023/6/30
2023/6/30
2023/8/31
2023/8/31</t>
  </si>
  <si>
    <t>200G+160G+200G+200G+120G+200G-200G-200G-200G-220G-20G</t>
  </si>
  <si>
    <t>20230630长沙4移动退租200G。20230630长沙5移动退租。20230228退租长沙7移动200G.20230831长沙6移动退租220G20230831长沙4移动退租20G。。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</si>
  <si>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</si>
  <si>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</si>
  <si>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</si>
  <si>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</si>
  <si>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</si>
  <si>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</si>
  <si>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</si>
  <si>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</si>
  <si>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</si>
  <si>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</si>
  <si>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</si>
  <si>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</si>
  <si>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</si>
  <si>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L20230308006</t>
  </si>
  <si>
    <t>衡阳电信</t>
  </si>
  <si>
    <t>CACDNHENGYCT</t>
  </si>
  <si>
    <t>2018/7/18
2019/9/1
2020/4/30
2023/6/30</t>
  </si>
  <si>
    <t>80G+
180G-60G-200G</t>
  </si>
  <si>
    <t>202305保底率降为20%。2个月一付。需要注意202206价格变动。202111对账需要注意故障是否扣减（1）20200501开始价格为7083.33；（2）颗粒度100M，保底60G；（3）需要注意20200430退60G；（4）.扩容180G新合同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</si>
  <si>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衡阳2电信</t>
  </si>
  <si>
    <t>2020/6/1
2023/6/30</t>
  </si>
  <si>
    <t>202305保底率降为20%。需要注意202206价格变动。（1）20200601开始计费，颗粒度100M，保底18G，（2）甲乙双方实际流量以100M为结算单位，不足50M按照0M收取，大于等于50M按100M收取。</t>
  </si>
  <si>
    <t>吉林</t>
  </si>
  <si>
    <t>吉林省高升科技有限公司</t>
  </si>
  <si>
    <t>高升科技</t>
  </si>
  <si>
    <t>182315IDC00356</t>
  </si>
  <si>
    <t>长春</t>
  </si>
  <si>
    <t>长春3联通</t>
  </si>
  <si>
    <t>CACDNCCUN</t>
  </si>
  <si>
    <t>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</si>
  <si>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</si>
  <si>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</si>
  <si>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</si>
  <si>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</si>
  <si>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</si>
  <si>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</si>
  <si>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2020/8/1
2023/4/30</t>
  </si>
  <si>
    <t>202306关停。需要注意后期资源变动（1）20200801开始计费，颗粒度100M，保底50G；（2）甲乙双方实际流量以100M为结算单位，不足50M按照0M收取，大于等于50M按100M收取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</si>
  <si>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</si>
  <si>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</si>
  <si>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</si>
  <si>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</si>
  <si>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</si>
  <si>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182315IDC00292</t>
  </si>
  <si>
    <t>沈阳</t>
  </si>
  <si>
    <t>沈阳3电信</t>
  </si>
  <si>
    <t>CACDNSYCT</t>
  </si>
  <si>
    <t>需要注意202306价格变动。202111对账需要注意故障是否扣减；20210601开始计费，颗粒度100M，保底18G</t>
  </si>
  <si>
    <t>SY3CT</t>
  </si>
  <si>
    <t>182315IDC00293</t>
  </si>
  <si>
    <t>天津4移动</t>
  </si>
  <si>
    <t>CACDNTJCM2</t>
  </si>
  <si>
    <t>2021/6/10
2022/7/31</t>
  </si>
  <si>
    <t>200G-160G</t>
  </si>
  <si>
    <t>202308按照保底计提。20220731退租160G。需要注意202208价格变动（1）20210610开始计费，颗粒度100M，保底100G；20220801开始为包端口（2）甲乙双方实际流量以100M为结算单位，不足50M按照0M收取，大于等于50M按100M收取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</si>
  <si>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</si>
  <si>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</si>
  <si>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</si>
  <si>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</si>
  <si>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厦门3电信</t>
  </si>
  <si>
    <t>CACDNXMCT2</t>
  </si>
  <si>
    <t>2021/2/1
2021/5/1
2021/12/1
2022/6/30
2023/4/30
2023/5/31</t>
  </si>
  <si>
    <t>200G+120G+60G-100G-80G-190G</t>
  </si>
  <si>
    <t>20230531退租190G。20230430退租80G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</si>
  <si>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</si>
  <si>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</si>
  <si>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</t>
  </si>
  <si>
    <t>郑州6电信</t>
  </si>
  <si>
    <t>CACDNZZCT</t>
  </si>
  <si>
    <t>2021/11/1
2023/1/1</t>
  </si>
  <si>
    <t>100G+160G</t>
  </si>
  <si>
    <t>需注意202206价格变化。20211101开始计费100G，20230101开始计费160G.颗粒度100M，保底60G</t>
  </si>
  <si>
    <t>ZZ6CT</t>
  </si>
  <si>
    <t>182315IDC00353</t>
  </si>
  <si>
    <t>芜湖</t>
  </si>
  <si>
    <t>芜湖联通</t>
  </si>
  <si>
    <t>CACDNWUHUN</t>
  </si>
  <si>
    <t>100G+60G</t>
  </si>
  <si>
    <t>需要注意后期扩容并降价。需要注意202206价格变化（1）20211001开始计费100G，20220201开始计费60G，颗粒度100M，保底48G；（2）甲乙双方实际流量以100M为结算单位，不足50M按照0M收取，大于等于50M按100M收取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</si>
  <si>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</si>
  <si>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182315IDC00288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</si>
  <si>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</si>
  <si>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</si>
  <si>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</si>
  <si>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</si>
  <si>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</si>
  <si>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</si>
  <si>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182315IDC00327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</si>
  <si>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</si>
  <si>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</si>
  <si>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</si>
  <si>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</si>
  <si>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</si>
  <si>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</si>
  <si>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</si>
  <si>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182315IDC00314</t>
  </si>
  <si>
    <t>济南2移动二级</t>
  </si>
  <si>
    <t>CACDNJNCM</t>
  </si>
  <si>
    <t>2019/1/26
2023/8/31</t>
  </si>
  <si>
    <t>202308按照均值计提。需要注意202309价格变动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</si>
  <si>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</si>
  <si>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</si>
  <si>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</si>
  <si>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</si>
  <si>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</si>
  <si>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</si>
  <si>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</si>
  <si>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</si>
  <si>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</si>
  <si>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</si>
  <si>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202308按照均值计提。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</si>
  <si>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</si>
  <si>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</si>
  <si>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</si>
  <si>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202308按照均值计提。需要注意202109价格变动5500（1）20200901开始200G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</si>
  <si>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</si>
  <si>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</si>
  <si>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</si>
  <si>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</si>
  <si>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</si>
  <si>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182315IDC00413</t>
  </si>
  <si>
    <t>青岛滨海</t>
  </si>
  <si>
    <t>QDBH-移动</t>
  </si>
  <si>
    <t>202308按照保底计提。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</si>
  <si>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</si>
  <si>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</si>
  <si>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</si>
  <si>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+10G-70G-100G+100G-200G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</si>
  <si>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</si>
  <si>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</si>
  <si>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</si>
  <si>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</si>
  <si>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</si>
  <si>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</si>
  <si>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</si>
  <si>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182315IDC00277</t>
  </si>
  <si>
    <t>呼和浩特</t>
  </si>
  <si>
    <t>呼和浩特5移动</t>
  </si>
  <si>
    <t>CACDNHHHTCM</t>
  </si>
  <si>
    <t>2020/1/1
2020/5/1
2023/8/31</t>
  </si>
  <si>
    <t>160G+60G-220G</t>
  </si>
  <si>
    <t>202308按照均值计提。202306-202307关停（1）颗粒度100M，保底66G；（2）20200101存量160G开始计费，20200501扩容60G开始计费；（3）甲乙双方实际流量以100M为结算单位，不足50M按照0M收取，大于等于50M按100M收取。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</si>
  <si>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</si>
  <si>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</si>
  <si>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</si>
  <si>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</si>
  <si>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</si>
  <si>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</si>
  <si>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</si>
  <si>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</si>
  <si>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</si>
  <si>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广西</t>
  </si>
  <si>
    <t>182115IDC00233</t>
  </si>
  <si>
    <t>南宁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</si>
  <si>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</si>
  <si>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</si>
  <si>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</si>
  <si>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</si>
  <si>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</si>
  <si>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</si>
  <si>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</si>
  <si>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</si>
  <si>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</si>
  <si>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</si>
  <si>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</si>
  <si>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202308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</si>
  <si>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</si>
  <si>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</si>
  <si>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</si>
  <si>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</si>
  <si>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
2023/7/31</t>
  </si>
  <si>
    <t>200G+200G-400G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</si>
  <si>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</si>
  <si>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</si>
  <si>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</si>
  <si>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182315IDC00400</t>
  </si>
  <si>
    <t>徐州</t>
  </si>
  <si>
    <t>CACDNXZCM</t>
  </si>
  <si>
    <t>202308按照保底计提。（1）20210601开始计费，颗粒度100M，包端口，保底160G；（2）甲乙双方实际流量以100M为结算单位，不足50M按照0M收取，大于等于50M按100M收取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</si>
  <si>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</si>
  <si>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</si>
  <si>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</si>
  <si>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</si>
  <si>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202308按照均值计提。（1）20220130开始计费，颗粒度100M，保底60G；（2）甲乙双方实际流量以100M为结算单位，不足50M按照0M收取，大于等于50M按100M收取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</si>
  <si>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</si>
  <si>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</si>
  <si>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</si>
  <si>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</si>
  <si>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2022/1/30
2023/6/30</t>
  </si>
  <si>
    <t>20230630退租（1）20220130开始计费，颗粒度100M，保底60G；（2）甲乙双方实际流量以100M为结算单位，不足50M按照0M收取，大于等于50M按100M收取。</t>
  </si>
  <si>
    <t>L20230801034</t>
  </si>
  <si>
    <t>潍坊联通</t>
  </si>
  <si>
    <t>CACDNWFUN</t>
  </si>
  <si>
    <t>2022/2/1
2022/3/31
2022/8/31</t>
  </si>
  <si>
    <t>400G-100G-150G</t>
  </si>
  <si>
    <t>202308按照均值计提。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</si>
  <si>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</si>
  <si>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</si>
  <si>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202304开始价格变动。WFUN拆出150G给WF2UN。颗粒度100M，保底45G</t>
  </si>
  <si>
    <t>WF2UN</t>
  </si>
  <si>
    <t>182215IDC00651</t>
  </si>
  <si>
    <t>威海</t>
  </si>
  <si>
    <t>CACDNWEIHCM</t>
  </si>
  <si>
    <t>202308按照保底计提。20221001开始计费。颗粒度100M，包端口，保底100G</t>
  </si>
  <si>
    <t>WEIHCM</t>
  </si>
  <si>
    <t>182315IDC00418</t>
  </si>
  <si>
    <t>威海3移动</t>
  </si>
  <si>
    <t>20230702开始计费，颗粒度100M，保底80G</t>
  </si>
  <si>
    <t>WEIH3CM</t>
  </si>
  <si>
    <t>L20230801031</t>
  </si>
  <si>
    <t xml:space="preserve">淄博移动 </t>
  </si>
  <si>
    <t xml:space="preserve">CACDNZBCM </t>
  </si>
  <si>
    <t>ZBCM</t>
  </si>
  <si>
    <t>淄博2移动</t>
  </si>
  <si>
    <t>ZB2CM</t>
  </si>
  <si>
    <t>补202306，已计提61.3，结算61.5，补0.2</t>
  </si>
  <si>
    <t>南通云数网络科技有限公司</t>
  </si>
  <si>
    <t>南通云数</t>
  </si>
  <si>
    <t>182315IDC00054</t>
  </si>
  <si>
    <t>常州移动2</t>
  </si>
  <si>
    <t>CACDNCZCM</t>
  </si>
  <si>
    <t>2018/7/25
2023/7/31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</si>
  <si>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</si>
  <si>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</si>
  <si>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</si>
  <si>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</si>
  <si>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</si>
  <si>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</si>
  <si>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</si>
  <si>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</si>
  <si>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</si>
  <si>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
2023/6/30</t>
  </si>
  <si>
    <t>80G+80G-160G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</si>
  <si>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</si>
  <si>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</si>
  <si>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</si>
  <si>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</si>
  <si>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</si>
  <si>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</si>
  <si>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</si>
  <si>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</si>
  <si>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182315IDC00361</t>
  </si>
  <si>
    <t>青岛5电信</t>
  </si>
  <si>
    <t>CACDNQDCT</t>
  </si>
  <si>
    <t>2020/9/8
2021/8/2
2022/5/30
2023/6/1</t>
  </si>
  <si>
    <t>160G+200G-200G+40G</t>
  </si>
  <si>
    <t>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。20230701扩容40G开始计费。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</si>
  <si>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</si>
  <si>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</si>
  <si>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</si>
  <si>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</si>
  <si>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</si>
  <si>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</si>
  <si>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182315IDC00332</t>
  </si>
  <si>
    <t>烟台</t>
  </si>
  <si>
    <t>烟台电信</t>
  </si>
  <si>
    <t>CACDNYTCT</t>
  </si>
  <si>
    <t>2021/10/1
2023/6/30</t>
  </si>
  <si>
    <t>20230630退租。需要注意202207价格变动（1）20211001开始计费，颗粒度100M，保底30G；（2）甲乙双方实际流量以100M为结算单位，不足50M按照0M收取，大于等于50M按100M收取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</si>
  <si>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</si>
  <si>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</si>
  <si>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</si>
  <si>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</si>
  <si>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</si>
  <si>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</si>
  <si>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QD9UN</t>
  </si>
  <si>
    <t>L20230704002</t>
  </si>
  <si>
    <t>青岛5联通</t>
  </si>
  <si>
    <t>CDNQD</t>
  </si>
  <si>
    <t>20230701开始计费，颗粒度100M，保底60G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</si>
  <si>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</si>
  <si>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</si>
  <si>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</si>
  <si>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</si>
  <si>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</si>
  <si>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</si>
  <si>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</si>
  <si>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</si>
  <si>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</si>
  <si>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</si>
  <si>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</si>
  <si>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202308按照保底计提。20220305开始计费，颗粒度100M，保底100G，包端口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</si>
  <si>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</si>
  <si>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</si>
  <si>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</si>
  <si>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</si>
  <si>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</si>
  <si>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</si>
  <si>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</si>
  <si>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</si>
  <si>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</si>
  <si>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</si>
  <si>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</si>
  <si>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</si>
  <si>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</si>
  <si>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</si>
  <si>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</si>
  <si>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</si>
  <si>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2021/2/1
2023/5/31</t>
  </si>
  <si>
    <t>20230531退租（1）20210201开始计费，颗粒度100M，保底30G；（2）甲乙双方实际流量以100M为结算单位，不足50M按照0M收取，大于等于50M按100M收取</t>
  </si>
  <si>
    <t>L20230725013</t>
  </si>
  <si>
    <t>南通2电信</t>
  </si>
  <si>
    <t>CACDNNTCT2</t>
  </si>
  <si>
    <t>2021/2/2
2023/6/30</t>
  </si>
  <si>
    <t>200G-40G</t>
  </si>
  <si>
    <t>（1）20210201开始计费，颗粒度100M，保底50G，平均流量;（2）甲乙双方实际流量以100M为结算单位，不足50M按照0M收取，大于等于50M按100M收取</t>
  </si>
  <si>
    <t>NT2CT</t>
  </si>
  <si>
    <t>甘肃</t>
  </si>
  <si>
    <t>182315IDC00313</t>
  </si>
  <si>
    <t>兰州</t>
  </si>
  <si>
    <t>兰州6电信</t>
  </si>
  <si>
    <t>CACDNLZCT</t>
  </si>
  <si>
    <t>202308按照均值计提。需要注意202307价格变动。（1）20210902开始计费，颗粒度100M，保底30G</t>
  </si>
  <si>
    <t>LZ6CT</t>
  </si>
  <si>
    <t>182315IDC00137</t>
  </si>
  <si>
    <t>黄石</t>
  </si>
  <si>
    <t>黄石6电信</t>
  </si>
  <si>
    <t>CACDNHSCT</t>
  </si>
  <si>
    <t>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</si>
  <si>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</si>
  <si>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</si>
  <si>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</si>
  <si>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</si>
  <si>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</si>
  <si>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</si>
  <si>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</si>
  <si>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</si>
  <si>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</si>
  <si>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</si>
  <si>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</si>
  <si>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</si>
  <si>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</si>
  <si>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</si>
  <si>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</si>
  <si>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</si>
  <si>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</si>
  <si>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</si>
  <si>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L20230423008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</si>
  <si>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</si>
  <si>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</si>
  <si>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</si>
  <si>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</si>
  <si>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</si>
  <si>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</si>
  <si>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</si>
  <si>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</si>
  <si>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</si>
  <si>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（1）边缘计算,20210901开始计费200G，20221130退租100G.颗粒度100M，保底80G；（2）甲乙双方实际流量以100M为结算单位，不足50M按照0M收取，大于等于50M按100M收取</t>
  </si>
  <si>
    <t>182215IDC00186</t>
  </si>
  <si>
    <t>乌鲁木齐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</si>
  <si>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</si>
  <si>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</si>
  <si>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</si>
  <si>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</si>
  <si>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</si>
  <si>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</si>
  <si>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</si>
  <si>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182315IDC00259</t>
  </si>
  <si>
    <t>昆明2联通</t>
  </si>
  <si>
    <t>CACDNKMUN</t>
  </si>
  <si>
    <t>202304价格变动（1）需要注意20200401开始价格为5416.67；（2）颗粒度100M，保底16G；（3）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</si>
  <si>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</si>
  <si>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</si>
  <si>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</si>
  <si>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</si>
  <si>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</si>
  <si>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</si>
  <si>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</si>
  <si>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</si>
  <si>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</si>
  <si>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</si>
  <si>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</si>
  <si>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</si>
  <si>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</si>
  <si>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</si>
  <si>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</si>
  <si>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</si>
  <si>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L20230706002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</si>
  <si>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</si>
  <si>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</si>
  <si>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</si>
  <si>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</si>
  <si>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182315IDC00166</t>
  </si>
  <si>
    <t>温州电信二级</t>
  </si>
  <si>
    <t>CACDNWZCT</t>
  </si>
  <si>
    <t>2019/7/23
2020/12/1
2022/7/1
2023/7/31</t>
  </si>
  <si>
    <t>80G+40G+200G-120G</t>
  </si>
  <si>
    <t>202305保底降为25%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</si>
  <si>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</si>
  <si>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L20230706003</t>
  </si>
  <si>
    <t>温州3移动</t>
  </si>
  <si>
    <t>CACDNWZCM</t>
  </si>
  <si>
    <t>202308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</si>
  <si>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</si>
  <si>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</si>
  <si>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</si>
  <si>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</si>
  <si>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</si>
  <si>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</si>
  <si>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</si>
  <si>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</si>
  <si>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</si>
  <si>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</si>
  <si>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</si>
  <si>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</si>
  <si>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</si>
  <si>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</si>
  <si>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</si>
  <si>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</si>
  <si>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</si>
  <si>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</si>
  <si>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</si>
  <si>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</si>
  <si>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</si>
  <si>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</si>
  <si>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</si>
  <si>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</si>
  <si>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</si>
  <si>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</si>
  <si>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</si>
  <si>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</si>
  <si>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</si>
  <si>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2021/11/2
2023/4/30</t>
  </si>
  <si>
    <t>200G-180G</t>
  </si>
  <si>
    <t>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</si>
  <si>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</si>
  <si>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</si>
  <si>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</si>
  <si>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</si>
  <si>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</si>
  <si>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</si>
  <si>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广东华云世纪科技有限公司</t>
  </si>
  <si>
    <t>华云世纪</t>
  </si>
  <si>
    <t>182315IDC00329</t>
  </si>
  <si>
    <t>福州5移动</t>
  </si>
  <si>
    <t>CACDNFZCM2</t>
  </si>
  <si>
    <t>2021/5/1
2022/1/30
2022/9/1</t>
  </si>
  <si>
    <t>200G+100G+100G</t>
  </si>
  <si>
    <t>需要注意拆分计费。需要注意202307价格变动。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</si>
  <si>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</si>
  <si>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L20230712001</t>
  </si>
  <si>
    <t>南昌</t>
  </si>
  <si>
    <t>南昌6移动</t>
  </si>
  <si>
    <t>CACDNNCCM</t>
  </si>
  <si>
    <t>2021/11/1
2021/12/1
2023/4/30</t>
  </si>
  <si>
    <t>100G+100G-140G</t>
  </si>
  <si>
    <t>需要注意资源变动&amp;保底（1）20211101开始计费100G，20211201开始计费100G，20230430退租140G。颗粒度100M，保底80G；（2）甲乙双方实际流量以100M为结算单位，不足50M按照0M收取，大于等于50M按100M收取</t>
  </si>
  <si>
    <t>NC6CM</t>
  </si>
  <si>
    <t>L20230706008</t>
  </si>
  <si>
    <t>中山5移动</t>
  </si>
  <si>
    <t>CACDNZSCM5</t>
  </si>
  <si>
    <t>2022/1/30
2022/9/1
2023/5/31</t>
  </si>
  <si>
    <t>400G+100G-200G</t>
  </si>
  <si>
    <t>202305资源变化。20220130开始计费，20220901开始计费扩容100G颗粒度100M，保底200G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</si>
  <si>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</si>
  <si>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</si>
  <si>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</si>
  <si>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</si>
  <si>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</si>
  <si>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</si>
  <si>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</si>
  <si>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</si>
  <si>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</si>
  <si>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202308按照均值计提。20230101开始计费。颗粒度100M，保底40G</t>
  </si>
  <si>
    <t>BHCM</t>
  </si>
  <si>
    <t>L20230522003</t>
  </si>
  <si>
    <t>南昌7移动</t>
  </si>
  <si>
    <t>CACDNNCCM2</t>
  </si>
  <si>
    <t>颗粒度100M，保底56G</t>
  </si>
  <si>
    <t>NC7CM</t>
  </si>
  <si>
    <t>南昌首页科技股份有限公司</t>
  </si>
  <si>
    <t>南昌首页</t>
  </si>
  <si>
    <t>L20230615001</t>
  </si>
  <si>
    <t>襄樊</t>
  </si>
  <si>
    <t>襄樊电信</t>
  </si>
  <si>
    <t>CACDNXIANGFCT</t>
  </si>
  <si>
    <t>2021/5/1
2021/9/1
2021/11/1
2023/6/30</t>
  </si>
  <si>
    <t>160G+100G+100G-60G</t>
  </si>
  <si>
    <t>需要注意拆分计费。需要注意202307价格变动。20230630退租60G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</si>
  <si>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</si>
  <si>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182315IDC00378</t>
  </si>
  <si>
    <t>上饶</t>
  </si>
  <si>
    <t>上饶电信</t>
  </si>
  <si>
    <t>CACDNSRCT</t>
  </si>
  <si>
    <t>20220401开始计费，颗粒度100M，保底25G，平均流量</t>
  </si>
  <si>
    <t>SRCT</t>
  </si>
  <si>
    <t>182315IDC00388</t>
  </si>
  <si>
    <t>抚顺</t>
  </si>
  <si>
    <t>抚顺联通</t>
  </si>
  <si>
    <t>CACDNFUSUN</t>
  </si>
  <si>
    <t>2023/6/1
2023/7/31</t>
  </si>
  <si>
    <t>颗粒度100M，保底28G，平均流量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</si>
  <si>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</si>
  <si>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</si>
  <si>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</si>
  <si>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</si>
  <si>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</si>
  <si>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</si>
  <si>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</si>
  <si>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202308按照保底计提。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</si>
  <si>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</si>
  <si>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云端智度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</si>
  <si>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</si>
  <si>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</si>
  <si>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</si>
  <si>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</si>
  <si>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</si>
  <si>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</si>
  <si>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</si>
  <si>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</si>
  <si>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</si>
  <si>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</si>
  <si>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</si>
  <si>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</si>
  <si>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</si>
  <si>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</si>
  <si>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</si>
  <si>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</si>
  <si>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</si>
  <si>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</si>
  <si>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</si>
  <si>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</si>
  <si>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</si>
  <si>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</si>
  <si>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</si>
  <si>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</si>
  <si>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</si>
  <si>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</si>
  <si>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</si>
  <si>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</si>
  <si>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</si>
  <si>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</si>
  <si>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</si>
  <si>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</si>
  <si>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</si>
  <si>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</si>
  <si>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</si>
  <si>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</si>
  <si>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</si>
  <si>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</si>
  <si>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</si>
  <si>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</si>
  <si>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</si>
  <si>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</si>
  <si>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</si>
  <si>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陕西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</si>
  <si>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</si>
  <si>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</si>
  <si>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</si>
  <si>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</si>
  <si>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</si>
  <si>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</si>
  <si>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</si>
  <si>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</si>
  <si>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</si>
  <si>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北京庭宇科技有限公司</t>
  </si>
  <si>
    <t>庭宇科技</t>
  </si>
  <si>
    <t>182315IDC00398</t>
  </si>
  <si>
    <t>CACDNSQCM</t>
  </si>
  <si>
    <t>2021/10/1
2021/11/1
2022/8/31</t>
  </si>
  <si>
    <t>200G+100G-150G</t>
  </si>
  <si>
    <t>需要注意202306价格变动。先按照20220826记录挪给SQ4CM150G（1）20211001开始计费200G，20211101开始计费新增100G，颗粒度100M，保底120G；（2）甲乙双方实际流量以100M为结算单位，不足50M按照0M收取，大于等于50M按100M收取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</si>
  <si>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</si>
  <si>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</si>
  <si>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需要注意202306价格变动。SQCM拆出150G给SQ4CM。颗粒度100M，保底60G</t>
  </si>
  <si>
    <t>SQ4CM</t>
  </si>
  <si>
    <t>182315IDC00350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</si>
  <si>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</si>
  <si>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</si>
  <si>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</si>
  <si>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</si>
  <si>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</si>
  <si>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182315IDC00355</t>
  </si>
  <si>
    <t>通化</t>
  </si>
  <si>
    <t>通化联通</t>
  </si>
  <si>
    <t>CACDNTHUN</t>
  </si>
  <si>
    <t>注意202307价格变动。（1）20211001开始计费，颗粒度100M，保底30G；（2）甲乙双方实际流量以100M为结算单位，不足50M按照0M收取，大于等于50M按100M收取</t>
  </si>
  <si>
    <t>THUN</t>
  </si>
  <si>
    <t>上海竞信网络科技有限公司</t>
  </si>
  <si>
    <t>上海竞信</t>
  </si>
  <si>
    <t>182215IDC00019</t>
  </si>
  <si>
    <t>保定</t>
  </si>
  <si>
    <t>保定3移动</t>
  </si>
  <si>
    <t>CACDNBDCM</t>
  </si>
  <si>
    <t>2021/10/1
2021/11/26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</si>
  <si>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</si>
  <si>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182315IDC00243</t>
  </si>
  <si>
    <t>保定4移动</t>
  </si>
  <si>
    <t>20220601开始计费100G，20220801扩容100G，颗粒度100，保底40G</t>
  </si>
  <si>
    <t>BD4CM</t>
  </si>
  <si>
    <t>补202307,已计提48.4，结算49.15，补0.75</t>
  </si>
  <si>
    <t>182315IDC00234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</si>
  <si>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</si>
  <si>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</si>
  <si>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</si>
  <si>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</si>
  <si>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</si>
  <si>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</si>
  <si>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</si>
  <si>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</si>
  <si>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</si>
  <si>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</si>
  <si>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</si>
  <si>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</si>
  <si>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</si>
  <si>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</si>
  <si>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</si>
  <si>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</si>
  <si>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</si>
  <si>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182315IDC00233</t>
  </si>
  <si>
    <t>辽阳</t>
  </si>
  <si>
    <t>辽阳联通</t>
  </si>
  <si>
    <t>CACDNLIAOYUN</t>
  </si>
  <si>
    <t>2022/9/2
2023/7/31</t>
  </si>
  <si>
    <t>20220902开始计费，颗粒度100M，保底30G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</si>
  <si>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</si>
  <si>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</si>
  <si>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</si>
  <si>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</si>
  <si>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</si>
  <si>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</si>
  <si>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</si>
  <si>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</si>
  <si>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</si>
  <si>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</si>
  <si>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</si>
  <si>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</si>
  <si>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</si>
  <si>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</si>
  <si>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</si>
  <si>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</si>
  <si>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</si>
  <si>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L20230706006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</si>
  <si>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</si>
  <si>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</si>
  <si>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182315IDC00401</t>
  </si>
  <si>
    <t>需要注意202306价格变动。20230201从宏云转贝云。需要注意202210价格变动（1）20210401开始计费，颗粒度100M，保底60G；（2）甲乙双方实际流量以100M为结算单位，不足50M按照0M收取，大于等于50M按100M收取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</si>
  <si>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</si>
  <si>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</si>
  <si>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</si>
  <si>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</si>
  <si>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</si>
  <si>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</si>
  <si>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182315IDC00357</t>
  </si>
  <si>
    <t>秦皇岛</t>
  </si>
  <si>
    <t>秦皇岛电信</t>
  </si>
  <si>
    <t>CACDNQHDCT</t>
  </si>
  <si>
    <t>2021/12/1
2023/6/30</t>
  </si>
  <si>
    <t>20230630退租。注意20230401开始价格变动。20220120转为边缘计算。20220701转回CDN（1）20211201开始计费，颗粒度100M，保底30G；（2）甲乙双方实际流量以100M为结算单位，不足50M按照0M收取，大于等于50M按100M收取</t>
  </si>
  <si>
    <t>银联商务股份有限公司湖北分公司</t>
  </si>
  <si>
    <t>银联商务</t>
  </si>
  <si>
    <t>L20220924003</t>
  </si>
  <si>
    <t>武汉</t>
  </si>
  <si>
    <t>WHGG-电信</t>
  </si>
  <si>
    <t>WHGG</t>
  </si>
  <si>
    <t>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</si>
  <si>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</si>
  <si>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</si>
  <si>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WHGG-CU-ST-1</t>
  </si>
  <si>
    <t>WHGG-移动</t>
  </si>
  <si>
    <t>2021/12/15
2023/7/31</t>
  </si>
  <si>
    <t>（1）20211215开始计费，颗粒度100M，保底16G，首月有保底；（2）甲乙双方实际流量以100M为结算单位，不足50M按照0M收取，大于等于50M按100M收取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</si>
  <si>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</si>
  <si>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</si>
  <si>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</si>
  <si>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</si>
  <si>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</si>
  <si>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</si>
  <si>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</si>
  <si>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</si>
  <si>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</si>
  <si>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</si>
  <si>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</si>
  <si>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</si>
  <si>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</si>
  <si>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</si>
  <si>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</si>
  <si>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</si>
  <si>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</si>
  <si>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</si>
  <si>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</si>
  <si>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</si>
  <si>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</si>
  <si>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</si>
  <si>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</si>
  <si>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</si>
  <si>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</si>
  <si>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</si>
  <si>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202308按照保底计提。（1）20220201开始计费，颗粒度100M，保底100G，包端口；（2）甲乙双方实际流量以100M为结算单位，不足50M按照0M收取，大于等于50M按100M收取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</si>
  <si>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</si>
  <si>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</si>
  <si>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</si>
  <si>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</si>
  <si>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</si>
  <si>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</si>
  <si>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</si>
  <si>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</si>
  <si>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</si>
  <si>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</si>
  <si>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</si>
  <si>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</si>
  <si>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</si>
  <si>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</si>
  <si>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</si>
  <si>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</si>
  <si>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</si>
  <si>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</si>
  <si>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20221001开始计费。颗粒度100M，保底30G</t>
  </si>
  <si>
    <t>TJ5CT</t>
  </si>
  <si>
    <t>182315IDC00323</t>
  </si>
  <si>
    <t>20220401开始计费，保底30%，18G，颗粒度100M
后续待CDN上量后关注交付邮件，应该扩容了40G给CDN使用</t>
  </si>
  <si>
    <t>CD2UN</t>
  </si>
  <si>
    <t>杭州盈为网络科技有限公司</t>
  </si>
  <si>
    <t>杭州盈为</t>
  </si>
  <si>
    <t>182315IDC00295</t>
  </si>
  <si>
    <t>榆林</t>
  </si>
  <si>
    <t>榆林联通</t>
  </si>
  <si>
    <t>CACDNYLUN</t>
  </si>
  <si>
    <t>需要注意202306价格变动。20220602开始计费，颗粒度100M，保底30G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</si>
  <si>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</si>
  <si>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</si>
  <si>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</si>
  <si>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</si>
  <si>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</si>
  <si>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</si>
  <si>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2022/6/1
2023/5/31</t>
  </si>
  <si>
    <t>20220601开始计费，颗粒度100M，包端口，保底100G</t>
  </si>
  <si>
    <t>泰州云下科技有限公司</t>
  </si>
  <si>
    <t>云下科技</t>
  </si>
  <si>
    <t>182215IDC00547</t>
  </si>
  <si>
    <t>泰州3电信</t>
  </si>
  <si>
    <t>CACDNTAIZCT</t>
  </si>
  <si>
    <t>2022/8/1
2023/7/31</t>
  </si>
  <si>
    <t>280G-280G</t>
  </si>
  <si>
    <t>20220801开始计费，颗粒度100M，保底84G。月付</t>
  </si>
  <si>
    <t>江苏网擎信息技术有限公司</t>
  </si>
  <si>
    <t>江苏网擎</t>
  </si>
  <si>
    <t>182315IDC00011</t>
  </si>
  <si>
    <t>常州4电信</t>
  </si>
  <si>
    <t>CACDNCZCT2</t>
  </si>
  <si>
    <t>2022/10/1
2023/6/30</t>
  </si>
  <si>
    <t>20221001开始计费，颗粒度100M，保底30G</t>
  </si>
  <si>
    <t>182315IDC00013</t>
  </si>
  <si>
    <t>常州2移动</t>
  </si>
  <si>
    <t>CACDNCZCM2</t>
  </si>
  <si>
    <t>182315IDC00012</t>
  </si>
  <si>
    <t>常州联通</t>
  </si>
  <si>
    <t xml:space="preserve">   CACDNCZUN</t>
  </si>
  <si>
    <t>20221001开始计费。颗粒度100M，保底12G</t>
  </si>
  <si>
    <t>L20230602010</t>
  </si>
  <si>
    <t>常州2三级电信</t>
  </si>
  <si>
    <t>CACDNCZIX</t>
  </si>
  <si>
    <t>CZ2IXCT</t>
  </si>
  <si>
    <t>常州2三级移动</t>
  </si>
  <si>
    <t>CZ2IXCM</t>
  </si>
  <si>
    <t>常州2三级联通</t>
  </si>
  <si>
    <t>颗粒度100M，保底3G</t>
  </si>
  <si>
    <t>CZ2IXUN</t>
  </si>
  <si>
    <t>深圳万象天地科技有限公司</t>
  </si>
  <si>
    <t>深圳万象天地</t>
  </si>
  <si>
    <t>L20230728001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</si>
  <si>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</si>
  <si>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</si>
  <si>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</si>
  <si>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</si>
  <si>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</si>
  <si>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</si>
  <si>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182315IDC00257</t>
  </si>
  <si>
    <t>济南11移动</t>
  </si>
  <si>
    <t>CDNJNIX</t>
  </si>
  <si>
    <t>0.3G</t>
  </si>
  <si>
    <t>颗粒度100M，保底0.03G</t>
  </si>
  <si>
    <t>JN11CM</t>
  </si>
  <si>
    <t>浙江宁波本电网络科技有限公司</t>
  </si>
  <si>
    <t>浙江本电</t>
  </si>
  <si>
    <t>182315IDC00231</t>
  </si>
  <si>
    <t>宁波8电信</t>
  </si>
  <si>
    <t>CACDNNBCT2</t>
  </si>
  <si>
    <t>2022/3/3
2023/6/30</t>
  </si>
  <si>
    <t>140G-140G</t>
  </si>
  <si>
    <t>202306暂停计费。20220901价格变动（1）月付。20210909开始计费，颗粒度100M，保底80G，包端口；（2）甲乙双方实际流量以100M为结算单位，不足50M按（1）月付。20220303开始计费，颗粒度100M，保底140G，包端口</t>
  </si>
  <si>
    <t>182215IDC00563</t>
  </si>
  <si>
    <t>宁波7电信</t>
  </si>
  <si>
    <t>CACDNNBCT</t>
  </si>
  <si>
    <t>2021/9/9
2023/7/31</t>
  </si>
  <si>
    <t>20220901价格变动（1）月付。20210909开始计费，颗粒度100M，保底80G，包端口；（2）甲乙双方实际流量以100M为结算单位，不足50M按照0M收取，大于等于50M按100M收取。</t>
  </si>
  <si>
    <t>北京亿芃科技有限公司</t>
  </si>
  <si>
    <t>北京亿芃</t>
  </si>
  <si>
    <t>182315IDC00240</t>
  </si>
  <si>
    <t>朝阳</t>
  </si>
  <si>
    <t>朝阳电信</t>
  </si>
  <si>
    <t>CACDNCYCT</t>
  </si>
  <si>
    <t>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</si>
  <si>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</si>
  <si>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</si>
  <si>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</si>
  <si>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</si>
  <si>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</si>
  <si>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</si>
  <si>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</si>
  <si>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20230406开始计费。颗粒度100M，保底80G</t>
  </si>
  <si>
    <t>ZBIXCT</t>
  </si>
  <si>
    <t>淄博三级联通</t>
  </si>
  <si>
    <t>120G</t>
  </si>
  <si>
    <t>20230406开始计费。颗粒度100M，保底48G</t>
  </si>
  <si>
    <t>ZBIXUN</t>
  </si>
  <si>
    <t>上海迅悟网络科技有限公司</t>
  </si>
  <si>
    <t>上海迅悟</t>
  </si>
  <si>
    <t>182315IDC00269</t>
  </si>
  <si>
    <t>济南10联通</t>
  </si>
  <si>
    <t>CACDNJNUN2</t>
  </si>
  <si>
    <t>2023/4/1
2023/5/1</t>
  </si>
  <si>
    <t>20230401开始计费100G，20230501扩容100G开始计费。颗粒度100M，保底60G</t>
  </si>
  <si>
    <t>JN10UN</t>
  </si>
  <si>
    <t>182315IDC00261</t>
  </si>
  <si>
    <t>济南12移动</t>
  </si>
  <si>
    <t>CACDNJNCM4</t>
  </si>
  <si>
    <t>JN12CM</t>
  </si>
  <si>
    <t>北京共晟科技有限公司</t>
  </si>
  <si>
    <t>共晟科技</t>
  </si>
  <si>
    <t>182315IDC00309</t>
  </si>
  <si>
    <t>WHGG移动2</t>
  </si>
  <si>
    <t>WHJRG</t>
  </si>
  <si>
    <t>2023/4/22
2023/6/7</t>
  </si>
  <si>
    <t>40G+20G</t>
  </si>
  <si>
    <t>202308按照均值计提。20230422开始计费，20230607扩容20G开始计费。颗粒度100M。保底24G</t>
  </si>
  <si>
    <t>WHGG-CM-ST-2</t>
  </si>
  <si>
    <t>浙江途说科技发展有限公司</t>
  </si>
  <si>
    <t>浙江途说</t>
  </si>
  <si>
    <t>182315IDC00375</t>
  </si>
  <si>
    <t>深圳2移动</t>
  </si>
  <si>
    <t>CACDNSZCM</t>
  </si>
  <si>
    <t>颗粒度100M，保底80G</t>
  </si>
  <si>
    <t>SZ2CM</t>
  </si>
  <si>
    <t>L20230602004</t>
  </si>
  <si>
    <t>南宁8移动</t>
  </si>
  <si>
    <t>CACDNNNCM3</t>
  </si>
  <si>
    <t>颗粒度100M，保底40G</t>
  </si>
  <si>
    <t>NN8CM</t>
  </si>
  <si>
    <t>182315IDC00297</t>
  </si>
  <si>
    <t>V昆明2电信</t>
  </si>
  <si>
    <t>CACDNVKMCT2</t>
  </si>
  <si>
    <t>裸金属，20220501开始计费，颗粒度10M，保底30G。计费流量以G为单位保留两位小数</t>
  </si>
  <si>
    <t>VKM2CT</t>
  </si>
  <si>
    <t>V台州电信</t>
  </si>
  <si>
    <t>CACDNVTZCT</t>
  </si>
  <si>
    <t>2022/5/1
2023/5/31</t>
  </si>
  <si>
    <t>20230531退租。裸金属，20220501开始计费，颗粒度10M，保底30G。计费流量以G为单位保留两位小数</t>
  </si>
  <si>
    <t>V南宁2电信</t>
  </si>
  <si>
    <t>CACDNVNNCT2</t>
  </si>
  <si>
    <t>VNN2CT</t>
  </si>
  <si>
    <t>V武汉电信</t>
  </si>
  <si>
    <t>CACDNVWHCT</t>
  </si>
  <si>
    <t>V昆明3电信</t>
  </si>
  <si>
    <t>裸金属，20221001开始计费，保底60G，月95计费。10M。计费流量以G为单位保留两位小数</t>
  </si>
  <si>
    <t>VKM3CT</t>
  </si>
  <si>
    <t>V台州2电信</t>
  </si>
  <si>
    <t>CACDNVTZCT2</t>
  </si>
  <si>
    <t>2022/10/1
2023/5/31</t>
  </si>
  <si>
    <t>20230531退租。裸金属，20221001开始计费，保底60G，月95计费。10M。计费流量以G为单位保留两位小数</t>
  </si>
  <si>
    <t>182315IDC00105</t>
  </si>
  <si>
    <t>V武汉移动</t>
  </si>
  <si>
    <t>CACDNVWHCM</t>
  </si>
  <si>
    <t>裸金属，20230101开始计费。颗粒度未明确约定，按1M算，无保底</t>
  </si>
  <si>
    <t>VWHCM</t>
  </si>
  <si>
    <t>咸阳</t>
  </si>
  <si>
    <t>V咸阳2移动</t>
  </si>
  <si>
    <t>CACDNVXYCM</t>
  </si>
  <si>
    <t>2023/1/1
2023/2/1</t>
  </si>
  <si>
    <t>60G+60G</t>
  </si>
  <si>
    <t>裸金属，20230201扩容60G。颗粒度未明确约定，按1M算，无保底</t>
  </si>
  <si>
    <t>VXY2CM</t>
  </si>
  <si>
    <t>V长沙2移动</t>
  </si>
  <si>
    <t>CACDNVCSCM</t>
  </si>
  <si>
    <t>VCS2CM</t>
  </si>
  <si>
    <t>V昆明移动</t>
  </si>
  <si>
    <t>CACDNVKMCM</t>
  </si>
  <si>
    <t>裸金属，20230201开始计费。颗粒度未明确约定，按1M算，无保底</t>
  </si>
  <si>
    <t>VKMCM</t>
  </si>
  <si>
    <t>L20230422002</t>
  </si>
  <si>
    <t>V重庆2移动</t>
  </si>
  <si>
    <t>CACDNVCQCM</t>
  </si>
  <si>
    <t>2023/3/2
2023/4/1</t>
  </si>
  <si>
    <t>裸金属， 【CDN扩容】V重庆移动  扩容40G  2023-04-01 节点正式上线  (VCQ2CM)；20230302开始计费。颗粒度未明确约定，按1M算，无保底</t>
  </si>
  <si>
    <t>VCQ2CM</t>
  </si>
  <si>
    <t>北京新流万联网络技术有限公司</t>
  </si>
  <si>
    <t>新流万联</t>
  </si>
  <si>
    <t>182315IDC00129</t>
  </si>
  <si>
    <t>石家庄</t>
  </si>
  <si>
    <t>V石家庄移动</t>
  </si>
  <si>
    <t>CACDNVSJZCM</t>
  </si>
  <si>
    <t>2022/9/1
2022/9/30</t>
  </si>
  <si>
    <t>需要注意202210暂停使用。裸金属，20220901开始计费，保底40G。</t>
  </si>
  <si>
    <t>182315IDC00348</t>
  </si>
  <si>
    <t>V呼和浩特2移动</t>
  </si>
  <si>
    <t xml:space="preserve">CACDNVHHHTCM </t>
  </si>
  <si>
    <t>2022/3/2
2023/6/30</t>
  </si>
  <si>
    <t>50G-50G</t>
  </si>
  <si>
    <t>裸金属，20220302开始计费，无保底，计提颗粒度100M，95计费</t>
  </si>
  <si>
    <t>182215IDC00373</t>
  </si>
  <si>
    <t>V济南电信</t>
  </si>
  <si>
    <t>CACDNVJNCT</t>
  </si>
  <si>
    <t>2022/3/4
2022/7/31</t>
  </si>
  <si>
    <t>202208关停。裸金属，20220304开始计费，20220601开始从无保底变动为保底30%，95计费</t>
  </si>
  <si>
    <t>182215IDC00463</t>
  </si>
  <si>
    <t>V宁波移动</t>
  </si>
  <si>
    <t>CACDNVNBCM</t>
  </si>
  <si>
    <t>2022/4/1
2022/12/31</t>
  </si>
  <si>
    <t>裸金属，2022.12.31退租。20220401开始计费，无保底，日95月均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</si>
  <si>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</si>
  <si>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</si>
  <si>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</si>
  <si>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</si>
  <si>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182215IDC00459</t>
  </si>
  <si>
    <t>V济南2电信</t>
  </si>
  <si>
    <t>2022/4/1
2022/7/31</t>
  </si>
  <si>
    <t>15G-15G</t>
  </si>
  <si>
    <t>202208关停。裸金属，20220401开始计费，无保底，日95月均</t>
  </si>
  <si>
    <t>182215IDC00319</t>
  </si>
  <si>
    <t>V济南3电信</t>
  </si>
  <si>
    <t>CACDNVJNCT2</t>
  </si>
  <si>
    <t>2022/4/7
2022/7/31</t>
  </si>
  <si>
    <t>202208关停。裸金属，20220407开始计费，20220601开始从无保底变动为保底30%，95计费</t>
  </si>
  <si>
    <t>182215IDC00288</t>
  </si>
  <si>
    <t>V济南联通</t>
  </si>
  <si>
    <t>CACDNVJNUN</t>
  </si>
  <si>
    <t>2022/4/9
2022/5/31</t>
  </si>
  <si>
    <t>裸金属，20220409开始计费，20220531退租。无保底，95计费</t>
  </si>
  <si>
    <t>182215IDC00460</t>
  </si>
  <si>
    <t>滨州</t>
  </si>
  <si>
    <t>V滨州联通</t>
  </si>
  <si>
    <t>CACDNVBZUN</t>
  </si>
  <si>
    <t>2022/5/1
2022/9/9</t>
  </si>
  <si>
    <t>裸金属，20220501开始计费，20220909退租。颗粒度100M，无保底</t>
  </si>
  <si>
    <t>182315IDC00380</t>
  </si>
  <si>
    <t>V抚顺电信</t>
  </si>
  <si>
    <t>CACDNVFUSCT</t>
  </si>
  <si>
    <t>裸金属，2023.4调整单价。20220501开始计费，计提颗粒度100M，无保底</t>
  </si>
  <si>
    <t>V抚顺2电信</t>
  </si>
  <si>
    <t>182315IDC00339</t>
  </si>
  <si>
    <t>V兰州电信</t>
  </si>
  <si>
    <t>CACDNVLZCT</t>
  </si>
  <si>
    <t>2022/5/1
2023/6/21</t>
  </si>
  <si>
    <t>202306关停。裸金属，2023.4调整单价。20220501开始计费，计提颗粒度100M，无保底</t>
  </si>
  <si>
    <t>182315IDC00345</t>
  </si>
  <si>
    <t>V苏州移动</t>
  </si>
  <si>
    <t>CACDNVSUZCM</t>
  </si>
  <si>
    <t>裸金属，20220801开始计费，日95月均，无保底，计提颗粒度100M</t>
  </si>
  <si>
    <t>V苏州2移动</t>
  </si>
  <si>
    <t>182215IDC00658</t>
  </si>
  <si>
    <t>V泰安联通</t>
  </si>
  <si>
    <t>CAVTAUN</t>
  </si>
  <si>
    <t>2022/8/1
2023/1/3</t>
  </si>
  <si>
    <t>裸金属，2023/1/3退租。20220801开始计费，日95月均，无保底，颗粒度100M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</si>
  <si>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</si>
  <si>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</si>
  <si>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</si>
  <si>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</si>
  <si>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</si>
  <si>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</si>
  <si>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</si>
  <si>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</si>
  <si>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</si>
  <si>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</si>
  <si>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</si>
  <si>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182315IDC00343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</si>
  <si>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</si>
  <si>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</si>
  <si>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</si>
  <si>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</si>
  <si>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</si>
  <si>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182315IDC00336</t>
  </si>
  <si>
    <t>V淮南移动</t>
  </si>
  <si>
    <t>CAVHNCM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</si>
  <si>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</si>
  <si>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</si>
  <si>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</si>
  <si>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</si>
  <si>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</si>
  <si>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182315IDC00346</t>
  </si>
  <si>
    <t>V苏州3移动</t>
  </si>
  <si>
    <t>2022/9/1
2023/6/30</t>
  </si>
  <si>
    <t>裸金属，20220901开始计费，日95月均，无保底，计提颗粒度100M</t>
  </si>
  <si>
    <t>182315IDC00338</t>
  </si>
  <si>
    <t>V兰州2电信</t>
  </si>
  <si>
    <t>CACDNVLZCT2</t>
  </si>
  <si>
    <t>2022/9/1
2023/6/21</t>
  </si>
  <si>
    <t>202306关停。裸金属，2023.4调整单价。20220901开始计费，日95月均，无保底，计提颗粒度100M</t>
  </si>
  <si>
    <t>V兰州3电信</t>
  </si>
  <si>
    <t>182315IDC00341</t>
  </si>
  <si>
    <t>鹤岗</t>
  </si>
  <si>
    <t>V鹤岗移动</t>
  </si>
  <si>
    <t>CACDNVHGCM</t>
  </si>
  <si>
    <t>202305关停。裸金属，2023.4调整单价。20220901开始计费，日95月均，无保底，计提颗粒度100M</t>
  </si>
  <si>
    <t>VHGCM</t>
  </si>
  <si>
    <t>V淮南2移动</t>
  </si>
  <si>
    <t>CACDNVHNCM</t>
  </si>
  <si>
    <t>2022/9/1
2023/7/31</t>
  </si>
  <si>
    <t>裸金属，2023.4调整单价。20220901开始计费，日95月均，无保底，计提颗粒度100M</t>
  </si>
  <si>
    <t>182215IDC00672</t>
  </si>
  <si>
    <t>V宁波4移动</t>
  </si>
  <si>
    <t>裸金属，2022.12.31退租。20220901开始计费，日95月均，无保底，颗粒度100M</t>
  </si>
  <si>
    <t>V宁波5移动</t>
  </si>
  <si>
    <t>2022/9/1
2022/9/9</t>
  </si>
  <si>
    <t>裸金属，2022/9/9节点下线。20220901开始计费，日95月均，无保底，颗粒度100M</t>
  </si>
  <si>
    <t>V宁波6移动</t>
  </si>
  <si>
    <t>182215IDC00673</t>
  </si>
  <si>
    <t>V济南2联通</t>
  </si>
  <si>
    <t>CACDNVJNUN2</t>
  </si>
  <si>
    <t>2022/9/1
2023/2/28</t>
  </si>
  <si>
    <t>裸金属，2023/2/28节点退租。20220901开始计费，日95月均，无保底，颗粒度100M</t>
  </si>
  <si>
    <t>V济南3联通</t>
  </si>
  <si>
    <t>182315IDC00021</t>
  </si>
  <si>
    <t>V济南4联通</t>
  </si>
  <si>
    <t>裸金属，2023/2/28节点退租。20220922开始计费，替换V滨州联通。日95月均，无保底，颗粒度100M</t>
  </si>
  <si>
    <t>182215IDC00670</t>
  </si>
  <si>
    <t>V金华移动</t>
  </si>
  <si>
    <t>CACDNVJHCM</t>
  </si>
  <si>
    <t>裸金属，2022/9/30退租。20220901开始计费，日95月均，无保底，颗粒度100M</t>
  </si>
  <si>
    <t>182315IDC00342</t>
  </si>
  <si>
    <t>V荆州2联通</t>
  </si>
  <si>
    <t>CACDNVJINGZUN</t>
  </si>
  <si>
    <t>VJINGZ2UN</t>
  </si>
  <si>
    <t>182315IDC00340</t>
  </si>
  <si>
    <t>天水</t>
  </si>
  <si>
    <t>V天水电信</t>
  </si>
  <si>
    <t>CACDNVTIANSCT</t>
  </si>
  <si>
    <t>2022/9/1
2023/6/12</t>
  </si>
  <si>
    <t>202306关停。20230612退租。2023.4调整单价。裸金属，20220901开始计费，日95月均，无保底，计提颗粒度100M</t>
  </si>
  <si>
    <t>182215IDC00668</t>
  </si>
  <si>
    <t>延边</t>
  </si>
  <si>
    <t>V延边移动</t>
  </si>
  <si>
    <t>CACDNVYANBCM</t>
  </si>
  <si>
    <t>2022/9/3
2023/3/17</t>
  </si>
  <si>
    <t>60G
-60G</t>
  </si>
  <si>
    <t>裸金属，2023/3/17退租；20220903开始计费，保底24G。月95计费。计提颗粒度100M</t>
  </si>
  <si>
    <t>182315IDC00344</t>
  </si>
  <si>
    <t>V兰州4电信</t>
  </si>
  <si>
    <t>裸金属，2023.4调整单价。20220903开始计费，保底15G。月95计费。计提颗粒度100M</t>
  </si>
  <si>
    <t>VLZ4CT</t>
  </si>
  <si>
    <t>L20220902004</t>
  </si>
  <si>
    <t>鹤壁</t>
  </si>
  <si>
    <t>V鹤壁联通</t>
  </si>
  <si>
    <t>CACDNVHBUN</t>
  </si>
  <si>
    <t>2022/9/3
2022/9/13</t>
  </si>
  <si>
    <t>裸金属，20220903开始计费，颗粒度100M，保底12G。月95计费。20220913退租，202209不计费。</t>
  </si>
  <si>
    <t>V宁波7移动</t>
  </si>
  <si>
    <t>2022/9/14
2022/12/31</t>
  </si>
  <si>
    <t>裸金属，2022.12.31节点下线。20220914开始计费，V宁波2移动替换过来的。日95月均，无保底，颗粒度100M</t>
  </si>
  <si>
    <t>L20230421001</t>
  </si>
  <si>
    <t>V济南5联通</t>
  </si>
  <si>
    <t>CACDNVJNUN3</t>
  </si>
  <si>
    <t>2023/3/2
2023/4/7</t>
  </si>
  <si>
    <t>裸金属，2023.4调整单价。2023/3/2开始计费，日95月均，无保底，计提颗粒度100M</t>
  </si>
  <si>
    <t>V济南6联通</t>
  </si>
  <si>
    <t>L20230421002</t>
  </si>
  <si>
    <t>V济南7联通</t>
  </si>
  <si>
    <t>182315IDC00364</t>
  </si>
  <si>
    <t>V泰安4联通</t>
  </si>
  <si>
    <t>20230407开始计费，无保底。</t>
  </si>
  <si>
    <t>VTA4UN</t>
  </si>
  <si>
    <t>V泰安5联通</t>
  </si>
  <si>
    <t>VTA5UN</t>
  </si>
  <si>
    <t>V泰安6联通</t>
  </si>
  <si>
    <t>VTA6UN</t>
  </si>
  <si>
    <t>京东云计算有限公司</t>
  </si>
  <si>
    <t>京东云</t>
  </si>
  <si>
    <t>182215IDC00636</t>
  </si>
  <si>
    <t>呼和浩特6移动</t>
  </si>
  <si>
    <t>CACDNHHHTCM2</t>
  </si>
  <si>
    <t>2022/5/1
2022/12/31</t>
  </si>
  <si>
    <t>裸金属，20220501开始计费，颗粒度100M，保底24G</t>
  </si>
  <si>
    <t>裸金属，20220501开始计费，颗粒度100M，保底40G</t>
  </si>
  <si>
    <t>广州爱耐特科技有限责任公司</t>
  </si>
  <si>
    <t>广州爱耐特</t>
  </si>
  <si>
    <t>182315IDC00316</t>
  </si>
  <si>
    <t>佛山4移动</t>
  </si>
  <si>
    <t xml:space="preserve">CACDNFSCM3 </t>
  </si>
  <si>
    <t>FS4CM</t>
  </si>
  <si>
    <t>北京云亿互联网络科技有限公司</t>
  </si>
  <si>
    <t>北京云亿</t>
  </si>
  <si>
    <t>182315IDC00302</t>
  </si>
  <si>
    <t>沈阳4电信</t>
  </si>
  <si>
    <t>CACDNSYCT2</t>
  </si>
  <si>
    <t>颗粒度100M，保底24G</t>
  </si>
  <si>
    <t>SY4CT</t>
  </si>
  <si>
    <t>杭州爱云网络科技有限公司</t>
  </si>
  <si>
    <t>杭州爱云</t>
  </si>
  <si>
    <t>182315IDC00306</t>
  </si>
  <si>
    <t>杭州5移动</t>
  </si>
  <si>
    <t xml:space="preserve">CACDNHZCM3 </t>
  </si>
  <si>
    <t>注意202309价格变动。颗粒度100M，保底30G</t>
  </si>
  <si>
    <t>HZ5CM</t>
  </si>
  <si>
    <t>上饶天利新云技术有限公司</t>
  </si>
  <si>
    <t>上饶天利</t>
  </si>
  <si>
    <t>182315IDC00390</t>
  </si>
  <si>
    <t>泉州2移动</t>
  </si>
  <si>
    <t>CACDNQZCM</t>
  </si>
  <si>
    <t>QZ2CM</t>
  </si>
  <si>
    <t>杭州网鼎科技有限公司</t>
  </si>
  <si>
    <t>杭州网鼎</t>
  </si>
  <si>
    <t>182315IDC00399</t>
  </si>
  <si>
    <t>合肥电信</t>
  </si>
  <si>
    <t>CACDNHFCT</t>
  </si>
  <si>
    <t>20230701开始，颗粒度100M，保底30G</t>
  </si>
  <si>
    <t>HFCT</t>
  </si>
  <si>
    <t>杭州云算力科技有限公司</t>
  </si>
  <si>
    <t>云算力</t>
  </si>
  <si>
    <t>L20230726002</t>
  </si>
  <si>
    <t>昆明5移动</t>
  </si>
  <si>
    <t>CACDNKMCM</t>
  </si>
  <si>
    <t>KM5CM</t>
  </si>
  <si>
    <t>庭宇科技-PCDN</t>
  </si>
  <si>
    <t>182315IDC00331</t>
  </si>
  <si>
    <t>PCDN带宽</t>
  </si>
  <si>
    <t>庭宇云PCDN</t>
  </si>
  <si>
    <t>20220930下线。融合CDN加速服务。1M，1000进制，日95月平均，包头系数1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</si>
  <si>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</si>
  <si>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</si>
  <si>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</si>
  <si>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</si>
  <si>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</si>
  <si>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</si>
  <si>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</si>
  <si>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</si>
  <si>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</si>
  <si>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注意202306价格变动（1）自2022年6月1日起价格变动。1M，包头系数1，进制1000，月95计费。；（2）视频 网盘合并计算流量，确定阶梯价格</t>
  </si>
  <si>
    <t>bdpcdn_wangpan_tingyu_cm</t>
  </si>
  <si>
    <t>网盘PCDN庭宇_电联</t>
  </si>
  <si>
    <t>bdpcdn_wangpan_tingyu_cu_ct</t>
  </si>
  <si>
    <t>PCDN-网盘-ACDN专线资源移动</t>
  </si>
  <si>
    <t>网盘PCDN庭宇_ANT _移动</t>
  </si>
  <si>
    <t>PCDN-网盘-ACDN专线资源-庭宇移动，计费方式：日95月均，包头系数：1，进制：1000</t>
  </si>
  <si>
    <t>bdpcdn_wangpan_tingyu_ant_cm</t>
  </si>
  <si>
    <t>PCDN-网盘-ACDN专线资源电联</t>
  </si>
  <si>
    <t>网盘PCDN庭宇_ANT _电联</t>
  </si>
  <si>
    <t>PCDN-网盘-ACDN专线资源-庭宇电联，计费方式：日95月均，包头系数：1，进制：1000</t>
  </si>
  <si>
    <t>bdpcdn_wangpan_ tingyu_ant _cu_ct</t>
  </si>
  <si>
    <t>云端智度-PCDN</t>
  </si>
  <si>
    <t>L20221214002</t>
  </si>
  <si>
    <t>网盘非盒子非移动</t>
  </si>
  <si>
    <t>网盘PCDN云端智度_电联</t>
  </si>
  <si>
    <t>反馈21年Q4已下线。202205开始电信&amp;联通合并给数。1000进制，系数1</t>
  </si>
  <si>
    <t>网盘非盒子移动</t>
  </si>
  <si>
    <t>网盘PCDN云端智度_移动</t>
  </si>
  <si>
    <t>反馈21年Q4已下线。21000进制，系数1</t>
  </si>
  <si>
    <t>网盘PCDN云端智度_其他</t>
  </si>
  <si>
    <t>云端智度-XCDN</t>
  </si>
  <si>
    <t>182315IDC00377</t>
  </si>
  <si>
    <t>XCDN带宽</t>
  </si>
  <si>
    <t>302 XCDN汇聚移动（非盒子类资源）</t>
  </si>
  <si>
    <t>302PCDN_云端_汇聚_移动</t>
  </si>
  <si>
    <t>需要注意202307价格变动。需要注意202207价格变动，日95月均峰值计费。颗粒度1M。1000进制。包头系数1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</si>
  <si>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</si>
  <si>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</si>
  <si>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</si>
  <si>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</si>
  <si>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</si>
  <si>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</si>
  <si>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</si>
  <si>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</si>
  <si>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</si>
  <si>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</si>
  <si>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</si>
  <si>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</si>
  <si>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</si>
  <si>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</si>
  <si>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</si>
  <si>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</si>
  <si>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</si>
  <si>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</si>
  <si>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</si>
  <si>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</si>
  <si>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</si>
  <si>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</si>
  <si>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</si>
  <si>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</si>
  <si>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</si>
  <si>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</si>
  <si>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L20230626001</t>
  </si>
  <si>
    <t>网盘PCDN云枫_移动</t>
  </si>
  <si>
    <t>需要注意202307价格变动。云枫，汇聚资源，包头系数1，1000进制，2022年8月日95月均计费，2022年9月起月95计费，合作期截止2023年7月底。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</si>
  <si>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</si>
  <si>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</si>
  <si>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</si>
  <si>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182315IDC00352</t>
  </si>
  <si>
    <t>PCDN汇聚资源移动</t>
  </si>
  <si>
    <t>302PCDN_云枫_汇聚_移动</t>
  </si>
  <si>
    <t>PCDN汇聚资源移动，计费方式：日95月均；包头系数：1；
进制：1000；</t>
  </si>
  <si>
    <t>bd302pcdn_yunfeng_not_special_cmnet</t>
  </si>
  <si>
    <t>PCDN汇聚资源电联</t>
  </si>
  <si>
    <t>302PCDN_云枫_汇聚_非移动</t>
  </si>
  <si>
    <t>PCDN汇聚资源电联，计费方式：日95月均；包头系数：1；
进制：1000；</t>
  </si>
  <si>
    <t>bd302pcdn_yunfeng_not_special_not_cmnet</t>
  </si>
  <si>
    <t>ACDN专线资源电联</t>
  </si>
  <si>
    <t>302PCDN_云枫_专线_非移动</t>
  </si>
  <si>
    <t>ACDN专线资源电联，计费方式：日95月均；包头系数：1；
进制：1000；</t>
  </si>
  <si>
    <t>bd302pcdn_yunfeng_special_not_cmnet</t>
  </si>
  <si>
    <t>ACDN专线资源移动</t>
  </si>
  <si>
    <t>302PCDN_云枫_专线_移动</t>
  </si>
  <si>
    <t>ACDN专线资源移动，计费方式：日95月均；包头系数：1；
进制：1000；</t>
  </si>
  <si>
    <t>bd302pcdn_yunfeng_special_cmnet</t>
  </si>
  <si>
    <t>云帆-PCDN</t>
  </si>
  <si>
    <t>182315IDC00061</t>
  </si>
  <si>
    <t>云帆PCDN</t>
  </si>
  <si>
    <t>1M,1000进制，日95月均计费，包头系数1</t>
  </si>
  <si>
    <t>yunfan_pcdn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</si>
  <si>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</si>
  <si>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</si>
  <si>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</si>
  <si>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</si>
  <si>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</si>
  <si>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</si>
  <si>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</si>
  <si>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</si>
  <si>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</si>
  <si>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</si>
  <si>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</si>
  <si>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</si>
  <si>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</si>
  <si>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20221231下线。包头系数1，进制1000，月95计费。</t>
  </si>
  <si>
    <t>bdpcdn_ppio_cmnet</t>
  </si>
  <si>
    <t>182315IDC00238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</si>
  <si>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</si>
  <si>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</si>
  <si>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</si>
  <si>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</si>
  <si>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</si>
  <si>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</si>
  <si>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</si>
  <si>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</si>
  <si>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</si>
  <si>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</si>
  <si>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</si>
  <si>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</si>
  <si>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</si>
  <si>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</si>
  <si>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</si>
  <si>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</si>
  <si>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</si>
  <si>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</si>
  <si>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</si>
  <si>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L20230504026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</si>
  <si>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</si>
  <si>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</si>
  <si>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</si>
  <si>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</si>
  <si>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</si>
  <si>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</si>
  <si>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</si>
  <si>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网盘PCDN带宽存储费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</si>
  <si>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</si>
  <si>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</si>
  <si>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</si>
  <si>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</si>
  <si>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</si>
  <si>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</si>
  <si>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</si>
  <si>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</si>
  <si>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</si>
  <si>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</si>
  <si>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</si>
  <si>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</si>
  <si>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</si>
  <si>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</si>
  <si>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</si>
  <si>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网宿-PCDN</t>
  </si>
  <si>
    <t>182315IDC00206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</si>
  <si>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</si>
  <si>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</si>
  <si>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</si>
  <si>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</si>
  <si>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</si>
  <si>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</si>
  <si>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</si>
  <si>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</si>
  <si>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</si>
  <si>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网盘PCDN网宿存储费</t>
  </si>
  <si>
    <t>网盘PCDN网宿节点，带宽存储费</t>
  </si>
  <si>
    <t>182215IDC00132</t>
  </si>
  <si>
    <t>网盘PCDN网宿节点，带宽存储费，暂按运营商数据计提</t>
  </si>
  <si>
    <t>上海沐桦科技有限公司</t>
  </si>
  <si>
    <t>上海沐桦</t>
  </si>
  <si>
    <t>L20230408003</t>
  </si>
  <si>
    <t>汇聚资源</t>
  </si>
  <si>
    <t>302PCDN_博纳云_汇聚_移动</t>
  </si>
  <si>
    <t>20230331下线。日95月均计费，包头系数1，1000进制</t>
  </si>
  <si>
    <t>bd302pcdn_bonayun_not_special_cmnet</t>
  </si>
  <si>
    <t>302PCDN_博纳云_汇聚_非移动</t>
  </si>
  <si>
    <t>bd302pcdn_bonayun_not_special_not_cmnet</t>
  </si>
  <si>
    <t>上海涂鸟信息技术有限公司</t>
  </si>
  <si>
    <t>上海涂鸟-PCDN</t>
  </si>
  <si>
    <t>182315IDC00211</t>
  </si>
  <si>
    <t>网盘PCDN涂鸟_移动</t>
  </si>
  <si>
    <t>注意202305价格变动。2023.4调整单价。包头系数1，1000进制，2022年4月日95月均计费，2022年5月起月95计费，合作期截止2023年3月底</t>
  </si>
  <si>
    <t>bdpcdn_wangpan_tuniao_cm</t>
  </si>
  <si>
    <t>网盘PCDN涂鸟_电联</t>
  </si>
  <si>
    <t>注意202305价格变动。2023.4调整单价。202205开始电信&amp;联通合并给数据。包头系数1，1000进制，2022年4月日95月均计费，2022年5月起月95计费，合作期截止2023年3月底</t>
  </si>
  <si>
    <t>bdpcdn_wangpan_tuniao_cu_ct</t>
  </si>
  <si>
    <t>L20230608004</t>
  </si>
  <si>
    <t>网盘PCDN涂鸟_ANT_移动</t>
  </si>
  <si>
    <t>移动。PCDN-网盘-ACDN专线资源-涂鸟，计费方式：日95月均。包头系数：1，进制：1000</t>
  </si>
  <si>
    <t>bdpcdn_wangpan_tuniao_ant_cm</t>
  </si>
  <si>
    <t>网盘PCDN涂鸟_ANT_电联</t>
  </si>
  <si>
    <t>电联。PCDN-网盘-ACDN专线资源-涂鸟，计费方式：日95月均。包头系数：1，进制：1000</t>
  </si>
  <si>
    <t>bdpcdn_wangpan_tuniao_ant_cu_ct</t>
  </si>
  <si>
    <t>上海七牛信息技术有限公司</t>
  </si>
  <si>
    <t>七牛云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</si>
  <si>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</si>
  <si>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</si>
  <si>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</si>
  <si>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</si>
  <si>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</si>
  <si>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182315IDC00271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</si>
  <si>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</si>
  <si>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</si>
  <si>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</si>
  <si>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</si>
  <si>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</si>
  <si>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</si>
  <si>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L20230608003</t>
  </si>
  <si>
    <t>ACDN（专线）移动</t>
  </si>
  <si>
    <t>302PCDN_七牛云_专线_移动</t>
  </si>
  <si>
    <t>2023年6月1日起新增ACDN（专线）七牛资源电联：日95月均，包头系数1，进制1000</t>
  </si>
  <si>
    <t>bd302pcdn_qnyun_special_cmnet</t>
  </si>
  <si>
    <t>ACDN（专线）电联</t>
  </si>
  <si>
    <t>302PCDN_七牛云_专线_非移动</t>
  </si>
  <si>
    <t>2023年6月1日起新增ACDN（专线）七牛资源移动，日95月均，包头系数1，进制1000</t>
  </si>
  <si>
    <t>bd302pcdn_qnyun_special_not_cmnet</t>
  </si>
  <si>
    <t>江西节点技术服务有限公司</t>
  </si>
  <si>
    <t>网心科技-PCDN</t>
  </si>
  <si>
    <t>182315IDC00207</t>
  </si>
  <si>
    <t>网心融合CDN</t>
  </si>
  <si>
    <t>网心_PCDN_OPPO</t>
  </si>
  <si>
    <t>融合CDN-OPPO业务
3300元/G/月，夜间（00:00 - 09:00）计费带宽减半.日95月均计费、包头1、进制1000。</t>
  </si>
  <si>
    <t>2022-12-01</t>
  </si>
  <si>
    <t>wangxin_pcdn_oppo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</si>
  <si>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</si>
  <si>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</si>
  <si>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</si>
  <si>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深圳市网心科技有限公司</t>
  </si>
  <si>
    <t>182315IDC00170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</si>
  <si>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</si>
  <si>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</si>
  <si>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</si>
  <si>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</si>
  <si>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</si>
  <si>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</si>
  <si>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</si>
  <si>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</si>
  <si>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</si>
  <si>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</si>
  <si>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</si>
  <si>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</si>
  <si>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技术反馈与网心移动合并了。2022.3与商务沟通，其他按照移动核算，调整单价。2022.1调整单价。1M，1000进制，系数1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</si>
  <si>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</si>
  <si>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</si>
  <si>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</si>
  <si>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</si>
  <si>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上海小度人工智能有限公司</t>
  </si>
  <si>
    <t>上海小度-PCDN</t>
  </si>
  <si>
    <t>182315IDC00363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</si>
  <si>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</si>
  <si>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</si>
  <si>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</si>
  <si>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</si>
  <si>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</si>
  <si>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</si>
  <si>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</si>
  <si>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182315IDC00304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</si>
  <si>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</si>
  <si>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</si>
  <si>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</si>
  <si>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PCDN小度_广告_非移动</t>
  </si>
  <si>
    <t>2022.10新增。1M</t>
  </si>
  <si>
    <t>bdpcdn_ad_xiaodu_not_cmnet</t>
  </si>
  <si>
    <t>PCDN小度_广告_移动</t>
  </si>
  <si>
    <t>bdpcdn_ad_xiaodu_cmnet</t>
  </si>
  <si>
    <t>PCDN小度_网易</t>
  </si>
  <si>
    <t>bdpcdn_xiaodu_wangyi</t>
  </si>
  <si>
    <t>182315IDC00419</t>
  </si>
  <si>
    <t>PCDN小度_喜马拉雅</t>
  </si>
  <si>
    <t>月95，进制1000，包头1.1</t>
  </si>
  <si>
    <t>bdpcdn_xiaodu_ximalaya</t>
  </si>
  <si>
    <t>L20230701014</t>
  </si>
  <si>
    <t>PCDN小度_全民K歌</t>
  </si>
  <si>
    <t>0-300G</t>
  </si>
  <si>
    <t>价格：0-300g，2520元/g/月
超过300g，2340元/g/月 。1.价格：0-300g，2520元/g/月
超过300g，2340元/g/月 
2.计费方式：月95；
3.包头系数：1.1；
4.进制：1000；</t>
  </si>
  <si>
    <t>bdpcdn_xiaodu_qmkg</t>
  </si>
  <si>
    <t>300以上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</si>
  <si>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</si>
  <si>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</si>
  <si>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</si>
  <si>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</si>
  <si>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</si>
  <si>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</si>
  <si>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技术反馈2023年Q1已下线。2022年3月按照日95月均计费，2022年4月起按照月95计费。颗粒度1M，包头系数1，1000进制</t>
  </si>
  <si>
    <t>bdpcdn_wangpan_bianyuan</t>
  </si>
  <si>
    <t>西安明赋云计算有限公司</t>
  </si>
  <si>
    <t>明赋云</t>
  </si>
  <si>
    <t>182315IDC00407</t>
  </si>
  <si>
    <t>302PCDN_明赋云_汇聚_移动</t>
  </si>
  <si>
    <t>20230801价格变动，包头1。2023.2调整单价和计费方式，调整后为月95计费。明赋云，汇聚资源，日95月均计费，包头系数1，1000进制，计费起始日期为2022年8月1日。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</si>
  <si>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</si>
  <si>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</si>
  <si>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20230801价格变动，包头1。2023.3调整单价和计费方式，调整后为月95计费。明赋云，汇聚资源，日95月均计费，包头系数1，1000进制，计费起始日期为2022年8月1日。</t>
  </si>
  <si>
    <t>bd302pcdn_mingfuyun_not_special_not_cmnet</t>
  </si>
  <si>
    <t>L20230101007</t>
  </si>
  <si>
    <t>302PCDN_明赋云_专线_移动</t>
  </si>
  <si>
    <t>商务反馈无此节点。包头系数1，进制1000，日95月均计费</t>
  </si>
  <si>
    <t>bd302pcdn_mingfuyun_special_cmnet</t>
  </si>
  <si>
    <t>182315IDC00204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</si>
  <si>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</si>
  <si>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</si>
  <si>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</si>
  <si>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</si>
  <si>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</si>
  <si>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</si>
  <si>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</si>
  <si>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</si>
  <si>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182215IDC00495</t>
  </si>
  <si>
    <t>补202307，已计提324.689，sys更新数据326.806，补2.117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</si>
  <si>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</si>
  <si>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</si>
  <si>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</si>
  <si>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</si>
  <si>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</si>
  <si>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</si>
  <si>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</si>
  <si>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技术反馈与本电移动合并了。2022.3与商务沟通，“其他”按照移动核算，调整价格。颗粒度1M。1000进制。月95计费模式，无系数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</si>
  <si>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</si>
  <si>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</si>
  <si>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</si>
  <si>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</si>
  <si>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</si>
  <si>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L20230107003</t>
  </si>
  <si>
    <t>汇聚资源移动</t>
  </si>
  <si>
    <t>302PCDN_本电_汇聚_移动</t>
  </si>
  <si>
    <t>20220831下线。本电，汇聚资源，日95月均计费，包头系数1，1000进制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</si>
  <si>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</si>
  <si>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</si>
  <si>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</si>
  <si>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</si>
  <si>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L20230718001</t>
  </si>
  <si>
    <t>PCDN-网盘-移动</t>
  </si>
  <si>
    <t>网盘PCDN本电_ANT_移动</t>
  </si>
  <si>
    <t>2.计费方式：月95；
3.包头系数：1；
4.进制：1000；</t>
  </si>
  <si>
    <t>bdpcdn_wangpan_bendian_ant_cm</t>
  </si>
  <si>
    <t>PCDN-网盘-电联</t>
  </si>
  <si>
    <t>网盘PCDN本电_ANT_电联</t>
  </si>
  <si>
    <t>bdpcdn_wangpan_bendian_ant_cu_ct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</si>
  <si>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</si>
  <si>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</si>
  <si>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</si>
  <si>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</si>
  <si>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</si>
  <si>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</si>
  <si>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</si>
  <si>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</si>
  <si>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</si>
  <si>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</si>
  <si>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L20230801016</t>
  </si>
  <si>
    <t>白山-xcdn汇聚</t>
  </si>
  <si>
    <t>302PCDN_白山_汇聚_非移动</t>
  </si>
  <si>
    <t>20230801，计费模式：日95月均
包头：0
进制：1000</t>
  </si>
  <si>
    <t>bd302pcdn_baishan_not_special_not_cmnet</t>
  </si>
  <si>
    <t>302PCDN_白山_汇聚_移动</t>
  </si>
  <si>
    <t>bd302pcdn_baishan_not_special_cmnet</t>
  </si>
  <si>
    <t>L20230821003</t>
  </si>
  <si>
    <t>途说_快手_非电信</t>
  </si>
  <si>
    <t>tushuo_kuaishou</t>
  </si>
  <si>
    <t>华北-lijia</t>
  </si>
  <si>
    <t>杨星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</si>
  <si>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</si>
  <si>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</si>
  <si>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</si>
  <si>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</si>
  <si>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</si>
  <si>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</si>
  <si>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</si>
  <si>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</si>
  <si>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</si>
  <si>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</si>
  <si>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</si>
  <si>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</si>
  <si>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</si>
  <si>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</si>
  <si>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182115IDC00034</t>
  </si>
  <si>
    <t>窦店</t>
  </si>
  <si>
    <t>按中值计提，经SYS确认，2021年2月5日，CQ02的20G退租，土城40G迁移至窦店40G，颗粒度100M，保底4G；3%以内乙方数据为准，3%-5%取中值。</t>
  </si>
  <si>
    <t>M1-CU-BGP-1</t>
  </si>
  <si>
    <t>L20230630005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</si>
  <si>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</si>
  <si>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</si>
  <si>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</si>
  <si>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</si>
  <si>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</si>
  <si>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</si>
  <si>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</si>
  <si>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</si>
  <si>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</si>
  <si>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</si>
  <si>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</si>
  <si>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</si>
  <si>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</si>
  <si>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</si>
  <si>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</si>
  <si>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</si>
  <si>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</si>
  <si>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</si>
  <si>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</si>
  <si>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</si>
  <si>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</si>
  <si>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</si>
  <si>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</si>
  <si>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</si>
  <si>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</si>
  <si>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</si>
  <si>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</si>
  <si>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</si>
  <si>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</si>
  <si>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</si>
  <si>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</si>
  <si>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</si>
  <si>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</si>
  <si>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</si>
  <si>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</si>
  <si>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</si>
  <si>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</si>
  <si>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</si>
  <si>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</si>
  <si>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</si>
  <si>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</si>
  <si>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</si>
  <si>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21年12月10日开始启用，测试期到12月20日，21日开始计费，颗粒度100M，保底64G</t>
  </si>
  <si>
    <t>BJ3CM</t>
  </si>
  <si>
    <t>182315IDC00391</t>
  </si>
  <si>
    <t>北京4移动</t>
  </si>
  <si>
    <t>CDNBJTT2</t>
  </si>
  <si>
    <t>补202307，计提49.8，运营商51.84，按中值50.78补0.98</t>
  </si>
  <si>
    <t>按保底计提（保底折天）【CDN新建】北京北京移动新建100G  2023-06-02 节点正式上线  (BJ4CM)，颗粒度100M，保底40G</t>
  </si>
  <si>
    <t>BJ4CM</t>
  </si>
  <si>
    <t>崔益泽</t>
  </si>
  <si>
    <t>中电万维信息技术有限责任公司</t>
  </si>
  <si>
    <t>甘肃电信</t>
  </si>
  <si>
    <t>L20230424005</t>
  </si>
  <si>
    <t>兰州9电信</t>
  </si>
  <si>
    <t>2016/8/2,2022/8/31,2023/5/31</t>
  </si>
  <si>
    <t>2023.5.31退租，2022.9.1开始原兰州3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</si>
  <si>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</si>
  <si>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</si>
  <si>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</si>
  <si>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</si>
  <si>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</si>
  <si>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</si>
  <si>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</si>
  <si>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</si>
  <si>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</si>
  <si>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</si>
  <si>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</si>
  <si>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</si>
  <si>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</si>
  <si>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</si>
  <si>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</si>
  <si>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2018/4/27,2023/5/31</t>
  </si>
  <si>
    <t>2023.5.31退租，甘肃电信目前存量720G、合同按集团集约签署11.3万/G/年、实际结算价格为10万/G/年，每万兆保底3G，即48G，100M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</si>
  <si>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</si>
  <si>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</si>
  <si>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</si>
  <si>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</si>
  <si>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</si>
  <si>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</si>
  <si>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</si>
  <si>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</si>
  <si>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80G
-60G</t>
  </si>
  <si>
    <t>202301降价为9500，保底6G,100M</t>
  </si>
  <si>
    <t>MASCT</t>
  </si>
  <si>
    <t>宁夏</t>
  </si>
  <si>
    <t>中国电信股份有限公司宁夏分公司</t>
  </si>
  <si>
    <t>宁夏电信</t>
  </si>
  <si>
    <t>182315IDC00395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</si>
  <si>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</si>
  <si>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</si>
  <si>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</si>
  <si>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</si>
  <si>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</si>
  <si>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</si>
  <si>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</si>
  <si>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40G-10G-20G</t>
  </si>
  <si>
    <t>补202304,，计提10.05，运营商11.08，按中值10.76补0.26</t>
  </si>
  <si>
    <t>补202305,，计提10.05，运营商10.96，按中值10.69补0.19</t>
  </si>
  <si>
    <t>补202307,，计提9.4，运营商9.95，按中值9.67补0.27</t>
  </si>
  <si>
    <t>按中值计提，2023/7/31退租20G，2022/3/31退租10G,保底3G,颗粒度100M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</si>
  <si>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</si>
  <si>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</si>
  <si>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</si>
  <si>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</si>
  <si>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</si>
  <si>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</si>
  <si>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</si>
  <si>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</si>
  <si>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</si>
  <si>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</si>
  <si>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</si>
  <si>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</si>
  <si>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</si>
  <si>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</si>
  <si>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</si>
  <si>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</si>
  <si>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</si>
  <si>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</si>
  <si>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</si>
  <si>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</si>
  <si>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</si>
  <si>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</si>
  <si>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</si>
  <si>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</si>
  <si>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</si>
  <si>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</si>
  <si>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</si>
  <si>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</si>
  <si>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</si>
  <si>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</si>
  <si>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</si>
  <si>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100G
-100G</t>
  </si>
  <si>
    <t>2019/12/31退租。保底35G，颗粒度100M。
原LY2CT的80G合并至LYCT。目前LY2CT的100G即为19.6.25扩容后的100G</t>
  </si>
  <si>
    <t>LY2CT</t>
  </si>
  <si>
    <t>郑州电信</t>
  </si>
  <si>
    <t>182315IDC00275</t>
  </si>
  <si>
    <t>郑州4电信</t>
  </si>
  <si>
    <t>补202307，计提34.29，结算34.57，补0.28</t>
  </si>
  <si>
    <t>商务确认6月5日开始计费，河南郑州电信 增量100G完成业务测试，已于2021-06-04开始正式切流量上线，颗粒度1M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</si>
  <si>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</si>
  <si>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</si>
  <si>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</si>
  <si>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</si>
  <si>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</si>
  <si>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</si>
  <si>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</si>
  <si>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</si>
  <si>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</si>
  <si>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L20230531003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</si>
  <si>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</si>
  <si>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</si>
  <si>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</si>
  <si>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</si>
  <si>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</si>
  <si>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</si>
  <si>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</si>
  <si>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</si>
  <si>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2022/5/31退租140G，从2022.6开始带宽量为60G。5月初赠送100G*7天，100M颗粒度，18G保底；新建节点，费用参考存量节点</t>
  </si>
  <si>
    <t>TY3CT</t>
  </si>
  <si>
    <t>阳泉电信</t>
  </si>
  <si>
    <t>182315IDC00188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</si>
  <si>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</si>
  <si>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</si>
  <si>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</si>
  <si>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</si>
  <si>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</si>
  <si>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</si>
  <si>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</si>
  <si>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</si>
  <si>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</si>
  <si>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</si>
  <si>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</si>
  <si>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</si>
  <si>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按保底计提，21年12月31日退租20G，颗粒度100M，保底10G，超保底收费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</si>
  <si>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</si>
  <si>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</si>
  <si>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</si>
  <si>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</si>
  <si>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</si>
  <si>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</si>
  <si>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</si>
  <si>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</si>
  <si>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</si>
  <si>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</si>
  <si>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</si>
  <si>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</si>
  <si>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</si>
  <si>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</si>
  <si>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</si>
  <si>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</si>
  <si>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</si>
  <si>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</si>
  <si>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</si>
  <si>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按保底计提，2022/9/1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</si>
  <si>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</si>
  <si>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</si>
  <si>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</si>
  <si>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</si>
  <si>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</si>
  <si>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L20230829008</t>
  </si>
  <si>
    <t>DXUN</t>
  </si>
  <si>
    <t>定西联通</t>
  </si>
  <si>
    <t>CDNDXUN</t>
  </si>
  <si>
    <t>【CDN新建】甘肃定西联通  2023-08-01  新建20G节点正式上线  (DXUN)，23.8.1开始计费，免费节点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</si>
  <si>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</si>
  <si>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</si>
  <si>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</si>
  <si>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</si>
  <si>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</si>
  <si>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</si>
  <si>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按中值计提，2022/5/31退租40G，从2022.6开始带宽量为40G，共保底12G，颗粒度100M
TCO机房：合肥联通+合肥2联通合并计费</t>
  </si>
  <si>
    <t>HF2UN</t>
  </si>
  <si>
    <t>L20230427002</t>
  </si>
  <si>
    <t>合肥3联通</t>
  </si>
  <si>
    <t>CDNHFUN</t>
  </si>
  <si>
    <t>2023/4/1
2023/5/1
2023/5/12
2023/5/31
2023/6/1</t>
  </si>
  <si>
    <t>1G+20G+30G-1G+150G</t>
  </si>
  <si>
    <t>按中值计提，1+20+30-1+150,【BEC新建】合肥联通新建1G 2023-4-1节点正式上线 (HF3UN)</t>
  </si>
  <si>
    <t>HF3UN</t>
  </si>
  <si>
    <t>合肥4联通</t>
  </si>
  <si>
    <t>CDNHFUN2</t>
  </si>
  <si>
    <t>40G-20G</t>
  </si>
  <si>
    <t>6.1-8.15免费，2023.7.31退租20G，【CDN新建】安徽合肥联通新建40G  2023-06-01 节点正式上线  (HF4UN)</t>
  </si>
  <si>
    <t>HF4UN</t>
  </si>
  <si>
    <t>中国联合网络通信有限公司马鞍山市分公司</t>
  </si>
  <si>
    <t>马鞍山联通</t>
  </si>
  <si>
    <t>L20230601002</t>
  </si>
  <si>
    <t>马鞍山</t>
  </si>
  <si>
    <t>CDNMASUN</t>
  </si>
  <si>
    <t>2023/5/1
2023/6/30</t>
  </si>
  <si>
    <t>240G-120G</t>
  </si>
  <si>
    <t>按保底计提，【CDN新建】马鞍山联通 新建240G 2023-05-01 节点正式上线 (MASUN)，颗粒度100M，保底72G，6月30日退租120G</t>
  </si>
  <si>
    <t>MASUN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</si>
  <si>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</si>
  <si>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</si>
  <si>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</si>
  <si>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</si>
  <si>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</si>
  <si>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</si>
  <si>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
-20G</t>
  </si>
  <si>
    <t>23年4月30日退租20G。从19.11.1开始只剩SSL20G，1M颗粒，保底30%，即6G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</si>
  <si>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</si>
  <si>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</si>
  <si>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</si>
  <si>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</si>
  <si>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</si>
  <si>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</si>
  <si>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</si>
  <si>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</si>
  <si>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</si>
  <si>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</si>
  <si>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</si>
  <si>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</si>
  <si>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</si>
  <si>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</si>
  <si>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</si>
  <si>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</si>
  <si>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</si>
  <si>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</si>
  <si>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</si>
  <si>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</si>
  <si>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</si>
  <si>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</si>
  <si>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</si>
  <si>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</si>
  <si>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</si>
  <si>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</si>
  <si>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</si>
  <si>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</si>
  <si>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</si>
  <si>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</si>
  <si>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</si>
  <si>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按保底计提，2022/5/31退租60G，2022.6开始带宽量为100G。30G保底，1M颗粒度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</si>
  <si>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</si>
  <si>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</si>
  <si>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</si>
  <si>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</si>
  <si>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</si>
  <si>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</si>
  <si>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</si>
  <si>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</si>
  <si>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</si>
  <si>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</si>
  <si>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</si>
  <si>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</si>
  <si>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</si>
  <si>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</si>
  <si>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</si>
  <si>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</si>
  <si>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182315IDC00307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</si>
  <si>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</si>
  <si>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</si>
  <si>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</si>
  <si>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</si>
  <si>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</si>
  <si>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</si>
  <si>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L20230531002</t>
  </si>
  <si>
    <t>临汾</t>
  </si>
  <si>
    <t>2018/8/2
2022/7/13</t>
  </si>
  <si>
    <t>160G-160G
220G</t>
  </si>
  <si>
    <t>23年8-9月免费，2022/7/13 LINF2UN 120G带宽迁移至LINFUN。2020年3`5月免费。按照联通集约价格计提。与临汾2合并计费，颗粒度100M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</si>
  <si>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</si>
  <si>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</si>
  <si>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</si>
  <si>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</si>
  <si>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</si>
  <si>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</si>
  <si>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</si>
  <si>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</si>
  <si>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</si>
  <si>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
2023/7/31</t>
  </si>
  <si>
    <t>80G-40G-40G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</si>
  <si>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</si>
  <si>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</si>
  <si>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L20230529001</t>
  </si>
  <si>
    <t>临汾4联通</t>
  </si>
  <si>
    <t>CDNLINFUN2</t>
  </si>
  <si>
    <t>【CDN新建】BEC临汾联通新增200G LINF4UN,开始计费时间23年5月1日，颗粒度100M，保底60G</t>
  </si>
  <si>
    <t>LINF4UN</t>
  </si>
  <si>
    <t>中国联合网络通信有限公司太原市分公司</t>
  </si>
  <si>
    <t>山西联通</t>
  </si>
  <si>
    <t>L20230424004</t>
  </si>
  <si>
    <t>太原
TY2UN</t>
  </si>
  <si>
    <t>太原联通</t>
  </si>
  <si>
    <t>2013/3/21
2022/3/31
2022/7/31</t>
  </si>
  <si>
    <t>160G
-40G
-40G</t>
  </si>
  <si>
    <t>2023.05-2023.07.15免费，2022/7/31退租40G，2022/3/31退租40G，202104开始计费，合同满一年赠送1个月，100M颗粒，48G保底，送800个IP。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</si>
  <si>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</si>
  <si>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</si>
  <si>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</si>
  <si>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182115IDC00359</t>
  </si>
  <si>
    <t>CDNXNUN2</t>
  </si>
  <si>
    <t>2018/11/25
2019/10/1
2020/1/31
2021/5/31</t>
  </si>
  <si>
    <t>40G60G-60G-20G</t>
  </si>
  <si>
    <t>补202305，计提6.5，结算6.65，补0.15</t>
  </si>
  <si>
    <t>补202306，计提6，结算6.07，补0.07</t>
  </si>
  <si>
    <t>补202307，计提8.3，结算8.43，补0.13</t>
  </si>
  <si>
    <t>按保底计提，5月31日退租两个万兆，剩余20G，保底6G（1）颗粒度100M，保底12G；（2）需要注意周睿发邮件20200131退租60G；（3）扩容60G20191001开始计费，存量同时降价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</si>
  <si>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</si>
  <si>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</si>
  <si>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</si>
  <si>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</si>
  <si>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</si>
  <si>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</si>
  <si>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</si>
  <si>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</si>
  <si>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补202307，计提69.9，结算71.8，补1.9</t>
  </si>
  <si>
    <t>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</si>
  <si>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</si>
  <si>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</si>
  <si>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</si>
  <si>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182315IDC00256</t>
  </si>
  <si>
    <t>中卫
ZWUN</t>
  </si>
  <si>
    <t>中卫联通</t>
  </si>
  <si>
    <t>2018/1/5
2023/6/30</t>
  </si>
  <si>
    <t>按保底计提，100M颗粒，保底12G,2023/6/30退租20G</t>
  </si>
  <si>
    <t>ZWUN</t>
  </si>
  <si>
    <t>L20230727010</t>
  </si>
  <si>
    <t>中卫ZW2UN</t>
  </si>
  <si>
    <t>中卫2联通</t>
  </si>
  <si>
    <t>CDNZWUN2</t>
  </si>
  <si>
    <t>【BEC新建】BEC宁夏中卫联通新建160G  2023-06-29节点正式上线  (ZW2UN)，7月10日开始计费</t>
  </si>
  <si>
    <t>ZW2UN</t>
  </si>
  <si>
    <t>中国移动通信集团安徽有限公司</t>
  </si>
  <si>
    <t>合肥移动</t>
  </si>
  <si>
    <t>L20230630012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</si>
  <si>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</si>
  <si>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</si>
  <si>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</si>
  <si>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</si>
  <si>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</si>
  <si>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</si>
  <si>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</si>
  <si>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</si>
  <si>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</si>
  <si>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</si>
  <si>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</si>
  <si>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</si>
  <si>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</si>
  <si>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</si>
  <si>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</si>
  <si>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180G
-160G</t>
  </si>
  <si>
    <t>2023.6.1BEC安徽合肥2移动所有资源全部转交给CDN部署使用，2022/6/30【CDN退租】CDN安徽合肥移动退租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</si>
  <si>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</si>
  <si>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</si>
  <si>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</si>
  <si>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2019/5/25
2023/4/30</t>
  </si>
  <si>
    <t>120G-100G</t>
  </si>
  <si>
    <t>2023.6.1BEC安徽合肥2移动所有资源全部转交给CDN部署使用，2023.4.30CDN退租资源：带宽100G，计费颗粒10M。保底40%,即48G。合肥移动 合肥2移动合并计费，合并保底56G</t>
  </si>
  <si>
    <t>HF2CM</t>
  </si>
  <si>
    <t>淮南9移动</t>
  </si>
  <si>
    <t>CDNHNCM2</t>
  </si>
  <si>
    <t>按保底计提，【BEC新建】淮南移动新建200G(HN9CM)，（蚌埠对账）正式计费日期为2022年11月8日</t>
  </si>
  <si>
    <t>HN9CM</t>
  </si>
  <si>
    <t>淮南10移动</t>
  </si>
  <si>
    <t>按保底计提，【BEC新建】淮南移动新建200G(HN10CM)，（亳州对账）正式计费日期为2022年11月1日，对账折算天数，计费23天</t>
  </si>
  <si>
    <t>HN10CM</t>
  </si>
  <si>
    <t>中国移动通信集团甘肃有限公司</t>
  </si>
  <si>
    <t>兰州移动</t>
  </si>
  <si>
    <t>182315IDC00149</t>
  </si>
  <si>
    <t>兰州
LZ3CM</t>
  </si>
  <si>
    <t>兰州3移动</t>
  </si>
  <si>
    <t>CDNLZCM3</t>
  </si>
  <si>
    <t xml:space="preserve">2019/2/1，2020/3/31，2021/9/6，2022/2/1,2022/4/30，2022/6/30，2023/4/30，2023/7/31
</t>
  </si>
  <si>
    <t>200G-100G+200G+100G-100G-60G-180G-30G</t>
  </si>
  <si>
    <t>补202305，计提28.83，结算28.87，补0.04</t>
  </si>
  <si>
    <t>L20230630010</t>
  </si>
  <si>
    <t>2023.7.31退租30G(LZ3CM)，2023.4.30退租180G(LZ3CM)，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</si>
  <si>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</si>
  <si>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L20230829007</t>
  </si>
  <si>
    <t>兰州5移动</t>
  </si>
  <si>
    <t>【BEC新建】BEC甘肃兰州移动新建100G 2023-7-28 节点正式上线 (BECLZ5CM)，开始计费时间8月1日。</t>
  </si>
  <si>
    <t>LZ5CM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</si>
  <si>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</si>
  <si>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</si>
  <si>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</si>
  <si>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</si>
  <si>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</si>
  <si>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</si>
  <si>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</si>
  <si>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</si>
  <si>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AY2CM</t>
  </si>
  <si>
    <t>安阳 AYCM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</si>
  <si>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</si>
  <si>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</si>
  <si>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</si>
  <si>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</si>
  <si>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</si>
  <si>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</si>
  <si>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</si>
  <si>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</si>
  <si>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</si>
  <si>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</si>
  <si>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</si>
  <si>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</si>
  <si>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L20230630015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</si>
  <si>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</si>
  <si>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</si>
  <si>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</si>
  <si>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</si>
  <si>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</si>
  <si>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</si>
  <si>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</si>
  <si>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</si>
  <si>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补202307，计提48.86，运营商48.92，按中值48.89补0.03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</si>
  <si>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</si>
  <si>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</si>
  <si>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</si>
  <si>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</si>
  <si>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</si>
  <si>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</si>
  <si>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补202307，计提105.74，运营商107.46，按中值106.6补0.86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</si>
  <si>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</si>
  <si>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</si>
  <si>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L20230628004</t>
  </si>
  <si>
    <t>郑州7移动</t>
  </si>
  <si>
    <t>CDNZZCM2</t>
  </si>
  <si>
    <t>【CDN新建】河南郑州移动  新建200G  2023-07-01 节点正式上线  (ZZ7CM)</t>
  </si>
  <si>
    <t>ZZ7CM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</si>
  <si>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</si>
  <si>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</si>
  <si>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</si>
  <si>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</si>
  <si>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</si>
  <si>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2022/6/30,2023/6/30</t>
  </si>
  <si>
    <t>200G+100G
-100G-200G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</si>
  <si>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</si>
  <si>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</si>
  <si>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L20230829010</t>
  </si>
  <si>
    <t>郑州8移动</t>
  </si>
  <si>
    <t>CDNZZCM3</t>
  </si>
  <si>
    <t xml:space="preserve"> 【CDN新建】河南郑州移动  新建30G  2023-08-04 节点正式上线  (ZZ8CM)，2023.8.4开始计费，免费节点，免费12个月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</si>
  <si>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</si>
  <si>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</si>
  <si>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</si>
  <si>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</si>
  <si>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</si>
  <si>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</si>
  <si>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</si>
  <si>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</si>
  <si>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</si>
  <si>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</si>
  <si>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L20230727012</t>
  </si>
  <si>
    <t>安阳</t>
  </si>
  <si>
    <t>安阳3移动</t>
  </si>
  <si>
    <t>CDNAYCM</t>
  </si>
  <si>
    <t>按保底计提，【BEC新建】BEC河南安阳移动新建200G  (BECAY3CM )，2023-7-6 节点正式计费</t>
  </si>
  <si>
    <t>AY3CM</t>
  </si>
  <si>
    <t>L20230727013</t>
  </si>
  <si>
    <t>漯河</t>
  </si>
  <si>
    <t>漯河2移动</t>
  </si>
  <si>
    <t>CDNLHCM</t>
  </si>
  <si>
    <t>【BEC新建】BEC河南漯河移动扩容200G (LH2CM)， 2023-07-8节点正式计费</t>
  </si>
  <si>
    <t>LH2CM</t>
  </si>
  <si>
    <t>中国移动通信集团宁夏有限公司</t>
  </si>
  <si>
    <t>宁夏移动</t>
  </si>
  <si>
    <t>L20230630016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</si>
  <si>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</si>
  <si>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</si>
  <si>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</si>
  <si>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</si>
  <si>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</si>
  <si>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</si>
  <si>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</si>
  <si>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</si>
  <si>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</si>
  <si>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</si>
  <si>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 xml:space="preserve">CDN带宽 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</si>
  <si>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</si>
  <si>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</si>
  <si>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</si>
  <si>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</si>
  <si>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</si>
  <si>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</si>
  <si>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</si>
  <si>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</si>
  <si>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</si>
  <si>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</si>
  <si>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</si>
  <si>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</si>
  <si>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</si>
  <si>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</si>
  <si>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</si>
  <si>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</si>
  <si>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</si>
  <si>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</si>
  <si>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</si>
  <si>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</si>
  <si>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</si>
  <si>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</si>
  <si>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</si>
  <si>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</si>
  <si>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</si>
  <si>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</si>
  <si>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</si>
  <si>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</si>
  <si>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182315IDC00143 </t>
  </si>
  <si>
    <t>2019/1/19
2020/1/1</t>
  </si>
  <si>
    <t>40G+
30G</t>
  </si>
  <si>
    <t>补202305，计提29.85，结算29.9，补0.05</t>
  </si>
  <si>
    <t>L20230630013</t>
  </si>
  <si>
    <t>颗粒度10M，保底28G</t>
  </si>
  <si>
    <t>XNCM</t>
  </si>
  <si>
    <t>中国移动通信集团山西有限公司</t>
  </si>
  <si>
    <t>山西移动</t>
  </si>
  <si>
    <t>L20230630014</t>
  </si>
  <si>
    <t>太原4
TY4CM
TYCMGROUP</t>
  </si>
  <si>
    <t>太原4移动</t>
  </si>
  <si>
    <t>2018/8/27
2020/7/1
2022/4/30</t>
  </si>
  <si>
    <t>80G+80G+160G
(TY5CM)-160G</t>
  </si>
  <si>
    <t>补202307，计提66.04，结算66.09，补0.05</t>
  </si>
  <si>
    <t>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</si>
  <si>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</si>
  <si>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</si>
  <si>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</si>
  <si>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</si>
  <si>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太原10移动</t>
  </si>
  <si>
    <t>360G</t>
  </si>
  <si>
    <t>补202307，计提182.89，结算183.46，补0.57</t>
  </si>
  <si>
    <t>按中值计提，【BEC新建】太原移动新建360G 2023-1-1节点正式上线  (TY10CM)，</t>
  </si>
  <si>
    <t>TY10CM</t>
  </si>
  <si>
    <t>阳泉</t>
  </si>
  <si>
    <t>YQ01-移动</t>
  </si>
  <si>
    <t>补202307，计提64.83，结算66.7，补1.87</t>
  </si>
  <si>
    <t>按保底计提，YQ01移动出口带宽160G开通，于2023-3-1日开通，CDN代静态，保底64G，颗粒度10M，</t>
  </si>
  <si>
    <t>YQ01-CM-ST-1</t>
  </si>
  <si>
    <t>L20230829006</t>
  </si>
  <si>
    <t>太原11移动</t>
  </si>
  <si>
    <t>CDNTYCM3</t>
  </si>
  <si>
    <t>【BEC新建】BEC山西太原移动新建200G 2023-8-1 节点正式上线 (BECTY11CM)，新增200G，开始计费时间2023.8.1</t>
  </si>
  <si>
    <t>TY11CM</t>
  </si>
  <si>
    <t>阳泉移动</t>
  </si>
  <si>
    <t>L20211230024</t>
  </si>
  <si>
    <t>阳泉
YQ01-MOBCOM</t>
  </si>
  <si>
    <t>于2021.3.31退租。保底80G ，100M 颗粒度。2020-3-25扩容100G</t>
  </si>
  <si>
    <t>YQ01-MOBCOM</t>
  </si>
  <si>
    <t>中国移动通信集团西藏有限公司</t>
  </si>
  <si>
    <t>拉萨移动</t>
  </si>
  <si>
    <t>L20230630008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</si>
  <si>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</si>
  <si>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</si>
  <si>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</si>
  <si>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</si>
  <si>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</si>
  <si>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</si>
  <si>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</si>
  <si>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</si>
  <si>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</si>
  <si>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</si>
  <si>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</si>
  <si>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</si>
  <si>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</si>
  <si>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</si>
  <si>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</si>
  <si>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</si>
  <si>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</si>
  <si>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</si>
  <si>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</si>
  <si>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</si>
  <si>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按保底计提，颗粒度100M；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</si>
  <si>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</si>
  <si>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</si>
  <si>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</si>
  <si>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</si>
  <si>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</si>
  <si>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</si>
  <si>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</si>
  <si>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保底60G，100M。60G按9500结算，剩余按8691.67结算。</t>
  </si>
  <si>
    <t>XAFJ-CT-ST-1</t>
  </si>
  <si>
    <t>中国电信股份有限公司云计算（陕西）基地</t>
  </si>
  <si>
    <t>L20230731015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</si>
  <si>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</si>
  <si>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</si>
  <si>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</si>
  <si>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</si>
  <si>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</si>
  <si>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</si>
  <si>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</si>
  <si>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</si>
  <si>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</si>
  <si>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</si>
  <si>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</si>
  <si>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</si>
  <si>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</si>
  <si>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</si>
  <si>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</si>
  <si>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按中值计提，保底120G,100M;2021.9.1扩容160G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</si>
  <si>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</si>
  <si>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</si>
  <si>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</si>
  <si>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</si>
  <si>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</si>
  <si>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</si>
  <si>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</si>
  <si>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</si>
  <si>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</si>
  <si>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</si>
  <si>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</si>
  <si>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</si>
  <si>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</si>
  <si>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</si>
  <si>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</si>
  <si>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</si>
  <si>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按中值计提，保底112G，100M。无合同。陕西新建三线，2020/9/10切量上线，2020/9/20开始计费;2021.4.16扩容120G于2021.5.1开始计费；</t>
  </si>
  <si>
    <t>L20230824003</t>
  </si>
  <si>
    <t>咸阳电信</t>
  </si>
  <si>
    <t>CDNXYCT</t>
  </si>
  <si>
    <t>按中值计提，【CDN新建】陕西咸阳电信新建200G  2023-06-01 节点正式上线  (XYCT)，颗粒度100M，保底60G</t>
  </si>
  <si>
    <t>XYCT</t>
  </si>
  <si>
    <t>中国联合网络通信有限公司陕西省分公司</t>
  </si>
  <si>
    <t>陕西联通</t>
  </si>
  <si>
    <t>L20230531004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</si>
  <si>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</si>
  <si>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</si>
  <si>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</si>
  <si>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</si>
  <si>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</si>
  <si>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</si>
  <si>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</si>
  <si>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</si>
  <si>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</si>
  <si>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</si>
  <si>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</si>
  <si>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按均值计提，10M颗粒度，60G保底；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</si>
  <si>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</si>
  <si>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</si>
  <si>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</si>
  <si>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</si>
  <si>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</si>
  <si>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</si>
  <si>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</si>
  <si>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</si>
  <si>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按均值计提，与西安三级联通合并保底108G；100M颗粒度;2021.4.30开通，2021.5.1开始计费。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</si>
  <si>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</si>
  <si>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</si>
  <si>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</si>
  <si>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L20230731017</t>
  </si>
  <si>
    <t>西安联通二级</t>
  </si>
  <si>
    <t>2021/8/11
2021/10/9</t>
  </si>
  <si>
    <t>160G
+140G</t>
  </si>
  <si>
    <t>按均值计提，90G保底，100M颗粒。陕西西安联通二级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</si>
  <si>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</si>
  <si>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</si>
  <si>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</si>
  <si>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L20230630006</t>
  </si>
  <si>
    <t>XAIXCM</t>
  </si>
  <si>
    <t>西安三级移动</t>
  </si>
  <si>
    <t>2020/9/10
2020/12/31
2021/4/23</t>
  </si>
  <si>
    <t>160G+40G+60G</t>
  </si>
  <si>
    <t>补202307，计提105.13，结算105.9，补0.77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</si>
  <si>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</si>
  <si>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</si>
  <si>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</si>
  <si>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L20230630011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</si>
  <si>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</si>
  <si>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</si>
  <si>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</si>
  <si>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</si>
  <si>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</si>
  <si>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</si>
  <si>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</si>
  <si>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</si>
  <si>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</si>
  <si>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</si>
  <si>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</si>
  <si>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</si>
  <si>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</si>
  <si>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</si>
  <si>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</si>
  <si>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</si>
  <si>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</si>
  <si>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L20230630009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</si>
  <si>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</si>
  <si>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</si>
  <si>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</si>
  <si>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</si>
  <si>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</si>
  <si>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</si>
  <si>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</si>
  <si>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</si>
  <si>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每月注意计提价格，保底30G，颗粒度100M。
95计费流量&lt;=40G 单价19500元；
（40G-60G】单价18000元;
（60G-80G】单价16500元；
&gt;80G；单价15000元</t>
  </si>
  <si>
    <t>XAKY-MOBCOM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</si>
  <si>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</si>
  <si>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</si>
  <si>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</si>
  <si>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</si>
  <si>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</si>
  <si>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</si>
  <si>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</si>
  <si>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</si>
  <si>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</si>
  <si>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</si>
  <si>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</si>
  <si>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补202307，计提216.13，运营商223.78，按中值219.96补3.82</t>
  </si>
  <si>
    <t>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</si>
  <si>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</si>
  <si>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中国电信股份有限公司乌鲁木齐分公司</t>
  </si>
  <si>
    <t>乌鲁木齐电信</t>
  </si>
  <si>
    <t>L20220829004</t>
  </si>
  <si>
    <t>按保底计提，颗粒度100M，保底8G；差异：0-1以甲方为准，1-3取中值，超出协商；2022.9.1开始执行9600元/月/G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</si>
  <si>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</si>
  <si>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</si>
  <si>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</si>
  <si>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</si>
  <si>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</si>
  <si>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内蒙</t>
  </si>
  <si>
    <t>中国联合网络通信有限公司阿拉善盟分公司</t>
  </si>
  <si>
    <t>阿拉善联通</t>
  </si>
  <si>
    <t>182115IDC00192</t>
  </si>
  <si>
    <t>阿盟机房3</t>
  </si>
  <si>
    <t>阿拉善3联通</t>
  </si>
  <si>
    <t>2018/12/25
2020/10/1
2021/6/30</t>
  </si>
  <si>
    <t>120G
+40G
-40</t>
  </si>
  <si>
    <t>补202307，计提37.7，结算38.4，补0.7</t>
  </si>
  <si>
    <t>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</si>
  <si>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</si>
  <si>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</si>
  <si>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</si>
  <si>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</si>
  <si>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</si>
  <si>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</si>
  <si>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</si>
  <si>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</si>
  <si>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补202307，计提14.2，结算14.4，补0.2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</si>
  <si>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</si>
  <si>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</si>
  <si>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</si>
  <si>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</si>
  <si>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</si>
  <si>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L20230628002</t>
  </si>
  <si>
    <t>呼和浩特5联通</t>
  </si>
  <si>
    <t>【CDN新建】内蒙古呼和浩特联通  新建40G  2023-06-01 节点正式上线  (HHHT5UN)，免费节点，100M</t>
  </si>
  <si>
    <t>HHHT5UN</t>
  </si>
  <si>
    <t>中国联合网络通信有限公司新疆维吾尔自治区分公司</t>
  </si>
  <si>
    <t>新疆联通</t>
  </si>
  <si>
    <t>182115IDC00596</t>
  </si>
  <si>
    <t>乌鲁木齐联通</t>
  </si>
  <si>
    <t>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</si>
  <si>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</si>
  <si>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中国移动通信集团内蒙古有限公司包头分公司</t>
  </si>
  <si>
    <t>包头移动</t>
  </si>
  <si>
    <t>L20230630018</t>
  </si>
  <si>
    <t>呼和浩特3</t>
  </si>
  <si>
    <t>呼和浩特3移动</t>
  </si>
  <si>
    <t>2018/12/25
2020/7/1</t>
  </si>
  <si>
    <t>补202307，计提49.6，运营商50.21，按中值49.91补0.31</t>
  </si>
  <si>
    <t>需要注意20200701扩容40G，颗粒度10M，保底48G；20200101保底40%；3%以内取中值，超出协商</t>
  </si>
  <si>
    <t>HHHT3CM</t>
  </si>
  <si>
    <t>中国移动通信集团新疆有限公司</t>
  </si>
  <si>
    <t>新疆移动</t>
  </si>
  <si>
    <t>L20230630017</t>
  </si>
  <si>
    <t>克拉玛依</t>
  </si>
  <si>
    <t>克拉玛依4移动</t>
  </si>
  <si>
    <t>2020/3/1
2020/6/29
2020/8/6</t>
  </si>
  <si>
    <t>30G+
30G+20G</t>
  </si>
  <si>
    <t>补202307，计提32.02，结算32.23，补0.21</t>
  </si>
  <si>
    <t>按保底计提，颗粒度10M，保底32G；需要注意20200806扩容20G，需要注意20200701开始价格为6100，20200629扩容30G。</t>
  </si>
  <si>
    <t>KLMY4CM</t>
  </si>
  <si>
    <t>中国电信集团有限公司大连分公司</t>
  </si>
  <si>
    <t>大连电信</t>
  </si>
  <si>
    <t>L20230731018</t>
  </si>
  <si>
    <t>大连2电信</t>
  </si>
  <si>
    <t>按保底计提，颗粒度1M,保底12G。差异：1%以内以甲方为准，1%~3%取中值，超出协商;2022.6.1起带宽降价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</si>
  <si>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</si>
  <si>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</si>
  <si>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</si>
  <si>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182315IDC00219</t>
  </si>
  <si>
    <t>2018/10/14
2022/5/31</t>
  </si>
  <si>
    <t>按保底计提，2021.10降价，2021.11-12免费（80G），2022.5.31退租60G；颗粒度1M，保底6G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</si>
  <si>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</si>
  <si>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</si>
  <si>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</si>
  <si>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</si>
  <si>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</si>
  <si>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</si>
  <si>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</si>
  <si>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</si>
  <si>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</si>
  <si>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2017/12/25
2023/5/31</t>
  </si>
  <si>
    <t>2023.5.31退租，颗粒度1M，保底12G；差异解决条款：双方协商</t>
  </si>
  <si>
    <t>SYCT</t>
  </si>
  <si>
    <t>沈阳2电信</t>
  </si>
  <si>
    <t>2021/4/1
2023/5/31</t>
  </si>
  <si>
    <t>2023.5.31退租，颗粒度1M，保底12G；免费到期后转为低价节点，确定继续使用，2021年6月1日开始计费，带宽价格是9833/2=4917元。202104-05临时新建40G带宽，免费；自2022.6.1起正常对账。差异解决条款：双方协商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</si>
  <si>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</si>
  <si>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</si>
  <si>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</si>
  <si>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</si>
  <si>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</si>
  <si>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</si>
  <si>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</si>
  <si>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</si>
  <si>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按中值计提，（1）颗粒度100M，保底39G；（2）sys反馈160，但是此节点已经下线，应该是tjctcache在用；2022.6.1起SY4CT节点剩余30G合并至此节点。差异：双方协商。190G带宽，免费60G，保底按130G计算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</si>
  <si>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</si>
  <si>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</si>
  <si>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</si>
  <si>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</si>
  <si>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</si>
  <si>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</si>
  <si>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</si>
  <si>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</si>
  <si>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</si>
  <si>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</si>
  <si>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</si>
  <si>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</si>
  <si>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</si>
  <si>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按实际流量计提，颗粒度100M，保底3G，从2021年5月计提开始按照实际流量计提费用；差异：双方协商。运营商对账，SSL节点与天津4电信节点合并给流量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</si>
  <si>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</si>
  <si>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</si>
  <si>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</si>
  <si>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L20230731016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</si>
  <si>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</si>
  <si>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</si>
  <si>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</si>
  <si>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</si>
  <si>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</si>
  <si>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</si>
  <si>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按保底计提，颗粒度1M，保底12G；20200923长春2电信合并至长春4电信计费；2022.5.31退租40G带宽；差异：1%以内以百度为准，1%~3%取中值，超出协商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</si>
  <si>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</si>
  <si>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</si>
  <si>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</si>
  <si>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</si>
  <si>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</si>
  <si>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</si>
  <si>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中国联合网络通信有限公司鹤岗市分公司</t>
  </si>
  <si>
    <t>鹤岗联通</t>
  </si>
  <si>
    <t>182115IDC00030</t>
  </si>
  <si>
    <t>鹤岗2联通</t>
  </si>
  <si>
    <t>2018/8/13
2018/9/15</t>
  </si>
  <si>
    <t>40G+80G-40G</t>
  </si>
  <si>
    <t xml:space="preserve">我方流量不足保底，按保底计提，2023.7.31退租40G，需要注意202001-02不计费，颗粒度100M，保底36G；40G资源9.13开始计费；80G资源10.15开始计费；差异条款：0-5取中值、超出协商
</t>
  </si>
  <si>
    <t>HG2UN</t>
  </si>
  <si>
    <t>L20230222003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</si>
  <si>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</si>
  <si>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</si>
  <si>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</si>
  <si>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</si>
  <si>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</si>
  <si>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</si>
  <si>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</si>
  <si>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</si>
  <si>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L20230829002</t>
  </si>
  <si>
    <t>鹤岗5联通</t>
  </si>
  <si>
    <t>CDNHGUN</t>
  </si>
  <si>
    <t>【CDN新建】黑龙江鹤岗联通新建60G  2023-08-01 节点正式上线  (HG5UN)，免费节点，免费12个月</t>
  </si>
  <si>
    <t>HG5UN</t>
  </si>
  <si>
    <t>中国联合网络通信有限公司鸡西市分公司</t>
  </si>
  <si>
    <t>鸡西联通</t>
  </si>
  <si>
    <t>L20230222004</t>
  </si>
  <si>
    <t>鸡西</t>
  </si>
  <si>
    <t>2018/6/25
2019/1/25
2023/7/31</t>
  </si>
  <si>
    <t>40G-40G
60G-60G-40G</t>
  </si>
  <si>
    <t>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</si>
  <si>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</si>
  <si>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</si>
  <si>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</si>
  <si>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</si>
  <si>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</si>
  <si>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</si>
  <si>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</si>
  <si>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</si>
  <si>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</si>
  <si>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</si>
  <si>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</si>
  <si>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</si>
  <si>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182115IDC00440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</si>
  <si>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</si>
  <si>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</si>
  <si>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</si>
  <si>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</si>
  <si>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</si>
  <si>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</si>
  <si>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</si>
  <si>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</si>
  <si>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</si>
  <si>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</si>
  <si>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</si>
  <si>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</si>
  <si>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</si>
  <si>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</si>
  <si>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</si>
  <si>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</si>
  <si>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</si>
  <si>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</si>
  <si>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</si>
  <si>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</si>
  <si>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</si>
  <si>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</si>
  <si>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</si>
  <si>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</si>
  <si>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</si>
  <si>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</si>
  <si>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</si>
  <si>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</si>
  <si>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</si>
  <si>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</si>
  <si>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</si>
  <si>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</si>
  <si>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按实际流量计提，2021.7.15开通10G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</si>
  <si>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</si>
  <si>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</si>
  <si>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</si>
  <si>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</si>
  <si>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</si>
  <si>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</si>
  <si>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</si>
  <si>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</si>
  <si>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2023/1/1
2023/4/30</t>
  </si>
  <si>
    <t>400G-200G</t>
  </si>
  <si>
    <t>按保底计提，TJ7UN节点，2023.1.1开通400G带宽，BEC使用。100M颗粒度，120G保底。差异：0~3取甲方，超出协商</t>
  </si>
  <si>
    <t>TJ7UN</t>
  </si>
  <si>
    <t>L20230531001</t>
  </si>
  <si>
    <t>天津8BEC</t>
  </si>
  <si>
    <t>天津8联通</t>
  </si>
  <si>
    <t>130G</t>
  </si>
  <si>
    <t>【CDN新建】BEC天津联通新建130G2023-05-12节点开始计费  (TJ8UN)</t>
  </si>
  <si>
    <t>TJ8UN</t>
  </si>
  <si>
    <t>天津9BEC</t>
  </si>
  <si>
    <t>天津9联通</t>
  </si>
  <si>
    <t>【CDN新建】BEC天津联通新建180G2023-05-12节点开始计费  (TJ9UN)</t>
  </si>
  <si>
    <t>TJ9UN</t>
  </si>
  <si>
    <t>中国移动通信集团黑龙江有限公司</t>
  </si>
  <si>
    <t>黑龙江移动</t>
  </si>
  <si>
    <t>L20230627010</t>
  </si>
  <si>
    <t>哈尔滨2移动</t>
  </si>
  <si>
    <t>2018/7/17
2018/11/9
2020/7/1
2021/10/1
2022/1/1
2022/6/30
2022/7/31
2023/5/31</t>
  </si>
  <si>
    <t>60G
+80G
+80G
+100G
+100G
-80G
-120G
-60G</t>
  </si>
  <si>
    <t>2023/5/31退60G，挪到HRB5CM，颗粒度10M，保底44G；
2022.12.1开始BEC迁移80G至CDN，CDN共使用160G带宽，BEC使用60G带宽；
2023.1.1开始BEC迁移60G至CDN，CDN共使用220G带宽，BEC使用0G带宽</t>
  </si>
  <si>
    <t>HRB2CM</t>
  </si>
  <si>
    <t>L20230627012</t>
  </si>
  <si>
    <t>哈尔滨5移动</t>
  </si>
  <si>
    <t>CDNHEBCM2</t>
  </si>
  <si>
    <t>【CDN新建】黑龙江哈尔滨移动新建140G  2023-06-01 节点正式上线  (HRB5CM)，140G带宽其中 新增扩容为80G  试用原有节点带宽为60G</t>
  </si>
  <si>
    <t>HRB5CM</t>
  </si>
  <si>
    <t>L20230829003</t>
  </si>
  <si>
    <t>大兴安岭</t>
  </si>
  <si>
    <t>大兴安岭移动</t>
  </si>
  <si>
    <t>CDNDXALCM</t>
  </si>
  <si>
    <t>【CDN新建】黑龙江大兴安岭移动新建120G  2023-08-02 节点正式上线  (DXALCM)，免费节点，免费12个月</t>
  </si>
  <si>
    <t>DXALCM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</si>
  <si>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</si>
  <si>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</si>
  <si>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</si>
  <si>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</si>
  <si>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</si>
  <si>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</si>
  <si>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</si>
  <si>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</si>
  <si>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L20230627009</t>
  </si>
  <si>
    <t>长春2移动</t>
  </si>
  <si>
    <t>2019/2/11
2022/1/1
2022/7/31
2023/4/30</t>
  </si>
  <si>
    <t>160G
+40G
-100G
-60G</t>
  </si>
  <si>
    <t>2023.4.30退租60G，颗粒度10M，保底40G;2022.1.1边缘计算新增40G带宽、2个机柜、128个IP(自2023.3.1起40G带宽转给CDN使用)</t>
  </si>
  <si>
    <t>CC2CM</t>
  </si>
  <si>
    <t>中国移动通信集团吉林有限公司吉林市分公司</t>
  </si>
  <si>
    <t>吉林移动</t>
  </si>
  <si>
    <t>L20230727008</t>
  </si>
  <si>
    <t>长春4移动</t>
  </si>
  <si>
    <t>CDNCCCM</t>
  </si>
  <si>
    <t>【BEC新建】BEC吉林长春移动扩容200G  2023-07-01 节点正式上线  (CC4CM)，保底80G</t>
  </si>
  <si>
    <t>CC4CM</t>
  </si>
  <si>
    <t>中国移动通信集团辽宁有限公司沈阳分公司</t>
  </si>
  <si>
    <t>辽宁移动</t>
  </si>
  <si>
    <t>L20230627008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</si>
  <si>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</si>
  <si>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</si>
  <si>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</si>
  <si>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</si>
  <si>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补202307，计提66.53，运营商67.57，按中值67.05补0.52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</si>
  <si>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</si>
  <si>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</si>
  <si>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</si>
  <si>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按保底计提，2023.2.1SY6CM边缘计算节点，新增300G带宽;10M颗粒度，120G保底</t>
  </si>
  <si>
    <t>SY6CM</t>
  </si>
  <si>
    <t>中国移动通信集团天津有限公司</t>
  </si>
  <si>
    <t>天津移动</t>
  </si>
  <si>
    <t>L20230728005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</si>
  <si>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</si>
  <si>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</si>
  <si>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</si>
  <si>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</si>
  <si>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</si>
  <si>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</si>
  <si>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</si>
  <si>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</si>
  <si>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</si>
  <si>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</si>
  <si>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</si>
  <si>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</si>
  <si>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</si>
  <si>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</si>
  <si>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按实际流量计提。与CDN合并保底，按实际流量计提</t>
  </si>
  <si>
    <t>TJSSLMOBCOM</t>
  </si>
  <si>
    <t>北京华盛云融科技有限公司</t>
  </si>
  <si>
    <t>华盛云融（鹏博士CDN）</t>
  </si>
  <si>
    <t>182115IDC00202</t>
  </si>
  <si>
    <t>北京鹏博士2</t>
  </si>
  <si>
    <t>CDNBJPBS</t>
  </si>
  <si>
    <t>2021/1/1
2021/3/31</t>
  </si>
  <si>
    <t>320G
-180G</t>
  </si>
  <si>
    <t>202308按照保底计提。包端口。20210101开始计费；
20210331退租180G，退租后140G</t>
  </si>
  <si>
    <t>BJ2PBS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</si>
  <si>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</si>
  <si>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</si>
  <si>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</si>
  <si>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</si>
  <si>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</si>
  <si>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202308按照保底计提。包端口。20210101开始计费；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</si>
  <si>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</si>
  <si>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</si>
  <si>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</si>
  <si>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</si>
  <si>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</si>
  <si>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</si>
  <si>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</si>
  <si>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202308按照保底计提。包端口。20210101开始计费。；
沈阳鹏博士20210331退租20G，退租后80G</t>
  </si>
  <si>
    <t>SYPBS</t>
  </si>
  <si>
    <t>佛山鹏博士</t>
  </si>
  <si>
    <t>CDNFSPBS</t>
  </si>
  <si>
    <t>200G
-60G</t>
  </si>
  <si>
    <t>202308按照保底计提。包端口。20210101开始计费；
佛山鹏博士20210331退租60G，退租后140G</t>
  </si>
  <si>
    <t>FSPBS</t>
  </si>
  <si>
    <t>成都鹏博士</t>
  </si>
  <si>
    <t>CDNCDPBS</t>
  </si>
  <si>
    <t>200G
-160G</t>
  </si>
  <si>
    <t>202308按照保底计提。包端口。20210101开始计费；
成都鹏博士20210331退租160G，退租后40G</t>
  </si>
  <si>
    <t>CDPBS</t>
  </si>
  <si>
    <t>重庆鹏博士</t>
  </si>
  <si>
    <t>CDNCQPBS</t>
  </si>
  <si>
    <t>202308按照保底计提。包端口。20210101开始计费；
重庆鹏博士20210331退租20G，退租后20G</t>
  </si>
  <si>
    <t>CQPBS</t>
  </si>
  <si>
    <t>北京企通达科技有限公司</t>
  </si>
  <si>
    <t>企通达（鹏博士BGP）</t>
  </si>
  <si>
    <t>182115IDC00629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</si>
  <si>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</si>
  <si>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</si>
  <si>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</si>
  <si>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</si>
  <si>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</si>
  <si>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</si>
  <si>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</si>
  <si>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</si>
  <si>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</si>
  <si>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</si>
  <si>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</si>
  <si>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</si>
  <si>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</si>
  <si>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</si>
  <si>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赛尔新技术（北京）有限公司</t>
  </si>
  <si>
    <t>赛尔</t>
  </si>
  <si>
    <t>L20230330001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</si>
  <si>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</si>
  <si>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</si>
  <si>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</si>
  <si>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</si>
  <si>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</si>
  <si>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</si>
  <si>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</si>
  <si>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</si>
  <si>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</si>
  <si>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</si>
  <si>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</si>
  <si>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</si>
  <si>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</si>
  <si>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</si>
  <si>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按保底计提，23年5月开始保底为28G，保底24G，100M.超过保底按实际流量计费。CDN教育网北京60G、武汉20G、上海20G。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</si>
  <si>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</si>
  <si>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</si>
  <si>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</si>
  <si>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</si>
  <si>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</si>
  <si>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</si>
  <si>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</si>
  <si>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中广宽带网络有限公司</t>
  </si>
  <si>
    <t>中广宽带</t>
  </si>
  <si>
    <t>L20230731014</t>
  </si>
  <si>
    <t>湖北武汉</t>
  </si>
  <si>
    <t>武汉2广电</t>
  </si>
  <si>
    <t>CDNWHOC2</t>
  </si>
  <si>
    <t>【CDN新建】湖北武汉广电新建20G免费节点</t>
  </si>
  <si>
    <t>WH2OC</t>
  </si>
  <si>
    <t>华北-WM</t>
  </si>
  <si>
    <t>中国电信股份有限公司北京分公司</t>
  </si>
  <si>
    <t>北京电信</t>
  </si>
  <si>
    <t>L20230626002</t>
  </si>
  <si>
    <t>兆维
BJHW-TELECOM</t>
  </si>
  <si>
    <t>BJHW-电信</t>
  </si>
  <si>
    <t>2007/9/1
2021/1/29</t>
  </si>
  <si>
    <t>140G+120G</t>
  </si>
  <si>
    <t>于2021.1.29扩容120G；颗粒度1G,北京电信+M1-电信新40G 合并端口计费，保底100G；</t>
  </si>
  <si>
    <t>BJHW-TELECOM</t>
  </si>
  <si>
    <t>补7月计提，提107G，结111.4G，补4.4G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</si>
  <si>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</si>
  <si>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</si>
  <si>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</si>
  <si>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</si>
  <si>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</si>
  <si>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</si>
  <si>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</si>
  <si>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</si>
  <si>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</si>
  <si>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</si>
  <si>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</si>
  <si>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</si>
  <si>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自2022.5.1扩容100G开始，颗粒度100M，保底42G，降价为6000元/月/G（
182215IDC00260）。原颗粒度1G，保底12G。</t>
  </si>
  <si>
    <t>BJCT</t>
  </si>
  <si>
    <t>补7月计提，提43.5G，结44G，补0.5G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</si>
  <si>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</si>
  <si>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</si>
  <si>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</si>
  <si>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</si>
  <si>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</si>
  <si>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</si>
  <si>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</si>
  <si>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</si>
  <si>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</si>
  <si>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</si>
  <si>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</si>
  <si>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补7月计提，提244.4G，结246.7G，补2.3G</t>
  </si>
  <si>
    <t>兆维
TELECOM_BGP</t>
  </si>
  <si>
    <t>BGP北京电信</t>
  </si>
  <si>
    <t>2009/6/9  
2020-4-15</t>
  </si>
  <si>
    <t>40G+40G</t>
  </si>
  <si>
    <t>按保底计提。颗粒度1G，保底20G。8个万兆端口，其中6个万兆端口收取端口占用费，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</si>
  <si>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</si>
  <si>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中国电信股份有限公司</t>
  </si>
  <si>
    <t>石家庄电信</t>
  </si>
  <si>
    <t>L20220729011</t>
  </si>
  <si>
    <t>0G</t>
  </si>
  <si>
    <t>2019-11-30退租120G;保底36G,100M颗粒度；新合同2021.8.1单价降为9500元/G/月</t>
  </si>
  <si>
    <t>SJZCT</t>
  </si>
  <si>
    <t>退租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</si>
  <si>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</si>
  <si>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</si>
  <si>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</si>
  <si>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</si>
  <si>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</si>
  <si>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</si>
  <si>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</si>
  <si>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</si>
  <si>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按中值计提。保底24G，100M颗粒度，合同约定单价11583；新合同2021.8.1单价降为9500元/G/月；2022.4.30退租80G带宽。差异：0-3取中值，超出协商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</si>
  <si>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</si>
  <si>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</si>
  <si>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</si>
  <si>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</si>
  <si>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</si>
  <si>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</si>
  <si>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</si>
  <si>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</si>
  <si>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</si>
  <si>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</si>
  <si>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</si>
  <si>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</si>
  <si>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</si>
  <si>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</si>
  <si>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</si>
  <si>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</si>
  <si>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</si>
  <si>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</si>
  <si>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</si>
  <si>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</si>
  <si>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</si>
  <si>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</si>
  <si>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</si>
  <si>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</si>
  <si>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</si>
  <si>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</si>
  <si>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</si>
  <si>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</si>
  <si>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</si>
  <si>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</si>
  <si>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</si>
  <si>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</si>
  <si>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</si>
  <si>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</si>
  <si>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</si>
  <si>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</si>
  <si>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</si>
  <si>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</si>
  <si>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2020年1月10日退租40G,2022.4.30退租80G；2022.5.31退租40G，保底更新为12G，100M颗粒度；差异条款：0-3取中值，超出协商；新合同2021.8.1单价降为9500元/G/月</t>
  </si>
  <si>
    <t>TS2CT</t>
  </si>
  <si>
    <t>补7月计提，提12.6G，结12.65G，补0.05G</t>
  </si>
  <si>
    <t>中国联合网络通信有限公司河北省分公司</t>
  </si>
  <si>
    <t>河北联通</t>
  </si>
  <si>
    <t>182315IDC00235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</si>
  <si>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</si>
  <si>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</si>
  <si>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</si>
  <si>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</si>
  <si>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</si>
  <si>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</si>
  <si>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</si>
  <si>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</si>
  <si>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</si>
  <si>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</si>
  <si>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</si>
  <si>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</si>
  <si>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</si>
  <si>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</si>
  <si>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按保底计提。颗粒度100M，保底48G；0-3取乙方，超出协商</t>
  </si>
  <si>
    <t>CANGZUNCACHE</t>
  </si>
  <si>
    <t>保定
BDUN</t>
  </si>
  <si>
    <t>保定联通二级</t>
  </si>
  <si>
    <t>历史开通
2021/11/1</t>
  </si>
  <si>
    <t>按保底计提。颗粒度100M，保底90G；0-3取乙方，超出协商;2021.10.1扩容140G带宽，自2021.11.1开始计费。</t>
  </si>
  <si>
    <t>BDUNCACHE</t>
  </si>
  <si>
    <t>邯郸
HDUN</t>
  </si>
  <si>
    <t>云自采-邯郸联通</t>
  </si>
  <si>
    <t>按保底计提。颗粒度100M，保底24G，扩容到16个万兆按7500元/G/月执行；0-3取乙方，超出协商</t>
  </si>
  <si>
    <t>HDUN</t>
  </si>
  <si>
    <t>邢台
XTUN</t>
  </si>
  <si>
    <t>云自采-邢台联通</t>
  </si>
  <si>
    <t>颗粒度100M，保底48G，扩容到16个万兆按7500元/G/月执行；0-3取乙方，超出协商</t>
  </si>
  <si>
    <t>XTUN</t>
  </si>
  <si>
    <t>补7月计提，提53.2G，结54.05G，补0.85G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</si>
  <si>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</si>
  <si>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</si>
  <si>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</si>
  <si>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</si>
  <si>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</si>
  <si>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按保底计提。100M颗粒度，保底60G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</si>
  <si>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</si>
  <si>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</si>
  <si>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</si>
  <si>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</si>
  <si>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按保底计提。2023.1.1新建TS7UN节点200G（由TS4UN节点转100G、TS2UN节点转100G）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</si>
  <si>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</si>
  <si>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</si>
  <si>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</si>
  <si>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</si>
  <si>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</si>
  <si>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</si>
  <si>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</si>
  <si>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</si>
  <si>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</si>
  <si>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</si>
  <si>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</si>
  <si>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</si>
  <si>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</si>
  <si>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</si>
  <si>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</si>
  <si>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保定三级联通</t>
  </si>
  <si>
    <t>60G保底
BDDWD机房联通CDN出口开通200G，于2021-9-30交付;于2021.10.1开始计费；（CDN出口给IDC使用；保定三级联通节点）0-3取乙方，超出协商</t>
  </si>
  <si>
    <t>BDDWD-CU-ST-2</t>
  </si>
  <si>
    <t>182115IDC00119</t>
  </si>
  <si>
    <t>保定大王店
BDDWD-CU-ST-1</t>
  </si>
  <si>
    <t>BDDWD-联通</t>
  </si>
  <si>
    <t>2020/10/26
2021/3/1</t>
  </si>
  <si>
    <t>2020年10月26日开始计费，100M颗粒度，保底80G。0-3取均值，超出协商</t>
  </si>
  <si>
    <t>BDDWD-CU-ST-1</t>
  </si>
  <si>
    <t>补7月计提，提164.1G，结166.92G，补2.82G</t>
  </si>
  <si>
    <t>182115IDC00455</t>
  </si>
  <si>
    <t>保定大王店
联通BGP</t>
  </si>
  <si>
    <t>BDDWD-联通BGP</t>
  </si>
  <si>
    <t>按保底计提。2021年2月6日开始计费，合同未签署，暂按100M颗粒度，保底1G，20G端口限速1G。</t>
  </si>
  <si>
    <t>BDDWD-CU-BGP-1</t>
  </si>
  <si>
    <t>石家庄3
BEC</t>
  </si>
  <si>
    <t>石家庄3联通</t>
  </si>
  <si>
    <t>CDNSJZUN</t>
  </si>
  <si>
    <t>450G</t>
  </si>
  <si>
    <t>石家庄3联通边缘计算于2023.5.1开通450G带宽，100M颗粒度，30%保底</t>
  </si>
  <si>
    <t>SJZ3UN</t>
  </si>
  <si>
    <t>补7月计提，提183.5G，结183.7G，补0.2G</t>
  </si>
  <si>
    <t>衡水
BEC</t>
  </si>
  <si>
    <t>衡水联通</t>
  </si>
  <si>
    <t>CDNHENGSUN</t>
  </si>
  <si>
    <t>250G</t>
  </si>
  <si>
    <t>衡水联通边缘计算于2023.5.1开通250G带宽100M颗粒度，30%保底</t>
  </si>
  <si>
    <t>HENGSUN</t>
  </si>
  <si>
    <t>补7月计提，提77.4G，结77.554G，补0.154G</t>
  </si>
  <si>
    <t>沧州2
BEC</t>
  </si>
  <si>
    <t>沧州2联通</t>
  </si>
  <si>
    <t>CDNCANGZUN</t>
  </si>
  <si>
    <t>沧州2联通边缘计算于2023.5.1开通200G带宽100M颗粒度，30%保底</t>
  </si>
  <si>
    <t>CANGZ2UN</t>
  </si>
  <si>
    <t>L20230705001</t>
  </si>
  <si>
    <t>承德
BEC</t>
  </si>
  <si>
    <t>承德联通</t>
  </si>
  <si>
    <t>CDNCHENGDUN</t>
  </si>
  <si>
    <t>承德联通边缘计算于2023.7.1开通100G带宽100M颗粒度，30%保底</t>
  </si>
  <si>
    <t>CHENGDUN</t>
  </si>
  <si>
    <t>L20230725009</t>
  </si>
  <si>
    <t>沧州3
BEC</t>
  </si>
  <si>
    <t>沧州3联通</t>
  </si>
  <si>
    <t>按保底计提。沧州3联通边缘计算于2023.7.1开通100G带宽100M颗粒度，30%保底</t>
  </si>
  <si>
    <t>CANGZ3UN</t>
  </si>
  <si>
    <t>中国移动通信集团河北有限公司</t>
  </si>
  <si>
    <t>廊坊移动</t>
  </si>
  <si>
    <t xml:space="preserve">带宽 </t>
  </si>
  <si>
    <t>182215IDC00679</t>
  </si>
  <si>
    <t>保定二级</t>
  </si>
  <si>
    <t>保定移动二级</t>
  </si>
  <si>
    <t>2018/8/29
2018/11/14
2020/12/31
2023/1/31</t>
  </si>
  <si>
    <t>200G+140G
-20G</t>
  </si>
  <si>
    <t>2020.12.31开始保定2移动140G合并至保定移动二级，100M；2023.2.1起与BDGF-移动合并计费，保底144G，。差异：3%以内以甲方为准，超出协商。</t>
  </si>
  <si>
    <t>BDCMCACHE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</si>
  <si>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</si>
  <si>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</si>
  <si>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</si>
  <si>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</si>
  <si>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</si>
  <si>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</si>
  <si>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</si>
  <si>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</si>
  <si>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</si>
  <si>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</si>
  <si>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按保底计提。开通20G,10%保底即2G</t>
  </si>
  <si>
    <t>BDBL-MOBCOM_BGP</t>
  </si>
  <si>
    <t>中国移动通信集团河北有限公司承德分公司</t>
  </si>
  <si>
    <t>承德移动</t>
  </si>
  <si>
    <t>L20230626003</t>
  </si>
  <si>
    <t>承德2
BEC</t>
  </si>
  <si>
    <t>承德2移动</t>
  </si>
  <si>
    <t>CDNCHENGDCM</t>
  </si>
  <si>
    <t>按保底计提。承德2移动BEC节点，2023.1.9开通200G带宽，40%保底，10M颗粒度</t>
  </si>
  <si>
    <t>CHENGD2CM</t>
  </si>
  <si>
    <t>中国移动通信集团河北有限公司保定分公司</t>
  </si>
  <si>
    <t>保定移动</t>
  </si>
  <si>
    <t>L20230626004</t>
  </si>
  <si>
    <t>保定
BD_CM_ST_1</t>
  </si>
  <si>
    <t>BDBL-移动</t>
  </si>
  <si>
    <t>2020/3/1
2020/11/27
2020/11/28
2021/10/1</t>
  </si>
  <si>
    <t>100G
+60G
+160G
+280G</t>
  </si>
  <si>
    <t>按保底计提。合并保底共360G，10M颗粒度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</si>
  <si>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</si>
  <si>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 xml:space="preserve">保定
BD_CM_ST_1 </t>
  </si>
  <si>
    <t>BDBL-移动CDN</t>
  </si>
  <si>
    <t>保定三级移动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</si>
  <si>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</si>
  <si>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</si>
  <si>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</si>
  <si>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</si>
  <si>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</si>
  <si>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</si>
  <si>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</si>
  <si>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</si>
  <si>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</si>
  <si>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</si>
  <si>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</si>
  <si>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</si>
  <si>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</si>
  <si>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</si>
  <si>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</si>
  <si>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</si>
  <si>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</si>
  <si>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L20230725016</t>
  </si>
  <si>
    <t>定兴
BDDX-CT-ST-2</t>
  </si>
  <si>
    <t>BDDX-电信CDN</t>
  </si>
  <si>
    <t>保定三级电信</t>
  </si>
  <si>
    <t>2021/1/1
2021/9/1</t>
  </si>
  <si>
    <t>200G
+200G</t>
  </si>
  <si>
    <t>按中值计提。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</si>
  <si>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</si>
  <si>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</si>
  <si>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</si>
  <si>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BDDX</t>
  </si>
  <si>
    <t>按保底计提。120G保底，100M颗粒度。BDDX机房电信出口开通400G，于2021-9-30交付，于2021-11-1开始计费。0-3取中值，超出协商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</si>
  <si>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</si>
  <si>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</si>
  <si>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</si>
  <si>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按保底计提。2021年2月1日开始计费，合同未签署，暂按100M颗粒度，保底1G；20G端口限速1G。</t>
  </si>
  <si>
    <t>BDDWD-CT-BGP-1</t>
  </si>
  <si>
    <t>WM</t>
  </si>
  <si>
    <t>L20230901009</t>
  </si>
  <si>
    <t>超巨云威_河北电信ICT</t>
  </si>
  <si>
    <t>颗粒度1M，保底0G;
差异：5%以内取百度，5%~8%取中值，超出协商</t>
  </si>
  <si>
    <t>cjcdn_hbdxict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</si>
  <si>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</si>
  <si>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</si>
  <si>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</si>
  <si>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</si>
  <si>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</si>
  <si>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</si>
  <si>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WHGG-UNICOM_BGP</t>
  </si>
  <si>
    <t>2018/8/21
2023/6/2</t>
  </si>
  <si>
    <t>2023.6.2退租，6月费用减免。保底1G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</si>
  <si>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</si>
  <si>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</si>
  <si>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</si>
  <si>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</si>
  <si>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</si>
  <si>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</si>
  <si>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2023年5月保底暂时下调为25%，颗粒度100M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</si>
  <si>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</si>
  <si>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</si>
  <si>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</si>
  <si>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</si>
  <si>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</si>
  <si>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</si>
  <si>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</si>
  <si>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</si>
  <si>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</si>
  <si>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2023年5月保底暂时下调为25%，颗粒度100M
；1%以内以甲方为准，1%~3%取中值，超出协商；2022.9开始拆分计提，不合并</t>
  </si>
  <si>
    <t>HS2CT</t>
  </si>
  <si>
    <t>黄石3电信
HS3CT</t>
  </si>
  <si>
    <t>黄石3电信</t>
  </si>
  <si>
    <t>2023年5月保底暂时下调为25%，颗粒度100M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</si>
  <si>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</si>
  <si>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</si>
  <si>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</si>
  <si>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</si>
  <si>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</si>
  <si>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</si>
  <si>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2023年5月保底暂时下调为25%，100M颗粒度,保底108G;2022.9.1新增200G带宽，从HSCTCACHE节点迁移</t>
  </si>
  <si>
    <t>XIANGYCT</t>
  </si>
  <si>
    <t>襄阳电信2 XIANGY2CT</t>
  </si>
  <si>
    <t>襄阳电信2</t>
  </si>
  <si>
    <t>2023年5月保底暂时下调为25%，100M颗粒度,保底48G</t>
  </si>
  <si>
    <t>XIANGY2CT</t>
  </si>
  <si>
    <t>襄阳三级电信 XIANGYIXCT</t>
  </si>
  <si>
    <t>襄阳三级电信</t>
  </si>
  <si>
    <t>2023年5月保底暂时下调为25%，100M颗粒度,保底48G；差异：0-1以百度为准，1-3取中值，超出协商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</si>
  <si>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</si>
  <si>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</si>
  <si>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</si>
  <si>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</si>
  <si>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</si>
  <si>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</si>
  <si>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</si>
  <si>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</si>
  <si>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</si>
  <si>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补2月计提。黄石联通，提57.8G，结58.941G，已按58.91G结算补计提，本次补差异0.031G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</si>
  <si>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</si>
  <si>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</si>
  <si>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</si>
  <si>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</si>
  <si>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</si>
  <si>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</si>
  <si>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</si>
  <si>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</si>
  <si>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</si>
  <si>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</si>
  <si>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按中值计提。WH3UN节点，2022.9.1开始计费40G带宽，保底12G，颗粒度100M；差异：0-1以百度为准，1-3取中值，超出协商</t>
  </si>
  <si>
    <t>WH3UN</t>
  </si>
  <si>
    <t>武汉4联通</t>
  </si>
  <si>
    <t>CDNWHUN4</t>
  </si>
  <si>
    <t>2022/10/1
2023/4/1
2023/5/16</t>
  </si>
  <si>
    <t>40G
+100G
-140</t>
  </si>
  <si>
    <t>于2023.5.16节点退租。WH4UN节点，2022.10.1新增40G带宽，免费使用；武汉联通40G在22年10月至23年8月赠送；2023.4.1扩容100G带宽</t>
  </si>
  <si>
    <t>WH4UN</t>
  </si>
  <si>
    <t>武汉5联通</t>
  </si>
  <si>
    <t>CDNWHUN5</t>
  </si>
  <si>
    <t>按保底计提。2023.6.8WH5UN节点，BEC新增20G带宽，保底G，颗粒度M</t>
  </si>
  <si>
    <t>WH5UN</t>
  </si>
  <si>
    <t>中国联合网络通信有限公司荆门市分公司</t>
  </si>
  <si>
    <t>荆门联通</t>
  </si>
  <si>
    <t>L20230726001</t>
  </si>
  <si>
    <t>荆门联通
BEC</t>
  </si>
  <si>
    <t>CDNJINGMUN</t>
  </si>
  <si>
    <t>2023.7.10JINGMUN节点，BEC新增200G带宽，保底60G，颗粒度1M;差异：3%以内按乙方结算，3%~5%取均值，超出协商</t>
  </si>
  <si>
    <t>JINGMUN</t>
  </si>
  <si>
    <t>中国联合网络通信有限公司襄阳市分公司</t>
  </si>
  <si>
    <t>襄阳联通</t>
  </si>
  <si>
    <t>L20230423001</t>
  </si>
  <si>
    <t>襄阳三线</t>
  </si>
  <si>
    <t>襄阳三级联通</t>
  </si>
  <si>
    <t>XIANGYIXUN</t>
  </si>
  <si>
    <t>2019/6/6
2021/9/1
2022/4/30
2022/9/20
2023/5/1</t>
  </si>
  <si>
    <t>80G
+40G
-80G
+60G
+80G</t>
  </si>
  <si>
    <t>30G保底，1M颗粒度。该节点未使用机架；差异解决：0-3,以百度为准、3-5取中值、超出双方协商。2021.9.1扩容40G带宽，自9.1开始合并计费对我司有利（商务确认9.23开始计费）2022.4.30关闭80G带宽转签代理合同。2022年9月20日新增的60G，9月无保底，与40G分开计费。2022年10月1日开始，40G与60G合并计费。2023.5.1新合同起橘智的80G重新迁回襄阳联通。</t>
  </si>
  <si>
    <t>橘智科技有限公司</t>
  </si>
  <si>
    <t>橘智科技</t>
  </si>
  <si>
    <t>L20230423002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</si>
  <si>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</si>
  <si>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2023.5.1新合同起橘智的80G重新迁回襄阳联通。</t>
  </si>
  <si>
    <t>XNXIANGYIXUN</t>
  </si>
  <si>
    <t>中国移动通信集团湖北有限公司</t>
  </si>
  <si>
    <t>湖北移动</t>
  </si>
  <si>
    <t>L20230626005</t>
  </si>
  <si>
    <t>襄阳</t>
  </si>
  <si>
    <t>襄阳2移动</t>
  </si>
  <si>
    <t>2019/5/11
2021/10/1
2022/4/30
2022/5/31
2023/4/30</t>
  </si>
  <si>
    <t>320G
+100G
-100G
-50G
-150G</t>
  </si>
  <si>
    <t>按中值计提。保底48G ,10M颗粒度；2022.4.30XIANGY2CM节点退租100G带宽2022.5.31XIANGY2CM节点退租50G；2023.1.1XIANGY3CM节点100G转给XIANGY2CM节点CDN使用；0-3取均值，超出协商。</t>
  </si>
  <si>
    <t>XIANGY2CM</t>
  </si>
  <si>
    <t>补7月计提，提53.88G，结54.45G，补0.57G</t>
  </si>
  <si>
    <t xml:space="preserve">襄阳 </t>
  </si>
  <si>
    <t>襄阳3移动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</si>
  <si>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</si>
  <si>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</si>
  <si>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</si>
  <si>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</si>
  <si>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</si>
  <si>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</si>
  <si>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按中值计提。保底40%即104G，10M；2021.11.1扩容80G带宽，于2021.11.8开始计费。0-3取均值，超出协商。</t>
  </si>
  <si>
    <t>XIANGYIXCM</t>
  </si>
  <si>
    <t>补7月计提，提104.33G，结105.12G，补0.79G</t>
  </si>
  <si>
    <t>中国联合网络通信有限公司黄冈市分公司</t>
  </si>
  <si>
    <t>黄冈联通</t>
  </si>
  <si>
    <t>182315IDC00225</t>
  </si>
  <si>
    <t>黄冈</t>
  </si>
  <si>
    <t>黄冈联通BEC节点，2023.4.1开通200G带宽，保底60G，颗粒度1M；差异：0~3取乙方，3~5取均值，超出协商</t>
  </si>
  <si>
    <t>HUANGGUN</t>
  </si>
  <si>
    <t>中国电信股份有限公司武汉分公司</t>
  </si>
  <si>
    <t>武汉电信</t>
  </si>
  <si>
    <t>L20230423020</t>
  </si>
  <si>
    <t>WHGG电信2</t>
  </si>
  <si>
    <t>按中值计提。WHGG电信2节点，2023.4.23开通40G带宽，保底12G，颗粒度100M</t>
  </si>
  <si>
    <t>WHGG-CT-ST-2</t>
  </si>
  <si>
    <t>华南-WM</t>
  </si>
  <si>
    <t>广西壮族自治区公众信息产业有限公司</t>
  </si>
  <si>
    <t>广西电信</t>
  </si>
  <si>
    <t>L20230424009</t>
  </si>
  <si>
    <t>南宁电信ssl</t>
  </si>
  <si>
    <t>CDNNNCT</t>
  </si>
  <si>
    <t>2013/6/25
2023/4/27</t>
  </si>
  <si>
    <t>2023.4.27节点退租。颗粒度100M，保底3G/口，181915IDC00219合同期内最后14天为流量赠送期。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</si>
  <si>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</si>
  <si>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</si>
  <si>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</si>
  <si>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</si>
  <si>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</si>
  <si>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</si>
  <si>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</si>
  <si>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</si>
  <si>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</si>
  <si>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</si>
  <si>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</si>
  <si>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</si>
  <si>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</si>
  <si>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</si>
  <si>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</si>
  <si>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</si>
  <si>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</si>
  <si>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</si>
  <si>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</si>
  <si>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</si>
  <si>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按中值计提。颗粒度100M，南宁2*南宁3共保底30G；差异：1%以内取甲方，1%~3%取中值，超出协商</t>
  </si>
  <si>
    <t>NN2UN</t>
  </si>
  <si>
    <t>补6月计提，提32.1G，结32.435G，补0.335G</t>
  </si>
  <si>
    <t>中国移动通信集团广西有限公司南宁分公司</t>
  </si>
  <si>
    <t>南宁移动</t>
  </si>
  <si>
    <t>L20230728002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</si>
  <si>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</si>
  <si>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</si>
  <si>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</si>
  <si>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</si>
  <si>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</si>
  <si>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</si>
  <si>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</si>
  <si>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</si>
  <si>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</si>
  <si>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按保底计提。颗粒度10M，保底40G；2022.7.31退租后此节点剩余带宽是BEC使用</t>
  </si>
  <si>
    <t>NN3CM</t>
  </si>
  <si>
    <t>南宁7移动</t>
  </si>
  <si>
    <t>2023.5.5新增BEC南宁7移动节点，颗粒度10M，保底200G</t>
  </si>
  <si>
    <t>NN7CM</t>
  </si>
  <si>
    <t>南宁9移动</t>
  </si>
  <si>
    <t>CDNNNCM4</t>
  </si>
  <si>
    <t>按保底按天折算计提。2023.8.8新增BEC南宁9移动节点，颗粒度10M，保底160G</t>
  </si>
  <si>
    <t>NN9CM</t>
  </si>
  <si>
    <t>西南-WM</t>
  </si>
  <si>
    <t>中国电信股份有限公司昆明分公司</t>
  </si>
  <si>
    <t>昆明电信</t>
  </si>
  <si>
    <t>182315IDC00274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</si>
  <si>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</si>
  <si>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</si>
  <si>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</si>
  <si>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</si>
  <si>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</si>
  <si>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</si>
  <si>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L20230424006</t>
  </si>
  <si>
    <t>昆明3</t>
  </si>
  <si>
    <t>昆明电信3</t>
  </si>
  <si>
    <t>CDNKMCT2</t>
  </si>
  <si>
    <t xml:space="preserve">需要注意2019年12月31日退租80G。颗粒度100M，保底3G/口
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</si>
  <si>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</si>
  <si>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</si>
  <si>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</si>
  <si>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</si>
  <si>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</si>
  <si>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
合同约定乙方给予甲方互联网带宽实际按确认流量的74.56%结算，计提已折算在单价上，故流量不用折算。
差异：3%之内认百度，3%-5%取均值</t>
  </si>
  <si>
    <t>KM5CT</t>
  </si>
  <si>
    <t>昆明4</t>
  </si>
  <si>
    <t>昆明电信4</t>
  </si>
  <si>
    <t>2018/4/18
2022/4/30
2022/5/31</t>
  </si>
  <si>
    <t>80G-20G-60G</t>
  </si>
  <si>
    <t xml:space="preserve">2022/5/31节点退租。颗粒度100M，保底3G/口
</t>
  </si>
  <si>
    <t>KM4CT</t>
  </si>
  <si>
    <t>中国联合网络通信有限公司云南省分公司</t>
  </si>
  <si>
    <t>云南联通</t>
  </si>
  <si>
    <t>L20230626006</t>
  </si>
  <si>
    <t>昆明联通</t>
  </si>
  <si>
    <t>CDNKMUN</t>
  </si>
  <si>
    <t>（1）颗粒度1M，保底4G；（2）2019年7月1日开始价格为6666.67，注意历史单价付款冲销；0~1以百度为准，1~3取均值，超出协商</t>
  </si>
  <si>
    <t>KMUN</t>
  </si>
  <si>
    <t>L20230424007</t>
  </si>
  <si>
    <t>昆明4联通</t>
  </si>
  <si>
    <t>CDNKMUN3</t>
  </si>
  <si>
    <t>2021/5/1
2023/6/2</t>
  </si>
  <si>
    <t>80G
-70G</t>
  </si>
  <si>
    <t>云南联通新建80G节点，颗粒度100M，保底24G;2023.6.2退租70G带宽；此节点涉及产品反购，查询收款情况后再付款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</si>
  <si>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</si>
  <si>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</si>
  <si>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</si>
  <si>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</si>
  <si>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23年1月31日KM5UN整节点退租，退租40G，KM5UN节点新增40G带宽，保底12G，颗粒度1M；0~1以百度为准，1~3取均值，超出协商</t>
  </si>
  <si>
    <t>KM5UN</t>
  </si>
  <si>
    <t>L20230426007</t>
  </si>
  <si>
    <t>昆明6联通</t>
  </si>
  <si>
    <t>2023/4/1
2023/5/31</t>
  </si>
  <si>
    <t>【BEC新建】昆明联通新建60G 2023-4-1节点正式上线 (KM6UN)，2023年4月1日 开始计费;2023.5.1退租60G带宽。
差异：差异率1%以内以我司流量为准，1%-3%取平均值</t>
  </si>
  <si>
    <t>KM6UN</t>
  </si>
  <si>
    <t>中国移动通信集团云南有限公司昆明分公司</t>
  </si>
  <si>
    <t>昆明移动</t>
  </si>
  <si>
    <t>L20230626007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</si>
  <si>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</si>
  <si>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</si>
  <si>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</si>
  <si>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</si>
  <si>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</si>
  <si>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</si>
  <si>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</si>
  <si>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</si>
  <si>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
2023/4/30</t>
  </si>
  <si>
    <t>200G
+120G
-100G</t>
  </si>
  <si>
    <t>颗粒度10M，保底128G</t>
  </si>
  <si>
    <t>KM4CM</t>
  </si>
  <si>
    <t>海南</t>
  </si>
  <si>
    <t>中国电信股份有限公司文昌分公司</t>
  </si>
  <si>
    <t>海口电信</t>
  </si>
  <si>
    <t>L20230424008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</si>
  <si>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</si>
  <si>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</si>
  <si>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</si>
  <si>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</si>
  <si>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</si>
  <si>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</si>
  <si>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</si>
  <si>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</si>
  <si>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</si>
  <si>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</si>
  <si>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</si>
  <si>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</si>
  <si>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</si>
  <si>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中国联合网络通信有限公司海南省分公司</t>
  </si>
  <si>
    <t>海口联通</t>
  </si>
  <si>
    <t>L20230725017</t>
  </si>
  <si>
    <t>海南海口</t>
  </si>
  <si>
    <t>海口2联通</t>
  </si>
  <si>
    <t>CDNHKUN</t>
  </si>
  <si>
    <t>2018/7/25
2020/4/8
2020/9/30
2022/6/30</t>
  </si>
  <si>
    <t>40G
+40G
-20G
-20G</t>
  </si>
  <si>
    <t>按中值计提。（1）颗粒度10M，保底12G；（2）20200930退租20G。（3）需要注意20200801开始价格为9000，需要注意20200408扩容40G，2019年11月1日开始价格为8333.差异：0~1以百度为准，1~3取均值，超出协商</t>
  </si>
  <si>
    <t>HK2UN</t>
  </si>
  <si>
    <t>中国移动通信集团海南有限公司</t>
  </si>
  <si>
    <t>海口移动</t>
  </si>
  <si>
    <t>L20230728003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</si>
  <si>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</si>
  <si>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</si>
  <si>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</si>
  <si>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</si>
  <si>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</si>
  <si>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</si>
  <si>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</si>
  <si>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</si>
  <si>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</si>
  <si>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</si>
  <si>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补7月计提，提10.37G，结10.38G，补0.01G</t>
  </si>
  <si>
    <t>华东-WM</t>
  </si>
  <si>
    <t>中国电信股份有限公司江西分公司</t>
  </si>
  <si>
    <t>江西电信</t>
  </si>
  <si>
    <t>182315IDC00283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</si>
  <si>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</si>
  <si>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</si>
  <si>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</si>
  <si>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</si>
  <si>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</si>
  <si>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182315IDC00262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</si>
  <si>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</si>
  <si>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</si>
  <si>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</si>
  <si>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</si>
  <si>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</si>
  <si>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</si>
  <si>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</si>
  <si>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</si>
  <si>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</si>
  <si>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</si>
  <si>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</si>
  <si>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</si>
  <si>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</si>
  <si>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</si>
  <si>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</si>
  <si>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</si>
  <si>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中国联合网络通信有限公司南昌市分公司</t>
  </si>
  <si>
    <t>江西联通</t>
  </si>
  <si>
    <t>L20230519001</t>
  </si>
  <si>
    <t>南昌：南昌联通+南昌2联通</t>
  </si>
  <si>
    <t>南昌2联通</t>
  </si>
  <si>
    <t>CDNNCUN</t>
  </si>
  <si>
    <t>2017/7/1
2019/1/25
2022/7/31
2022/8/31</t>
  </si>
  <si>
    <t>40G
60G
-40G
-40G</t>
  </si>
  <si>
    <t>20220831退租40G，剩余带宽20G，5G保底，颗粒100M。20220731退租40G，剩余带宽60G。
TCO机房：南昌联通+南昌2联通合并计费</t>
  </si>
  <si>
    <t>NC2UN</t>
  </si>
  <si>
    <t>中国移动通信集团江西有限公司南昌分公司</t>
  </si>
  <si>
    <t>南昌移动</t>
  </si>
  <si>
    <t>L20230626008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</si>
  <si>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</si>
  <si>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</si>
  <si>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</si>
  <si>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</si>
  <si>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</si>
  <si>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</si>
  <si>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</si>
  <si>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L20230529002</t>
  </si>
  <si>
    <t>南昌8</t>
  </si>
  <si>
    <t>南昌8移动</t>
  </si>
  <si>
    <t>CDNNCCM3</t>
  </si>
  <si>
    <t>2023/5/5
2023/7/31</t>
  </si>
  <si>
    <t>600G
-200G</t>
  </si>
  <si>
    <t>2023.5.5新增BEC南昌8移动节点，颗粒度10M，保底160G;2023.7.31退租200G，搬迁至南昌9移动和南昌10移动节点</t>
  </si>
  <si>
    <t>NC8CM</t>
  </si>
  <si>
    <t>补7月计提，提253.45G，结253.61G，补0.16G</t>
  </si>
  <si>
    <t>南昌9</t>
  </si>
  <si>
    <t>南昌9移动</t>
  </si>
  <si>
    <t>按保底按天折算计提。2023.8.10新增BEC南昌9移动节点，颗粒度10M，保底40G;</t>
  </si>
  <si>
    <t>NC9CM</t>
  </si>
  <si>
    <t>南昌10</t>
  </si>
  <si>
    <t>南昌10移动</t>
  </si>
  <si>
    <t>按保底按天折算计提。2023.8.10新增BEC南昌10移动节点，颗粒度10M，保底40G;</t>
  </si>
  <si>
    <t>NC10CM</t>
  </si>
  <si>
    <t>南昌11</t>
  </si>
  <si>
    <t>南昌11移动</t>
  </si>
  <si>
    <t>2023.8.4新增BEC南昌11移动节点，颗粒度10M，保底80G;从南昌8移动搬迁</t>
  </si>
  <si>
    <t>NC11CM</t>
  </si>
  <si>
    <t>合同号</t>
  </si>
  <si>
    <t>本月预提是否关联正式合同</t>
  </si>
  <si>
    <t>原因/备注</t>
  </si>
  <si>
    <t>合同状态</t>
  </si>
  <si>
    <t>合同性质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</si>
  <si>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</si>
  <si>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</si>
  <si>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</si>
  <si>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</si>
  <si>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</si>
  <si>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</si>
  <si>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</si>
  <si>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</si>
  <si>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</si>
  <si>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</si>
  <si>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</si>
  <si>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</si>
  <si>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</si>
  <si>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</si>
  <si>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</si>
  <si>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</si>
  <si>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</si>
  <si>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</si>
  <si>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</si>
  <si>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</si>
  <si>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</si>
  <si>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</si>
  <si>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</si>
  <si>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</si>
  <si>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</si>
  <si>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</si>
  <si>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</si>
  <si>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</si>
  <si>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</si>
  <si>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11722315IDC00438</t>
  </si>
  <si>
    <t>海外合同</t>
  </si>
  <si>
    <t>生效</t>
  </si>
  <si>
    <t>非范本合同</t>
  </si>
  <si>
    <t>2023-08-24</t>
  </si>
  <si>
    <t>基础资源战略合作部</t>
  </si>
  <si>
    <t>史昕</t>
  </si>
  <si>
    <t>中后台组</t>
  </si>
  <si>
    <t>陈思旭</t>
  </si>
  <si>
    <t>基础资源商务组</t>
  </si>
  <si>
    <t>是</t>
  </si>
  <si>
    <t>甲方:フレックステック株式会社;</t>
  </si>
  <si>
    <t>IDC/ITE合同</t>
  </si>
  <si>
    <t>乙方:Amazon Web services,Inc._IDC(待审核);</t>
  </si>
  <si>
    <t>1、月度需求审批信息在8月，因需求紧急因此先提交CMS流程
2、合同概要：
（1）根据网盘TeraBox需求，新增海外动态CDN加速供应商AWS。
（2）资费：东南亚区域0.008usd/G（新加坡 印尼 马来西亚 韩国 台湾 相关 菲律宾 泰国），北美欧洲0.006usd/G、印度0.01usd/G区域较存量供应商具备价格优势。其他区域：日本0.012usd，南美0.0261usd，澳洲新西兰0.018usd，中东非洲0.02usd/G作为备份资源。全球流量年保底9P，业务侧预估年用量10P可满足。
（3）预估用量占比：印度60%，东南亚20%，北美欧洲17%，南美其他3%。
3、合同预估金额：印度总量*单价+东南亚总量*单价+北美洲总量*单价+南美及其他总量*单价=10P*1000*1000*60%*0.01usd/G+10P*1000*1000*20%*0.008usd/G+10P*1000*1000*17%*0.006usd/G+10P*1000*1000*3%*0.0261usd/G=94030usd</t>
  </si>
  <si>
    <t>2023-04-01</t>
  </si>
  <si>
    <t>2024-03-31</t>
  </si>
  <si>
    <t/>
  </si>
  <si>
    <t>付款</t>
  </si>
  <si>
    <t>94030</t>
  </si>
  <si>
    <t>美元</t>
  </si>
  <si>
    <t>否</t>
  </si>
  <si>
    <t>IDC战略合作部-国外-IDC-非机房</t>
  </si>
  <si>
    <t>无</t>
  </si>
  <si>
    <t>国际化</t>
  </si>
  <si>
    <t>182315IDC00432</t>
  </si>
  <si>
    <t>合同已终止</t>
  </si>
  <si>
    <t>终止</t>
  </si>
  <si>
    <t>2023-08-18</t>
  </si>
  <si>
    <t>李佳</t>
  </si>
  <si>
    <t>甲方:北京百度网讯科技有限公司;</t>
  </si>
  <si>
    <t>乙方:中国电信股份有限公司云计算（陕西）基地_IDC(待审核);</t>
  </si>
  <si>
    <t>1、月度需求在2023年7月
2、陕西电信新签20个万兆：主合同182215IDC00521，此次新增200G带宽在此合同基础上做增量及降价变更，本协议仅续约至2023年7月31日（终止期限以主合同为准，后续依照电信集团集约协议及对应补充协议）。
现商务条件：23年6月1日从甘肃电信腾挪200G至陕西，价格6500元/G/月。
3、预估金额=带宽单价6500元/G/月 x 带宽保底60G x 12月份</t>
  </si>
  <si>
    <t>2023-06-01</t>
  </si>
  <si>
    <t>2023-07-31</t>
  </si>
  <si>
    <t>780000</t>
  </si>
  <si>
    <t>人民币</t>
  </si>
  <si>
    <t>,OtherProvisionChange,</t>
  </si>
  <si>
    <t>182215IDC00521</t>
  </si>
  <si>
    <t>IDC战略合作部-国内-CDN</t>
  </si>
  <si>
    <t>ACG</t>
  </si>
  <si>
    <t>182315IDC00429</t>
  </si>
  <si>
    <t>传输合同，无带宽</t>
  </si>
  <si>
    <t>2023-08-17</t>
  </si>
  <si>
    <t>乙方:中信网络有限公司_IDC(待审核);</t>
  </si>
  <si>
    <t>1、月度需求在2023年7月。
2、合同概要：城域网合规线路协议降价续约。现将23年上半年到期存量城域网协议进行整合降价续约，剔除到期已退租部分线路，涉及原协议编号：182015IDC00148、182015IDC00193、182015IDC00087、182115IDC00008。
3、预估金额=预估金额=月租费*12个月=4,116,472.92元。月租费价格逻辑=供应商价格/1.06（光纤税率）*1.09（专线税率）/0.9（城域网合规加成）。
4、采购需求 月度需求传输长度为预估，以实际开通为准。</t>
  </si>
  <si>
    <t>2023-05-01</t>
  </si>
  <si>
    <t>2024-04-30</t>
  </si>
  <si>
    <t>4116472.92</t>
  </si>
  <si>
    <t>IDC战略合作部-国内-IDC-非机房</t>
  </si>
  <si>
    <t>2023-08-16</t>
  </si>
  <si>
    <t>林加</t>
  </si>
  <si>
    <t>乙方:江苏云工场信息技术有限公司_IDC(待审核);</t>
  </si>
  <si>
    <t xml:space="preserve">月度需求：2023年6月
1.带宽： 按照需求， 代理-山东青岛移动(外拉项目)-存量100G原价续约，服务于青岛三线，5500元/G/月，95计费，30%保底，较集约6740元/G/月 降幅18%，较IDC静态带宽降幅63.33%。
2.机柜：无机柜
3.IP：IPv4：使用512个，50元/个/月；IPv6：按需赠送；
4.传输：本项目外拉传输100G的费用120000元/100G/月，直签IDC山东目前无存量静态带宽，静态参考价1.5W元/G/月，无其它代理价格；
5.预估金额： （100*30%*5500+50*512+120000*1）*12=3727200元
</t>
  </si>
  <si>
    <t>3727200</t>
  </si>
  <si>
    <t>182215IDC00237</t>
  </si>
  <si>
    <t>框架下订单</t>
  </si>
  <si>
    <t xml:space="preserve">此供应商已签署框架协议：182215IDC00237
【具体情况如下】
月度需求：2023年6月
1.带宽： 按照需求，代理-威海移动200G-替换济南移动200G，保底40%，由 济南5500元/G/月降至威海5200 元/G/月，较济南移动降幅5.45 %，较集约价6740 元/G/月 降幅22.85 %；
2.机柜： 使用5个，4500元/柜/月 –20A；以实际开通为准
3.IP：IPv4：每万兆赠送16个，使用160个，50元/个/月；IPv6：按需赠送；以实际开通为准
4.预估金额：（5200*0.4*200+5*4500）*12=5262000元
</t>
  </si>
  <si>
    <t>2023-07-01</t>
  </si>
  <si>
    <t>2024-06-30</t>
  </si>
  <si>
    <t>5262000</t>
  </si>
  <si>
    <t>182315IDC00425</t>
  </si>
  <si>
    <t>乙方:中国移动通信集团江苏有限公司苏州分公司_IDC(待审核);</t>
  </si>
  <si>
    <t>1、存量260G月度需求在2022年12月；扩容140G月度需求在2023年1月。
2、苏州移动静态带宽2023月4月8扩容140G，扩容前260G，扩容后400G。本补充协议与集约有效期一致，有效期至2023年6月30日。
3、商务条件：带宽：扩容140G，总计400G，40%保底，单价6740元/G/月；机柜：1个（无变化），单价5000元/个/月；IP：存量IP 2560个，2023/4/27扩容512个，其中免费512个，收费2560个。
4、预估金额=带宽6740元*400G*保底0.4*3月+机柜5000*1个*3月+IP 2560个*30元*3月</t>
  </si>
  <si>
    <t>2023-06-30</t>
  </si>
  <si>
    <t>3480600</t>
  </si>
  <si>
    <t>,GoodsAdd,</t>
  </si>
  <si>
    <t>182315IDC00186</t>
  </si>
  <si>
    <t>乙方:上海小度人工智能有限公司_IDC(待审核);</t>
  </si>
  <si>
    <t xml:space="preserve">【具体情况如下】
月度需求：2023年7月
1.带宽：根据业务需求，小度-繁星计划新增喜马拉雅，经产研确认，喜马拉雅云毛利率10%。
2.预估金额：100g*2241*10= 2,241,000.00 元
</t>
  </si>
  <si>
    <t>2241000</t>
  </si>
  <si>
    <t>5012315IDC00410</t>
  </si>
  <si>
    <t>2023-08-14</t>
  </si>
  <si>
    <t>甲方:百度（香港）有限公司;</t>
  </si>
  <si>
    <t>乙方:Tata Communications (America) Inc._IDC(待审核);</t>
  </si>
  <si>
    <t>1、月度需求审批信息在2023年4月。
2、合同概要：
（1）百度美国机房（IAD01节点）接入TATA海外带宽 IPT业务10G端口1G保底。业务确认需要继续使用。降价续约
（2）1G保底，10G端口： 原价格2156usd+超出0.38usd/M，续约价格2136usd+0.34usd/M。保底月租降幅1%，超保底单价降幅10%。年化收益240usd  
3、预估金额=保底月租2136usd*12月=25632usd</t>
  </si>
  <si>
    <t>2024-05-31</t>
  </si>
  <si>
    <t>25632</t>
  </si>
  <si>
    <t>5012215IDC00340</t>
  </si>
  <si>
    <t>5012315IDC00408</t>
  </si>
  <si>
    <t>乙方:Tata Communications (Japan) KK_IDC(待审核);</t>
  </si>
  <si>
    <t>1、月度需求审批信息在2023年4月
2、合同概要：
（1）百度日本机房（TYO01节点）接入TATA海外带宽 IPT业务10G端口1G保底。业务确认需要继续使用。降价续约
（2）1G保底，10G端口：  原价格1900usd+超出1.8usd/M，续约价格1719usd+1.5usd/M。保底月租降幅10%，年化收益2172usd。
3、预估金额=保底月租1719usd*12月=20,628.00usd</t>
  </si>
  <si>
    <t>20628</t>
  </si>
  <si>
    <t>5012215IDC00337</t>
  </si>
  <si>
    <t>乙方:西安明赋云计算有限公司_IDC(待审核);</t>
  </si>
  <si>
    <t xml:space="preserve">【具体情况如下】
1.月度需求：2023年7月
2.带宽： 按照需求，PCDN-明赋-xcdn汇聚-降价续约，明赋为资源池最低价，且移动目前资源较少，平衡供给与价格，经攻坚移动2150元/G/月与原价降幅-2.27%，电联3100元/G/月与原价降幅-3.13%，日95
3.预估金额：（2150*100g+3100*450g）*12个月=19320000元
</t>
  </si>
  <si>
    <t>2023-08-01</t>
  </si>
  <si>
    <t>2024-07-31</t>
  </si>
  <si>
    <t>19320000</t>
  </si>
  <si>
    <t>5012315IDC00405</t>
  </si>
  <si>
    <t>2023-08-11</t>
  </si>
  <si>
    <t>乙方:Tata Communications Deutschland GmbH_IDC(待审核);</t>
  </si>
  <si>
    <t>1、月度需求审批信息在2023年4月。
2、合同概要：
（1）百度法兰克福机房（FRA01节点）接入TATA海外带宽 IPT业务，业务确认需要继续使用。
（2）1G保底10G突发，保底带宽月租费原价456美元突发0.38美金/M，本次续约价格为436美元，超出部分0.34美金/M。降幅4.20%，年华收益240usd。
3、预估金额=保底月租436usd*12月=5232usd</t>
  </si>
  <si>
    <t>5232</t>
  </si>
  <si>
    <t>5012215IDC00339</t>
  </si>
  <si>
    <t>11722315IDC00402</t>
  </si>
  <si>
    <t>乙方:China Unicom (JAPAN) Operations Corporation_IDC(待审核);</t>
  </si>
  <si>
    <t>1. 月度需求审批信息在2023年3月
2. 合同概要：
(1) 根据网盘海外业务需求，JP02机房新增100G出口带宽（30G保底） 及128个IP服务。
(2) 经商务询价，日本联通资源满足交期且具备价格优势申请签约。
(3) 单价： 一次性费用1931600日元，30G保底部分固定月租2850000日元，超保底部分80日元/M，95计费，不含税。
(4) 网盘日本主体签约，日元结算，合同期12个月。
3. 合同预估金额=一次性费用1931600日元+带宽保底费用2850000日元*12个月=36131600日元</t>
  </si>
  <si>
    <t>2024-05-30</t>
  </si>
  <si>
    <t>36131600</t>
  </si>
  <si>
    <t>日圆</t>
  </si>
  <si>
    <t>5012315IDC00406</t>
  </si>
  <si>
    <t>乙方:Tata Communications（Hong Kong）Limited_IDC(待审核);</t>
  </si>
  <si>
    <t>1、月度需求审批信息在2023年4月。
2、合同概况：
（1）百度香港机房（HKG02节点）接入TATA海外带宽 IPT业务40G端口 ，业务确认需要继续使用。由于利用率不达预期，本次续约降低保底。4*10G端口数不变。
（2）原15G保底月租142020usd，超出0.85usd/M。续约保底降低至10G，月租9952usd，超出部分单价不变0.85usd。
（3）通过降低保底，月租降低4250usd，年化收益5.1w美金。 
3、预估金额=保底月租9952usd*12月=119,424.00usd</t>
  </si>
  <si>
    <t>119424</t>
  </si>
  <si>
    <t>5012215IDC00080</t>
  </si>
  <si>
    <t>5012315IDC00404</t>
  </si>
  <si>
    <t>1、月度需求审批信息在2023年4月。
2、合同概要：
（1） TATA为SFO01机房IPT业务供应商，原提供10G保底20G端口，由于利用率不足，本次续约降保底降端口至1G保底10G端口。
（2）原价格，5574usd/月/10G保底20G端口，突发0.26usd/M。现价格3664usd/月/1G保底10G端口，突发0.34usd/M。月度降低1910美金。
（3）降保底后，年化收益22920usd。
3、预估金额=保底1G单价3664usd*12=43968usd</t>
  </si>
  <si>
    <t>43968</t>
  </si>
  <si>
    <t>5012215IDC00219</t>
  </si>
  <si>
    <t>2023-08-10</t>
  </si>
  <si>
    <t xml:space="preserve">供应商已签署框架协议（合同号182215IDC00237），在框架协议下增加资源订单： 
代理-江苏徐州移动160G-续签
1.月度需求在2023年5月
2.带宽：包端口，100%保底，2023年4-7月3750元/G/月，相比存量持平，相比集约降幅30.44%，2023年8月-2024年3月3400 元/G/月，相比存量降幅9.33%，相比集约降幅36.94%，按照包口80%利用率，相比集约节约360.03万元/年
3.机柜：2023年4-7月 4500 元/个/月，2023年8月-2024年3月 4000 元/个/月，13A，免费0个，在用6个，以实际开通为准
4.IP：IPV4 50元/个/月，免费256个，在用160个，IPv6 免费，以实际开通为准
5.预估金额：(3750*4+3400*8）*160+4500*4*6+4000*8*6= 7,052,000.00 元
</t>
  </si>
  <si>
    <t>7052000</t>
  </si>
  <si>
    <t>乙方:杭州网鼎科技有限公司_IDC(待审核);</t>
  </si>
  <si>
    <t xml:space="preserve">供应商已签署框架协议（合同号182315IDC00397），在框架协议下增加资源订单，具体如下： 
代理-安徽合肥电信100G-新建
1.月度需求在2023年6月
2.带宽：4600元/G/月，95计费，30%保底，相比被替换节点6916.67元/G/月降幅33.49%，相比集约9500元/G/月降幅51.57%，按照95计费45%利用率，相比集约节约（0.95-0.46）*12*100*0.45=264.6万元/年
3.机柜：3200元/柜/月，免费0个，在用3个，16A，以实际开通为准
4.IP：IPV4 50元/个/月，免费160个，在用160个，IPv6免费，以实际开通为准
5.预估金额：12*(4600*100*30%+3200*3)= 1,771,200.00 元
</t>
  </si>
  <si>
    <t>1771200</t>
  </si>
  <si>
    <t>182315IDC00397</t>
  </si>
  <si>
    <t>乙方:广州贝云信息科技有限公司_IDC;</t>
  </si>
  <si>
    <t xml:space="preserve">供应商已签署框架协议（合同号182315IDC00033），在框架协议下增加资源订单，具体如下： 
代理-浙江金华电信200G-存量降价
1.月度需求在2023年6月
2.带宽：5000元/G/月，95计费，30%保底，相比存量6333元/G/月降幅21.04%，相比集约9500元/G/月降幅47.36%，按照95计费45%利用率，相比集约节约（0.95-0.5）*4*200*0.45=162万元/年
3.机柜：4000元/柜/月，免费0个，在用6个，16A，以实际开通为准
4.IP：IPV4 50元/个/月，免费288个，在用288个，IPv6免费，以实际开通为准
5.预估金额：4*(5000*200*30%+4000*6)= 1,296,000.00 元
</t>
  </si>
  <si>
    <t>2023-09-30</t>
  </si>
  <si>
    <t>1296000</t>
  </si>
  <si>
    <t>182315IDC00033</t>
  </si>
  <si>
    <t>框架合同</t>
  </si>
  <si>
    <t>范本合同</t>
  </si>
  <si>
    <t>2023-08-09</t>
  </si>
  <si>
    <t>甲方:杭州网鼎科技有限公司_IDC(待审核);</t>
  </si>
  <si>
    <t>1.框架合同，无月度需求审批信息 
2.合同概要：本合同为框架合同，不涉及资源数量及价格，无需月度需求审批。具体资源数量及价格以各节点订单为准 
3.预估金额=0</t>
  </si>
  <si>
    <t>免费</t>
  </si>
  <si>
    <t>IDC-SA合同正本-2</t>
  </si>
  <si>
    <t>乙方:中国电信股份有限公司宁夏分公司_IDC(待审核);</t>
  </si>
  <si>
    <t>1、月度需求2022年11月份 
2、原宁夏电信合同182215IDC00208，2022年12月31日到期，现电信集团集约化管理故存量业务须重新签署合同。
原商务条件：11.4万元/G/年、保底30%、20A免费机柜9个，IP地址免费400个，超出部分50元／个／月。
现商务条件：11.4万元/G/年、保底30%，23年7月31日裁撤带宽20G，保留10G，27A免费机柜2个，IP地址每个端口免费80个，超出部分50元／个／月，已使用免费160个。
3、预估金额=：带宽单价9500元/G/月 x 带宽保底30G*0.3 x 12月份=1,026,000.00元</t>
  </si>
  <si>
    <t>2023-01-01</t>
  </si>
  <si>
    <t>2023-12-31</t>
  </si>
  <si>
    <t>1026000</t>
  </si>
  <si>
    <t>182215IDC00208</t>
  </si>
  <si>
    <t>乙方:北京庭宇科技有限公司_IDC(待审核);</t>
  </si>
  <si>
    <t xml:space="preserve">供应商已签署框架协议（合同号182215IDC00285），在框架协议下增加资源订单，具体如下： 
代理-江苏宿迁移动150G+150G-存量降价
1.月度需求在2023年6月
2.带宽：4350元/G/月，95计费（拆分为2个150G节点进行计费），40%保底，相比存量4550元/G/月降幅4.39%，相比集约6740元/G/月降幅35.45%，按照95计费45%利用率，相比集约节约（0.674-0.435）*4*300*0.45=129.06万元/年
3.机柜：3750元/柜/月，免费0个，在用6个，20A，以实际开通为准
4.IP：IPV4 50元/个/月，免费448个，在用448个，IPv6免费，以实际开通为准
5.预估金额：4*(4350*300*40%+3750*6)=2,178,000.00元
</t>
  </si>
  <si>
    <t>2178000</t>
  </si>
  <si>
    <t>182215IDC00285</t>
  </si>
  <si>
    <t>182315IDC00394</t>
  </si>
  <si>
    <t>机架合同，无带宽</t>
  </si>
  <si>
    <t>2023-08-08</t>
  </si>
  <si>
    <t>乙方:广州云硕科技发展有限公司_IDC(待审核);</t>
  </si>
  <si>
    <t xml:space="preserve">1.月度需求在2023年6月
2.合同概要：广州云硕M3A机房，签约机架54个，包括超级核心机柜、外网核心机柜、直流机柜和交流机柜：1590元/KW/月，ODF机柜免费。按实际开通计费。截至目前已开通35柜。原价续签，合同期2+1年
3.预估金额：(38160*4+14310*3+21862.5*1+9540*2+12720*5+13992*15+6996*10)*24= 13,918,860.00 元
</t>
  </si>
  <si>
    <t>2022-10-30</t>
  </si>
  <si>
    <t>2024-10-31</t>
  </si>
  <si>
    <t>13918860</t>
  </si>
  <si>
    <t>IDC战略合作部-国内-IDC-机房</t>
  </si>
  <si>
    <t>2023-08-03</t>
  </si>
  <si>
    <t>乙方:上饶天利新云技术有限公司_IDC(待审核);</t>
  </si>
  <si>
    <t xml:space="preserve">此供应商已签署框架协议：182315IDC00333
【具体情况如下】
月度需求：2023年5月
1.带宽： 福建泉州移动-新建200G。4300元/G/月， 40%保底，95计费。较集约价格6740元/G/月，降幅36.20%。
2.机柜：4600元/柜/月 16A，使用5个；
3.IP：IPv4：共赠送320个，使用160个，超出50元/个/月；IPv6：按需赠送；
4.预估金额： （4300*200*0.4+4600*5）*12= 4404000元
</t>
  </si>
  <si>
    <t>4404000</t>
  </si>
  <si>
    <t>182315IDC00333</t>
  </si>
  <si>
    <t>乙方:中移铁通有限公司北京分公司_IDC(待审核);</t>
  </si>
  <si>
    <t>1、月度需求审批信息在2023年5月
2、合同概要：北京铁通CDN、BGP以及机柜续签协议。
    1） 新增3个13A机柜，单价4000元/个/月。
    2） 新增100G带宽，单价4500元/G/月，1024结算，较北京移动CDN单价（15000元/G/月）低70%，较集约价格（6740元/G/月）低33%。
    3） 新增160个IPv4地址，等同于北京移动IP，免费使用。
3、预估金额=合同预估金额=(4000元/柜/月*3个+4500元/G/月*40G保底)*7个月=1344000
拒绝提供廉洁协议</t>
  </si>
  <si>
    <t>2023-12-19</t>
  </si>
  <si>
    <t>1344000</t>
  </si>
  <si>
    <t>,GoodsAdd,OtherProvisionChange,</t>
  </si>
  <si>
    <t>合同已终止，预提合计为0</t>
  </si>
  <si>
    <t>2023-08-02</t>
  </si>
  <si>
    <t>乙方:南昌首页科技股份有限公司(待审核);</t>
  </si>
  <si>
    <t xml:space="preserve">此供应商已签署框架协议：182215IDC00235
【具体情况如下】
月度需求：2023年5月
1.带宽： 按照需求，辽宁抚顺联通-新建100G。9000元/G/月，28%保底，平均流量计费，带宽折算价格3750元/G/月（折算系数2.4）。较集约价格9000元/G/月，降幅58.33%
2.机柜： 4500元/柜/月 14A，使用3个；以实际开通为准
3.IP：IPv4：共赠送120个，使用160个，超出50元/个/月；IPv6：按需赠送；以实际开通为准
4.预估金额：（9000*100g*28%+40*50+3*4500元/柜/月）*2个月=535000元
</t>
  </si>
  <si>
    <t>535000</t>
  </si>
  <si>
    <t>182215IDC00235</t>
  </si>
  <si>
    <t>182315IDC00385</t>
  </si>
  <si>
    <t>语音合同</t>
  </si>
  <si>
    <t>2023-07-26</t>
  </si>
  <si>
    <t>王玉伟</t>
  </si>
  <si>
    <t>乙方:深圳众投互联信息技术有限公司_IDC(待审核);</t>
  </si>
  <si>
    <t>为配合ACG AI应用产品部业务发展，前期与供应商【深圳众投互联信息技术有限公司】签署的《语音线路采购协议》于2023年6月30日到期，现进行续约。 续约后价格维持不变。</t>
  </si>
  <si>
    <t>1200000</t>
  </si>
  <si>
    <t>IDC战略合作部-国内-其他</t>
  </si>
  <si>
    <t>语音线路采购协议</t>
  </si>
  <si>
    <t>182315IDC00383</t>
  </si>
  <si>
    <t>乙方:山东翔悦电子信息科技有限公司_IDC(待审核);</t>
  </si>
  <si>
    <t>为配合ACG AI应用产品部业务发展，前期与供应商【山东翔悦电子信息科技有限公司】签署的《物联网卡采购协议》于2023年5月4日到期，现进行续约。 续约后价格维持不变。</t>
  </si>
  <si>
    <t>2023-05-05</t>
  </si>
  <si>
    <t>2024-05-04</t>
  </si>
  <si>
    <t>,PeriodChange,</t>
  </si>
  <si>
    <t>182215IDC00248</t>
  </si>
  <si>
    <t>182315IDC00384</t>
  </si>
  <si>
    <t>机架和其他资源合同，无带宽</t>
  </si>
  <si>
    <t>乙方:广东奥飞数据科技股份有限公司_IDC(待审核);</t>
  </si>
  <si>
    <t xml:space="preserve">固安7号楼机柜补充协议合同概要
1.月度需求为决策会项目
2.第一批次110个机柜正式计费日期为2022年8月19日（早于主合同2022年9月1日），业务已确认
3.第二批次约484个机柜（以建设实际交付为准）价格确认，与主合同一致（40A满电8550元/月/柜，小于70%负载7950元/月/柜），以实际开通为准
4.预估金额：365369.99+（480*8550+3975*4）*60= 247,559,369.99 元
</t>
  </si>
  <si>
    <t>2022-08-19</t>
  </si>
  <si>
    <t>2027-08-31</t>
  </si>
  <si>
    <t>247559369.99</t>
  </si>
  <si>
    <t>182315IDC00094</t>
  </si>
  <si>
    <t>平行关联</t>
  </si>
  <si>
    <t>182315IDC00382</t>
  </si>
  <si>
    <t>乙方:北京智奇数美科技有限公司_IDC(待审核);</t>
  </si>
  <si>
    <t>为配合ACG AI语音业务发展，引入号码状态查询资源，与供应商智奇数美在原协议（182315IDC00131）的基础上签订补充协议，为产研团队的新商品号码状态查询、号码状态更新提供资源。</t>
  </si>
  <si>
    <t>2023-06-08</t>
  </si>
  <si>
    <t>2024-06-07</t>
  </si>
  <si>
    <t>182315IDC00131</t>
  </si>
  <si>
    <t>182315IDC00381</t>
  </si>
  <si>
    <t>2023-07-25</t>
  </si>
  <si>
    <t>乙方:中国移动通信集团上海有限公司_IDC(待审核);</t>
  </si>
  <si>
    <t>1、月度需求在2023.3。
2、新增仓储线网络专线100M本地电路，价格：3120元/月。合目录价1折。
3、预估金额=3120元/月*12个月。
拒绝提供执照+廉洁</t>
  </si>
  <si>
    <t>37440</t>
  </si>
  <si>
    <t>2023-07-24</t>
  </si>
  <si>
    <t>乙方:北京云端智度科技有限公司_IDC(待审核);</t>
  </si>
  <si>
    <t>1.月度需求2023年4月 
2.辽宁抚顺电信20G，日95月均值计费，原价4900元/G/月，新价格4600元/G/月，与原价降幅-6.12%，与集约9500元/G/月降幅51.58 % 
3.机柜：4500 元/个/月，按实际使用需求赠送机柜
4.IPv4：50元/个/月 ，按实际使用需求赠送
5.预估金额：4600*20*12*45%= 496800元</t>
  </si>
  <si>
    <t>496800</t>
  </si>
  <si>
    <t>182215IDC00229</t>
  </si>
  <si>
    <t>2023-07-20</t>
  </si>
  <si>
    <t xml:space="preserve">月度需求：2023年6月
1.带宽： PCDN-云端-视频汇聚、xcdn汇聚、acdn专线-降价续约， 
视频汇聚资源：移动2350元/G/月、电联3300元/G/月，移动降幅4.08%、电联降幅4.35%，月95；
xcdn汇聚资源：移动2350元/G/月、电联3300元/G/月，移动降幅4.08%、电联降幅4.35%，日95，提前3个月降价；
xcdn专线资源：移动3100元/G/月、电联3950元/G/月，移动降幅3.13%、电联降幅3.66%，日95；
2.预估金额：（2350*150+ 3300*150+2350*300+ 3300*300+3100*120 +3950*80）*12=38766000元
</t>
  </si>
  <si>
    <t>38766000</t>
  </si>
  <si>
    <t>乙方:南昌首页科技股份有限公司;</t>
  </si>
  <si>
    <t xml:space="preserve">供应商已签署框架协议（合同号182215IDC00235），在框架协议下增加资源订单，具体如下： 
代理-江西上饶电信-100G续签
1.月度需求在2023年6月
2.带宽：平均流量计费，25%保底，2023年4-5月 14583.33元/G/月，相比存量降幅5.4%，相比集约降幅36.03%，2023年6月 13333.33元/G/月，相比存量降幅13.51%，相比集约降幅41.51%，2023年7月（含）起11666.67元/G/月，相比存量降幅24.32%，相比集约降幅48.82%。相比集约节约131.33万元/年
3.机柜：4000元/柜/月，免费0个，在用2个，20A，以实际开通为准
4.IP：IPV4 50元/个/月，免费128个，在用128个，IPv6免费，以实际开通为准
5.预估金额：14583.33*2*100*0.25+13333.33*1*100*0.25+11666.67*9*100*0.25+4000*2*12=3,783,500.50
</t>
  </si>
  <si>
    <t>3783500.5</t>
  </si>
  <si>
    <t>2023-07-19</t>
  </si>
  <si>
    <t>乙方:浙江途说科技发展有限公司_IDC(待审核);</t>
  </si>
  <si>
    <t xml:space="preserve">供应商已签署框架协议（合同号182315IDC00365），在框架协议下增加广东深圳移动的资源订单，具体资源情况如下： 
按照需求，广东深圳移动200G-新建-代理 
1.月度需求在2023年3月 
2.带宽：4500元/G/月，95计费，40%保底，相比集约6740元/G/月降幅33.23%，按照95计费45%利用率，相比集约节约（0.674-0.45）*12*200*0.45=241.92万元/年 
3.机柜：单价4000元，免费0个，在用6个，以实际开通为准 
4.IP：IPV4 单价50元，免费256个，在用160个；IPV6 按需赠送，以实际开通为准
5.预估金额：12*(4500*200*0.4+4000*6)=4,608,000.00元
</t>
  </si>
  <si>
    <t>4608000</t>
  </si>
  <si>
    <t>182315IDC00365</t>
  </si>
  <si>
    <t>182315IDC00376</t>
  </si>
  <si>
    <t>乙方:中经云数据存储科技（北京）有限公司_IDC(待审核);</t>
  </si>
  <si>
    <t>1、月度需求审批信息在2023年7月，需求紧急先提交合同。
2、合同概要：
     中经云机房跳纤，需要签署补充协议，楼内跳纤1条，1500元/月。
3、预估金额=1500*8=12000</t>
  </si>
  <si>
    <t>2023-04-24</t>
  </si>
  <si>
    <t>2023-12-22</t>
  </si>
  <si>
    <t>12000</t>
  </si>
  <si>
    <t>182315IDC00002</t>
  </si>
  <si>
    <t>2023-07-17</t>
  </si>
  <si>
    <t>2023-07-16</t>
  </si>
  <si>
    <t>1.月度需求：2023年4月
2.山东泰安联通30g，4600元/G/月，与原价4700元/G/月降幅-2.13%，与集约9000元/G/月降幅-23.78%，日95，原为山东济南联通30g，4月7日原价替换；
3.机柜：4500 元/个/月，按实际使用需求赠送机柜；
4.IP：按实际使用需求赠送；
5.预估金额：4600*30*12*45%=745200 元</t>
  </si>
  <si>
    <t>2023-04-07</t>
  </si>
  <si>
    <t>745200</t>
  </si>
  <si>
    <t>2022315IDC00359</t>
  </si>
  <si>
    <t>短信合同</t>
  </si>
  <si>
    <t>2023-07-13</t>
  </si>
  <si>
    <t>甲方:百度时代网络技术（北京）有限公司&amp;mdash;总部;</t>
  </si>
  <si>
    <t>乙方:广州聚梦通信网络有限公司_IDC(待审核);</t>
  </si>
  <si>
    <t>1、短信供应商签约百度时代主体，提供百度时代主体直客海德堡口腔AIM短信通道资源。
2、本合同使用范本合同，只修改了范本合同里百度网讯主体为百度时代主体</t>
  </si>
  <si>
    <t>16142.88</t>
  </si>
  <si>
    <t>企业短信业务合作协议书（日常项目）</t>
  </si>
  <si>
    <t>2023-07-11</t>
  </si>
  <si>
    <t>合同概要：
1.月度需求2023年4月
2.湖北荆州联通10G，日95月均值计费，原价4700元/G/月，新价格4600元/G/月，与原价降幅-2.13%，与集约9000元/G/月降幅-48.89%
3.机柜：4500 元/个/月，按实际使用需求赠送机柜
4.IPv4：每个节点赠送8个，超出部分50元/个/月
5.预估金额：4600*10*12*45%=   248,400.00 元</t>
  </si>
  <si>
    <t>248400</t>
  </si>
  <si>
    <t>182315IDC00337</t>
  </si>
  <si>
    <t>预提金额为零，带宽资源已关闭</t>
  </si>
  <si>
    <t xml:space="preserve">合同概要：
1.月度需求2023年4月
2.安徽淮南移动10G日95月均值计费，原价4600元/G/月，新价格4500元/G/月，与原价降幅-2.17%，与集约6740元/G/月降幅-33.23%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</si>
  <si>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243000</t>
  </si>
  <si>
    <t xml:space="preserve">合同概要：
1.月度需求2023年4月
2.内蒙古呼和浩特移动50G，4500元/G/月，与集约6740元/G/月降幅-33.23%
3.机柜：4500 元/个/月，按实际使用需求赠送机柜
4.IPv4：每个节点赠送8个，超出部分50元/个/月
5.预估金额：4500*50*13*45%=   1,316,250.00 元
</t>
  </si>
  <si>
    <t>2023-03-01</t>
  </si>
  <si>
    <t>1316250</t>
  </si>
  <si>
    <t>合同概要：
1.月度需求2023年4月
2.江苏苏州移动20G，日95月均值计费，4500元/G/月，与集约6740元/G/月降幅-33.23%
3.机柜：4500 元/个/月，按实际使用需求赠送机柜
4.IPv4：每个节点赠送8个，共计赠送16个，超出部分50元/个/月
5.预估金额：4500*20*12*45%=    486,000.00 元</t>
  </si>
  <si>
    <t>486000</t>
  </si>
  <si>
    <t xml:space="preserve">合同概要：
1.月度需求2023年4月
2.安徽淮南2移动10G日95月均值计费，原价4600元/G/月，新价格4500元/G/月，与原价降幅-2.17%，与集约6740元/G/月降幅-33.23%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</si>
  <si>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合同概要：
1.月度需求2023年4月
2.甘肃兰州电信20G，日95月均值计费，原价4900元/G/月，新价格4800元/G/月，与原价降幅-2.04%，与集约9500元/G/月降幅-49.47%
3.机柜：4500 元/个/月，按实际使用需求赠送机柜
4.IPv4：每个节点赠送8个，共计赠送16个，超出部分50元/个/月
5.预估金额：4800*20*12*45%=  518,400.00 元</t>
  </si>
  <si>
    <t>518400</t>
  </si>
  <si>
    <t>合同概要：
1.月度需求2023年4月
2.甘肃兰州电信50G，95计费，保底30%，原价5700元/G/月，新价格5600元/G/月，与原价降幅-1.75%，与集约9500元/G/月降幅-41.05%
3.机柜：4500 元/个/月，按实际使用需求赠送机柜
4.IPv4：每个节点赠送8个，超出部分50元/个/月
5.预估金额：5600*50*12*45%=  1512000元</t>
  </si>
  <si>
    <t>1512000</t>
  </si>
  <si>
    <t xml:space="preserve">合同概要：
1.月度需求2023年4月
2.黑龙江鹤岗移动日95月均值计费，原价4600元/G/月，新价格4500元/G/月，与原价降幅-2.17%，与集约6740元/G/月降幅-33.23%
3.机柜：4500 元/个/月，按实际使用需求赠送机柜
4.IPv4：每个节点赠送8个，超出部分50元/个/月
5.预估金额：4500*10*12*45%= 243,000.00 元
</t>
  </si>
  <si>
    <t>合同概要：
1.月度需求2023年4月
2.甘肃天水电信10G，日95月均值计费，原价4900元/G/月，新价格4800元/G/月，与原价降幅-2.04%，与集约9500元/G/月降幅-49.47%
3.机柜：4500 元/个/月，按实际使用需求赠送机柜
4.IPv4：每个节点赠送8个，超出部分50元/个/月
5.预估金额：4800*10*12*45%=   259,200.00 元</t>
  </si>
  <si>
    <t>259200</t>
  </si>
  <si>
    <t>合同概要：
1.月度需求2023年4月
2.江苏苏州移动10G，日95月均值计费，4500元/G/月，与集约6740元/G/月降幅-33.23%
3.机柜：4500 元/个/月，按实际使用需求赠送机柜
4.IPv4：每个节点赠送8个，超出部分50元/个/月
5.预估金额：4500*10*12*45%=     243,000.00 元</t>
  </si>
  <si>
    <t>合同概要：
1.月度需求2023年4月
2.甘肃兰州电信10G，日95月均值计费，原价4900元/G/月，新价格4800元/G/月，与原价降幅-2.04%，与集约9500元/G/月降幅-49.47%
3.机柜：4500 元/个/月，按实际使用需求赠送机柜
4.IPv4：每个节点赠送8个，超出部分50元/个/月
5.预估金额：4800*10*12*45%=   259,200.00 元</t>
  </si>
  <si>
    <t>2023-07-10</t>
  </si>
  <si>
    <t>乙方:厦门市唯云网络科技有限公司_IDC(待审核);</t>
  </si>
  <si>
    <t xml:space="preserve">供应商已签署框架协议（合同号182215IDC00231），在框架协议下增加资源订单，具体如下： 
代理-江苏无锡联通100G-续签
1.月度需求在2023年6月
2.带宽：5400元/G/月，95计费，30%保底，相比存量6000元/G/月降幅10%，相比集约9000元/G/月降幅40%,按照95计费45%利用率，相比集约节约（0.9-0.54）*12*100*0.45=194.4万元/年
3.机柜：4000元/柜/月，免费0个，在用13个，以实际开通为准
4.IP：IPV4 50元/个/月，免费320个，在用544个，IPv6免费，以实际开通为准
5.预估金额：12*(5400*100*0.3+4000*13+50*（544-320）)=2,702,400.00元
</t>
  </si>
  <si>
    <t>2702400</t>
  </si>
  <si>
    <t>182215IDC00231</t>
  </si>
  <si>
    <t xml:space="preserve">供应商已签署框架协议（合同号182215IDC00231），在框架协议下增加资源订单，具体如下： 
代理-江西吉安电信120G-续签
1.月度需求在2023年6月
2.带宽：5000元/G/月，95计费，30%保底，相比存量6500元/G/月降幅23.07%，相比集约9500元/G/月降幅47.36%，按照95计费45%利用率，相比集约节约（0.95-0.5）*12*120*0.45=291.6万元/年
3.机柜：4200元/柜/月，免费0个，在用3个，以实际开通为准
4.IP：IPV4 50元/个/月，免费288个，在用160个，IPv6免费，以实际开通为准
5.预估金额：12*(5000*120*0.3+4200*3)=2,311,200.00元
</t>
  </si>
  <si>
    <t>2311200</t>
  </si>
  <si>
    <t>2023-07-09</t>
  </si>
  <si>
    <t>供应商已签署框架协议（合同号182215IDC00231），在框架协议下增加常州电信的资源订单，具体资源情况如下： 
按照需求，江苏常州电信100G-续约-代理
1.月度需求在2023年6月
2.带宽：4850元/G/月，95计费，30%保底，相比存量5833.33元/G/月降幅16.85%，相比集约9500元/G/月降幅48.94%，按照95计费45%利用率，相比集约节约（0.95-0.485）*12*100*0.45=251.1万元/年
3.机柜：5000元/柜/月，免费0个，在用6个，以实际开通为准
4.IP：IPV4 50元/个/月，免费160个，在用288个，IPv6免费，以实际开通为准
5.预估金额：12*(4850*100*0.3+5000*6+50*128)=2,182,800.00元</t>
  </si>
  <si>
    <t>2182800</t>
  </si>
  <si>
    <t>2023-07-04</t>
  </si>
  <si>
    <t>乙方:中国联合网络通信有限公司青岛市分公司_IDC(待审核);</t>
  </si>
  <si>
    <t>1、月度需求在2023年2月。
2、青岛联通CDN续约。存量带宽540G，保底30%，95计费，单价9000/月/G，赠送220G端口，机柜免费27个，IP地址免费3072个，4段/64。
3、预估金额=带宽540G*保底0.3*12月*9000元</t>
  </si>
  <si>
    <t>17496000</t>
  </si>
  <si>
    <t>182215IDC00349</t>
  </si>
  <si>
    <t>182315IDC00270</t>
  </si>
  <si>
    <t>2023-06-19</t>
  </si>
  <si>
    <t>乙方:中移互联网有限公司_IDC(待审核);</t>
  </si>
  <si>
    <t>前期与供应商【中移互联网】签署的《移动认证号码认证服务合同》于2022年12月31日到期，现进行续约。此合同为MEG 账号与支付产品部提供号码状态检测业务，本次续约价格保持不变。</t>
  </si>
  <si>
    <t>7200683.85</t>
  </si>
  <si>
    <t>2023年8月当期</t>
  </si>
  <si>
    <t>线上金额合计</t>
  </si>
  <si>
    <t>线下金额合计</t>
  </si>
  <si>
    <t>核对</t>
  </si>
  <si>
    <t>1、部分临时合同预提，系已根据集约合同流量争议条款对账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</si>
</sst>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#,##0.00_ ;[Red]\-#,##0.00\ "/>
    <numFmt numFmtId="177" formatCode="0_);[Red]\(0\)"/>
    <numFmt numFmtId="178" formatCode="0.000_);[Red]\(0.000\)"/>
    <numFmt numFmtId="179" formatCode="0.00000_);[Red]\(0.00000\)"/>
    <numFmt numFmtId="180" formatCode="0.0_);[Red]\(0.0\)"/>
    <numFmt numFmtId="181" formatCode="0.00_);[Red]\(0.00\)"/>
    <numFmt numFmtId="182" formatCode="0.000000_);[Red]\(0.000000\)"/>
    <numFmt numFmtId="183" formatCode="#,##0.000_);[Red]\(#,##0.000\)"/>
    <numFmt numFmtId="184" formatCode="_ * #,##0.0000_ ;_ * \-#,##0.0000_ ;_ * &quot;-&quot;????_ ;_ @_ "/>
    <numFmt numFmtId="185" formatCode="_ * #,##0.0000000000_ ;_ * \-#,##0.0000000000_ ;_ * &quot;-&quot;??????????_ ;_ @_ "/>
    <numFmt numFmtId="186" formatCode="_ * #,##0.0000_ ;_ * \-#,##0.0000_ ;_ * &quot;-&quot;??_ ;_ @_ "/>
    <numFmt numFmtId="187" formatCode="#,##0.00_ "/>
    <numFmt numFmtId="188" formatCode="#,##0.000_ "/>
    <numFmt numFmtId="189" formatCode="_ * #,##0.000000000_ ;_ * \-#,##0.000000000_ ;_ * &quot;-&quot;?????????_ ;_ @_ "/>
    <numFmt numFmtId="190" formatCode="_ * #,##0.00_ ;_ * \-#,##0.00_ ;_ * &quot;-&quot;??_ ;_ @_ 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b/>
      <sz val="11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等线"/>
      <family val="4"/>
      <charset val="134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FD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90" fontId="1" fillId="0" borderId="0" applyFont="0" applyFill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0" fontId="8" fillId="0" borderId="0">
      <protection locked="0"/>
    </xf>
    <xf numFmtId="0" fontId="3" fillId="0" borderId="0">
      <alignment vertical="center"/>
    </xf>
    <xf numFmtId="0" fontId="9" fillId="0" borderId="0">
      <protection locked="0"/>
    </xf>
    <xf numFmtId="190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0" borderId="0">
      <protection locked="0"/>
    </xf>
    <xf numFmtId="9" fontId="12" fillId="0" borderId="0" applyFont="0" applyFill="0" applyBorder="0" applyAlignment="0" applyProtection="0">
      <alignment vertical="center"/>
    </xf>
    <xf numFmtId="0" fontId="12" fillId="0" borderId="0"/>
    <xf numFmtId="0" fontId="7" fillId="0" borderId="0">
      <protection locked="0"/>
    </xf>
    <xf numFmtId="0" fontId="8" fillId="0" borderId="0">
      <protection locked="0"/>
    </xf>
    <xf numFmtId="190" fontId="12" fillId="0" borderId="0" applyFont="0" applyFill="0" applyBorder="0" applyAlignment="0" applyProtection="0">
      <alignment vertical="center"/>
    </xf>
    <xf numFmtId="0" fontId="7" fillId="0" borderId="0">
      <protection locked="0"/>
    </xf>
    <xf numFmtId="190" fontId="12" fillId="0" borderId="0" applyFont="0" applyFill="0" applyBorder="0" applyAlignment="0" applyProtection="0">
      <alignment vertical="center"/>
    </xf>
    <xf numFmtId="0" fontId="12" fillId="0" borderId="0"/>
    <xf numFmtId="190" fontId="12" fillId="0" borderId="0" applyFont="0" applyFill="0" applyBorder="0" applyAlignment="0" applyProtection="0">
      <alignment vertical="center"/>
    </xf>
    <xf numFmtId="190" fontId="12" fillId="0" borderId="0" applyFont="0" applyFill="0" applyBorder="0" applyAlignment="0" applyProtection="0">
      <alignment vertical="center"/>
    </xf>
    <xf numFmtId="0" fontId="1" fillId="0" borderId="0"/>
  </cellStyleXfs>
  <cellXfs count="378">
    <xf numFmtId="0" fontId="0" fillId="0" borderId="0" xfId="0"/>
    <xf numFmtId="0" fontId="1" fillId="0" borderId="0" xfId="0" applyFont="1"/>
    <xf numFmtId="0" fontId="2" fillId="0" borderId="0" xfId="0" applyFont="1"/>
    <xf numFmtId="187" fontId="1" fillId="0" borderId="0" xfId="0" applyNumberFormat="1" applyFont="1"/>
    <xf numFmtId="190" fontId="2" fillId="0" borderId="0" xfId="18" applyFont="1" applyFill="1" applyAlignment="1"/>
    <xf numFmtId="0" fontId="3" fillId="0" borderId="0" xfId="4">
      <alignment vertical="center"/>
    </xf>
    <xf numFmtId="0" fontId="4" fillId="2" borderId="1" xfId="4" applyFont="1" applyFill="1" applyBorder="1" applyAlignment="1">
      <alignment horizontal="center"/>
    </xf>
    <xf numFmtId="0" fontId="4" fillId="3" borderId="1" xfId="24" applyFont="1" applyFill="1" applyBorder="1" applyAlignment="1">
      <alignment horizontal="center"/>
    </xf>
    <xf numFmtId="0" fontId="5" fillId="0" borderId="0" xfId="0" applyFont="1"/>
    <xf numFmtId="0" fontId="6" fillId="4" borderId="0" xfId="0" applyFont="1" applyFill="1"/>
    <xf numFmtId="0" fontId="6" fillId="5" borderId="0" xfId="0" applyFont="1" applyFill="1"/>
    <xf numFmtId="181" fontId="6" fillId="5" borderId="0" xfId="0" applyNumberFormat="1" applyFont="1" applyFill="1"/>
    <xf numFmtId="181" fontId="6" fillId="4" borderId="0" xfId="0" applyNumberFormat="1" applyFont="1" applyFill="1"/>
    <xf numFmtId="181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187" fontId="6" fillId="0" borderId="0" xfId="18" applyNumberFormat="1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188" fontId="6" fillId="0" borderId="0" xfId="18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9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>
      <alignment horizontal="center" vertical="center"/>
    </xf>
    <xf numFmtId="0" fontId="6" fillId="5" borderId="2" xfId="9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5" fillId="0" borderId="2" xfId="17" applyFont="1" applyBorder="1" applyAlignment="1" applyProtection="1">
      <alignment horizontal="center" vertical="top"/>
    </xf>
    <xf numFmtId="0" fontId="6" fillId="4" borderId="2" xfId="17" applyFont="1" applyFill="1" applyBorder="1" applyAlignment="1">
      <alignment horizontal="center" vertical="center"/>
      <protection locked="0"/>
    </xf>
    <xf numFmtId="0" fontId="6" fillId="5" borderId="2" xfId="17" applyFont="1" applyFill="1" applyBorder="1" applyAlignment="1">
      <alignment horizontal="center" vertical="center"/>
      <protection locked="0"/>
    </xf>
    <xf numFmtId="0" fontId="6" fillId="4" borderId="2" xfId="5" applyFont="1" applyFill="1" applyBorder="1" applyAlignment="1" applyProtection="1">
      <alignment horizontal="center" vertical="center"/>
    </xf>
    <xf numFmtId="0" fontId="6" fillId="4" borderId="2" xfId="17" applyFont="1" applyFill="1" applyBorder="1" applyAlignment="1" applyProtection="1">
      <alignment horizontal="center" vertical="center"/>
    </xf>
    <xf numFmtId="0" fontId="5" fillId="3" borderId="2" xfId="17" applyFont="1" applyFill="1" applyBorder="1" applyAlignment="1" applyProtection="1">
      <alignment horizontal="center" vertical="top"/>
    </xf>
    <xf numFmtId="0" fontId="5" fillId="0" borderId="2" xfId="5" applyFont="1" applyBorder="1" applyAlignment="1" applyProtection="1">
      <alignment horizontal="center" vertical="center"/>
    </xf>
    <xf numFmtId="0" fontId="6" fillId="5" borderId="2" xfId="17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14" fontId="5" fillId="0" borderId="2" xfId="5" applyNumberFormat="1" applyFont="1" applyBorder="1" applyAlignment="1" applyProtection="1">
      <alignment horizontal="center" vertical="center"/>
    </xf>
    <xf numFmtId="187" fontId="5" fillId="0" borderId="2" xfId="18" applyNumberFormat="1" applyFont="1" applyFill="1" applyBorder="1" applyAlignment="1" applyProtection="1">
      <alignment vertical="center"/>
    </xf>
    <xf numFmtId="14" fontId="6" fillId="4" borderId="2" xfId="17" applyNumberFormat="1" applyFont="1" applyFill="1" applyBorder="1" applyAlignment="1">
      <alignment horizontal="center" vertical="center"/>
      <protection locked="0"/>
    </xf>
    <xf numFmtId="187" fontId="6" fillId="4" borderId="2" xfId="0" applyNumberFormat="1" applyFont="1" applyFill="1" applyBorder="1" applyAlignment="1">
      <alignment vertical="center"/>
    </xf>
    <xf numFmtId="14" fontId="6" fillId="5" borderId="2" xfId="17" applyNumberFormat="1" applyFont="1" applyFill="1" applyBorder="1" applyAlignment="1">
      <alignment horizontal="center" vertical="center"/>
      <protection locked="0"/>
    </xf>
    <xf numFmtId="187" fontId="6" fillId="5" borderId="2" xfId="0" applyNumberFormat="1" applyFont="1" applyFill="1" applyBorder="1" applyAlignment="1">
      <alignment vertical="center"/>
    </xf>
    <xf numFmtId="187" fontId="6" fillId="4" borderId="2" xfId="0" applyNumberFormat="1" applyFont="1" applyFill="1" applyBorder="1" applyAlignment="1">
      <alignment vertical="center" wrapText="1"/>
    </xf>
    <xf numFmtId="14" fontId="6" fillId="4" borderId="2" xfId="17" applyNumberFormat="1" applyFont="1" applyFill="1" applyBorder="1" applyAlignment="1">
      <alignment horizontal="center" vertical="center" wrapText="1"/>
      <protection locked="0"/>
    </xf>
    <xf numFmtId="0" fontId="6" fillId="5" borderId="2" xfId="0" applyFont="1" applyFill="1" applyBorder="1" applyAlignment="1">
      <alignment horizontal="center" vertical="center" wrapText="1"/>
    </xf>
    <xf numFmtId="0" fontId="6" fillId="4" borderId="2" xfId="13" applyFont="1" applyFill="1" applyBorder="1" applyAlignment="1" applyProtection="1">
      <alignment horizontal="center" vertical="center"/>
    </xf>
    <xf numFmtId="14" fontId="6" fillId="4" borderId="2" xfId="5" applyNumberFormat="1" applyFont="1" applyFill="1" applyBorder="1" applyAlignment="1" applyProtection="1">
      <alignment horizontal="center" vertical="center" wrapText="1"/>
    </xf>
    <xf numFmtId="187" fontId="6" fillId="4" borderId="2" xfId="5" applyNumberFormat="1" applyFont="1" applyFill="1" applyBorder="1" applyAlignment="1" applyProtection="1">
      <alignment vertical="center"/>
    </xf>
    <xf numFmtId="176" fontId="5" fillId="0" borderId="2" xfId="18" applyNumberFormat="1" applyFont="1" applyFill="1" applyBorder="1" applyAlignment="1" applyProtection="1">
      <alignment horizontal="right" vertical="center"/>
    </xf>
    <xf numFmtId="176" fontId="5" fillId="0" borderId="2" xfId="18" applyNumberFormat="1" applyFont="1" applyFill="1" applyBorder="1" applyAlignment="1" applyProtection="1">
      <alignment horizontal="left" vertical="center"/>
    </xf>
    <xf numFmtId="187" fontId="6" fillId="4" borderId="2" xfId="18" applyNumberFormat="1" applyFont="1" applyFill="1" applyBorder="1" applyAlignment="1" applyProtection="1">
      <alignment vertical="center"/>
      <protection locked="0"/>
    </xf>
    <xf numFmtId="0" fontId="6" fillId="4" borderId="2" xfId="3" applyFont="1" applyFill="1" applyBorder="1" applyAlignment="1">
      <alignment horizontal="right" vertical="center"/>
      <protection locked="0"/>
    </xf>
    <xf numFmtId="40" fontId="6" fillId="4" borderId="2" xfId="5" applyNumberFormat="1" applyFont="1" applyFill="1" applyBorder="1" applyAlignment="1" applyProtection="1">
      <alignment horizontal="left" vertical="center"/>
    </xf>
    <xf numFmtId="187" fontId="6" fillId="4" borderId="2" xfId="18" applyNumberFormat="1" applyFont="1" applyFill="1" applyBorder="1" applyAlignment="1">
      <alignment vertical="center"/>
    </xf>
    <xf numFmtId="187" fontId="6" fillId="5" borderId="2" xfId="18" applyNumberFormat="1" applyFont="1" applyFill="1" applyBorder="1" applyAlignment="1" applyProtection="1">
      <alignment vertical="center"/>
      <protection locked="0"/>
    </xf>
    <xf numFmtId="0" fontId="6" fillId="5" borderId="2" xfId="3" applyFont="1" applyFill="1" applyBorder="1" applyAlignment="1">
      <alignment horizontal="right" vertical="center"/>
      <protection locked="0"/>
    </xf>
    <xf numFmtId="40" fontId="6" fillId="5" borderId="2" xfId="5" applyNumberFormat="1" applyFont="1" applyFill="1" applyBorder="1" applyAlignment="1" applyProtection="1">
      <alignment horizontal="left" vertical="center"/>
    </xf>
    <xf numFmtId="187" fontId="6" fillId="5" borderId="2" xfId="18" applyNumberFormat="1" applyFont="1" applyFill="1" applyBorder="1" applyAlignment="1">
      <alignment vertical="center"/>
    </xf>
    <xf numFmtId="40" fontId="6" fillId="4" borderId="2" xfId="5" applyNumberFormat="1" applyFont="1" applyFill="1" applyBorder="1" applyAlignment="1" applyProtection="1">
      <alignment horizontal="left" vertical="center" wrapText="1"/>
    </xf>
    <xf numFmtId="187" fontId="6" fillId="4" borderId="2" xfId="18" applyNumberFormat="1" applyFont="1" applyFill="1" applyBorder="1" applyAlignment="1" applyProtection="1">
      <alignment vertical="center"/>
    </xf>
    <xf numFmtId="14" fontId="6" fillId="4" borderId="2" xfId="5" applyNumberFormat="1" applyFont="1" applyFill="1" applyBorder="1" applyAlignment="1" applyProtection="1">
      <alignment horizontal="left" vertical="center" wrapText="1"/>
    </xf>
    <xf numFmtId="176" fontId="5" fillId="0" borderId="2" xfId="18" applyNumberFormat="1" applyFont="1" applyFill="1" applyBorder="1" applyAlignment="1" applyProtection="1">
      <alignment horizontal="center" vertical="center"/>
    </xf>
    <xf numFmtId="188" fontId="5" fillId="0" borderId="2" xfId="18" applyNumberFormat="1" applyFont="1" applyFill="1" applyBorder="1" applyAlignment="1" applyProtection="1">
      <alignment horizontal="center" vertical="center"/>
    </xf>
    <xf numFmtId="0" fontId="5" fillId="0" borderId="2" xfId="17" applyFont="1" applyBorder="1" applyAlignment="1" applyProtection="1">
      <alignment horizontal="center" vertical="center"/>
    </xf>
    <xf numFmtId="188" fontId="6" fillId="4" borderId="2" xfId="18" applyNumberFormat="1" applyFont="1" applyFill="1" applyBorder="1" applyAlignment="1">
      <alignment horizontal="center" vertical="center"/>
    </xf>
    <xf numFmtId="40" fontId="6" fillId="4" borderId="2" xfId="18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86" fontId="6" fillId="4" borderId="2" xfId="18" applyNumberFormat="1" applyFont="1" applyFill="1" applyBorder="1" applyAlignment="1">
      <alignment horizontal="center" vertical="center"/>
    </xf>
    <xf numFmtId="188" fontId="6" fillId="5" borderId="2" xfId="18" applyNumberFormat="1" applyFont="1" applyFill="1" applyBorder="1" applyAlignment="1">
      <alignment horizontal="center" vertical="center"/>
    </xf>
    <xf numFmtId="40" fontId="6" fillId="5" borderId="2" xfId="18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86" fontId="6" fillId="5" borderId="2" xfId="18" applyNumberFormat="1" applyFont="1" applyFill="1" applyBorder="1" applyAlignment="1">
      <alignment horizontal="center" vertical="center"/>
    </xf>
    <xf numFmtId="190" fontId="6" fillId="4" borderId="2" xfId="18" applyFont="1" applyFill="1" applyBorder="1" applyAlignment="1">
      <alignment horizontal="center" vertical="center"/>
    </xf>
    <xf numFmtId="190" fontId="6" fillId="5" borderId="2" xfId="18" applyFont="1" applyFill="1" applyBorder="1" applyAlignment="1">
      <alignment horizontal="center" vertical="center"/>
    </xf>
    <xf numFmtId="0" fontId="6" fillId="4" borderId="2" xfId="16" applyFont="1" applyFill="1" applyBorder="1" applyAlignment="1">
      <alignment horizontal="left" vertical="center"/>
      <protection locked="0"/>
    </xf>
    <xf numFmtId="181" fontId="6" fillId="4" borderId="2" xfId="17" applyNumberFormat="1" applyFont="1" applyFill="1" applyBorder="1" applyAlignment="1">
      <alignment horizontal="center" vertical="center"/>
      <protection locked="0"/>
    </xf>
    <xf numFmtId="187" fontId="6" fillId="4" borderId="2" xfId="18" applyNumberFormat="1" applyFont="1" applyFill="1" applyBorder="1" applyAlignment="1">
      <alignment horizontal="center" vertical="center"/>
    </xf>
    <xf numFmtId="0" fontId="6" fillId="4" borderId="2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181" fontId="5" fillId="0" borderId="2" xfId="18" applyNumberFormat="1" applyFont="1" applyFill="1" applyBorder="1" applyAlignment="1">
      <alignment horizontal="center" vertical="center"/>
    </xf>
    <xf numFmtId="181" fontId="6" fillId="4" borderId="2" xfId="0" applyNumberFormat="1" applyFont="1" applyFill="1" applyBorder="1" applyAlignment="1">
      <alignment horizontal="center" vertical="center"/>
    </xf>
    <xf numFmtId="181" fontId="6" fillId="5" borderId="2" xfId="0" applyNumberFormat="1" applyFont="1" applyFill="1" applyBorder="1" applyAlignment="1">
      <alignment horizontal="center" vertical="center"/>
    </xf>
    <xf numFmtId="181" fontId="6" fillId="4" borderId="2" xfId="18" applyNumberFormat="1" applyFont="1" applyFill="1" applyBorder="1" applyAlignment="1">
      <alignment horizontal="center" vertical="center"/>
    </xf>
    <xf numFmtId="181" fontId="6" fillId="5" borderId="2" xfId="18" applyNumberFormat="1" applyFont="1" applyFill="1" applyBorder="1" applyAlignment="1">
      <alignment horizontal="center" vertical="center"/>
    </xf>
    <xf numFmtId="186" fontId="6" fillId="4" borderId="0" xfId="0" applyNumberFormat="1" applyFont="1" applyFill="1"/>
    <xf numFmtId="184" fontId="6" fillId="4" borderId="0" xfId="0" applyNumberFormat="1" applyFont="1" applyFill="1"/>
    <xf numFmtId="186" fontId="6" fillId="5" borderId="0" xfId="0" applyNumberFormat="1" applyFont="1" applyFill="1"/>
    <xf numFmtId="184" fontId="6" fillId="5" borderId="0" xfId="0" applyNumberFormat="1" applyFont="1" applyFill="1"/>
    <xf numFmtId="0" fontId="6" fillId="4" borderId="2" xfId="21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>
      <alignment horizontal="center" vertical="center"/>
    </xf>
    <xf numFmtId="0" fontId="6" fillId="5" borderId="2" xfId="2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  <protection locked="0"/>
    </xf>
    <xf numFmtId="0" fontId="6" fillId="4" borderId="2" xfId="9" applyFont="1" applyFill="1" applyBorder="1" applyAlignment="1">
      <alignment horizontal="center" vertical="center"/>
    </xf>
    <xf numFmtId="49" fontId="6" fillId="4" borderId="2" xfId="21" applyNumberFormat="1" applyFont="1" applyFill="1" applyBorder="1" applyAlignment="1" applyProtection="1">
      <alignment horizontal="center" vertical="center"/>
      <protection locked="0"/>
    </xf>
    <xf numFmtId="49" fontId="6" fillId="5" borderId="2" xfId="21" applyNumberFormat="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 applyProtection="1">
      <alignment horizontal="center" vertical="center" wrapText="1"/>
      <protection locked="0"/>
    </xf>
    <xf numFmtId="14" fontId="6" fillId="5" borderId="2" xfId="17" applyNumberFormat="1" applyFont="1" applyFill="1" applyBorder="1" applyAlignment="1">
      <alignment horizontal="center" vertical="center" wrapText="1"/>
      <protection locked="0"/>
    </xf>
    <xf numFmtId="14" fontId="6" fillId="4" borderId="2" xfId="3" applyNumberFormat="1" applyFont="1" applyFill="1" applyBorder="1" applyAlignment="1">
      <alignment horizontal="center" vertical="center"/>
      <protection locked="0"/>
    </xf>
    <xf numFmtId="0" fontId="6" fillId="4" borderId="2" xfId="13" applyFont="1" applyFill="1" applyBorder="1" applyAlignment="1">
      <alignment horizontal="center" vertical="center"/>
      <protection locked="0"/>
    </xf>
    <xf numFmtId="187" fontId="6" fillId="4" borderId="2" xfId="20" applyNumberFormat="1" applyFont="1" applyFill="1" applyBorder="1" applyAlignment="1">
      <alignment vertical="center" wrapText="1"/>
    </xf>
    <xf numFmtId="14" fontId="6" fillId="4" borderId="2" xfId="5" applyNumberFormat="1" applyFont="1" applyFill="1" applyBorder="1" applyAlignment="1" applyProtection="1">
      <alignment horizontal="center" vertical="center"/>
    </xf>
    <xf numFmtId="187" fontId="6" fillId="4" borderId="2" xfId="3" applyNumberFormat="1" applyFont="1" applyFill="1" applyBorder="1" applyAlignment="1">
      <alignment vertical="center"/>
      <protection locked="0"/>
    </xf>
    <xf numFmtId="0" fontId="6" fillId="5" borderId="2" xfId="13" applyFont="1" applyFill="1" applyBorder="1" applyAlignment="1" applyProtection="1">
      <alignment horizontal="center" vertical="center"/>
    </xf>
    <xf numFmtId="14" fontId="6" fillId="5" borderId="2" xfId="5" applyNumberFormat="1" applyFont="1" applyFill="1" applyBorder="1" applyAlignment="1" applyProtection="1">
      <alignment horizontal="center" vertical="center"/>
    </xf>
    <xf numFmtId="187" fontId="6" fillId="5" borderId="2" xfId="3" applyNumberFormat="1" applyFont="1" applyFill="1" applyBorder="1" applyAlignment="1">
      <alignment vertical="center"/>
      <protection locked="0"/>
    </xf>
    <xf numFmtId="14" fontId="6" fillId="5" borderId="2" xfId="5" applyNumberFormat="1" applyFont="1" applyFill="1" applyBorder="1" applyAlignment="1" applyProtection="1">
      <alignment horizontal="center" vertical="center" wrapText="1"/>
    </xf>
    <xf numFmtId="40" fontId="6" fillId="5" borderId="2" xfId="5" applyNumberFormat="1" applyFont="1" applyFill="1" applyBorder="1" applyAlignment="1" applyProtection="1">
      <alignment horizontal="left" vertical="center" wrapText="1"/>
    </xf>
    <xf numFmtId="14" fontId="6" fillId="4" borderId="2" xfId="3" applyNumberFormat="1" applyFont="1" applyFill="1" applyBorder="1" applyAlignment="1">
      <alignment horizontal="left" vertical="center"/>
      <protection locked="0"/>
    </xf>
    <xf numFmtId="187" fontId="6" fillId="4" borderId="2" xfId="20" applyNumberFormat="1" applyFont="1" applyFill="1" applyBorder="1" applyAlignment="1" applyProtection="1">
      <alignment vertical="center"/>
    </xf>
    <xf numFmtId="0" fontId="6" fillId="4" borderId="2" xfId="21" applyFont="1" applyFill="1" applyBorder="1" applyAlignment="1" applyProtection="1">
      <alignment horizontal="left" vertical="center"/>
      <protection locked="0"/>
    </xf>
    <xf numFmtId="187" fontId="6" fillId="5" borderId="2" xfId="20" applyNumberFormat="1" applyFont="1" applyFill="1" applyBorder="1" applyAlignment="1" applyProtection="1">
      <alignment vertical="center"/>
    </xf>
    <xf numFmtId="187" fontId="6" fillId="5" borderId="2" xfId="18" applyNumberFormat="1" applyFont="1" applyFill="1" applyBorder="1" applyAlignment="1" applyProtection="1">
      <alignment vertical="center"/>
    </xf>
    <xf numFmtId="0" fontId="6" fillId="5" borderId="2" xfId="21" applyFont="1" applyFill="1" applyBorder="1" applyAlignment="1" applyProtection="1">
      <alignment horizontal="left" vertical="center"/>
      <protection locked="0"/>
    </xf>
    <xf numFmtId="0" fontId="6" fillId="5" borderId="2" xfId="18" applyNumberFormat="1" applyFont="1" applyFill="1" applyBorder="1" applyAlignment="1">
      <alignment horizontal="center" vertical="center"/>
    </xf>
    <xf numFmtId="187" fontId="6" fillId="5" borderId="2" xfId="18" applyNumberFormat="1" applyFont="1" applyFill="1" applyBorder="1" applyAlignment="1">
      <alignment horizontal="center" vertical="center"/>
    </xf>
    <xf numFmtId="183" fontId="6" fillId="5" borderId="2" xfId="18" applyNumberFormat="1" applyFont="1" applyFill="1" applyBorder="1" applyAlignment="1">
      <alignment horizontal="center" vertical="center"/>
    </xf>
    <xf numFmtId="181" fontId="6" fillId="4" borderId="2" xfId="3" applyNumberFormat="1" applyFont="1" applyFill="1" applyBorder="1" applyAlignment="1">
      <alignment horizontal="center" vertical="center"/>
      <protection locked="0"/>
    </xf>
    <xf numFmtId="0" fontId="6" fillId="4" borderId="2" xfId="15" applyFont="1" applyFill="1" applyBorder="1" applyAlignment="1" applyProtection="1">
      <alignment horizontal="center" vertical="center"/>
      <protection locked="0"/>
    </xf>
    <xf numFmtId="0" fontId="6" fillId="4" borderId="2" xfId="15" applyFont="1" applyFill="1" applyBorder="1" applyAlignment="1">
      <alignment horizontal="center" vertical="center"/>
    </xf>
    <xf numFmtId="0" fontId="6" fillId="4" borderId="2" xfId="17" applyFont="1" applyFill="1" applyBorder="1" applyAlignment="1">
      <alignment horizontal="center" vertical="center" wrapText="1"/>
      <protection locked="0"/>
    </xf>
    <xf numFmtId="0" fontId="6" fillId="4" borderId="2" xfId="5" applyFont="1" applyFill="1" applyBorder="1" applyAlignment="1" applyProtection="1">
      <alignment horizontal="center" vertical="center" wrapText="1"/>
    </xf>
    <xf numFmtId="0" fontId="6" fillId="5" borderId="2" xfId="5" applyFont="1" applyFill="1" applyBorder="1" applyAlignment="1">
      <alignment horizontal="center" vertical="center"/>
      <protection locked="0"/>
    </xf>
    <xf numFmtId="0" fontId="6" fillId="4" borderId="2" xfId="13" applyFont="1" applyFill="1" applyBorder="1" applyAlignment="1" applyProtection="1">
      <alignment horizontal="center" vertical="center" wrapText="1"/>
    </xf>
    <xf numFmtId="49" fontId="6" fillId="4" borderId="2" xfId="17" applyNumberFormat="1" applyFont="1" applyFill="1" applyBorder="1" applyAlignment="1">
      <alignment horizontal="center" vertical="center"/>
      <protection locked="0"/>
    </xf>
    <xf numFmtId="0" fontId="6" fillId="5" borderId="2" xfId="9" applyFont="1" applyFill="1" applyBorder="1" applyAlignment="1">
      <alignment horizontal="center" vertical="center"/>
    </xf>
    <xf numFmtId="14" fontId="6" fillId="4" borderId="2" xfId="15" applyNumberFormat="1" applyFont="1" applyFill="1" applyBorder="1" applyAlignment="1">
      <alignment horizontal="center" vertical="center" wrapText="1"/>
    </xf>
    <xf numFmtId="40" fontId="6" fillId="4" borderId="2" xfId="5" applyNumberFormat="1" applyFont="1" applyFill="1" applyBorder="1" applyAlignment="1" applyProtection="1">
      <alignment horizontal="center" vertical="center" wrapText="1"/>
    </xf>
    <xf numFmtId="40" fontId="6" fillId="4" borderId="2" xfId="1" applyNumberFormat="1" applyFont="1" applyFill="1" applyBorder="1" applyAlignment="1" applyProtection="1">
      <alignment vertical="center"/>
    </xf>
    <xf numFmtId="190" fontId="6" fillId="4" borderId="2" xfId="6" applyFont="1" applyFill="1" applyBorder="1" applyAlignment="1" applyProtection="1">
      <alignment vertical="center"/>
      <protection locked="0"/>
    </xf>
    <xf numFmtId="14" fontId="6" fillId="4" borderId="2" xfId="3" applyNumberFormat="1" applyFont="1" applyFill="1" applyBorder="1" applyAlignment="1">
      <alignment horizontal="center" vertical="center" wrapText="1"/>
      <protection locked="0"/>
    </xf>
    <xf numFmtId="14" fontId="6" fillId="5" borderId="2" xfId="3" applyNumberFormat="1" applyFont="1" applyFill="1" applyBorder="1" applyAlignment="1">
      <alignment horizontal="center" vertical="center"/>
      <protection locked="0"/>
    </xf>
    <xf numFmtId="0" fontId="6" fillId="5" borderId="2" xfId="13" applyFont="1" applyFill="1" applyBorder="1" applyAlignment="1">
      <alignment horizontal="center" vertical="center"/>
      <protection locked="0"/>
    </xf>
    <xf numFmtId="187" fontId="6" fillId="5" borderId="2" xfId="20" applyNumberFormat="1" applyFont="1" applyFill="1" applyBorder="1" applyAlignment="1">
      <alignment vertical="center" wrapText="1"/>
    </xf>
    <xf numFmtId="14" fontId="6" fillId="4" borderId="2" xfId="15" applyNumberFormat="1" applyFont="1" applyFill="1" applyBorder="1" applyAlignment="1">
      <alignment horizontal="center" vertical="center"/>
    </xf>
    <xf numFmtId="40" fontId="6" fillId="4" borderId="2" xfId="5" applyNumberFormat="1" applyFont="1" applyFill="1" applyBorder="1" applyAlignment="1" applyProtection="1">
      <alignment horizontal="center" vertical="center"/>
    </xf>
    <xf numFmtId="0" fontId="6" fillId="4" borderId="2" xfId="21" applyFont="1" applyFill="1" applyBorder="1" applyAlignment="1" applyProtection="1">
      <alignment horizontal="left" vertical="center" wrapText="1"/>
      <protection locked="0"/>
    </xf>
    <xf numFmtId="0" fontId="6" fillId="5" borderId="2" xfId="21" applyFont="1" applyFill="1" applyBorder="1" applyAlignment="1" applyProtection="1">
      <alignment horizontal="left" vertical="center" wrapText="1"/>
      <protection locked="0"/>
    </xf>
    <xf numFmtId="187" fontId="6" fillId="4" borderId="2" xfId="2" applyNumberFormat="1" applyFont="1" applyFill="1" applyBorder="1" applyAlignment="1">
      <alignment vertical="center"/>
    </xf>
    <xf numFmtId="187" fontId="6" fillId="4" borderId="2" xfId="1" applyNumberFormat="1" applyFont="1" applyFill="1" applyBorder="1" applyAlignment="1" applyProtection="1">
      <alignment vertical="center"/>
      <protection locked="0"/>
    </xf>
    <xf numFmtId="40" fontId="6" fillId="4" borderId="2" xfId="5" applyNumberFormat="1" applyFont="1" applyFill="1" applyBorder="1" applyAlignment="1" applyProtection="1">
      <alignment horizontal="left" vertical="top" wrapText="1"/>
    </xf>
    <xf numFmtId="40" fontId="6" fillId="4" borderId="2" xfId="5" applyNumberFormat="1" applyFont="1" applyFill="1" applyBorder="1" applyAlignment="1" applyProtection="1">
      <alignment horizontal="left" vertical="top"/>
    </xf>
    <xf numFmtId="177" fontId="6" fillId="4" borderId="2" xfId="17" applyNumberFormat="1" applyFont="1" applyFill="1" applyBorder="1" applyAlignment="1">
      <alignment horizontal="right" vertical="center"/>
      <protection locked="0"/>
    </xf>
    <xf numFmtId="0" fontId="6" fillId="4" borderId="2" xfId="0" applyFont="1" applyFill="1" applyBorder="1" applyAlignment="1">
      <alignment horizontal="left"/>
    </xf>
    <xf numFmtId="14" fontId="6" fillId="5" borderId="2" xfId="3" applyNumberFormat="1" applyFont="1" applyFill="1" applyBorder="1" applyAlignment="1">
      <alignment horizontal="left" vertical="center"/>
      <protection locked="0"/>
    </xf>
    <xf numFmtId="181" fontId="6" fillId="4" borderId="2" xfId="17" applyNumberFormat="1" applyFont="1" applyFill="1" applyBorder="1" applyAlignment="1">
      <alignment horizontal="center" vertical="center" wrapText="1"/>
      <protection locked="0"/>
    </xf>
    <xf numFmtId="181" fontId="6" fillId="4" borderId="2" xfId="5" applyNumberFormat="1" applyFont="1" applyFill="1" applyBorder="1" applyAlignment="1">
      <alignment horizontal="center" vertical="center"/>
      <protection locked="0"/>
    </xf>
    <xf numFmtId="177" fontId="6" fillId="4" borderId="2" xfId="6" applyNumberFormat="1" applyFont="1" applyFill="1" applyBorder="1" applyAlignment="1" applyProtection="1">
      <alignment vertical="center"/>
      <protection locked="0"/>
    </xf>
    <xf numFmtId="177" fontId="6" fillId="4" borderId="2" xfId="6" applyNumberFormat="1" applyFont="1" applyFill="1" applyBorder="1" applyAlignment="1" applyProtection="1">
      <alignment horizontal="center" vertical="center"/>
      <protection locked="0"/>
    </xf>
    <xf numFmtId="181" fontId="6" fillId="4" borderId="2" xfId="17" applyNumberFormat="1" applyFont="1" applyFill="1" applyBorder="1" applyAlignment="1">
      <alignment horizontal="left" vertical="center"/>
      <protection locked="0"/>
    </xf>
    <xf numFmtId="0" fontId="6" fillId="4" borderId="2" xfId="0" applyFont="1" applyFill="1" applyBorder="1"/>
    <xf numFmtId="181" fontId="6" fillId="5" borderId="2" xfId="17" applyNumberFormat="1" applyFont="1" applyFill="1" applyBorder="1" applyAlignment="1">
      <alignment horizontal="center" vertical="center"/>
      <protection locked="0"/>
    </xf>
    <xf numFmtId="14" fontId="6" fillId="5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9" fontId="6" fillId="4" borderId="2" xfId="15" applyNumberFormat="1" applyFont="1" applyFill="1" applyBorder="1" applyAlignment="1">
      <alignment horizontal="center" vertical="center"/>
    </xf>
    <xf numFmtId="181" fontId="6" fillId="4" borderId="2" xfId="15" applyNumberFormat="1" applyFont="1" applyFill="1" applyBorder="1" applyAlignment="1">
      <alignment horizontal="center" vertical="center"/>
    </xf>
    <xf numFmtId="187" fontId="6" fillId="4" borderId="2" xfId="0" applyNumberFormat="1" applyFont="1" applyFill="1" applyBorder="1" applyAlignment="1">
      <alignment horizontal="center" vertical="center"/>
    </xf>
    <xf numFmtId="9" fontId="6" fillId="4" borderId="2" xfId="1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81" fontId="6" fillId="5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81" fontId="6" fillId="4" borderId="0" xfId="0" applyNumberFormat="1" applyFont="1" applyFill="1" applyAlignment="1">
      <alignment horizontal="center" vertical="center"/>
    </xf>
    <xf numFmtId="181" fontId="6" fillId="4" borderId="2" xfId="5" applyNumberFormat="1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>
      <alignment horizontal="center" vertical="center"/>
      <protection locked="0"/>
    </xf>
    <xf numFmtId="49" fontId="6" fillId="5" borderId="2" xfId="0" applyNumberFormat="1" applyFont="1" applyFill="1" applyBorder="1" applyAlignment="1" applyProtection="1">
      <alignment horizontal="center" vertical="center"/>
      <protection locked="0"/>
    </xf>
    <xf numFmtId="0" fontId="6" fillId="4" borderId="2" xfId="3" applyFont="1" applyFill="1" applyBorder="1" applyAlignment="1">
      <alignment horizontal="center" vertical="center"/>
      <protection locked="0"/>
    </xf>
    <xf numFmtId="49" fontId="6" fillId="4" borderId="2" xfId="0" applyNumberFormat="1" applyFont="1" applyFill="1" applyBorder="1" applyAlignment="1" applyProtection="1">
      <alignment horizontal="center" vertical="center"/>
      <protection locked="0"/>
    </xf>
    <xf numFmtId="187" fontId="6" fillId="4" borderId="2" xfId="20" applyNumberFormat="1" applyFont="1" applyFill="1" applyBorder="1" applyAlignment="1">
      <alignment vertical="center"/>
    </xf>
    <xf numFmtId="14" fontId="6" fillId="5" borderId="2" xfId="5" applyNumberFormat="1" applyFont="1" applyFill="1" applyBorder="1" applyAlignment="1">
      <alignment horizontal="center" vertical="center"/>
      <protection locked="0"/>
    </xf>
    <xf numFmtId="190" fontId="6" fillId="5" borderId="2" xfId="18" applyFont="1" applyFill="1" applyBorder="1" applyAlignment="1" applyProtection="1">
      <alignment vertical="center"/>
      <protection locked="0"/>
    </xf>
    <xf numFmtId="14" fontId="6" fillId="5" borderId="2" xfId="5" applyNumberFormat="1" applyFont="1" applyFill="1" applyBorder="1" applyAlignment="1">
      <alignment horizontal="center" vertical="center" wrapText="1"/>
      <protection locked="0"/>
    </xf>
    <xf numFmtId="190" fontId="6" fillId="5" borderId="2" xfId="18" applyFont="1" applyFill="1" applyBorder="1" applyAlignment="1" applyProtection="1">
      <alignment horizontal="center" vertical="center"/>
    </xf>
    <xf numFmtId="190" fontId="6" fillId="5" borderId="2" xfId="18" applyFont="1" applyFill="1" applyBorder="1" applyAlignment="1" applyProtection="1">
      <alignment horizontal="center" vertical="center"/>
      <protection locked="0"/>
    </xf>
    <xf numFmtId="14" fontId="6" fillId="5" borderId="2" xfId="13" applyNumberFormat="1" applyFont="1" applyFill="1" applyBorder="1" applyAlignment="1">
      <alignment horizontal="center" vertical="center"/>
      <protection locked="0"/>
    </xf>
    <xf numFmtId="14" fontId="6" fillId="4" borderId="2" xfId="5" applyNumberFormat="1" applyFont="1" applyFill="1" applyBorder="1" applyAlignment="1">
      <alignment horizontal="center" vertical="center"/>
      <protection locked="0"/>
    </xf>
    <xf numFmtId="14" fontId="6" fillId="4" borderId="2" xfId="13" applyNumberFormat="1" applyFont="1" applyFill="1" applyBorder="1" applyAlignment="1">
      <alignment horizontal="center" vertical="center"/>
      <protection locked="0"/>
    </xf>
    <xf numFmtId="190" fontId="6" fillId="4" borderId="2" xfId="18" applyFont="1" applyFill="1" applyBorder="1" applyAlignment="1" applyProtection="1">
      <alignment vertical="center"/>
      <protection locked="0"/>
    </xf>
    <xf numFmtId="190" fontId="6" fillId="4" borderId="2" xfId="18" applyFont="1" applyFill="1" applyBorder="1" applyAlignment="1" applyProtection="1">
      <alignment horizontal="center" vertical="center"/>
    </xf>
    <xf numFmtId="0" fontId="6" fillId="5" borderId="2" xfId="5" applyFont="1" applyFill="1" applyBorder="1" applyAlignment="1" applyProtection="1">
      <alignment horizontal="center" vertical="center"/>
    </xf>
    <xf numFmtId="190" fontId="6" fillId="5" borderId="2" xfId="18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18" applyNumberFormat="1" applyFont="1" applyFill="1" applyBorder="1" applyAlignment="1" applyProtection="1">
      <alignment horizontal="left" vertical="center"/>
      <protection locked="0"/>
    </xf>
    <xf numFmtId="14" fontId="6" fillId="5" borderId="2" xfId="0" applyNumberFormat="1" applyFont="1" applyFill="1" applyBorder="1" applyAlignment="1" applyProtection="1">
      <alignment horizontal="center" vertical="center"/>
      <protection locked="0"/>
    </xf>
    <xf numFmtId="190" fontId="6" fillId="4" borderId="2" xfId="18" applyFont="1" applyFill="1" applyBorder="1" applyAlignment="1" applyProtection="1">
      <alignment horizontal="center" vertical="center"/>
      <protection locked="0"/>
    </xf>
    <xf numFmtId="182" fontId="6" fillId="5" borderId="2" xfId="18" applyNumberFormat="1" applyFont="1" applyFill="1" applyBorder="1" applyAlignment="1" applyProtection="1">
      <alignment horizontal="center" vertical="center"/>
    </xf>
    <xf numFmtId="190" fontId="6" fillId="4" borderId="2" xfId="18" applyFont="1" applyFill="1" applyBorder="1" applyAlignment="1" applyProtection="1">
      <alignment horizontal="left" vertical="center"/>
      <protection locked="0"/>
    </xf>
    <xf numFmtId="14" fontId="6" fillId="4" borderId="2" xfId="18" applyNumberFormat="1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 applyProtection="1">
      <alignment horizontal="center" vertical="center"/>
      <protection locked="0"/>
    </xf>
    <xf numFmtId="9" fontId="6" fillId="5" borderId="2" xfId="12" applyFont="1" applyFill="1" applyBorder="1" applyAlignment="1" applyProtection="1">
      <alignment horizontal="center" vertical="center"/>
      <protection locked="0"/>
    </xf>
    <xf numFmtId="9" fontId="6" fillId="5" borderId="2" xfId="12" applyFont="1" applyFill="1" applyBorder="1" applyAlignment="1">
      <alignment horizontal="center" vertical="center"/>
    </xf>
    <xf numFmtId="9" fontId="6" fillId="4" borderId="2" xfId="12" applyFont="1" applyFill="1" applyBorder="1" applyAlignment="1">
      <alignment horizontal="center" vertical="center"/>
    </xf>
    <xf numFmtId="9" fontId="6" fillId="4" borderId="2" xfId="12" applyFont="1" applyFill="1" applyBorder="1" applyAlignment="1" applyProtection="1">
      <alignment horizontal="center" vertical="center"/>
      <protection locked="0"/>
    </xf>
    <xf numFmtId="190" fontId="6" fillId="4" borderId="0" xfId="0" applyNumberFormat="1" applyFont="1" applyFill="1"/>
    <xf numFmtId="0" fontId="6" fillId="4" borderId="2" xfId="7" applyFont="1" applyFill="1" applyBorder="1" applyAlignment="1" applyProtection="1">
      <alignment horizontal="center" vertical="center"/>
      <protection locked="0"/>
    </xf>
    <xf numFmtId="0" fontId="6" fillId="5" borderId="2" xfId="7" applyFont="1" applyFill="1" applyBorder="1" applyAlignment="1" applyProtection="1">
      <alignment horizontal="center" vertical="center"/>
      <protection locked="0"/>
    </xf>
    <xf numFmtId="0" fontId="6" fillId="5" borderId="2" xfId="7" applyFont="1" applyFill="1" applyBorder="1" applyAlignment="1">
      <alignment horizontal="center" vertical="center"/>
    </xf>
    <xf numFmtId="0" fontId="6" fillId="5" borderId="2" xfId="24" applyFont="1" applyFill="1" applyBorder="1" applyAlignment="1" applyProtection="1">
      <alignment horizontal="center" vertical="center"/>
      <protection locked="0"/>
    </xf>
    <xf numFmtId="49" fontId="6" fillId="4" borderId="2" xfId="7" applyNumberFormat="1" applyFont="1" applyFill="1" applyBorder="1" applyAlignment="1" applyProtection="1">
      <alignment horizontal="center" vertical="center"/>
      <protection locked="0"/>
    </xf>
    <xf numFmtId="49" fontId="6" fillId="5" borderId="2" xfId="7" applyNumberFormat="1" applyFont="1" applyFill="1" applyBorder="1" applyAlignment="1" applyProtection="1">
      <alignment horizontal="center" vertical="center"/>
      <protection locked="0"/>
    </xf>
    <xf numFmtId="49" fontId="6" fillId="5" borderId="2" xfId="0" applyNumberFormat="1" applyFont="1" applyFill="1" applyBorder="1" applyAlignment="1">
      <alignment horizontal="center" vertical="center"/>
    </xf>
    <xf numFmtId="14" fontId="6" fillId="4" borderId="2" xfId="17" applyNumberFormat="1" applyFont="1" applyFill="1" applyBorder="1" applyAlignment="1" applyProtection="1">
      <alignment horizontal="center" vertical="center" wrapText="1"/>
    </xf>
    <xf numFmtId="190" fontId="6" fillId="4" borderId="2" xfId="18" applyFont="1" applyFill="1" applyBorder="1" applyAlignment="1">
      <alignment vertical="center"/>
    </xf>
    <xf numFmtId="190" fontId="6" fillId="5" borderId="2" xfId="22" applyFont="1" applyFill="1" applyBorder="1" applyAlignment="1" applyProtection="1">
      <alignment vertical="center"/>
      <protection locked="0"/>
    </xf>
    <xf numFmtId="190" fontId="6" fillId="4" borderId="2" xfId="22" applyFont="1" applyFill="1" applyBorder="1" applyAlignment="1" applyProtection="1">
      <alignment vertical="center"/>
      <protection locked="0"/>
    </xf>
    <xf numFmtId="14" fontId="6" fillId="4" borderId="2" xfId="13" applyNumberFormat="1" applyFont="1" applyFill="1" applyBorder="1" applyAlignment="1" applyProtection="1">
      <alignment horizontal="center" vertical="center"/>
    </xf>
    <xf numFmtId="190" fontId="6" fillId="5" borderId="2" xfId="22" applyFont="1" applyFill="1" applyBorder="1" applyAlignment="1" applyProtection="1">
      <alignment horizontal="center" vertical="center"/>
    </xf>
    <xf numFmtId="190" fontId="6" fillId="5" borderId="2" xfId="22" applyFont="1" applyFill="1" applyBorder="1" applyAlignment="1">
      <alignment vertical="center"/>
    </xf>
    <xf numFmtId="190" fontId="6" fillId="5" borderId="2" xfId="0" applyNumberFormat="1" applyFont="1" applyFill="1" applyBorder="1" applyAlignment="1">
      <alignment vertical="center"/>
    </xf>
    <xf numFmtId="14" fontId="6" fillId="5" borderId="2" xfId="13" applyNumberFormat="1" applyFont="1" applyFill="1" applyBorder="1" applyAlignment="1" applyProtection="1">
      <alignment horizontal="center" vertical="center"/>
    </xf>
    <xf numFmtId="14" fontId="6" fillId="5" borderId="2" xfId="0" applyNumberFormat="1" applyFont="1" applyFill="1" applyBorder="1" applyAlignment="1">
      <alignment horizontal="center" vertical="center" wrapText="1"/>
    </xf>
    <xf numFmtId="14" fontId="6" fillId="5" borderId="2" xfId="22" applyNumberFormat="1" applyFont="1" applyFill="1" applyBorder="1" applyAlignment="1">
      <alignment horizontal="center" vertical="center"/>
    </xf>
    <xf numFmtId="14" fontId="6" fillId="4" borderId="2" xfId="22" applyNumberFormat="1" applyFont="1" applyFill="1" applyBorder="1" applyAlignment="1">
      <alignment horizontal="center" vertical="center"/>
    </xf>
    <xf numFmtId="187" fontId="6" fillId="5" borderId="2" xfId="22" applyNumberFormat="1" applyFont="1" applyFill="1" applyBorder="1" applyAlignment="1" applyProtection="1">
      <alignment vertical="center"/>
    </xf>
    <xf numFmtId="187" fontId="6" fillId="5" borderId="2" xfId="22" applyNumberFormat="1" applyFont="1" applyFill="1" applyBorder="1" applyAlignment="1" applyProtection="1">
      <alignment vertical="center"/>
      <protection locked="0"/>
    </xf>
    <xf numFmtId="187" fontId="6" fillId="4" borderId="2" xfId="22" applyNumberFormat="1" applyFont="1" applyFill="1" applyBorder="1" applyAlignment="1" applyProtection="1">
      <alignment vertical="center"/>
    </xf>
    <xf numFmtId="187" fontId="6" fillId="4" borderId="2" xfId="22" applyNumberFormat="1" applyFont="1" applyFill="1" applyBorder="1" applyAlignment="1" applyProtection="1">
      <alignment vertical="center"/>
      <protection locked="0"/>
    </xf>
    <xf numFmtId="0" fontId="6" fillId="4" borderId="2" xfId="22" applyNumberFormat="1" applyFont="1" applyFill="1" applyBorder="1" applyAlignment="1" applyProtection="1">
      <alignment horizontal="left" vertical="center"/>
      <protection locked="0"/>
    </xf>
    <xf numFmtId="14" fontId="6" fillId="5" borderId="2" xfId="0" applyNumberFormat="1" applyFont="1" applyFill="1" applyBorder="1" applyAlignment="1">
      <alignment horizontal="left" vertical="center"/>
    </xf>
    <xf numFmtId="14" fontId="6" fillId="5" borderId="2" xfId="18" applyNumberFormat="1" applyFont="1" applyFill="1" applyBorder="1" applyAlignment="1" applyProtection="1">
      <alignment horizontal="center" vertical="center"/>
      <protection locked="0"/>
    </xf>
    <xf numFmtId="190" fontId="6" fillId="5" borderId="2" xfId="22" applyFont="1" applyFill="1" applyBorder="1" applyAlignment="1" applyProtection="1">
      <alignment horizontal="center" vertical="center"/>
      <protection locked="0"/>
    </xf>
    <xf numFmtId="190" fontId="6" fillId="4" borderId="2" xfId="22" applyFont="1" applyFill="1" applyBorder="1" applyAlignment="1" applyProtection="1">
      <alignment horizontal="center" vertical="center"/>
      <protection locked="0"/>
    </xf>
    <xf numFmtId="190" fontId="6" fillId="4" borderId="2" xfId="22" applyFont="1" applyFill="1" applyBorder="1" applyAlignment="1">
      <alignment horizontal="center" vertical="center"/>
    </xf>
    <xf numFmtId="190" fontId="6" fillId="5" borderId="2" xfId="2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24" applyFont="1" applyFill="1" applyBorder="1" applyAlignment="1">
      <alignment horizontal="center" vertical="center"/>
    </xf>
    <xf numFmtId="0" fontId="6" fillId="4" borderId="2" xfId="24" applyFont="1" applyFill="1" applyBorder="1" applyAlignment="1" applyProtection="1">
      <alignment horizontal="center" vertical="center"/>
      <protection locked="0"/>
    </xf>
    <xf numFmtId="49" fontId="6" fillId="5" borderId="2" xfId="9" applyNumberFormat="1" applyFont="1" applyFill="1" applyBorder="1" applyAlignment="1" applyProtection="1">
      <alignment horizontal="center" vertical="center"/>
      <protection locked="0"/>
    </xf>
    <xf numFmtId="176" fontId="6" fillId="5" borderId="2" xfId="22" applyNumberFormat="1" applyFont="1" applyFill="1" applyBorder="1" applyAlignment="1" applyProtection="1">
      <alignment horizontal="center" vertical="center"/>
      <protection locked="0"/>
    </xf>
    <xf numFmtId="190" fontId="6" fillId="4" borderId="2" xfId="22" applyFont="1" applyFill="1" applyBorder="1" applyAlignment="1">
      <alignment vertical="center"/>
    </xf>
    <xf numFmtId="14" fontId="6" fillId="5" borderId="2" xfId="9" applyNumberFormat="1" applyFont="1" applyFill="1" applyBorder="1" applyAlignment="1">
      <alignment horizontal="center" vertical="center"/>
    </xf>
    <xf numFmtId="190" fontId="6" fillId="5" borderId="2" xfId="22" applyFont="1" applyFill="1" applyBorder="1" applyAlignment="1" applyProtection="1">
      <alignment vertical="center"/>
    </xf>
    <xf numFmtId="176" fontId="6" fillId="4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9" applyFont="1" applyFill="1" applyBorder="1" applyAlignment="1">
      <alignment horizontal="left" vertical="center"/>
    </xf>
    <xf numFmtId="190" fontId="6" fillId="5" borderId="2" xfId="0" applyNumberFormat="1" applyFont="1" applyFill="1" applyBorder="1" applyAlignment="1">
      <alignment horizontal="center" vertical="center"/>
    </xf>
    <xf numFmtId="0" fontId="6" fillId="5" borderId="2" xfId="22" applyNumberFormat="1" applyFont="1" applyFill="1" applyBorder="1" applyAlignment="1" applyProtection="1">
      <alignment horizontal="left" vertical="center"/>
      <protection locked="0"/>
    </xf>
    <xf numFmtId="187" fontId="6" fillId="4" borderId="2" xfId="22" applyNumberFormat="1" applyFont="1" applyFill="1" applyBorder="1" applyAlignment="1">
      <alignment vertical="center"/>
    </xf>
    <xf numFmtId="0" fontId="6" fillId="4" borderId="2" xfId="24" applyFont="1" applyFill="1" applyBorder="1" applyAlignment="1">
      <alignment horizontal="center" vertical="center"/>
    </xf>
    <xf numFmtId="49" fontId="6" fillId="4" borderId="2" xfId="9" applyNumberFormat="1" applyFont="1" applyFill="1" applyBorder="1" applyAlignment="1" applyProtection="1">
      <alignment horizontal="center" vertical="center"/>
      <protection locked="0"/>
    </xf>
    <xf numFmtId="0" fontId="6" fillId="4" borderId="2" xfId="9" applyFont="1" applyFill="1" applyBorder="1" applyAlignment="1">
      <alignment horizontal="left" vertical="center"/>
    </xf>
    <xf numFmtId="187" fontId="6" fillId="5" borderId="2" xfId="22" applyNumberFormat="1" applyFont="1" applyFill="1" applyBorder="1" applyAlignment="1">
      <alignment vertical="center"/>
    </xf>
    <xf numFmtId="0" fontId="6" fillId="5" borderId="2" xfId="22" applyNumberFormat="1" applyFont="1" applyFill="1" applyBorder="1" applyAlignment="1" applyProtection="1">
      <alignment horizontal="left" vertical="center"/>
    </xf>
    <xf numFmtId="0" fontId="6" fillId="5" borderId="2" xfId="5" applyFont="1" applyFill="1" applyBorder="1" applyAlignment="1" applyProtection="1">
      <alignment horizontal="left" vertical="center"/>
    </xf>
    <xf numFmtId="190" fontId="6" fillId="5" borderId="2" xfId="22" applyFont="1" applyFill="1" applyBorder="1" applyAlignment="1" applyProtection="1">
      <alignment horizontal="left" vertical="center"/>
    </xf>
    <xf numFmtId="187" fontId="6" fillId="5" borderId="2" xfId="22" applyNumberFormat="1" applyFont="1" applyFill="1" applyBorder="1" applyAlignment="1">
      <alignment horizontal="center" vertical="center"/>
    </xf>
    <xf numFmtId="187" fontId="6" fillId="4" borderId="2" xfId="22" applyNumberFormat="1" applyFont="1" applyFill="1" applyBorder="1" applyAlignment="1">
      <alignment horizontal="center" vertical="center"/>
    </xf>
    <xf numFmtId="190" fontId="6" fillId="4" borderId="2" xfId="0" applyNumberFormat="1" applyFont="1" applyFill="1" applyBorder="1" applyAlignment="1">
      <alignment horizontal="center" vertical="center"/>
    </xf>
    <xf numFmtId="189" fontId="6" fillId="5" borderId="2" xfId="22" applyNumberFormat="1" applyFont="1" applyFill="1" applyBorder="1" applyAlignment="1" applyProtection="1">
      <alignment horizontal="center" vertical="center"/>
      <protection locked="0"/>
    </xf>
    <xf numFmtId="189" fontId="6" fillId="4" borderId="2" xfId="22" applyNumberFormat="1" applyFont="1" applyFill="1" applyBorder="1" applyAlignment="1" applyProtection="1">
      <alignment horizontal="center" vertical="center"/>
      <protection locked="0"/>
    </xf>
    <xf numFmtId="190" fontId="6" fillId="5" borderId="2" xfId="20" applyFont="1" applyFill="1" applyBorder="1" applyAlignment="1" applyProtection="1">
      <alignment vertical="center"/>
      <protection locked="0"/>
    </xf>
    <xf numFmtId="190" fontId="6" fillId="5" borderId="2" xfId="1" applyFont="1" applyFill="1" applyBorder="1" applyAlignment="1" applyProtection="1">
      <alignment vertical="center"/>
      <protection locked="0"/>
    </xf>
    <xf numFmtId="0" fontId="6" fillId="5" borderId="2" xfId="20" applyNumberFormat="1" applyFont="1" applyFill="1" applyBorder="1" applyAlignment="1" applyProtection="1">
      <alignment horizontal="center" vertical="center"/>
    </xf>
    <xf numFmtId="190" fontId="6" fillId="4" borderId="2" xfId="1" applyFont="1" applyFill="1" applyBorder="1" applyAlignment="1" applyProtection="1">
      <alignment vertical="center"/>
      <protection locked="0"/>
    </xf>
    <xf numFmtId="190" fontId="6" fillId="4" borderId="2" xfId="20" applyFont="1" applyFill="1" applyBorder="1" applyAlignment="1" applyProtection="1">
      <alignment vertical="center"/>
      <protection locked="0"/>
    </xf>
    <xf numFmtId="0" fontId="6" fillId="4" borderId="2" xfId="0" applyFont="1" applyFill="1" applyBorder="1" applyAlignment="1">
      <alignment horizontal="right" vertical="center"/>
    </xf>
    <xf numFmtId="187" fontId="6" fillId="5" borderId="2" xfId="20" applyNumberFormat="1" applyFont="1" applyFill="1" applyBorder="1" applyAlignment="1" applyProtection="1">
      <alignment vertical="center"/>
      <protection locked="0"/>
    </xf>
    <xf numFmtId="187" fontId="6" fillId="5" borderId="2" xfId="1" applyNumberFormat="1" applyFont="1" applyFill="1" applyBorder="1" applyAlignment="1" applyProtection="1">
      <alignment vertical="center"/>
      <protection locked="0"/>
    </xf>
    <xf numFmtId="14" fontId="6" fillId="4" borderId="2" xfId="5" applyNumberFormat="1" applyFont="1" applyFill="1" applyBorder="1" applyAlignment="1" applyProtection="1">
      <alignment horizontal="left" vertical="center"/>
    </xf>
    <xf numFmtId="187" fontId="6" fillId="4" borderId="2" xfId="20" applyNumberFormat="1" applyFont="1" applyFill="1" applyBorder="1" applyAlignment="1" applyProtection="1">
      <alignment vertical="center"/>
      <protection locked="0"/>
    </xf>
    <xf numFmtId="14" fontId="6" fillId="5" borderId="2" xfId="5" applyNumberFormat="1" applyFont="1" applyFill="1" applyBorder="1" applyAlignment="1" applyProtection="1">
      <alignment horizontal="left" vertical="center"/>
    </xf>
    <xf numFmtId="185" fontId="6" fillId="5" borderId="2" xfId="22" applyNumberFormat="1" applyFont="1" applyFill="1" applyBorder="1" applyAlignment="1" applyProtection="1">
      <alignment horizontal="center" vertical="center"/>
      <protection locked="0"/>
    </xf>
    <xf numFmtId="0" fontId="6" fillId="5" borderId="2" xfId="21" applyFont="1" applyFill="1" applyBorder="1" applyAlignment="1">
      <alignment vertical="center"/>
    </xf>
    <xf numFmtId="190" fontId="6" fillId="5" borderId="2" xfId="1" applyFont="1" applyFill="1" applyBorder="1" applyAlignment="1">
      <alignment horizontal="center" vertical="center"/>
    </xf>
    <xf numFmtId="190" fontId="6" fillId="5" borderId="2" xfId="20" applyFont="1" applyFill="1" applyBorder="1" applyAlignment="1">
      <alignment horizontal="center" vertical="center"/>
    </xf>
    <xf numFmtId="14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>
      <alignment vertical="center"/>
    </xf>
    <xf numFmtId="190" fontId="6" fillId="4" borderId="2" xfId="1" applyFont="1" applyFill="1" applyBorder="1" applyAlignment="1">
      <alignment horizontal="center" vertical="center"/>
    </xf>
    <xf numFmtId="14" fontId="6" fillId="4" borderId="2" xfId="20" applyNumberFormat="1" applyFont="1" applyFill="1" applyBorder="1" applyAlignment="1" applyProtection="1">
      <alignment horizontal="center" vertical="center"/>
      <protection locked="0"/>
    </xf>
    <xf numFmtId="190" fontId="6" fillId="4" borderId="2" xfId="20" applyFont="1" applyFill="1" applyBorder="1" applyAlignment="1" applyProtection="1">
      <alignment horizontal="center" vertical="center"/>
      <protection locked="0"/>
    </xf>
    <xf numFmtId="190" fontId="6" fillId="5" borderId="2" xfId="20" applyFont="1" applyFill="1" applyBorder="1" applyAlignment="1" applyProtection="1">
      <alignment horizontal="center" vertical="center"/>
      <protection locked="0"/>
    </xf>
    <xf numFmtId="14" fontId="6" fillId="5" borderId="2" xfId="21" applyNumberFormat="1" applyFont="1" applyFill="1" applyBorder="1" applyAlignment="1">
      <alignment horizontal="center" vertical="center"/>
    </xf>
    <xf numFmtId="177" fontId="6" fillId="5" borderId="2" xfId="21" applyNumberFormat="1" applyFont="1" applyFill="1" applyBorder="1" applyAlignment="1">
      <alignment horizontal="center" vertical="center"/>
    </xf>
    <xf numFmtId="14" fontId="6" fillId="4" borderId="2" xfId="21" applyNumberFormat="1" applyFont="1" applyFill="1" applyBorder="1" applyAlignment="1">
      <alignment horizontal="center" vertical="center"/>
    </xf>
    <xf numFmtId="177" fontId="6" fillId="4" borderId="2" xfId="21" applyNumberFormat="1" applyFont="1" applyFill="1" applyBorder="1" applyAlignment="1">
      <alignment horizontal="center" vertical="center"/>
    </xf>
    <xf numFmtId="177" fontId="6" fillId="5" borderId="3" xfId="21" applyNumberFormat="1" applyFont="1" applyFill="1" applyBorder="1" applyAlignment="1">
      <alignment horizontal="center" vertical="center"/>
    </xf>
    <xf numFmtId="177" fontId="6" fillId="4" borderId="2" xfId="20" applyNumberFormat="1" applyFont="1" applyFill="1" applyBorder="1" applyAlignment="1" applyProtection="1">
      <alignment horizontal="center" vertical="center"/>
      <protection locked="0"/>
    </xf>
    <xf numFmtId="177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8" applyFont="1" applyFill="1" applyBorder="1" applyAlignment="1">
      <alignment horizontal="center" vertical="center"/>
    </xf>
    <xf numFmtId="0" fontId="6" fillId="4" borderId="2" xfId="8" applyFont="1" applyFill="1" applyBorder="1" applyAlignment="1" applyProtection="1">
      <alignment horizontal="center" vertical="center"/>
      <protection locked="0"/>
    </xf>
    <xf numFmtId="0" fontId="6" fillId="4" borderId="2" xfId="21" applyFont="1" applyFill="1" applyBorder="1" applyAlignment="1" applyProtection="1">
      <alignment horizontal="center" vertical="center" wrapText="1"/>
      <protection locked="0"/>
    </xf>
    <xf numFmtId="190" fontId="6" fillId="4" borderId="2" xfId="23" applyFont="1" applyFill="1" applyBorder="1" applyAlignment="1" applyProtection="1">
      <alignment vertical="center"/>
      <protection locked="0"/>
    </xf>
    <xf numFmtId="187" fontId="6" fillId="4" borderId="2" xfId="23" applyNumberFormat="1" applyFont="1" applyFill="1" applyBorder="1" applyAlignment="1" applyProtection="1">
      <alignment vertical="center"/>
    </xf>
    <xf numFmtId="187" fontId="6" fillId="4" borderId="2" xfId="23" applyNumberFormat="1" applyFont="1" applyFill="1" applyBorder="1" applyAlignment="1" applyProtection="1">
      <alignment vertical="center"/>
      <protection locked="0"/>
    </xf>
    <xf numFmtId="0" fontId="6" fillId="5" borderId="2" xfId="21" applyFont="1" applyFill="1" applyBorder="1" applyAlignment="1">
      <alignment horizontal="left" vertical="center"/>
    </xf>
    <xf numFmtId="190" fontId="6" fillId="4" borderId="2" xfId="20" applyFont="1" applyFill="1" applyBorder="1" applyAlignment="1">
      <alignment horizontal="center" vertical="center"/>
    </xf>
    <xf numFmtId="181" fontId="6" fillId="4" borderId="2" xfId="20" applyNumberFormat="1" applyFont="1" applyFill="1" applyBorder="1" applyAlignment="1">
      <alignment horizontal="center" vertical="center"/>
    </xf>
    <xf numFmtId="40" fontId="6" fillId="5" borderId="2" xfId="5" applyNumberFormat="1" applyFont="1" applyFill="1" applyBorder="1" applyAlignment="1" applyProtection="1">
      <alignment horizontal="center" vertical="center"/>
    </xf>
    <xf numFmtId="181" fontId="6" fillId="5" borderId="2" xfId="20" applyNumberFormat="1" applyFont="1" applyFill="1" applyBorder="1" applyAlignment="1">
      <alignment horizontal="center" vertical="center"/>
    </xf>
    <xf numFmtId="190" fontId="6" fillId="4" borderId="4" xfId="20" applyFont="1" applyFill="1" applyBorder="1" applyAlignment="1" applyProtection="1">
      <alignment horizontal="center" vertical="center"/>
      <protection locked="0"/>
    </xf>
    <xf numFmtId="190" fontId="6" fillId="4" borderId="0" xfId="20" applyFont="1" applyFill="1" applyBorder="1" applyAlignment="1" applyProtection="1">
      <alignment horizontal="center" vertical="center"/>
      <protection locked="0"/>
    </xf>
    <xf numFmtId="190" fontId="6" fillId="5" borderId="4" xfId="20" applyFont="1" applyFill="1" applyBorder="1" applyAlignment="1" applyProtection="1">
      <alignment horizontal="center" vertical="center"/>
      <protection locked="0"/>
    </xf>
    <xf numFmtId="179" fontId="6" fillId="5" borderId="2" xfId="17" applyNumberFormat="1" applyFont="1" applyFill="1" applyBorder="1" applyAlignment="1">
      <alignment horizontal="center" vertical="center"/>
      <protection locked="0"/>
    </xf>
    <xf numFmtId="190" fontId="6" fillId="4" borderId="2" xfId="23" applyFont="1" applyFill="1" applyBorder="1" applyAlignment="1" applyProtection="1">
      <alignment horizontal="center" vertical="center"/>
      <protection locked="0"/>
    </xf>
    <xf numFmtId="9" fontId="6" fillId="4" borderId="2" xfId="14" applyFont="1" applyFill="1" applyBorder="1" applyAlignment="1" applyProtection="1">
      <alignment horizontal="center" vertical="center"/>
      <protection locked="0"/>
    </xf>
    <xf numFmtId="177" fontId="6" fillId="4" borderId="2" xfId="23" applyNumberFormat="1" applyFont="1" applyFill="1" applyBorder="1" applyAlignment="1" applyProtection="1">
      <alignment horizontal="center" vertical="center"/>
      <protection locked="0"/>
    </xf>
    <xf numFmtId="177" fontId="6" fillId="4" borderId="2" xfId="0" applyNumberFormat="1" applyFont="1" applyFill="1" applyBorder="1" applyAlignment="1">
      <alignment horizontal="center" vertical="center"/>
    </xf>
    <xf numFmtId="0" fontId="6" fillId="5" borderId="2" xfId="17" applyFont="1" applyFill="1" applyBorder="1" applyAlignment="1">
      <alignment horizontal="center" vertical="center" wrapText="1"/>
      <protection locked="0"/>
    </xf>
    <xf numFmtId="0" fontId="6" fillId="4" borderId="2" xfId="9" applyFont="1" applyFill="1" applyBorder="1" applyAlignment="1" applyProtection="1">
      <alignment horizontal="center" vertical="center" wrapText="1"/>
      <protection locked="0"/>
    </xf>
    <xf numFmtId="49" fontId="6" fillId="4" borderId="2" xfId="9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9" applyFont="1" applyFill="1" applyBorder="1" applyAlignment="1" applyProtection="1">
      <alignment horizontal="center" vertical="center" wrapText="1"/>
      <protection locked="0"/>
    </xf>
    <xf numFmtId="49" fontId="6" fillId="5" borderId="2" xfId="9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13" applyFont="1" applyFill="1" applyBorder="1" applyAlignment="1" applyProtection="1">
      <alignment horizontal="center" vertical="center" wrapText="1"/>
    </xf>
    <xf numFmtId="176" fontId="6" fillId="5" borderId="2" xfId="3" applyNumberFormat="1" applyFont="1" applyFill="1" applyBorder="1" applyAlignment="1">
      <alignment vertical="center" wrapText="1"/>
      <protection locked="0"/>
    </xf>
    <xf numFmtId="177" fontId="6" fillId="4" borderId="2" xfId="17" applyNumberFormat="1" applyFont="1" applyFill="1" applyBorder="1" applyAlignment="1">
      <alignment horizontal="right" vertical="center" wrapText="1"/>
      <protection locked="0"/>
    </xf>
    <xf numFmtId="177" fontId="6" fillId="5" borderId="2" xfId="17" applyNumberFormat="1" applyFont="1" applyFill="1" applyBorder="1" applyAlignment="1">
      <alignment horizontal="right" vertical="center" wrapText="1"/>
      <protection locked="0"/>
    </xf>
    <xf numFmtId="14" fontId="6" fillId="5" borderId="2" xfId="5" applyNumberFormat="1" applyFont="1" applyFill="1" applyBorder="1" applyAlignment="1" applyProtection="1">
      <alignment horizontal="left" vertical="center" wrapText="1"/>
    </xf>
    <xf numFmtId="0" fontId="6" fillId="4" borderId="2" xfId="21" applyFont="1" applyFill="1" applyBorder="1" applyAlignment="1">
      <alignment horizontal="left" vertical="center"/>
    </xf>
    <xf numFmtId="0" fontId="6" fillId="4" borderId="2" xfId="16" applyFont="1" applyFill="1" applyBorder="1" applyAlignment="1">
      <alignment vertical="center" wrapText="1"/>
      <protection locked="0"/>
    </xf>
    <xf numFmtId="0" fontId="6" fillId="5" borderId="2" xfId="16" applyFont="1" applyFill="1" applyBorder="1" applyAlignment="1">
      <alignment vertical="center" wrapText="1"/>
      <protection locked="0"/>
    </xf>
    <xf numFmtId="181" fontId="6" fillId="5" borderId="2" xfId="17" applyNumberFormat="1" applyFont="1" applyFill="1" applyBorder="1" applyAlignment="1">
      <alignment horizontal="center" vertical="center" wrapText="1"/>
      <protection locked="0"/>
    </xf>
    <xf numFmtId="176" fontId="6" fillId="5" borderId="2" xfId="20" applyNumberFormat="1" applyFont="1" applyFill="1" applyBorder="1" applyAlignment="1" applyProtection="1">
      <alignment horizontal="center" vertical="center"/>
      <protection locked="0"/>
    </xf>
    <xf numFmtId="180" fontId="6" fillId="5" borderId="2" xfId="20" applyNumberFormat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2" xfId="5" applyFont="1" applyFill="1" applyBorder="1" applyAlignment="1">
      <alignment horizontal="center" vertical="center" wrapText="1"/>
      <protection locked="0"/>
    </xf>
    <xf numFmtId="49" fontId="6" fillId="4" borderId="2" xfId="5" applyNumberFormat="1" applyFont="1" applyFill="1" applyBorder="1" applyAlignment="1">
      <alignment horizontal="center" vertical="center" wrapText="1"/>
      <protection locked="0"/>
    </xf>
    <xf numFmtId="187" fontId="6" fillId="4" borderId="2" xfId="20" applyNumberFormat="1" applyFont="1" applyFill="1" applyBorder="1" applyAlignment="1" applyProtection="1">
      <alignment horizontal="center" vertical="center"/>
    </xf>
    <xf numFmtId="187" fontId="6" fillId="5" borderId="2" xfId="20" applyNumberFormat="1" applyFont="1" applyFill="1" applyBorder="1" applyAlignment="1" applyProtection="1">
      <alignment horizontal="center" vertical="center"/>
    </xf>
    <xf numFmtId="187" fontId="6" fillId="5" borderId="2" xfId="20" applyNumberFormat="1" applyFont="1" applyFill="1" applyBorder="1" applyAlignment="1" applyProtection="1">
      <alignment horizontal="center" vertical="center" wrapText="1"/>
    </xf>
    <xf numFmtId="187" fontId="6" fillId="4" borderId="2" xfId="20" applyNumberFormat="1" applyFont="1" applyFill="1" applyBorder="1" applyAlignment="1" applyProtection="1">
      <alignment horizontal="center" vertical="center" wrapText="1"/>
    </xf>
    <xf numFmtId="14" fontId="6" fillId="4" borderId="2" xfId="5" applyNumberFormat="1" applyFont="1" applyFill="1" applyBorder="1" applyAlignment="1">
      <alignment horizontal="center" vertical="center" wrapText="1"/>
      <protection locked="0"/>
    </xf>
    <xf numFmtId="40" fontId="6" fillId="4" borderId="2" xfId="5" applyNumberFormat="1" applyFont="1" applyFill="1" applyBorder="1" applyAlignment="1">
      <alignment vertical="center" wrapText="1"/>
      <protection locked="0"/>
    </xf>
    <xf numFmtId="0" fontId="6" fillId="5" borderId="2" xfId="21" applyFont="1" applyFill="1" applyBorder="1" applyAlignment="1">
      <alignment horizontal="left" vertical="center" wrapText="1"/>
    </xf>
    <xf numFmtId="0" fontId="6" fillId="4" borderId="2" xfId="21" applyFont="1" applyFill="1" applyBorder="1" applyAlignment="1">
      <alignment horizontal="left" vertical="center" wrapText="1"/>
    </xf>
    <xf numFmtId="187" fontId="6" fillId="4" borderId="2" xfId="1" applyNumberFormat="1" applyFont="1" applyFill="1" applyBorder="1" applyAlignment="1" applyProtection="1">
      <alignment vertical="center"/>
    </xf>
    <xf numFmtId="187" fontId="6" fillId="4" borderId="2" xfId="18" applyNumberFormat="1" applyFont="1" applyFill="1" applyBorder="1" applyAlignment="1" applyProtection="1">
      <alignment vertical="center" wrapText="1"/>
      <protection locked="0"/>
    </xf>
    <xf numFmtId="0" fontId="6" fillId="4" borderId="2" xfId="5" applyFont="1" applyFill="1" applyBorder="1" applyAlignment="1">
      <alignment horizontal="left" vertical="top" wrapText="1"/>
      <protection locked="0"/>
    </xf>
    <xf numFmtId="9" fontId="6" fillId="4" borderId="2" xfId="20" applyNumberFormat="1" applyFont="1" applyFill="1" applyBorder="1" applyAlignment="1" applyProtection="1">
      <alignment horizontal="center" vertical="center"/>
      <protection locked="0"/>
    </xf>
    <xf numFmtId="9" fontId="6" fillId="5" borderId="2" xfId="20" applyNumberFormat="1" applyFont="1" applyFill="1" applyBorder="1" applyAlignment="1" applyProtection="1">
      <alignment horizontal="center" vertical="center"/>
      <protection locked="0"/>
    </xf>
    <xf numFmtId="9" fontId="6" fillId="5" borderId="2" xfId="10" applyFont="1" applyFill="1" applyBorder="1" applyAlignment="1">
      <alignment horizontal="center" vertical="center"/>
    </xf>
    <xf numFmtId="190" fontId="6" fillId="5" borderId="2" xfId="1" applyFont="1" applyFill="1" applyBorder="1" applyAlignment="1" applyProtection="1">
      <alignment horizontal="center" vertical="center"/>
      <protection locked="0"/>
    </xf>
    <xf numFmtId="9" fontId="6" fillId="4" borderId="2" xfId="1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190" fontId="6" fillId="4" borderId="2" xfId="1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6" fillId="5" borderId="2" xfId="5" applyFont="1" applyFill="1" applyBorder="1" applyAlignment="1" applyProtection="1">
      <alignment horizontal="center" vertical="center" wrapText="1"/>
    </xf>
    <xf numFmtId="0" fontId="6" fillId="5" borderId="2" xfId="17" applyFont="1" applyFill="1" applyBorder="1" applyAlignment="1" applyProtection="1">
      <alignment horizontal="center" vertical="center" wrapText="1"/>
    </xf>
    <xf numFmtId="0" fontId="6" fillId="4" borderId="2" xfId="17" applyFont="1" applyFill="1" applyBorder="1" applyAlignment="1" applyProtection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/>
      <protection locked="0"/>
    </xf>
    <xf numFmtId="49" fontId="6" fillId="4" borderId="2" xfId="0" applyNumberFormat="1" applyFont="1" applyFill="1" applyBorder="1" applyAlignment="1">
      <alignment horizontal="center" vertical="center" wrapText="1"/>
    </xf>
    <xf numFmtId="40" fontId="6" fillId="4" borderId="2" xfId="0" applyNumberFormat="1" applyFont="1" applyFill="1" applyBorder="1" applyAlignment="1" applyProtection="1">
      <alignment vertical="center"/>
      <protection locked="0"/>
    </xf>
    <xf numFmtId="0" fontId="6" fillId="4" borderId="2" xfId="13" applyFont="1" applyFill="1" applyBorder="1" applyAlignment="1">
      <alignment horizontal="center" vertical="center" wrapText="1"/>
      <protection locked="0"/>
    </xf>
    <xf numFmtId="40" fontId="6" fillId="5" borderId="2" xfId="5" applyNumberFormat="1" applyFont="1" applyFill="1" applyBorder="1" applyAlignment="1" applyProtection="1">
      <alignment vertical="center" wrapText="1"/>
    </xf>
    <xf numFmtId="40" fontId="6" fillId="4" borderId="2" xfId="5" applyNumberFormat="1" applyFont="1" applyFill="1" applyBorder="1" applyAlignment="1" applyProtection="1">
      <alignment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176" fontId="6" fillId="5" borderId="2" xfId="3" applyNumberFormat="1" applyFont="1" applyFill="1" applyBorder="1" applyAlignment="1">
      <alignment vertical="center"/>
      <protection locked="0"/>
    </xf>
    <xf numFmtId="14" fontId="6" fillId="4" borderId="2" xfId="5" applyNumberFormat="1" applyFont="1" applyFill="1" applyBorder="1" applyAlignment="1">
      <alignment horizontal="left" vertical="top" wrapText="1"/>
      <protection locked="0"/>
    </xf>
    <xf numFmtId="0" fontId="6" fillId="4" borderId="2" xfId="16" applyFont="1" applyFill="1" applyBorder="1" applyAlignment="1">
      <alignment horizontal="left" vertical="top" wrapText="1"/>
      <protection locked="0"/>
    </xf>
    <xf numFmtId="187" fontId="6" fillId="5" borderId="2" xfId="1" applyNumberFormat="1" applyFont="1" applyFill="1" applyBorder="1" applyAlignment="1" applyProtection="1">
      <alignment vertical="center"/>
    </xf>
    <xf numFmtId="187" fontId="6" fillId="5" borderId="2" xfId="18" applyNumberFormat="1" applyFont="1" applyFill="1" applyBorder="1" applyAlignment="1" applyProtection="1">
      <alignment vertical="center" wrapText="1"/>
    </xf>
    <xf numFmtId="0" fontId="6" fillId="5" borderId="2" xfId="16" applyFont="1" applyFill="1" applyBorder="1" applyAlignment="1">
      <alignment horizontal="left" vertical="top" wrapText="1"/>
      <protection locked="0"/>
    </xf>
    <xf numFmtId="187" fontId="6" fillId="4" borderId="2" xfId="18" applyNumberFormat="1" applyFont="1" applyFill="1" applyBorder="1" applyAlignment="1" applyProtection="1">
      <alignment vertical="center" wrapText="1"/>
    </xf>
    <xf numFmtId="0" fontId="6" fillId="5" borderId="2" xfId="0" applyFont="1" applyFill="1" applyBorder="1" applyAlignment="1">
      <alignment horizontal="left" vertical="top" wrapText="1"/>
    </xf>
    <xf numFmtId="187" fontId="6" fillId="5" borderId="2" xfId="17" applyNumberFormat="1" applyFont="1" applyFill="1" applyBorder="1" applyAlignment="1">
      <alignment vertical="center" wrapText="1"/>
      <protection locked="0"/>
    </xf>
    <xf numFmtId="187" fontId="6" fillId="4" borderId="2" xfId="17" applyNumberFormat="1" applyFont="1" applyFill="1" applyBorder="1" applyAlignment="1">
      <alignment vertical="center" wrapText="1"/>
      <protection locked="0"/>
    </xf>
    <xf numFmtId="0" fontId="6" fillId="4" borderId="2" xfId="0" applyFont="1" applyFill="1" applyBorder="1" applyAlignment="1">
      <alignment horizontal="left" vertical="top" wrapText="1"/>
    </xf>
    <xf numFmtId="40" fontId="6" fillId="5" borderId="2" xfId="5" applyNumberFormat="1" applyFont="1" applyFill="1" applyBorder="1" applyAlignment="1" applyProtection="1">
      <alignment horizontal="left" vertical="top" wrapText="1"/>
    </xf>
    <xf numFmtId="14" fontId="6" fillId="5" borderId="2" xfId="5" applyNumberFormat="1" applyFont="1" applyFill="1" applyBorder="1" applyAlignment="1" applyProtection="1">
      <alignment horizontal="left" vertical="top" wrapText="1"/>
    </xf>
    <xf numFmtId="14" fontId="6" fillId="4" borderId="2" xfId="5" applyNumberFormat="1" applyFont="1" applyFill="1" applyBorder="1" applyAlignment="1" applyProtection="1">
      <alignment horizontal="left" vertical="top" wrapText="1"/>
    </xf>
    <xf numFmtId="0" fontId="6" fillId="4" borderId="2" xfId="5" applyFont="1" applyFill="1" applyBorder="1" applyAlignment="1">
      <alignment horizontal="left" vertical="center" wrapText="1"/>
      <protection locked="0"/>
    </xf>
    <xf numFmtId="40" fontId="6" fillId="4" borderId="2" xfId="1" applyNumberFormat="1" applyFont="1" applyFill="1" applyBorder="1" applyAlignment="1" applyProtection="1">
      <alignment horizontal="center" vertical="center"/>
    </xf>
    <xf numFmtId="178" fontId="6" fillId="5" borderId="2" xfId="17" applyNumberFormat="1" applyFont="1" applyFill="1" applyBorder="1" applyAlignment="1">
      <alignment horizontal="center" vertical="center" wrapText="1"/>
      <protection locked="0"/>
    </xf>
    <xf numFmtId="40" fontId="6" fillId="5" borderId="2" xfId="5" applyNumberFormat="1" applyFont="1" applyFill="1" applyBorder="1" applyAlignment="1" applyProtection="1">
      <alignment horizontal="center" vertical="center" wrapText="1"/>
    </xf>
    <xf numFmtId="181" fontId="6" fillId="5" borderId="2" xfId="1" applyNumberFormat="1" applyFont="1" applyFill="1" applyBorder="1" applyAlignment="1" applyProtection="1">
      <alignment horizontal="center" vertical="center"/>
    </xf>
    <xf numFmtId="178" fontId="6" fillId="4" borderId="2" xfId="17" applyNumberFormat="1" applyFont="1" applyFill="1" applyBorder="1" applyAlignment="1">
      <alignment horizontal="center" vertical="center" wrapText="1"/>
      <protection locked="0"/>
    </xf>
    <xf numFmtId="0" fontId="6" fillId="4" borderId="2" xfId="19" applyFont="1" applyFill="1" applyBorder="1" applyAlignment="1">
      <alignment horizontal="center" vertical="center"/>
      <protection locked="0"/>
    </xf>
    <xf numFmtId="14" fontId="6" fillId="5" borderId="3" xfId="5" applyNumberFormat="1" applyFont="1" applyFill="1" applyBorder="1" applyAlignment="1">
      <alignment horizontal="center" vertical="center"/>
      <protection locked="0"/>
    </xf>
    <xf numFmtId="9" fontId="6" fillId="5" borderId="2" xfId="0" applyNumberFormat="1" applyFont="1" applyFill="1" applyBorder="1" applyAlignment="1">
      <alignment horizontal="center" vertical="center"/>
    </xf>
    <xf numFmtId="14" fontId="6" fillId="4" borderId="3" xfId="5" applyNumberFormat="1" applyFont="1" applyFill="1" applyBorder="1" applyAlignment="1">
      <alignment horizontal="center" vertical="center"/>
      <protection locked="0"/>
    </xf>
    <xf numFmtId="0" fontId="6" fillId="5" borderId="2" xfId="5" applyFont="1" applyFill="1" applyBorder="1" applyAlignment="1">
      <alignment horizontal="center" vertical="center" wrapText="1"/>
      <protection locked="0"/>
    </xf>
    <xf numFmtId="49" fontId="6" fillId="5" borderId="2" xfId="9" applyNumberFormat="1" applyFont="1" applyFill="1" applyBorder="1" applyAlignment="1" applyProtection="1">
      <alignment horizontal="right" vertical="center" wrapText="1"/>
      <protection locked="0"/>
    </xf>
    <xf numFmtId="183" fontId="6" fillId="4" borderId="2" xfId="1" applyNumberFormat="1" applyFont="1" applyFill="1" applyBorder="1" applyAlignment="1" applyProtection="1">
      <alignment horizontal="center" vertical="center"/>
    </xf>
  </cellXfs>
  <cellStyles count="25">
    <cellStyle name="百分比" xfId="12" builtinId="5"/>
    <cellStyle name="百分比 14" xfId="14" xr:uid="{00000000-0005-0000-0000-000017000000}"/>
    <cellStyle name="百分比 15" xfId="11" xr:uid="{00000000-0005-0000-0000-00000B000000}"/>
    <cellStyle name="百分比 2" xfId="10" xr:uid="{00000000-0005-0000-0000-00000A000000}"/>
    <cellStyle name="常规" xfId="0" builtinId="0"/>
    <cellStyle name="常规 10" xfId="16" xr:uid="{00000000-0005-0000-0000-00002B000000}"/>
    <cellStyle name="常规 2" xfId="9" xr:uid="{00000000-0005-0000-0000-000009000000}"/>
    <cellStyle name="常规 2 2" xfId="17" xr:uid="{00000000-0005-0000-0000-00002D000000}"/>
    <cellStyle name="常规 2 2 2 2" xfId="13" xr:uid="{00000000-0005-0000-0000-000016000000}"/>
    <cellStyle name="常规 2 3" xfId="21" xr:uid="{00000000-0005-0000-0000-00003E000000}"/>
    <cellStyle name="常规 2 3 16" xfId="8" xr:uid="{00000000-0005-0000-0000-000008000000}"/>
    <cellStyle name="常规 2 3 17" xfId="15" xr:uid="{00000000-0005-0000-0000-000020000000}"/>
    <cellStyle name="常规 3" xfId="24" xr:uid="{00000000-0005-0000-0000-000045000000}"/>
    <cellStyle name="常规 3 3" xfId="19" xr:uid="{00000000-0005-0000-0000-000030000000}"/>
    <cellStyle name="常规 4" xfId="7" xr:uid="{00000000-0005-0000-0000-000007000000}"/>
    <cellStyle name="常规 5" xfId="5" xr:uid="{00000000-0005-0000-0000-000005000000}"/>
    <cellStyle name="常规 6" xfId="4" xr:uid="{00000000-0005-0000-0000-000004000000}"/>
    <cellStyle name="普通 3" xfId="3" xr:uid="{00000000-0005-0000-0000-000003000000}"/>
    <cellStyle name="千位分隔" xfId="18" builtinId="3"/>
    <cellStyle name="千位分隔 13" xfId="2" xr:uid="{00000000-0005-0000-0000-000002000000}"/>
    <cellStyle name="千位分隔 2 2" xfId="20" xr:uid="{00000000-0005-0000-0000-00003B000000}"/>
    <cellStyle name="千位分隔 2 2 16" xfId="23" xr:uid="{00000000-0005-0000-0000-000044000000}"/>
    <cellStyle name="千位分隔 2 2 17" xfId="6" xr:uid="{00000000-0005-0000-0000-000006000000}"/>
    <cellStyle name="千位分隔 2 4" xfId="1" xr:uid="{00000000-0005-0000-0000-000001000000}"/>
    <cellStyle name="千位分隔 4" xfId="22" xr:uid="{00000000-0005-0000-0000-000040000000}"/>
  </cellStyles>
  <dxfs count="28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416428</xdr:colOff>
      <xdr:row>20</xdr:row>
      <xdr:rowOff>134471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95125" cy="3753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13</xdr:col>
      <xdr:colOff>204643</xdr:colOff>
      <xdr:row>32</xdr:row>
      <xdr:rowOff>28576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9119870" cy="527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IDC/A&#35745;&#25552;&#34920;/2020&#24180;/202008/2020&#24180;8&#26376;IDC&#36153;&#29992;&#25903;&#20184;&#26126;&#32454;&#34920;-&#21326;&#19996;-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8华东及第三方-带宽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Y1027869"/>
  <sheetViews>
    <sheetView tabSelected="1" topLeftCell="L1" workbookViewId="0">
      <pane ySplit="1" topLeftCell="A2" activePane="bottomLeft" state="frozen"/>
      <selection pane="bottomLeft" activeCell="V19" sqref="V19"/>
    </sheetView>
  </sheetViews>
  <sheetFormatPr baseColWidth="10" defaultColWidth="7.33203125" defaultRowHeight="15" customHeight="1"/>
  <cols>
    <col min="1" max="1" width="5.6640625" style="14" customWidth="1"/>
    <col min="2" max="2" width="9.33203125" style="14" customWidth="1"/>
    <col min="3" max="3" width="6" style="14" customWidth="1"/>
    <col min="4" max="4" width="10.83203125" style="14" customWidth="1"/>
    <col min="5" max="5" width="27.5" style="14" customWidth="1"/>
    <col min="6" max="6" width="8.6640625" style="14" customWidth="1"/>
    <col min="7" max="7" width="7.33203125" style="14"/>
    <col min="8" max="9" width="15.83203125" style="15" customWidth="1"/>
    <col min="10" max="10" width="11" style="14" customWidth="1"/>
    <col min="11" max="11" width="10" style="14" customWidth="1"/>
    <col min="12" max="12" width="14.1640625" style="14" customWidth="1"/>
    <col min="13" max="13" width="11.83203125" style="14" customWidth="1"/>
    <col min="14" max="14" width="11.5" style="14" customWidth="1"/>
    <col min="15" max="15" width="6.5" style="14" customWidth="1"/>
    <col min="16" max="16" width="12.5" style="16" customWidth="1"/>
    <col min="17" max="17" width="14" style="16" customWidth="1"/>
    <col min="18" max="18" width="15.6640625" style="16" customWidth="1"/>
    <col min="19" max="19" width="12.33203125" style="17" customWidth="1"/>
    <col min="20" max="20" width="12.1640625" style="18" customWidth="1"/>
    <col min="21" max="21" width="12.1640625" style="19" customWidth="1"/>
    <col min="22" max="22" width="14.33203125" style="20" customWidth="1"/>
    <col min="23" max="23" width="11.5" style="21" customWidth="1"/>
    <col min="24" max="25" width="9.1640625" style="22" customWidth="1"/>
    <col min="26" max="26" width="12.83203125" style="21" customWidth="1"/>
    <col min="27" max="28" width="7.33203125" style="23" customWidth="1"/>
    <col min="29" max="29" width="12.33203125" style="23" customWidth="1"/>
    <col min="30" max="30" width="13" style="19" customWidth="1"/>
    <col min="31" max="31" width="9.6640625" style="19" customWidth="1"/>
    <col min="32" max="32" width="11.83203125" style="19" customWidth="1"/>
    <col min="33" max="50" width="7.33203125" style="19"/>
    <col min="51" max="51" width="7.5" style="19" customWidth="1"/>
    <col min="52" max="16384" width="7.33203125" style="19"/>
  </cols>
  <sheetData>
    <row r="1" spans="1:51" s="8" customFormat="1" ht="1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36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40" t="s">
        <v>13</v>
      </c>
      <c r="O1" s="37" t="s">
        <v>14</v>
      </c>
      <c r="P1" s="41" t="s">
        <v>15</v>
      </c>
      <c r="Q1" s="41" t="s">
        <v>16</v>
      </c>
      <c r="R1" s="41" t="s">
        <v>17</v>
      </c>
      <c r="S1" s="52" t="s">
        <v>18</v>
      </c>
      <c r="T1" s="53" t="s">
        <v>19</v>
      </c>
      <c r="U1" s="65" t="s">
        <v>20</v>
      </c>
      <c r="V1" s="66" t="s">
        <v>21</v>
      </c>
      <c r="W1" s="67" t="s">
        <v>22</v>
      </c>
      <c r="X1" s="40" t="s">
        <v>23</v>
      </c>
      <c r="Y1" s="40" t="s">
        <v>24</v>
      </c>
      <c r="Z1" s="82" t="s">
        <v>25</v>
      </c>
      <c r="AA1" s="83" t="s">
        <v>26</v>
      </c>
      <c r="AB1" s="83" t="s">
        <v>27</v>
      </c>
      <c r="AC1" s="83" t="s">
        <v>28</v>
      </c>
      <c r="AY1" s="8">
        <v>1</v>
      </c>
    </row>
    <row r="2" spans="1:51" s="9" customFormat="1" ht="15" customHeight="1">
      <c r="A2" s="25" t="s">
        <v>29</v>
      </c>
      <c r="B2" s="26" t="s">
        <v>30</v>
      </c>
      <c r="C2" s="27" t="s">
        <v>31</v>
      </c>
      <c r="D2" s="27" t="s">
        <v>32</v>
      </c>
      <c r="E2" s="25" t="s">
        <v>33</v>
      </c>
      <c r="F2" s="25" t="s">
        <v>34</v>
      </c>
      <c r="G2" s="25" t="s">
        <v>35</v>
      </c>
      <c r="H2" s="32" t="s">
        <v>36</v>
      </c>
      <c r="I2" s="32" t="e">
        <f>VLOOKUP(H2,'合同高级查询数据-8月返'!A:A,1,FALSE)</f>
        <v>#N/A</v>
      </c>
      <c r="J2" s="35" t="s">
        <v>37</v>
      </c>
      <c r="K2" s="25" t="s">
        <v>38</v>
      </c>
      <c r="L2" s="32" t="s">
        <v>39</v>
      </c>
      <c r="M2" s="25"/>
      <c r="N2" s="42">
        <v>44044</v>
      </c>
      <c r="O2" s="25"/>
      <c r="P2" s="43">
        <v>8500</v>
      </c>
      <c r="Q2" s="43">
        <v>1505.6110000000001</v>
      </c>
      <c r="R2" s="54">
        <f t="shared" ref="R2:R9" si="0">ROUND(P2*Q2,2)</f>
        <v>12797693.5</v>
      </c>
      <c r="S2" s="55">
        <v>202308</v>
      </c>
      <c r="T2" s="56" t="s">
        <v>40</v>
      </c>
      <c r="U2" s="56"/>
      <c r="V2" s="68">
        <v>1505.6102294919999</v>
      </c>
      <c r="W2" s="69"/>
      <c r="X2" s="70"/>
      <c r="Y2" s="70"/>
      <c r="Z2" s="25" t="s">
        <v>41</v>
      </c>
      <c r="AA2" s="84">
        <v>0</v>
      </c>
      <c r="AB2" s="84"/>
      <c r="AC2" s="84">
        <v>0</v>
      </c>
      <c r="AD2" s="88"/>
      <c r="AF2" s="89"/>
    </row>
    <row r="3" spans="1:51" s="9" customFormat="1" ht="15" customHeight="1">
      <c r="A3" s="25" t="s">
        <v>29</v>
      </c>
      <c r="B3" s="26" t="s">
        <v>30</v>
      </c>
      <c r="C3" s="27" t="s">
        <v>31</v>
      </c>
      <c r="D3" s="27" t="s">
        <v>32</v>
      </c>
      <c r="E3" s="25" t="s">
        <v>33</v>
      </c>
      <c r="F3" s="25" t="s">
        <v>34</v>
      </c>
      <c r="G3" s="25" t="s">
        <v>35</v>
      </c>
      <c r="H3" s="32" t="s">
        <v>36</v>
      </c>
      <c r="I3" s="32" t="e">
        <f>VLOOKUP(H3,'合同高级查询数据-8月返'!A:A,1,FALSE)</f>
        <v>#N/A</v>
      </c>
      <c r="J3" s="35" t="s">
        <v>37</v>
      </c>
      <c r="K3" s="25" t="s">
        <v>38</v>
      </c>
      <c r="L3" s="32" t="s">
        <v>42</v>
      </c>
      <c r="M3" s="25"/>
      <c r="N3" s="42">
        <v>44409</v>
      </c>
      <c r="O3" s="25"/>
      <c r="P3" s="43">
        <v>8500</v>
      </c>
      <c r="Q3" s="57"/>
      <c r="R3" s="54">
        <f t="shared" si="0"/>
        <v>0</v>
      </c>
      <c r="S3" s="55">
        <v>202308</v>
      </c>
      <c r="T3" s="56" t="s">
        <v>40</v>
      </c>
      <c r="U3" s="56"/>
      <c r="V3" s="71">
        <v>0</v>
      </c>
      <c r="W3" s="69"/>
      <c r="X3" s="70"/>
      <c r="Y3" s="70"/>
      <c r="Z3" s="25" t="s">
        <v>43</v>
      </c>
      <c r="AA3" s="84">
        <v>0</v>
      </c>
      <c r="AB3" s="84"/>
      <c r="AC3" s="84">
        <v>0</v>
      </c>
    </row>
    <row r="4" spans="1:51" s="9" customFormat="1" ht="15" customHeight="1">
      <c r="A4" s="25" t="s">
        <v>29</v>
      </c>
      <c r="B4" s="26" t="s">
        <v>30</v>
      </c>
      <c r="C4" s="27" t="s">
        <v>31</v>
      </c>
      <c r="D4" s="27" t="s">
        <v>32</v>
      </c>
      <c r="E4" s="25" t="s">
        <v>33</v>
      </c>
      <c r="F4" s="25" t="s">
        <v>34</v>
      </c>
      <c r="G4" s="25" t="s">
        <v>35</v>
      </c>
      <c r="H4" s="32" t="s">
        <v>36</v>
      </c>
      <c r="I4" s="32" t="e">
        <f>VLOOKUP(H4,'合同高级查询数据-8月返'!A:A,1,FALSE)</f>
        <v>#N/A</v>
      </c>
      <c r="J4" s="35" t="s">
        <v>37</v>
      </c>
      <c r="K4" s="25" t="s">
        <v>38</v>
      </c>
      <c r="L4" s="32" t="s">
        <v>44</v>
      </c>
      <c r="M4" s="25"/>
      <c r="N4" s="42">
        <v>44440</v>
      </c>
      <c r="O4" s="25"/>
      <c r="P4" s="43">
        <v>8500</v>
      </c>
      <c r="Q4" s="43">
        <v>442.33800000000002</v>
      </c>
      <c r="R4" s="54">
        <f t="shared" si="0"/>
        <v>3759873</v>
      </c>
      <c r="S4" s="55">
        <v>202308</v>
      </c>
      <c r="T4" s="56" t="s">
        <v>40</v>
      </c>
      <c r="U4" s="56"/>
      <c r="V4" s="68">
        <v>442.33718872100002</v>
      </c>
      <c r="W4" s="69"/>
      <c r="X4" s="70"/>
      <c r="Y4" s="70"/>
      <c r="Z4" s="25" t="s">
        <v>45</v>
      </c>
      <c r="AA4" s="84">
        <v>0</v>
      </c>
      <c r="AB4" s="84"/>
      <c r="AC4" s="84">
        <v>0</v>
      </c>
      <c r="AD4" s="88"/>
      <c r="AF4" s="89"/>
    </row>
    <row r="5" spans="1:51" s="9" customFormat="1" ht="15" customHeight="1">
      <c r="A5" s="25" t="s">
        <v>29</v>
      </c>
      <c r="B5" s="26" t="s">
        <v>30</v>
      </c>
      <c r="C5" s="27" t="s">
        <v>31</v>
      </c>
      <c r="D5" s="27" t="s">
        <v>32</v>
      </c>
      <c r="E5" s="25" t="s">
        <v>33</v>
      </c>
      <c r="F5" s="25" t="s">
        <v>34</v>
      </c>
      <c r="G5" s="25" t="s">
        <v>35</v>
      </c>
      <c r="H5" s="32" t="s">
        <v>36</v>
      </c>
      <c r="I5" s="32" t="e">
        <f>VLOOKUP(H5,'合同高级查询数据-8月返'!A:A,1,FALSE)</f>
        <v>#N/A</v>
      </c>
      <c r="J5" s="35" t="s">
        <v>37</v>
      </c>
      <c r="K5" s="25" t="s">
        <v>46</v>
      </c>
      <c r="L5" s="32" t="s">
        <v>47</v>
      </c>
      <c r="M5" s="25"/>
      <c r="N5" s="42">
        <v>44440</v>
      </c>
      <c r="O5" s="25"/>
      <c r="P5" s="43">
        <v>8500</v>
      </c>
      <c r="Q5" s="43">
        <v>425.06400000000002</v>
      </c>
      <c r="R5" s="54">
        <f t="shared" si="0"/>
        <v>3613044</v>
      </c>
      <c r="S5" s="55">
        <v>202308</v>
      </c>
      <c r="T5" s="56" t="s">
        <v>48</v>
      </c>
      <c r="U5" s="56"/>
      <c r="V5" s="68">
        <v>425.06329345699999</v>
      </c>
      <c r="W5" s="69"/>
      <c r="X5" s="70"/>
      <c r="Y5" s="70"/>
      <c r="Z5" s="25" t="s">
        <v>49</v>
      </c>
      <c r="AA5" s="84"/>
      <c r="AB5" s="84"/>
      <c r="AC5" s="84">
        <v>0</v>
      </c>
      <c r="AD5" s="88"/>
      <c r="AF5" s="89"/>
    </row>
    <row r="6" spans="1:51" s="9" customFormat="1" ht="15" customHeight="1">
      <c r="A6" s="25" t="s">
        <v>29</v>
      </c>
      <c r="B6" s="26" t="s">
        <v>30</v>
      </c>
      <c r="C6" s="27" t="s">
        <v>31</v>
      </c>
      <c r="D6" s="27" t="s">
        <v>32</v>
      </c>
      <c r="E6" s="25" t="s">
        <v>33</v>
      </c>
      <c r="F6" s="25" t="s">
        <v>34</v>
      </c>
      <c r="G6" s="25" t="s">
        <v>35</v>
      </c>
      <c r="H6" s="32" t="s">
        <v>50</v>
      </c>
      <c r="I6" s="32" t="e">
        <f>VLOOKUP(H6,'合同高级查询数据-8月返'!A:A,1,FALSE)</f>
        <v>#N/A</v>
      </c>
      <c r="J6" s="35" t="s">
        <v>37</v>
      </c>
      <c r="K6" s="25"/>
      <c r="L6" s="32" t="s">
        <v>51</v>
      </c>
      <c r="M6" s="25"/>
      <c r="N6" s="42">
        <v>45078</v>
      </c>
      <c r="O6" s="25"/>
      <c r="P6" s="43">
        <v>5400</v>
      </c>
      <c r="Q6" s="43"/>
      <c r="R6" s="54">
        <f t="shared" si="0"/>
        <v>0</v>
      </c>
      <c r="S6" s="55">
        <v>202308</v>
      </c>
      <c r="T6" s="56" t="s">
        <v>52</v>
      </c>
      <c r="U6" s="56"/>
      <c r="V6" s="71">
        <v>0</v>
      </c>
      <c r="W6" s="69"/>
      <c r="X6" s="70"/>
      <c r="Y6" s="70"/>
      <c r="Z6" s="25" t="s">
        <v>53</v>
      </c>
      <c r="AA6" s="84">
        <v>0</v>
      </c>
      <c r="AB6" s="84"/>
      <c r="AC6" s="84">
        <v>0</v>
      </c>
      <c r="AD6" s="88"/>
    </row>
    <row r="7" spans="1:51" s="10" customFormat="1" ht="15" customHeight="1">
      <c r="A7" s="28" t="s">
        <v>29</v>
      </c>
      <c r="B7" s="29" t="s">
        <v>30</v>
      </c>
      <c r="C7" s="30" t="s">
        <v>31</v>
      </c>
      <c r="D7" s="30" t="s">
        <v>32</v>
      </c>
      <c r="E7" s="28" t="s">
        <v>54</v>
      </c>
      <c r="F7" s="28" t="s">
        <v>55</v>
      </c>
      <c r="G7" s="28" t="s">
        <v>35</v>
      </c>
      <c r="H7" s="33" t="s">
        <v>56</v>
      </c>
      <c r="I7" s="33" t="e">
        <f>VLOOKUP(H7,'合同高级查询数据-8月返'!A:A,1,FALSE)</f>
        <v>#N/A</v>
      </c>
      <c r="J7" s="38" t="s">
        <v>37</v>
      </c>
      <c r="K7" s="28" t="s">
        <v>57</v>
      </c>
      <c r="L7" s="33" t="s">
        <v>58</v>
      </c>
      <c r="M7" s="28"/>
      <c r="N7" s="44">
        <v>45017</v>
      </c>
      <c r="O7" s="28"/>
      <c r="P7" s="45">
        <v>5300</v>
      </c>
      <c r="Q7" s="45">
        <v>441.57299999999998</v>
      </c>
      <c r="R7" s="58">
        <f t="shared" si="0"/>
        <v>2340336.9</v>
      </c>
      <c r="S7" s="59">
        <v>202308</v>
      </c>
      <c r="T7" s="60" t="s">
        <v>59</v>
      </c>
      <c r="U7" s="60"/>
      <c r="V7" s="72">
        <v>441.572509766</v>
      </c>
      <c r="W7" s="73"/>
      <c r="X7" s="74">
        <v>45017</v>
      </c>
      <c r="Y7" s="74">
        <v>45382</v>
      </c>
      <c r="Z7" s="28" t="s">
        <v>60</v>
      </c>
      <c r="AA7" s="85">
        <v>0</v>
      </c>
      <c r="AB7" s="85"/>
      <c r="AC7" s="85">
        <v>0</v>
      </c>
      <c r="AD7" s="90"/>
      <c r="AF7" s="91"/>
    </row>
    <row r="8" spans="1:51" s="10" customFormat="1" ht="15" customHeight="1">
      <c r="A8" s="28" t="s">
        <v>29</v>
      </c>
      <c r="B8" s="29" t="s">
        <v>30</v>
      </c>
      <c r="C8" s="30" t="s">
        <v>31</v>
      </c>
      <c r="D8" s="30" t="s">
        <v>32</v>
      </c>
      <c r="E8" s="28" t="s">
        <v>54</v>
      </c>
      <c r="F8" s="28" t="s">
        <v>55</v>
      </c>
      <c r="G8" s="28" t="s">
        <v>35</v>
      </c>
      <c r="H8" s="33" t="s">
        <v>56</v>
      </c>
      <c r="I8" s="33" t="e">
        <f>VLOOKUP(H8,'合同高级查询数据-8月返'!A:A,1,FALSE)</f>
        <v>#N/A</v>
      </c>
      <c r="J8" s="38" t="s">
        <v>37</v>
      </c>
      <c r="K8" s="28" t="s">
        <v>57</v>
      </c>
      <c r="L8" s="33" t="s">
        <v>61</v>
      </c>
      <c r="M8" s="28"/>
      <c r="N8" s="44">
        <v>45017</v>
      </c>
      <c r="O8" s="28"/>
      <c r="P8" s="45">
        <v>5300</v>
      </c>
      <c r="Q8" s="45">
        <v>228.37200000000001</v>
      </c>
      <c r="R8" s="58">
        <f t="shared" si="0"/>
        <v>1210371.6000000001</v>
      </c>
      <c r="S8" s="59">
        <v>202308</v>
      </c>
      <c r="T8" s="60" t="s">
        <v>59</v>
      </c>
      <c r="U8" s="60"/>
      <c r="V8" s="72">
        <v>228.37193298299999</v>
      </c>
      <c r="W8" s="73"/>
      <c r="X8" s="74">
        <v>45017</v>
      </c>
      <c r="Y8" s="74">
        <v>45382</v>
      </c>
      <c r="Z8" s="28" t="s">
        <v>62</v>
      </c>
      <c r="AA8" s="85">
        <v>0</v>
      </c>
      <c r="AB8" s="85"/>
      <c r="AC8" s="85">
        <v>0</v>
      </c>
      <c r="AD8" s="90"/>
      <c r="AF8" s="91"/>
    </row>
    <row r="9" spans="1:51" s="10" customFormat="1" ht="15" customHeight="1">
      <c r="A9" s="28" t="s">
        <v>29</v>
      </c>
      <c r="B9" s="29" t="s">
        <v>30</v>
      </c>
      <c r="C9" s="30" t="s">
        <v>31</v>
      </c>
      <c r="D9" s="30" t="s">
        <v>32</v>
      </c>
      <c r="E9" s="28" t="s">
        <v>63</v>
      </c>
      <c r="F9" s="28" t="s">
        <v>64</v>
      </c>
      <c r="G9" s="28" t="s">
        <v>35</v>
      </c>
      <c r="H9" s="33" t="s">
        <v>65</v>
      </c>
      <c r="I9" s="33" t="e">
        <f>VLOOKUP(H9,'合同高级查询数据-8月返'!A:A,1,FALSE)</f>
        <v>#N/A</v>
      </c>
      <c r="J9" s="38" t="s">
        <v>37</v>
      </c>
      <c r="K9" s="28" t="s">
        <v>66</v>
      </c>
      <c r="L9" s="33" t="s">
        <v>67</v>
      </c>
      <c r="M9" s="28"/>
      <c r="N9" s="44">
        <v>44593</v>
      </c>
      <c r="O9" s="28"/>
      <c r="P9" s="45">
        <v>8500</v>
      </c>
      <c r="Q9" s="45">
        <v>500.14499999999998</v>
      </c>
      <c r="R9" s="58">
        <f t="shared" si="0"/>
        <v>4251232.5</v>
      </c>
      <c r="S9" s="59">
        <v>202308</v>
      </c>
      <c r="T9" s="60" t="s">
        <v>68</v>
      </c>
      <c r="U9" s="60"/>
      <c r="V9" s="72">
        <v>500.15118408199999</v>
      </c>
      <c r="W9" s="75">
        <v>500.14499999999998</v>
      </c>
      <c r="X9" s="74">
        <v>44958</v>
      </c>
      <c r="Y9" s="74">
        <v>45322</v>
      </c>
      <c r="Z9" s="28" t="s">
        <v>69</v>
      </c>
      <c r="AA9" s="85">
        <v>0</v>
      </c>
      <c r="AB9" s="85"/>
      <c r="AC9" s="85">
        <v>0</v>
      </c>
      <c r="AD9" s="90"/>
      <c r="AF9" s="91"/>
    </row>
    <row r="10" spans="1:51" s="9" customFormat="1" ht="15" customHeight="1">
      <c r="A10" s="25" t="s">
        <v>29</v>
      </c>
      <c r="B10" s="26" t="s">
        <v>70</v>
      </c>
      <c r="C10" s="27" t="s">
        <v>71</v>
      </c>
      <c r="D10" s="27" t="s">
        <v>72</v>
      </c>
      <c r="E10" s="25" t="s">
        <v>73</v>
      </c>
      <c r="F10" s="25" t="s">
        <v>74</v>
      </c>
      <c r="G10" s="25" t="s">
        <v>35</v>
      </c>
      <c r="H10" s="32" t="s">
        <v>75</v>
      </c>
      <c r="I10" s="32" t="e">
        <f>VLOOKUP(H10,'合同高级查询数据-8月返'!A:A,1,FALSE)</f>
        <v>#N/A</v>
      </c>
      <c r="J10" s="35" t="s">
        <v>76</v>
      </c>
      <c r="K10" s="25" t="s">
        <v>77</v>
      </c>
      <c r="L10" s="32" t="s">
        <v>78</v>
      </c>
      <c r="M10" s="25"/>
      <c r="N10" s="42">
        <v>43313</v>
      </c>
      <c r="O10" s="25" t="s">
        <v>79</v>
      </c>
      <c r="P10" s="43">
        <v>5000</v>
      </c>
      <c r="Q10" s="57">
        <v>3</v>
      </c>
      <c r="R10" s="54">
        <f>P10*Q10</f>
        <v>15000</v>
      </c>
      <c r="S10" s="55">
        <v>202308</v>
      </c>
      <c r="T10" s="56" t="s">
        <v>80</v>
      </c>
      <c r="U10" s="56"/>
      <c r="V10" s="71">
        <v>0</v>
      </c>
      <c r="W10" s="69"/>
      <c r="X10" s="70"/>
      <c r="Y10" s="70"/>
      <c r="Z10" s="25" t="s">
        <v>81</v>
      </c>
      <c r="AA10" s="84" t="s">
        <v>82</v>
      </c>
      <c r="AB10" s="84">
        <v>30</v>
      </c>
      <c r="AC10" s="84">
        <v>3</v>
      </c>
    </row>
    <row r="11" spans="1:51" s="9" customFormat="1" ht="15" customHeight="1">
      <c r="A11" s="25" t="s">
        <v>29</v>
      </c>
      <c r="B11" s="26" t="s">
        <v>30</v>
      </c>
      <c r="C11" s="27" t="s">
        <v>31</v>
      </c>
      <c r="D11" s="27" t="s">
        <v>32</v>
      </c>
      <c r="E11" s="25" t="s">
        <v>83</v>
      </c>
      <c r="F11" s="25" t="s">
        <v>84</v>
      </c>
      <c r="G11" s="25" t="s">
        <v>35</v>
      </c>
      <c r="H11" s="32" t="s">
        <v>85</v>
      </c>
      <c r="I11" s="32" t="e">
        <f>VLOOKUP(H11,'合同高级查询数据-8月返'!A:A,1,FALSE)</f>
        <v>#N/A</v>
      </c>
      <c r="J11" s="35" t="s">
        <v>37</v>
      </c>
      <c r="K11" s="25" t="s">
        <v>86</v>
      </c>
      <c r="L11" s="32" t="s">
        <v>87</v>
      </c>
      <c r="M11" s="25"/>
      <c r="N11" s="42">
        <v>44531</v>
      </c>
      <c r="O11" s="25"/>
      <c r="P11" s="43">
        <v>6500</v>
      </c>
      <c r="Q11" s="43">
        <v>1269.0540000000001</v>
      </c>
      <c r="R11" s="54">
        <f t="shared" ref="R11:R14" si="1">ROUND(P11*Q11,2)</f>
        <v>8248851</v>
      </c>
      <c r="S11" s="55">
        <v>202308</v>
      </c>
      <c r="T11" s="56" t="s">
        <v>88</v>
      </c>
      <c r="U11" s="56"/>
      <c r="V11" s="68">
        <v>1269.053344727</v>
      </c>
      <c r="W11" s="69"/>
      <c r="X11" s="70"/>
      <c r="Y11" s="70"/>
      <c r="Z11" s="25" t="s">
        <v>89</v>
      </c>
      <c r="AA11" s="84">
        <v>0</v>
      </c>
      <c r="AB11" s="84"/>
      <c r="AC11" s="84">
        <v>0</v>
      </c>
      <c r="AD11" s="88"/>
      <c r="AF11" s="89"/>
    </row>
    <row r="12" spans="1:51" s="10" customFormat="1" ht="15" customHeight="1">
      <c r="A12" s="28" t="s">
        <v>29</v>
      </c>
      <c r="B12" s="29" t="s">
        <v>30</v>
      </c>
      <c r="C12" s="30" t="s">
        <v>31</v>
      </c>
      <c r="D12" s="30" t="s">
        <v>32</v>
      </c>
      <c r="E12" s="28" t="s">
        <v>90</v>
      </c>
      <c r="F12" s="28" t="s">
        <v>91</v>
      </c>
      <c r="G12" s="28" t="s">
        <v>35</v>
      </c>
      <c r="H12" s="33" t="s">
        <v>92</v>
      </c>
      <c r="I12" s="33" t="e">
        <f>VLOOKUP(H12,'合同高级查询数据-8月返'!A:A,1,FALSE)</f>
        <v>#N/A</v>
      </c>
      <c r="J12" s="38" t="s">
        <v>37</v>
      </c>
      <c r="K12" s="28"/>
      <c r="L12" s="33" t="s">
        <v>93</v>
      </c>
      <c r="M12" s="28"/>
      <c r="N12" s="44">
        <v>45017</v>
      </c>
      <c r="O12" s="28"/>
      <c r="P12" s="45">
        <v>5300</v>
      </c>
      <c r="Q12" s="45"/>
      <c r="R12" s="58">
        <f t="shared" si="1"/>
        <v>0</v>
      </c>
      <c r="S12" s="59">
        <v>202308</v>
      </c>
      <c r="T12" s="60" t="s">
        <v>94</v>
      </c>
      <c r="U12" s="60"/>
      <c r="V12" s="75">
        <v>0</v>
      </c>
      <c r="W12" s="73"/>
      <c r="X12" s="74">
        <v>45017</v>
      </c>
      <c r="Y12" s="74">
        <v>45199</v>
      </c>
      <c r="Z12" s="28" t="s">
        <v>95</v>
      </c>
      <c r="AA12" s="85">
        <v>0</v>
      </c>
      <c r="AB12" s="85"/>
      <c r="AC12" s="85">
        <v>0</v>
      </c>
      <c r="AD12" s="90"/>
    </row>
    <row r="13" spans="1:51" s="10" customFormat="1" ht="15" customHeight="1">
      <c r="A13" s="28" t="s">
        <v>29</v>
      </c>
      <c r="B13" s="29" t="s">
        <v>30</v>
      </c>
      <c r="C13" s="30" t="s">
        <v>31</v>
      </c>
      <c r="D13" s="30" t="s">
        <v>32</v>
      </c>
      <c r="E13" s="28" t="s">
        <v>90</v>
      </c>
      <c r="F13" s="28" t="s">
        <v>91</v>
      </c>
      <c r="G13" s="28" t="s">
        <v>35</v>
      </c>
      <c r="H13" s="33" t="s">
        <v>92</v>
      </c>
      <c r="I13" s="33" t="e">
        <f>VLOOKUP(H13,'合同高级查询数据-8月返'!A:A,1,FALSE)</f>
        <v>#N/A</v>
      </c>
      <c r="J13" s="38" t="s">
        <v>37</v>
      </c>
      <c r="K13" s="28"/>
      <c r="L13" s="33" t="s">
        <v>96</v>
      </c>
      <c r="M13" s="28"/>
      <c r="N13" s="44">
        <v>45017</v>
      </c>
      <c r="O13" s="28"/>
      <c r="P13" s="45">
        <v>5300</v>
      </c>
      <c r="Q13" s="45"/>
      <c r="R13" s="58">
        <f t="shared" si="1"/>
        <v>0</v>
      </c>
      <c r="S13" s="59">
        <v>202308</v>
      </c>
      <c r="T13" s="60" t="s">
        <v>97</v>
      </c>
      <c r="U13" s="60"/>
      <c r="V13" s="75">
        <v>8.3166464999999995E-2</v>
      </c>
      <c r="W13" s="73"/>
      <c r="X13" s="74">
        <v>45017</v>
      </c>
      <c r="Y13" s="74">
        <v>45199</v>
      </c>
      <c r="Z13" s="28" t="s">
        <v>98</v>
      </c>
      <c r="AA13" s="85">
        <v>0</v>
      </c>
      <c r="AB13" s="85"/>
      <c r="AC13" s="85">
        <v>0</v>
      </c>
      <c r="AD13" s="90"/>
      <c r="AF13" s="91"/>
    </row>
    <row r="14" spans="1:51" s="10" customFormat="1" ht="15" customHeight="1">
      <c r="A14" s="28" t="s">
        <v>29</v>
      </c>
      <c r="B14" s="29" t="s">
        <v>30</v>
      </c>
      <c r="C14" s="30" t="s">
        <v>31</v>
      </c>
      <c r="D14" s="30" t="s">
        <v>32</v>
      </c>
      <c r="E14" s="28" t="s">
        <v>99</v>
      </c>
      <c r="F14" s="28" t="s">
        <v>100</v>
      </c>
      <c r="G14" s="28" t="s">
        <v>35</v>
      </c>
      <c r="H14" s="33" t="s">
        <v>101</v>
      </c>
      <c r="I14" s="33" t="e">
        <f>VLOOKUP(H14,'合同高级查询数据-8月返'!A:A,1,FALSE)</f>
        <v>#N/A</v>
      </c>
      <c r="J14" s="38" t="s">
        <v>37</v>
      </c>
      <c r="K14" s="28" t="s">
        <v>38</v>
      </c>
      <c r="L14" s="33" t="s">
        <v>102</v>
      </c>
      <c r="M14" s="28"/>
      <c r="N14" s="44">
        <v>42705</v>
      </c>
      <c r="O14" s="28"/>
      <c r="P14" s="45">
        <v>8500</v>
      </c>
      <c r="Q14" s="61"/>
      <c r="R14" s="58">
        <f t="shared" si="1"/>
        <v>0</v>
      </c>
      <c r="S14" s="59">
        <v>202308</v>
      </c>
      <c r="T14" s="60" t="s">
        <v>103</v>
      </c>
      <c r="U14" s="60"/>
      <c r="V14" s="75">
        <v>0</v>
      </c>
      <c r="W14" s="73"/>
      <c r="X14" s="74">
        <v>44348</v>
      </c>
      <c r="Y14" s="74">
        <v>44712</v>
      </c>
      <c r="Z14" s="28" t="s">
        <v>104</v>
      </c>
      <c r="AA14" s="85">
        <v>0</v>
      </c>
      <c r="AB14" s="85"/>
      <c r="AC14" s="85">
        <v>0</v>
      </c>
    </row>
    <row r="15" spans="1:51" s="9" customFormat="1" ht="15" customHeight="1">
      <c r="A15" s="25" t="s">
        <v>29</v>
      </c>
      <c r="B15" s="26" t="s">
        <v>30</v>
      </c>
      <c r="C15" s="27" t="s">
        <v>31</v>
      </c>
      <c r="D15" s="27" t="s">
        <v>32</v>
      </c>
      <c r="E15" s="25" t="s">
        <v>105</v>
      </c>
      <c r="F15" s="25" t="s">
        <v>106</v>
      </c>
      <c r="G15" s="25" t="s">
        <v>35</v>
      </c>
      <c r="H15" s="32" t="s">
        <v>107</v>
      </c>
      <c r="I15" s="32" t="e">
        <f>VLOOKUP(H15,'合同高级查询数据-8月返'!A:A,1,FALSE)</f>
        <v>#N/A</v>
      </c>
      <c r="J15" s="35" t="s">
        <v>37</v>
      </c>
      <c r="K15" s="25"/>
      <c r="L15" s="32" t="s">
        <v>108</v>
      </c>
      <c r="M15" s="25"/>
      <c r="N15" s="42">
        <v>44774</v>
      </c>
      <c r="O15" s="25"/>
      <c r="P15" s="46" t="s">
        <v>109</v>
      </c>
      <c r="Q15" s="57"/>
      <c r="R15" s="54">
        <f>ROUND(0.0388*Q15,2)</f>
        <v>0</v>
      </c>
      <c r="S15" s="55">
        <v>202308</v>
      </c>
      <c r="T15" s="56" t="s">
        <v>110</v>
      </c>
      <c r="U15" s="56"/>
      <c r="V15" s="71">
        <v>0</v>
      </c>
      <c r="W15" s="69"/>
      <c r="X15" s="70"/>
      <c r="Y15" s="70"/>
      <c r="Z15" s="25" t="s">
        <v>111</v>
      </c>
      <c r="AA15" s="84">
        <v>0</v>
      </c>
      <c r="AB15" s="84"/>
      <c r="AC15" s="84">
        <v>0</v>
      </c>
      <c r="AD15" s="88"/>
    </row>
    <row r="16" spans="1:51" s="10" customFormat="1" ht="15" customHeight="1">
      <c r="A16" s="28" t="s">
        <v>29</v>
      </c>
      <c r="B16" s="29" t="s">
        <v>30</v>
      </c>
      <c r="C16" s="30" t="s">
        <v>31</v>
      </c>
      <c r="D16" s="30" t="s">
        <v>32</v>
      </c>
      <c r="E16" s="28" t="s">
        <v>112</v>
      </c>
      <c r="F16" s="28" t="s">
        <v>113</v>
      </c>
      <c r="G16" s="28" t="s">
        <v>35</v>
      </c>
      <c r="H16" s="33" t="s">
        <v>114</v>
      </c>
      <c r="I16" s="33" t="e">
        <f>VLOOKUP(H16,'合同高级查询数据-8月返'!A:A,1,FALSE)</f>
        <v>#N/A</v>
      </c>
      <c r="J16" s="38" t="s">
        <v>37</v>
      </c>
      <c r="K16" s="28" t="s">
        <v>115</v>
      </c>
      <c r="L16" s="33" t="s">
        <v>115</v>
      </c>
      <c r="M16" s="28"/>
      <c r="N16" s="44">
        <v>44682</v>
      </c>
      <c r="O16" s="28"/>
      <c r="P16" s="45">
        <v>5350</v>
      </c>
      <c r="Q16" s="61">
        <v>20.922999999999998</v>
      </c>
      <c r="R16" s="58">
        <f t="shared" ref="R16:R31" si="2">ROUND(P16*Q16,2)</f>
        <v>111938.05</v>
      </c>
      <c r="S16" s="59">
        <v>202308</v>
      </c>
      <c r="T16" s="60" t="s">
        <v>116</v>
      </c>
      <c r="U16" s="60"/>
      <c r="V16" s="72">
        <v>20.922971725</v>
      </c>
      <c r="W16" s="73"/>
      <c r="X16" s="74">
        <v>44927</v>
      </c>
      <c r="Y16" s="74">
        <v>45291</v>
      </c>
      <c r="Z16" s="28" t="s">
        <v>117</v>
      </c>
      <c r="AA16" s="85">
        <v>0</v>
      </c>
      <c r="AB16" s="85"/>
      <c r="AC16" s="85">
        <v>0</v>
      </c>
      <c r="AD16" s="90"/>
      <c r="AF16" s="91"/>
    </row>
    <row r="17" spans="1:32" s="10" customFormat="1" ht="15" customHeight="1">
      <c r="A17" s="28" t="s">
        <v>29</v>
      </c>
      <c r="B17" s="29" t="s">
        <v>30</v>
      </c>
      <c r="C17" s="30" t="s">
        <v>31</v>
      </c>
      <c r="D17" s="30" t="s">
        <v>32</v>
      </c>
      <c r="E17" s="28" t="s">
        <v>112</v>
      </c>
      <c r="F17" s="28" t="s">
        <v>113</v>
      </c>
      <c r="G17" s="28" t="s">
        <v>35</v>
      </c>
      <c r="H17" s="33" t="s">
        <v>118</v>
      </c>
      <c r="I17" s="33" t="e">
        <f>VLOOKUP(H17,'合同高级查询数据-8月返'!A:A,1,FALSE)</f>
        <v>#N/A</v>
      </c>
      <c r="J17" s="38" t="s">
        <v>37</v>
      </c>
      <c r="K17" s="28" t="s">
        <v>119</v>
      </c>
      <c r="L17" s="33" t="s">
        <v>120</v>
      </c>
      <c r="M17" s="28"/>
      <c r="N17" s="44">
        <v>44409</v>
      </c>
      <c r="O17" s="28"/>
      <c r="P17" s="45">
        <v>5550</v>
      </c>
      <c r="Q17" s="61"/>
      <c r="R17" s="58">
        <f t="shared" si="2"/>
        <v>0</v>
      </c>
      <c r="S17" s="59">
        <v>202308</v>
      </c>
      <c r="T17" s="60" t="s">
        <v>121</v>
      </c>
      <c r="U17" s="60"/>
      <c r="V17" s="75">
        <v>0</v>
      </c>
      <c r="W17" s="73"/>
      <c r="X17" s="74">
        <v>44743</v>
      </c>
      <c r="Y17" s="74">
        <v>45107</v>
      </c>
      <c r="Z17" s="28" t="s">
        <v>122</v>
      </c>
      <c r="AA17" s="85" t="s">
        <v>123</v>
      </c>
      <c r="AB17" s="85"/>
      <c r="AC17" s="85">
        <v>0</v>
      </c>
    </row>
    <row r="18" spans="1:32" s="10" customFormat="1" ht="15" customHeight="1">
      <c r="A18" s="28" t="s">
        <v>29</v>
      </c>
      <c r="B18" s="29" t="s">
        <v>30</v>
      </c>
      <c r="C18" s="30" t="s">
        <v>31</v>
      </c>
      <c r="D18" s="30" t="s">
        <v>32</v>
      </c>
      <c r="E18" s="28" t="s">
        <v>112</v>
      </c>
      <c r="F18" s="28" t="s">
        <v>113</v>
      </c>
      <c r="G18" s="28" t="s">
        <v>35</v>
      </c>
      <c r="H18" s="33" t="s">
        <v>118</v>
      </c>
      <c r="I18" s="33" t="e">
        <f>VLOOKUP(H18,'合同高级查询数据-8月返'!A:A,1,FALSE)</f>
        <v>#N/A</v>
      </c>
      <c r="J18" s="38" t="s">
        <v>37</v>
      </c>
      <c r="K18" s="28" t="s">
        <v>119</v>
      </c>
      <c r="L18" s="33" t="s">
        <v>124</v>
      </c>
      <c r="M18" s="28"/>
      <c r="N18" s="44">
        <v>44470</v>
      </c>
      <c r="O18" s="28"/>
      <c r="P18" s="45">
        <v>5300</v>
      </c>
      <c r="Q18" s="61"/>
      <c r="R18" s="58">
        <f t="shared" si="2"/>
        <v>0</v>
      </c>
      <c r="S18" s="59">
        <v>202308</v>
      </c>
      <c r="T18" s="60" t="s">
        <v>125</v>
      </c>
      <c r="U18" s="60"/>
      <c r="V18" s="75">
        <v>0</v>
      </c>
      <c r="W18" s="73"/>
      <c r="X18" s="74">
        <v>44743</v>
      </c>
      <c r="Y18" s="74">
        <v>45107</v>
      </c>
      <c r="Z18" s="28" t="s">
        <v>126</v>
      </c>
      <c r="AA18" s="85" t="s">
        <v>123</v>
      </c>
      <c r="AB18" s="85"/>
      <c r="AC18" s="85">
        <v>0</v>
      </c>
    </row>
    <row r="19" spans="1:32" s="10" customFormat="1" ht="15" customHeight="1">
      <c r="A19" s="28" t="s">
        <v>29</v>
      </c>
      <c r="B19" s="29" t="s">
        <v>30</v>
      </c>
      <c r="C19" s="30" t="s">
        <v>31</v>
      </c>
      <c r="D19" s="30" t="s">
        <v>32</v>
      </c>
      <c r="E19" s="28" t="s">
        <v>127</v>
      </c>
      <c r="F19" s="28" t="s">
        <v>128</v>
      </c>
      <c r="G19" s="28" t="s">
        <v>35</v>
      </c>
      <c r="H19" s="33" t="s">
        <v>129</v>
      </c>
      <c r="I19" s="33" t="e">
        <f>VLOOKUP(H19,'合同高级查询数据-8月返'!A:A,1,FALSE)</f>
        <v>#N/A</v>
      </c>
      <c r="J19" s="38" t="s">
        <v>37</v>
      </c>
      <c r="K19" s="28" t="s">
        <v>57</v>
      </c>
      <c r="L19" s="33" t="s">
        <v>130</v>
      </c>
      <c r="M19" s="28"/>
      <c r="N19" s="44">
        <v>44835</v>
      </c>
      <c r="O19" s="28"/>
      <c r="P19" s="45">
        <v>4500</v>
      </c>
      <c r="Q19" s="61">
        <v>354.01600000000002</v>
      </c>
      <c r="R19" s="58">
        <f t="shared" si="2"/>
        <v>1593072</v>
      </c>
      <c r="S19" s="59">
        <v>202308</v>
      </c>
      <c r="T19" s="60" t="s">
        <v>131</v>
      </c>
      <c r="U19" s="60"/>
      <c r="V19" s="72">
        <v>354.015716553</v>
      </c>
      <c r="W19" s="73"/>
      <c r="X19" s="74">
        <v>44896</v>
      </c>
      <c r="Y19" s="74">
        <v>45260</v>
      </c>
      <c r="Z19" s="28" t="s">
        <v>132</v>
      </c>
      <c r="AA19" s="85">
        <v>0</v>
      </c>
      <c r="AB19" s="85"/>
      <c r="AC19" s="85">
        <v>0</v>
      </c>
      <c r="AD19" s="90"/>
      <c r="AF19" s="91"/>
    </row>
    <row r="20" spans="1:32" s="10" customFormat="1" ht="15" customHeight="1">
      <c r="A20" s="28" t="s">
        <v>29</v>
      </c>
      <c r="B20" s="29" t="s">
        <v>30</v>
      </c>
      <c r="C20" s="30" t="s">
        <v>31</v>
      </c>
      <c r="D20" s="30" t="s">
        <v>32</v>
      </c>
      <c r="E20" s="28" t="s">
        <v>127</v>
      </c>
      <c r="F20" s="28" t="s">
        <v>128</v>
      </c>
      <c r="G20" s="28" t="s">
        <v>35</v>
      </c>
      <c r="H20" s="33" t="s">
        <v>129</v>
      </c>
      <c r="I20" s="33" t="e">
        <f>VLOOKUP(H20,'合同高级查询数据-8月返'!A:A,1,FALSE)</f>
        <v>#N/A</v>
      </c>
      <c r="J20" s="38" t="s">
        <v>37</v>
      </c>
      <c r="K20" s="28" t="s">
        <v>57</v>
      </c>
      <c r="L20" s="33" t="s">
        <v>133</v>
      </c>
      <c r="M20" s="28"/>
      <c r="N20" s="44">
        <v>44986</v>
      </c>
      <c r="O20" s="28"/>
      <c r="P20" s="45">
        <v>4000</v>
      </c>
      <c r="Q20" s="61">
        <v>4.67</v>
      </c>
      <c r="R20" s="58">
        <f t="shared" si="2"/>
        <v>18680</v>
      </c>
      <c r="S20" s="59">
        <v>202308</v>
      </c>
      <c r="T20" s="60" t="s">
        <v>134</v>
      </c>
      <c r="U20" s="60"/>
      <c r="V20" s="72">
        <v>4.6695032120000004</v>
      </c>
      <c r="W20" s="73"/>
      <c r="X20" s="74">
        <v>44896</v>
      </c>
      <c r="Y20" s="74">
        <v>45260</v>
      </c>
      <c r="Z20" s="28" t="s">
        <v>135</v>
      </c>
      <c r="AA20" s="85">
        <v>0</v>
      </c>
      <c r="AB20" s="85"/>
      <c r="AC20" s="85">
        <v>0</v>
      </c>
      <c r="AD20" s="90"/>
      <c r="AF20" s="91"/>
    </row>
    <row r="21" spans="1:32" s="9" customFormat="1" ht="15" customHeight="1">
      <c r="A21" s="25" t="s">
        <v>136</v>
      </c>
      <c r="B21" s="26" t="s">
        <v>137</v>
      </c>
      <c r="C21" s="27" t="s">
        <v>138</v>
      </c>
      <c r="D21" s="26" t="s">
        <v>139</v>
      </c>
      <c r="E21" s="25" t="s">
        <v>140</v>
      </c>
      <c r="F21" s="25" t="s">
        <v>141</v>
      </c>
      <c r="G21" s="25" t="s">
        <v>35</v>
      </c>
      <c r="H21" s="32" t="s">
        <v>142</v>
      </c>
      <c r="I21" s="32" t="e">
        <f>VLOOKUP(H21,'合同高级查询数据-8月返'!A:A,1,FALSE)</f>
        <v>#N/A</v>
      </c>
      <c r="J21" s="35" t="s">
        <v>76</v>
      </c>
      <c r="K21" s="25" t="s">
        <v>143</v>
      </c>
      <c r="L21" s="32" t="s">
        <v>144</v>
      </c>
      <c r="M21" s="25"/>
      <c r="N21" s="42" t="s">
        <v>145</v>
      </c>
      <c r="O21" s="25" t="s">
        <v>146</v>
      </c>
      <c r="P21" s="43">
        <v>175000</v>
      </c>
      <c r="Q21" s="57">
        <v>5</v>
      </c>
      <c r="R21" s="54">
        <f t="shared" si="2"/>
        <v>875000</v>
      </c>
      <c r="S21" s="55">
        <v>202308</v>
      </c>
      <c r="T21" s="56" t="s">
        <v>147</v>
      </c>
      <c r="U21" s="56"/>
      <c r="V21" s="76">
        <v>4.7754201250000001</v>
      </c>
      <c r="W21" s="69">
        <v>5.2</v>
      </c>
      <c r="X21" s="70"/>
      <c r="Y21" s="70"/>
      <c r="Z21" s="25" t="s">
        <v>148</v>
      </c>
      <c r="AA21" s="84">
        <v>0.1</v>
      </c>
      <c r="AB21" s="84">
        <v>20</v>
      </c>
      <c r="AC21" s="84">
        <v>2</v>
      </c>
      <c r="AD21" s="88"/>
      <c r="AF21" s="89"/>
    </row>
    <row r="22" spans="1:32" s="9" customFormat="1" ht="15" customHeight="1">
      <c r="A22" s="25" t="s">
        <v>136</v>
      </c>
      <c r="B22" s="26" t="s">
        <v>137</v>
      </c>
      <c r="C22" s="27" t="s">
        <v>138</v>
      </c>
      <c r="D22" s="27" t="s">
        <v>139</v>
      </c>
      <c r="E22" s="25" t="s">
        <v>140</v>
      </c>
      <c r="F22" s="25" t="s">
        <v>141</v>
      </c>
      <c r="G22" s="25" t="s">
        <v>35</v>
      </c>
      <c r="H22" s="32" t="s">
        <v>149</v>
      </c>
      <c r="I22" s="32" t="e">
        <f>VLOOKUP(H22,'合同高级查询数据-8月返'!A:A,1,FALSE)</f>
        <v>#N/A</v>
      </c>
      <c r="J22" s="35" t="s">
        <v>37</v>
      </c>
      <c r="K22" s="25" t="s">
        <v>150</v>
      </c>
      <c r="L22" s="32" t="s">
        <v>151</v>
      </c>
      <c r="M22" s="25"/>
      <c r="N22" s="47" t="s">
        <v>152</v>
      </c>
      <c r="O22" s="39" t="s">
        <v>153</v>
      </c>
      <c r="P22" s="43">
        <v>9000</v>
      </c>
      <c r="Q22" s="57">
        <v>61.5</v>
      </c>
      <c r="R22" s="54">
        <f t="shared" si="2"/>
        <v>553500</v>
      </c>
      <c r="S22" s="55">
        <v>202308</v>
      </c>
      <c r="T22" s="56" t="s">
        <v>154</v>
      </c>
      <c r="U22" s="56"/>
      <c r="V22" s="76">
        <v>60.057183913999999</v>
      </c>
      <c r="W22" s="69">
        <v>61.5</v>
      </c>
      <c r="X22" s="70"/>
      <c r="Y22" s="70"/>
      <c r="Z22" s="25" t="s">
        <v>155</v>
      </c>
      <c r="AA22" s="84">
        <v>0.3</v>
      </c>
      <c r="AB22" s="84">
        <v>200</v>
      </c>
      <c r="AC22" s="84">
        <f>AA22*AB22</f>
        <v>60</v>
      </c>
      <c r="AD22" s="88"/>
      <c r="AF22" s="89"/>
    </row>
    <row r="23" spans="1:32" s="9" customFormat="1" ht="15" customHeight="1">
      <c r="A23" s="25" t="s">
        <v>136</v>
      </c>
      <c r="B23" s="26" t="s">
        <v>137</v>
      </c>
      <c r="C23" s="27" t="s">
        <v>138</v>
      </c>
      <c r="D23" s="26" t="s">
        <v>139</v>
      </c>
      <c r="E23" s="25" t="s">
        <v>140</v>
      </c>
      <c r="F23" s="25" t="s">
        <v>141</v>
      </c>
      <c r="G23" s="25" t="s">
        <v>35</v>
      </c>
      <c r="H23" s="32" t="s">
        <v>156</v>
      </c>
      <c r="I23" s="32" t="e">
        <f>VLOOKUP(H23,'合同高级查询数据-8月返'!A:A,1,FALSE)</f>
        <v>#N/A</v>
      </c>
      <c r="J23" s="35" t="s">
        <v>157</v>
      </c>
      <c r="K23" s="25" t="s">
        <v>158</v>
      </c>
      <c r="L23" s="32" t="s">
        <v>159</v>
      </c>
      <c r="M23" s="25"/>
      <c r="N23" s="42" t="s">
        <v>160</v>
      </c>
      <c r="O23" s="25" t="s">
        <v>161</v>
      </c>
      <c r="P23" s="43">
        <v>13333.33</v>
      </c>
      <c r="Q23" s="57">
        <v>57.5</v>
      </c>
      <c r="R23" s="54">
        <f t="shared" si="2"/>
        <v>766666.48</v>
      </c>
      <c r="S23" s="55">
        <v>202308</v>
      </c>
      <c r="T23" s="56" t="s">
        <v>162</v>
      </c>
      <c r="U23" s="56"/>
      <c r="V23" s="76">
        <v>56.249482682999997</v>
      </c>
      <c r="W23" s="69">
        <v>58.6</v>
      </c>
      <c r="X23" s="70"/>
      <c r="Y23" s="70"/>
      <c r="Z23" s="25" t="s">
        <v>163</v>
      </c>
      <c r="AA23" s="84">
        <v>0.2</v>
      </c>
      <c r="AB23" s="84">
        <v>240</v>
      </c>
      <c r="AC23" s="84">
        <v>48</v>
      </c>
      <c r="AD23" s="88"/>
      <c r="AF23" s="89"/>
    </row>
    <row r="24" spans="1:32" s="9" customFormat="1" ht="15" customHeight="1">
      <c r="A24" s="25" t="s">
        <v>136</v>
      </c>
      <c r="B24" s="26" t="s">
        <v>137</v>
      </c>
      <c r="C24" s="27" t="s">
        <v>138</v>
      </c>
      <c r="D24" s="26" t="s">
        <v>139</v>
      </c>
      <c r="E24" s="25" t="s">
        <v>140</v>
      </c>
      <c r="F24" s="25" t="s">
        <v>141</v>
      </c>
      <c r="G24" s="25" t="s">
        <v>35</v>
      </c>
      <c r="H24" s="32" t="s">
        <v>156</v>
      </c>
      <c r="I24" s="32" t="e">
        <f>VLOOKUP(H24,'合同高级查询数据-8月返'!A:A,1,FALSE)</f>
        <v>#N/A</v>
      </c>
      <c r="J24" s="35" t="s">
        <v>157</v>
      </c>
      <c r="K24" s="25" t="s">
        <v>164</v>
      </c>
      <c r="L24" s="32" t="s">
        <v>165</v>
      </c>
      <c r="M24" s="25"/>
      <c r="N24" s="42" t="s">
        <v>166</v>
      </c>
      <c r="O24" s="25" t="s">
        <v>167</v>
      </c>
      <c r="P24" s="43">
        <v>13333.33</v>
      </c>
      <c r="Q24" s="57">
        <v>11.1</v>
      </c>
      <c r="R24" s="54">
        <f t="shared" si="2"/>
        <v>147999.96</v>
      </c>
      <c r="S24" s="55">
        <v>202308</v>
      </c>
      <c r="T24" s="56" t="s">
        <v>168</v>
      </c>
      <c r="U24" s="56"/>
      <c r="V24" s="76">
        <v>10.810177215</v>
      </c>
      <c r="W24" s="69">
        <v>11.3</v>
      </c>
      <c r="X24" s="70"/>
      <c r="Y24" s="70"/>
      <c r="Z24" s="25" t="s">
        <v>169</v>
      </c>
      <c r="AA24" s="84">
        <v>0.2</v>
      </c>
      <c r="AB24" s="84">
        <v>40</v>
      </c>
      <c r="AC24" s="84">
        <v>8</v>
      </c>
      <c r="AD24" s="88"/>
      <c r="AF24" s="89"/>
    </row>
    <row r="25" spans="1:32" s="10" customFormat="1" ht="15" customHeight="1">
      <c r="A25" s="28" t="s">
        <v>136</v>
      </c>
      <c r="B25" s="29" t="s">
        <v>137</v>
      </c>
      <c r="C25" s="30" t="s">
        <v>138</v>
      </c>
      <c r="D25" s="29" t="s">
        <v>139</v>
      </c>
      <c r="E25" s="28" t="s">
        <v>140</v>
      </c>
      <c r="F25" s="28" t="s">
        <v>170</v>
      </c>
      <c r="G25" s="28" t="s">
        <v>35</v>
      </c>
      <c r="H25" s="33" t="s">
        <v>171</v>
      </c>
      <c r="I25" s="33" t="e">
        <f>VLOOKUP(H25,'合同高级查询数据-8月返'!A:A,1,FALSE)</f>
        <v>#N/A</v>
      </c>
      <c r="J25" s="38" t="s">
        <v>157</v>
      </c>
      <c r="K25" s="28" t="s">
        <v>172</v>
      </c>
      <c r="L25" s="33" t="s">
        <v>173</v>
      </c>
      <c r="M25" s="28"/>
      <c r="N25" s="44">
        <v>44453</v>
      </c>
      <c r="O25" s="28" t="s">
        <v>174</v>
      </c>
      <c r="P25" s="45">
        <v>9000</v>
      </c>
      <c r="Q25" s="61">
        <v>74.7</v>
      </c>
      <c r="R25" s="58">
        <f t="shared" si="2"/>
        <v>672300</v>
      </c>
      <c r="S25" s="59">
        <v>202308</v>
      </c>
      <c r="T25" s="60" t="s">
        <v>175</v>
      </c>
      <c r="U25" s="60"/>
      <c r="V25" s="72">
        <v>72.770929507999995</v>
      </c>
      <c r="W25" s="73">
        <v>76.599999999999994</v>
      </c>
      <c r="X25" s="74">
        <v>44440</v>
      </c>
      <c r="Y25" s="74">
        <v>45169</v>
      </c>
      <c r="Z25" s="28" t="s">
        <v>176</v>
      </c>
      <c r="AA25" s="85">
        <v>0.3</v>
      </c>
      <c r="AB25" s="85">
        <v>180</v>
      </c>
      <c r="AC25" s="85">
        <v>54</v>
      </c>
      <c r="AD25" s="90"/>
      <c r="AF25" s="91"/>
    </row>
    <row r="26" spans="1:32" s="10" customFormat="1" ht="15" customHeight="1">
      <c r="A26" s="28" t="s">
        <v>136</v>
      </c>
      <c r="B26" s="29" t="s">
        <v>137</v>
      </c>
      <c r="C26" s="30" t="s">
        <v>138</v>
      </c>
      <c r="D26" s="30" t="s">
        <v>139</v>
      </c>
      <c r="E26" s="28" t="s">
        <v>140</v>
      </c>
      <c r="F26" s="28" t="s">
        <v>141</v>
      </c>
      <c r="G26" s="28" t="s">
        <v>35</v>
      </c>
      <c r="H26" s="33" t="s">
        <v>177</v>
      </c>
      <c r="I26" s="33" t="e">
        <f>VLOOKUP(H26,'合同高级查询数据-8月返'!A:A,1,FALSE)</f>
        <v>#N/A</v>
      </c>
      <c r="J26" s="38" t="s">
        <v>37</v>
      </c>
      <c r="K26" s="28" t="s">
        <v>178</v>
      </c>
      <c r="L26" s="33" t="s">
        <v>179</v>
      </c>
      <c r="M26" s="28"/>
      <c r="N26" s="44" t="s">
        <v>180</v>
      </c>
      <c r="O26" s="48" t="s">
        <v>181</v>
      </c>
      <c r="P26" s="45">
        <v>9000</v>
      </c>
      <c r="Q26" s="61">
        <v>60.5</v>
      </c>
      <c r="R26" s="58">
        <f t="shared" si="2"/>
        <v>544500</v>
      </c>
      <c r="S26" s="59">
        <v>202308</v>
      </c>
      <c r="T26" s="60" t="s">
        <v>182</v>
      </c>
      <c r="U26" s="60"/>
      <c r="V26" s="72">
        <v>60.409909743999997</v>
      </c>
      <c r="W26" s="73">
        <v>61.7</v>
      </c>
      <c r="X26" s="74">
        <v>44044</v>
      </c>
      <c r="Y26" s="74">
        <v>45199</v>
      </c>
      <c r="Z26" s="28" t="s">
        <v>183</v>
      </c>
      <c r="AA26" s="85">
        <v>0.3</v>
      </c>
      <c r="AB26" s="85">
        <v>180</v>
      </c>
      <c r="AC26" s="85">
        <v>54</v>
      </c>
      <c r="AD26" s="90"/>
      <c r="AF26" s="91"/>
    </row>
    <row r="27" spans="1:32" s="10" customFormat="1" ht="15" customHeight="1">
      <c r="A27" s="28" t="s">
        <v>184</v>
      </c>
      <c r="B27" s="29" t="s">
        <v>137</v>
      </c>
      <c r="C27" s="30" t="s">
        <v>138</v>
      </c>
      <c r="D27" s="30" t="s">
        <v>139</v>
      </c>
      <c r="E27" s="28" t="s">
        <v>140</v>
      </c>
      <c r="F27" s="28" t="s">
        <v>141</v>
      </c>
      <c r="G27" s="28" t="s">
        <v>35</v>
      </c>
      <c r="H27" s="33" t="s">
        <v>177</v>
      </c>
      <c r="I27" s="33" t="e">
        <f>VLOOKUP(H27,'合同高级查询数据-8月返'!A:A,1,FALSE)</f>
        <v>#N/A</v>
      </c>
      <c r="J27" s="38" t="s">
        <v>37</v>
      </c>
      <c r="K27" s="28" t="s">
        <v>185</v>
      </c>
      <c r="L27" s="33" t="s">
        <v>186</v>
      </c>
      <c r="M27" s="28"/>
      <c r="N27" s="44" t="s">
        <v>187</v>
      </c>
      <c r="O27" s="28" t="s">
        <v>188</v>
      </c>
      <c r="P27" s="45">
        <v>7794</v>
      </c>
      <c r="Q27" s="61">
        <v>116.7</v>
      </c>
      <c r="R27" s="58">
        <f t="shared" si="2"/>
        <v>909559.8</v>
      </c>
      <c r="S27" s="59">
        <v>202308</v>
      </c>
      <c r="T27" s="60" t="s">
        <v>189</v>
      </c>
      <c r="U27" s="60"/>
      <c r="V27" s="77">
        <v>114.474231261</v>
      </c>
      <c r="W27" s="73">
        <v>118.9</v>
      </c>
      <c r="X27" s="74">
        <v>44044</v>
      </c>
      <c r="Y27" s="74">
        <v>45199</v>
      </c>
      <c r="Z27" s="28" t="s">
        <v>190</v>
      </c>
      <c r="AA27" s="85">
        <v>0.3</v>
      </c>
      <c r="AB27" s="85">
        <v>280</v>
      </c>
      <c r="AC27" s="85">
        <v>84</v>
      </c>
      <c r="AD27" s="90"/>
      <c r="AF27" s="91"/>
    </row>
    <row r="28" spans="1:32" s="10" customFormat="1" ht="15" customHeight="1">
      <c r="A28" s="28" t="s">
        <v>191</v>
      </c>
      <c r="B28" s="29" t="s">
        <v>137</v>
      </c>
      <c r="C28" s="30" t="s">
        <v>138</v>
      </c>
      <c r="D28" s="30" t="s">
        <v>139</v>
      </c>
      <c r="E28" s="28" t="s">
        <v>140</v>
      </c>
      <c r="F28" s="28" t="s">
        <v>141</v>
      </c>
      <c r="G28" s="28" t="s">
        <v>35</v>
      </c>
      <c r="H28" s="33" t="s">
        <v>177</v>
      </c>
      <c r="I28" s="33" t="e">
        <f>VLOOKUP(H28,'合同高级查询数据-8月返'!A:A,1,FALSE)</f>
        <v>#N/A</v>
      </c>
      <c r="J28" s="38" t="s">
        <v>37</v>
      </c>
      <c r="K28" s="28" t="s">
        <v>192</v>
      </c>
      <c r="L28" s="33" t="s">
        <v>193</v>
      </c>
      <c r="M28" s="28"/>
      <c r="N28" s="44" t="s">
        <v>194</v>
      </c>
      <c r="O28" s="28" t="s">
        <v>195</v>
      </c>
      <c r="P28" s="45">
        <v>5000</v>
      </c>
      <c r="Q28" s="61">
        <v>125</v>
      </c>
      <c r="R28" s="58">
        <f t="shared" si="2"/>
        <v>625000</v>
      </c>
      <c r="S28" s="59">
        <v>202308</v>
      </c>
      <c r="T28" s="60" t="s">
        <v>196</v>
      </c>
      <c r="U28" s="60"/>
      <c r="V28" s="77">
        <v>119.512969971</v>
      </c>
      <c r="W28" s="73">
        <v>130.4</v>
      </c>
      <c r="X28" s="74">
        <v>44044</v>
      </c>
      <c r="Y28" s="74">
        <v>45199</v>
      </c>
      <c r="Z28" s="28" t="s">
        <v>197</v>
      </c>
      <c r="AA28" s="85">
        <v>0.3</v>
      </c>
      <c r="AB28" s="85">
        <v>260</v>
      </c>
      <c r="AC28" s="85">
        <v>78</v>
      </c>
      <c r="AD28" s="90"/>
      <c r="AF28" s="91"/>
    </row>
    <row r="29" spans="1:32" s="9" customFormat="1" ht="15" customHeight="1">
      <c r="A29" s="25" t="s">
        <v>136</v>
      </c>
      <c r="B29" s="26" t="s">
        <v>137</v>
      </c>
      <c r="C29" s="27" t="s">
        <v>138</v>
      </c>
      <c r="D29" s="27" t="s">
        <v>139</v>
      </c>
      <c r="E29" s="25" t="s">
        <v>140</v>
      </c>
      <c r="F29" s="25" t="s">
        <v>141</v>
      </c>
      <c r="G29" s="25" t="s">
        <v>35</v>
      </c>
      <c r="H29" s="32" t="s">
        <v>149</v>
      </c>
      <c r="I29" s="32" t="e">
        <f>VLOOKUP(H29,'合同高级查询数据-8月返'!A:A,1,FALSE)</f>
        <v>#N/A</v>
      </c>
      <c r="J29" s="35" t="s">
        <v>37</v>
      </c>
      <c r="K29" s="25" t="s">
        <v>198</v>
      </c>
      <c r="L29" s="32" t="s">
        <v>199</v>
      </c>
      <c r="M29" s="25" t="s">
        <v>200</v>
      </c>
      <c r="N29" s="47" t="s">
        <v>201</v>
      </c>
      <c r="O29" s="39" t="s">
        <v>202</v>
      </c>
      <c r="P29" s="43">
        <v>9000</v>
      </c>
      <c r="Q29" s="57">
        <v>53.8</v>
      </c>
      <c r="R29" s="54">
        <f t="shared" si="2"/>
        <v>484200</v>
      </c>
      <c r="S29" s="55">
        <v>202308</v>
      </c>
      <c r="T29" s="62" t="s">
        <v>203</v>
      </c>
      <c r="U29" s="56"/>
      <c r="V29" s="76">
        <v>52.650455043999997</v>
      </c>
      <c r="W29" s="69">
        <v>54.8</v>
      </c>
      <c r="X29" s="70"/>
      <c r="Y29" s="70"/>
      <c r="Z29" s="25" t="s">
        <v>204</v>
      </c>
      <c r="AA29" s="84">
        <v>0.3</v>
      </c>
      <c r="AB29" s="84">
        <v>140</v>
      </c>
      <c r="AC29" s="84">
        <f>AA29*AB29</f>
        <v>42</v>
      </c>
      <c r="AD29" s="88"/>
      <c r="AF29" s="89"/>
    </row>
    <row r="30" spans="1:32" s="9" customFormat="1" ht="15" customHeight="1">
      <c r="A30" s="25" t="s">
        <v>136</v>
      </c>
      <c r="B30" s="26" t="s">
        <v>137</v>
      </c>
      <c r="C30" s="27" t="s">
        <v>138</v>
      </c>
      <c r="D30" s="27" t="s">
        <v>139</v>
      </c>
      <c r="E30" s="25" t="s">
        <v>140</v>
      </c>
      <c r="F30" s="25" t="s">
        <v>141</v>
      </c>
      <c r="G30" s="34" t="s">
        <v>35</v>
      </c>
      <c r="H30" s="35" t="s">
        <v>205</v>
      </c>
      <c r="I30" s="32" t="e">
        <f>VLOOKUP(H30,'合同高级查询数据-8月返'!A:A,1,FALSE)</f>
        <v>#N/A</v>
      </c>
      <c r="J30" s="35" t="s">
        <v>37</v>
      </c>
      <c r="K30" s="34" t="s">
        <v>206</v>
      </c>
      <c r="L30" s="32" t="s">
        <v>207</v>
      </c>
      <c r="M30" s="49" t="s">
        <v>208</v>
      </c>
      <c r="N30" s="50" t="s">
        <v>209</v>
      </c>
      <c r="O30" s="50" t="s">
        <v>210</v>
      </c>
      <c r="P30" s="51">
        <v>9000</v>
      </c>
      <c r="Q30" s="63">
        <v>6.8</v>
      </c>
      <c r="R30" s="63">
        <f t="shared" si="2"/>
        <v>61200</v>
      </c>
      <c r="S30" s="55">
        <v>202308</v>
      </c>
      <c r="T30" s="64" t="s">
        <v>211</v>
      </c>
      <c r="U30" s="78"/>
      <c r="V30" s="76">
        <v>6.7328842040000003</v>
      </c>
      <c r="W30" s="79">
        <v>6.8</v>
      </c>
      <c r="X30" s="70"/>
      <c r="Y30" s="70"/>
      <c r="Z30" s="25" t="s">
        <v>212</v>
      </c>
      <c r="AA30" s="84">
        <v>0.3</v>
      </c>
      <c r="AB30" s="86">
        <v>10</v>
      </c>
      <c r="AC30" s="84">
        <v>3</v>
      </c>
      <c r="AD30" s="88"/>
      <c r="AF30" s="89"/>
    </row>
    <row r="31" spans="1:32" s="9" customFormat="1" ht="15" customHeight="1">
      <c r="A31" s="25" t="s">
        <v>29</v>
      </c>
      <c r="B31" s="26" t="s">
        <v>30</v>
      </c>
      <c r="C31" s="27" t="s">
        <v>31</v>
      </c>
      <c r="D31" s="27" t="s">
        <v>32</v>
      </c>
      <c r="E31" s="25" t="s">
        <v>213</v>
      </c>
      <c r="F31" s="25" t="s">
        <v>214</v>
      </c>
      <c r="G31" s="25" t="s">
        <v>35</v>
      </c>
      <c r="H31" s="32" t="s">
        <v>215</v>
      </c>
      <c r="I31" s="32" t="e">
        <f>VLOOKUP(H31,'合同高级查询数据-8月返'!A:A,1,FALSE)</f>
        <v>#N/A</v>
      </c>
      <c r="J31" s="35" t="s">
        <v>37</v>
      </c>
      <c r="K31" s="25" t="s">
        <v>57</v>
      </c>
      <c r="L31" s="32" t="s">
        <v>216</v>
      </c>
      <c r="M31" s="25"/>
      <c r="N31" s="42">
        <v>45017</v>
      </c>
      <c r="O31" s="25"/>
      <c r="P31" s="43">
        <v>4900</v>
      </c>
      <c r="Q31" s="57">
        <v>221.68299999999999</v>
      </c>
      <c r="R31" s="54">
        <f t="shared" si="2"/>
        <v>1086246.7</v>
      </c>
      <c r="S31" s="55">
        <v>202308</v>
      </c>
      <c r="T31" s="56" t="s">
        <v>217</v>
      </c>
      <c r="U31" s="56"/>
      <c r="V31" s="68">
        <v>221.68270874000001</v>
      </c>
      <c r="W31" s="69"/>
      <c r="X31" s="70">
        <v>45017</v>
      </c>
      <c r="Y31" s="70">
        <v>45382</v>
      </c>
      <c r="Z31" s="25" t="s">
        <v>218</v>
      </c>
      <c r="AA31" s="84">
        <v>0</v>
      </c>
      <c r="AB31" s="84"/>
      <c r="AC31" s="84">
        <v>0</v>
      </c>
      <c r="AD31" s="88"/>
      <c r="AF31" s="89"/>
    </row>
    <row r="32" spans="1:32" s="9" customFormat="1" ht="15" customHeight="1">
      <c r="A32" s="25" t="s">
        <v>29</v>
      </c>
      <c r="B32" s="26" t="s">
        <v>30</v>
      </c>
      <c r="C32" s="27" t="s">
        <v>31</v>
      </c>
      <c r="D32" s="27" t="s">
        <v>32</v>
      </c>
      <c r="E32" s="25" t="s">
        <v>219</v>
      </c>
      <c r="F32" s="25" t="s">
        <v>220</v>
      </c>
      <c r="G32" s="25" t="s">
        <v>35</v>
      </c>
      <c r="H32" s="32" t="s">
        <v>221</v>
      </c>
      <c r="I32" s="32" t="e">
        <f>VLOOKUP(H32,'合同高级查询数据-8月返'!A:A,1,FALSE)</f>
        <v>#N/A</v>
      </c>
      <c r="J32" s="35" t="s">
        <v>37</v>
      </c>
      <c r="K32" s="25" t="s">
        <v>222</v>
      </c>
      <c r="L32" s="32" t="s">
        <v>223</v>
      </c>
      <c r="M32" s="25"/>
      <c r="N32" s="42">
        <v>43922</v>
      </c>
      <c r="O32" s="25"/>
      <c r="P32" s="46" t="s">
        <v>224</v>
      </c>
      <c r="Q32" s="57"/>
      <c r="R32" s="54">
        <v>0</v>
      </c>
      <c r="S32" s="55">
        <v>202308</v>
      </c>
      <c r="T32" s="56" t="s">
        <v>225</v>
      </c>
      <c r="U32" s="56"/>
      <c r="V32" s="71"/>
      <c r="W32" s="80"/>
      <c r="X32" s="70"/>
      <c r="Y32" s="70"/>
      <c r="Z32" s="25"/>
      <c r="AA32" s="84">
        <v>0</v>
      </c>
      <c r="AB32" s="84"/>
      <c r="AC32" s="84">
        <v>0</v>
      </c>
    </row>
    <row r="33" spans="1:32" s="9" customFormat="1" ht="15" customHeight="1">
      <c r="A33" s="25" t="s">
        <v>29</v>
      </c>
      <c r="B33" s="26" t="s">
        <v>30</v>
      </c>
      <c r="C33" s="27" t="s">
        <v>31</v>
      </c>
      <c r="D33" s="27" t="s">
        <v>32</v>
      </c>
      <c r="E33" s="25" t="s">
        <v>219</v>
      </c>
      <c r="F33" s="25" t="s">
        <v>220</v>
      </c>
      <c r="G33" s="25" t="s">
        <v>35</v>
      </c>
      <c r="H33" s="32" t="s">
        <v>221</v>
      </c>
      <c r="I33" s="32" t="e">
        <f>VLOOKUP(H33,'合同高级查询数据-8月返'!A:A,1,FALSE)</f>
        <v>#N/A</v>
      </c>
      <c r="J33" s="35" t="s">
        <v>37</v>
      </c>
      <c r="K33" s="25"/>
      <c r="L33" s="32" t="s">
        <v>226</v>
      </c>
      <c r="M33" s="25"/>
      <c r="N33" s="42"/>
      <c r="O33" s="25"/>
      <c r="P33" s="43">
        <v>0.2</v>
      </c>
      <c r="Q33" s="57"/>
      <c r="R33" s="54">
        <f>ROUND(P33*Q33,2)</f>
        <v>0</v>
      </c>
      <c r="S33" s="55">
        <v>202308</v>
      </c>
      <c r="T33" s="56" t="s">
        <v>227</v>
      </c>
      <c r="U33" s="56"/>
      <c r="V33" s="71"/>
      <c r="W33" s="69"/>
      <c r="X33" s="70"/>
      <c r="Y33" s="70"/>
      <c r="Z33" s="25"/>
      <c r="AA33" s="84">
        <v>0</v>
      </c>
      <c r="AB33" s="84"/>
      <c r="AC33" s="84">
        <v>0</v>
      </c>
    </row>
    <row r="34" spans="1:32" s="9" customFormat="1" ht="15" customHeight="1">
      <c r="A34" s="25" t="s">
        <v>29</v>
      </c>
      <c r="B34" s="26" t="s">
        <v>30</v>
      </c>
      <c r="C34" s="27" t="s">
        <v>31</v>
      </c>
      <c r="D34" s="27" t="s">
        <v>32</v>
      </c>
      <c r="E34" s="25" t="s">
        <v>219</v>
      </c>
      <c r="F34" s="25" t="s">
        <v>220</v>
      </c>
      <c r="G34" s="25" t="s">
        <v>35</v>
      </c>
      <c r="H34" s="32" t="s">
        <v>221</v>
      </c>
      <c r="I34" s="32" t="e">
        <f>VLOOKUP(H34,'合同高级查询数据-8月返'!A:A,1,FALSE)</f>
        <v>#N/A</v>
      </c>
      <c r="J34" s="35" t="s">
        <v>37</v>
      </c>
      <c r="K34" s="25" t="s">
        <v>228</v>
      </c>
      <c r="L34" s="32" t="s">
        <v>229</v>
      </c>
      <c r="M34" s="25"/>
      <c r="N34" s="42">
        <v>43922</v>
      </c>
      <c r="O34" s="25"/>
      <c r="P34" s="43" t="s">
        <v>230</v>
      </c>
      <c r="Q34" s="57"/>
      <c r="R34" s="54">
        <f>ROUND(Q34*0.3,2)</f>
        <v>0</v>
      </c>
      <c r="S34" s="55">
        <v>202308</v>
      </c>
      <c r="T34" s="56" t="s">
        <v>231</v>
      </c>
      <c r="U34" s="56"/>
      <c r="V34" s="71"/>
      <c r="W34" s="69"/>
      <c r="X34" s="70"/>
      <c r="Y34" s="70"/>
      <c r="Z34" s="25"/>
      <c r="AA34" s="84">
        <v>0</v>
      </c>
      <c r="AB34" s="84"/>
      <c r="AC34" s="84">
        <v>0</v>
      </c>
    </row>
    <row r="35" spans="1:32" s="9" customFormat="1" ht="15" customHeight="1">
      <c r="A35" s="25" t="s">
        <v>29</v>
      </c>
      <c r="B35" s="26" t="s">
        <v>30</v>
      </c>
      <c r="C35" s="27" t="s">
        <v>31</v>
      </c>
      <c r="D35" s="27" t="s">
        <v>32</v>
      </c>
      <c r="E35" s="25" t="s">
        <v>232</v>
      </c>
      <c r="F35" s="25" t="s">
        <v>233</v>
      </c>
      <c r="G35" s="25" t="s">
        <v>35</v>
      </c>
      <c r="H35" s="32" t="s">
        <v>234</v>
      </c>
      <c r="I35" s="32" t="e">
        <f>VLOOKUP(H35,'合同高级查询数据-8月返'!A:A,1,FALSE)</f>
        <v>#N/A</v>
      </c>
      <c r="J35" s="35" t="s">
        <v>37</v>
      </c>
      <c r="K35" s="25" t="s">
        <v>235</v>
      </c>
      <c r="L35" s="32" t="s">
        <v>235</v>
      </c>
      <c r="M35" s="25"/>
      <c r="N35" s="42">
        <v>44197</v>
      </c>
      <c r="O35" s="25"/>
      <c r="P35" s="43">
        <v>6200</v>
      </c>
      <c r="Q35" s="57">
        <v>0.89500000000000002</v>
      </c>
      <c r="R35" s="54">
        <f t="shared" ref="R35:R55" si="3">ROUND(P35*Q35,2)</f>
        <v>5549</v>
      </c>
      <c r="S35" s="55">
        <v>202308</v>
      </c>
      <c r="T35" s="56" t="s">
        <v>236</v>
      </c>
      <c r="U35" s="56"/>
      <c r="V35" s="68">
        <v>0.89434886000000002</v>
      </c>
      <c r="W35" s="69"/>
      <c r="X35" s="70"/>
      <c r="Y35" s="70"/>
      <c r="Z35" s="25" t="s">
        <v>237</v>
      </c>
      <c r="AA35" s="84">
        <v>0</v>
      </c>
      <c r="AB35" s="84"/>
      <c r="AC35" s="84">
        <v>0</v>
      </c>
      <c r="AD35" s="88"/>
      <c r="AF35" s="89"/>
    </row>
    <row r="36" spans="1:32" s="10" customFormat="1" ht="15" customHeight="1">
      <c r="A36" s="28" t="s">
        <v>29</v>
      </c>
      <c r="B36" s="29" t="s">
        <v>30</v>
      </c>
      <c r="C36" s="30" t="s">
        <v>31</v>
      </c>
      <c r="D36" s="30" t="s">
        <v>32</v>
      </c>
      <c r="E36" s="28" t="s">
        <v>232</v>
      </c>
      <c r="F36" s="28" t="s">
        <v>233</v>
      </c>
      <c r="G36" s="28" t="s">
        <v>35</v>
      </c>
      <c r="H36" s="33" t="s">
        <v>238</v>
      </c>
      <c r="I36" s="33" t="e">
        <f>VLOOKUP(H36,'合同高级查询数据-8月返'!A:A,1,FALSE)</f>
        <v>#N/A</v>
      </c>
      <c r="J36" s="38" t="s">
        <v>37</v>
      </c>
      <c r="K36" s="28" t="s">
        <v>239</v>
      </c>
      <c r="L36" s="33" t="s">
        <v>239</v>
      </c>
      <c r="M36" s="28"/>
      <c r="N36" s="44">
        <v>44197</v>
      </c>
      <c r="O36" s="28"/>
      <c r="P36" s="45">
        <v>4800</v>
      </c>
      <c r="Q36" s="61">
        <v>73.347999999999999</v>
      </c>
      <c r="R36" s="58">
        <f t="shared" si="3"/>
        <v>352070.40000000002</v>
      </c>
      <c r="S36" s="59">
        <v>202308</v>
      </c>
      <c r="T36" s="60" t="s">
        <v>240</v>
      </c>
      <c r="U36" s="60"/>
      <c r="V36" s="72">
        <v>73.347434997999997</v>
      </c>
      <c r="W36" s="73"/>
      <c r="X36" s="74">
        <v>45047</v>
      </c>
      <c r="Y36" s="74">
        <v>45412</v>
      </c>
      <c r="Z36" s="28" t="s">
        <v>241</v>
      </c>
      <c r="AA36" s="85">
        <v>0</v>
      </c>
      <c r="AB36" s="85"/>
      <c r="AC36" s="85">
        <v>0</v>
      </c>
      <c r="AD36" s="90"/>
      <c r="AF36" s="91"/>
    </row>
    <row r="37" spans="1:32" s="10" customFormat="1" ht="15" customHeight="1">
      <c r="A37" s="28" t="s">
        <v>29</v>
      </c>
      <c r="B37" s="29" t="s">
        <v>30</v>
      </c>
      <c r="C37" s="30" t="s">
        <v>31</v>
      </c>
      <c r="D37" s="30" t="s">
        <v>32</v>
      </c>
      <c r="E37" s="28" t="s">
        <v>242</v>
      </c>
      <c r="F37" s="28" t="s">
        <v>243</v>
      </c>
      <c r="G37" s="28" t="s">
        <v>35</v>
      </c>
      <c r="H37" s="33" t="s">
        <v>244</v>
      </c>
      <c r="I37" s="33" t="e">
        <f>VLOOKUP(H37,'合同高级查询数据-8月返'!A:A,1,FALSE)</f>
        <v>#N/A</v>
      </c>
      <c r="J37" s="38" t="s">
        <v>37</v>
      </c>
      <c r="K37" s="28"/>
      <c r="L37" s="33" t="s">
        <v>245</v>
      </c>
      <c r="M37" s="28"/>
      <c r="N37" s="44">
        <v>44562</v>
      </c>
      <c r="O37" s="28"/>
      <c r="P37" s="45">
        <v>5800</v>
      </c>
      <c r="Q37" s="61">
        <v>1326.604</v>
      </c>
      <c r="R37" s="58">
        <f t="shared" si="3"/>
        <v>7694303.2000000002</v>
      </c>
      <c r="S37" s="59">
        <v>202308</v>
      </c>
      <c r="T37" s="60" t="s">
        <v>246</v>
      </c>
      <c r="U37" s="60"/>
      <c r="V37" s="72">
        <v>1326.603881836</v>
      </c>
      <c r="W37" s="77">
        <v>1327.49</v>
      </c>
      <c r="X37" s="74">
        <v>44866</v>
      </c>
      <c r="Y37" s="74">
        <v>45230</v>
      </c>
      <c r="Z37" s="28" t="s">
        <v>247</v>
      </c>
      <c r="AA37" s="85"/>
      <c r="AB37" s="85"/>
      <c r="AC37" s="85">
        <v>0</v>
      </c>
      <c r="AD37" s="90"/>
      <c r="AF37" s="91"/>
    </row>
    <row r="38" spans="1:32" s="10" customFormat="1" ht="15" customHeight="1">
      <c r="A38" s="28" t="s">
        <v>29</v>
      </c>
      <c r="B38" s="29" t="s">
        <v>30</v>
      </c>
      <c r="C38" s="30" t="s">
        <v>31</v>
      </c>
      <c r="D38" s="30" t="s">
        <v>32</v>
      </c>
      <c r="E38" s="28" t="s">
        <v>248</v>
      </c>
      <c r="F38" s="28" t="s">
        <v>249</v>
      </c>
      <c r="G38" s="28" t="s">
        <v>35</v>
      </c>
      <c r="H38" s="33" t="s">
        <v>250</v>
      </c>
      <c r="I38" s="33" t="e">
        <f>VLOOKUP(H38,'合同高级查询数据-8月返'!A:A,1,FALSE)</f>
        <v>#N/A</v>
      </c>
      <c r="J38" s="38" t="s">
        <v>37</v>
      </c>
      <c r="K38" s="28"/>
      <c r="L38" s="33" t="s">
        <v>251</v>
      </c>
      <c r="M38" s="28"/>
      <c r="N38" s="44">
        <v>44896</v>
      </c>
      <c r="O38" s="28"/>
      <c r="P38" s="45">
        <v>8400</v>
      </c>
      <c r="Q38" s="61">
        <v>467.73700000000002</v>
      </c>
      <c r="R38" s="58">
        <f t="shared" si="3"/>
        <v>3928990.8</v>
      </c>
      <c r="S38" s="59">
        <v>202308</v>
      </c>
      <c r="T38" s="60" t="s">
        <v>252</v>
      </c>
      <c r="U38" s="60"/>
      <c r="V38" s="72">
        <v>467.73611450200002</v>
      </c>
      <c r="W38" s="73"/>
      <c r="X38" s="74">
        <v>44896</v>
      </c>
      <c r="Y38" s="74">
        <v>45260</v>
      </c>
      <c r="Z38" s="28" t="s">
        <v>253</v>
      </c>
      <c r="AA38" s="85">
        <v>0</v>
      </c>
      <c r="AB38" s="85"/>
      <c r="AC38" s="85">
        <v>0</v>
      </c>
      <c r="AD38" s="90"/>
      <c r="AF38" s="91"/>
    </row>
    <row r="39" spans="1:32" s="10" customFormat="1" ht="15" customHeight="1">
      <c r="A39" s="28" t="s">
        <v>29</v>
      </c>
      <c r="B39" s="29" t="s">
        <v>30</v>
      </c>
      <c r="C39" s="30" t="s">
        <v>31</v>
      </c>
      <c r="D39" s="30" t="s">
        <v>32</v>
      </c>
      <c r="E39" s="28" t="s">
        <v>254</v>
      </c>
      <c r="F39" s="28" t="s">
        <v>255</v>
      </c>
      <c r="G39" s="28" t="s">
        <v>35</v>
      </c>
      <c r="H39" s="33" t="s">
        <v>256</v>
      </c>
      <c r="I39" s="33" t="e">
        <f>VLOOKUP(H39,'合同高级查询数据-8月返'!A:A,1,FALSE)</f>
        <v>#N/A</v>
      </c>
      <c r="J39" s="38" t="s">
        <v>37</v>
      </c>
      <c r="K39" s="28" t="s">
        <v>257</v>
      </c>
      <c r="L39" s="33" t="s">
        <v>258</v>
      </c>
      <c r="M39" s="28"/>
      <c r="N39" s="44">
        <v>44593</v>
      </c>
      <c r="O39" s="28"/>
      <c r="P39" s="45">
        <v>5400</v>
      </c>
      <c r="Q39" s="61">
        <v>357.36500000000001</v>
      </c>
      <c r="R39" s="58">
        <f t="shared" si="3"/>
        <v>1929771</v>
      </c>
      <c r="S39" s="59">
        <v>202308</v>
      </c>
      <c r="T39" s="60" t="s">
        <v>259</v>
      </c>
      <c r="U39" s="60"/>
      <c r="V39" s="72">
        <v>357.36407470699999</v>
      </c>
      <c r="W39" s="73"/>
      <c r="X39" s="74">
        <v>44958</v>
      </c>
      <c r="Y39" s="74">
        <v>45322</v>
      </c>
      <c r="Z39" s="28" t="s">
        <v>260</v>
      </c>
      <c r="AA39" s="85">
        <v>0</v>
      </c>
      <c r="AB39" s="85"/>
      <c r="AC39" s="85">
        <v>0</v>
      </c>
      <c r="AD39" s="90"/>
      <c r="AF39" s="91"/>
    </row>
    <row r="40" spans="1:32" s="9" customFormat="1" ht="15" customHeight="1">
      <c r="A40" s="25" t="s">
        <v>29</v>
      </c>
      <c r="B40" s="26" t="s">
        <v>30</v>
      </c>
      <c r="C40" s="27" t="s">
        <v>31</v>
      </c>
      <c r="D40" s="27" t="s">
        <v>32</v>
      </c>
      <c r="E40" s="25" t="s">
        <v>254</v>
      </c>
      <c r="F40" s="25" t="s">
        <v>255</v>
      </c>
      <c r="G40" s="25" t="s">
        <v>35</v>
      </c>
      <c r="H40" s="32" t="s">
        <v>261</v>
      </c>
      <c r="I40" s="32" t="e">
        <f>VLOOKUP(H40,'合同高级查询数据-8月返'!A:A,1,FALSE)</f>
        <v>#N/A</v>
      </c>
      <c r="J40" s="35" t="s">
        <v>37</v>
      </c>
      <c r="K40" s="25" t="s">
        <v>262</v>
      </c>
      <c r="L40" s="32" t="s">
        <v>263</v>
      </c>
      <c r="M40" s="25"/>
      <c r="N40" s="42">
        <v>44287</v>
      </c>
      <c r="O40" s="25"/>
      <c r="P40" s="43">
        <v>3500</v>
      </c>
      <c r="Q40" s="57">
        <v>17.675999999999998</v>
      </c>
      <c r="R40" s="54">
        <f t="shared" si="3"/>
        <v>61866</v>
      </c>
      <c r="S40" s="55">
        <v>202308</v>
      </c>
      <c r="T40" s="56" t="s">
        <v>264</v>
      </c>
      <c r="U40" s="56"/>
      <c r="V40" s="68">
        <v>17.675664902000001</v>
      </c>
      <c r="W40" s="69"/>
      <c r="X40" s="70"/>
      <c r="Y40" s="70"/>
      <c r="Z40" s="25" t="s">
        <v>265</v>
      </c>
      <c r="AA40" s="84">
        <v>0</v>
      </c>
      <c r="AB40" s="84"/>
      <c r="AC40" s="84">
        <v>0</v>
      </c>
      <c r="AD40" s="88"/>
      <c r="AF40" s="89"/>
    </row>
    <row r="41" spans="1:32" s="9" customFormat="1" ht="15" customHeight="1">
      <c r="A41" s="25" t="s">
        <v>29</v>
      </c>
      <c r="B41" s="26" t="s">
        <v>30</v>
      </c>
      <c r="C41" s="27" t="s">
        <v>31</v>
      </c>
      <c r="D41" s="27" t="s">
        <v>32</v>
      </c>
      <c r="E41" s="25" t="s">
        <v>254</v>
      </c>
      <c r="F41" s="25" t="s">
        <v>255</v>
      </c>
      <c r="G41" s="25" t="s">
        <v>35</v>
      </c>
      <c r="H41" s="32" t="s">
        <v>266</v>
      </c>
      <c r="I41" s="32" t="e">
        <f>VLOOKUP(H41,'合同高级查询数据-8月返'!A:A,1,FALSE)</f>
        <v>#N/A</v>
      </c>
      <c r="J41" s="35" t="s">
        <v>37</v>
      </c>
      <c r="K41" s="25" t="s">
        <v>267</v>
      </c>
      <c r="L41" s="32" t="s">
        <v>268</v>
      </c>
      <c r="M41" s="25"/>
      <c r="N41" s="42">
        <v>44774</v>
      </c>
      <c r="O41" s="25"/>
      <c r="P41" s="43">
        <v>6500</v>
      </c>
      <c r="Q41" s="57">
        <v>118.50700000000001</v>
      </c>
      <c r="R41" s="54">
        <f t="shared" si="3"/>
        <v>770295.5</v>
      </c>
      <c r="S41" s="55">
        <v>202308</v>
      </c>
      <c r="T41" s="56" t="s">
        <v>269</v>
      </c>
      <c r="U41" s="56"/>
      <c r="V41" s="68">
        <v>118.506317139</v>
      </c>
      <c r="W41" s="69"/>
      <c r="X41" s="70"/>
      <c r="Y41" s="70"/>
      <c r="Z41" s="25" t="s">
        <v>270</v>
      </c>
      <c r="AA41" s="84">
        <v>0</v>
      </c>
      <c r="AB41" s="84"/>
      <c r="AC41" s="84">
        <v>0</v>
      </c>
      <c r="AD41" s="88"/>
      <c r="AF41" s="89"/>
    </row>
    <row r="42" spans="1:32" s="9" customFormat="1" ht="15" customHeight="1">
      <c r="A42" s="25" t="s">
        <v>29</v>
      </c>
      <c r="B42" s="26" t="s">
        <v>30</v>
      </c>
      <c r="C42" s="27" t="s">
        <v>31</v>
      </c>
      <c r="D42" s="27" t="s">
        <v>32</v>
      </c>
      <c r="E42" s="25" t="s">
        <v>271</v>
      </c>
      <c r="F42" s="25" t="s">
        <v>272</v>
      </c>
      <c r="G42" s="25" t="s">
        <v>35</v>
      </c>
      <c r="H42" s="32" t="s">
        <v>273</v>
      </c>
      <c r="I42" s="32" t="e">
        <f>VLOOKUP(H42,'合同高级查询数据-8月返'!A:A,1,FALSE)</f>
        <v>#N/A</v>
      </c>
      <c r="J42" s="35" t="s">
        <v>37</v>
      </c>
      <c r="K42" s="25" t="s">
        <v>274</v>
      </c>
      <c r="L42" s="32" t="s">
        <v>275</v>
      </c>
      <c r="M42" s="25"/>
      <c r="N42" s="42">
        <v>44593</v>
      </c>
      <c r="O42" s="25"/>
      <c r="P42" s="43">
        <v>6800</v>
      </c>
      <c r="Q42" s="57"/>
      <c r="R42" s="54">
        <f t="shared" si="3"/>
        <v>0</v>
      </c>
      <c r="S42" s="55">
        <v>202308</v>
      </c>
      <c r="T42" s="56" t="s">
        <v>276</v>
      </c>
      <c r="U42" s="56"/>
      <c r="V42" s="71">
        <v>0</v>
      </c>
      <c r="W42" s="69"/>
      <c r="X42" s="70"/>
      <c r="Y42" s="70"/>
      <c r="Z42" s="25" t="s">
        <v>277</v>
      </c>
      <c r="AA42" s="84">
        <v>0</v>
      </c>
      <c r="AB42" s="84"/>
      <c r="AC42" s="84">
        <v>0</v>
      </c>
    </row>
    <row r="43" spans="1:32" s="10" customFormat="1" ht="15" customHeight="1">
      <c r="A43" s="28" t="s">
        <v>29</v>
      </c>
      <c r="B43" s="29" t="s">
        <v>30</v>
      </c>
      <c r="C43" s="30" t="s">
        <v>31</v>
      </c>
      <c r="D43" s="30" t="s">
        <v>32</v>
      </c>
      <c r="E43" s="28" t="s">
        <v>271</v>
      </c>
      <c r="F43" s="28" t="s">
        <v>272</v>
      </c>
      <c r="G43" s="28" t="s">
        <v>35</v>
      </c>
      <c r="H43" s="33" t="s">
        <v>278</v>
      </c>
      <c r="I43" s="33" t="e">
        <f>VLOOKUP(H43,'合同高级查询数据-8月返'!A:A,1,FALSE)</f>
        <v>#N/A</v>
      </c>
      <c r="J43" s="38" t="s">
        <v>37</v>
      </c>
      <c r="K43" s="28" t="s">
        <v>38</v>
      </c>
      <c r="L43" s="33" t="s">
        <v>279</v>
      </c>
      <c r="M43" s="28"/>
      <c r="N43" s="44">
        <v>43556</v>
      </c>
      <c r="O43" s="28"/>
      <c r="P43" s="45">
        <v>8400</v>
      </c>
      <c r="Q43" s="61">
        <v>2103.136</v>
      </c>
      <c r="R43" s="58">
        <f t="shared" si="3"/>
        <v>17666342.399999999</v>
      </c>
      <c r="S43" s="59">
        <v>202308</v>
      </c>
      <c r="T43" s="60" t="s">
        <v>280</v>
      </c>
      <c r="U43" s="60"/>
      <c r="V43" s="72">
        <v>2103.1359863279999</v>
      </c>
      <c r="W43" s="73"/>
      <c r="X43" s="74">
        <v>44927</v>
      </c>
      <c r="Y43" s="74">
        <v>45291</v>
      </c>
      <c r="Z43" s="28" t="s">
        <v>281</v>
      </c>
      <c r="AA43" s="85">
        <v>0</v>
      </c>
      <c r="AB43" s="85"/>
      <c r="AC43" s="85">
        <v>0</v>
      </c>
      <c r="AD43" s="90"/>
      <c r="AF43" s="91"/>
    </row>
    <row r="44" spans="1:32" s="9" customFormat="1" ht="15" customHeight="1">
      <c r="A44" s="25" t="s">
        <v>29</v>
      </c>
      <c r="B44" s="26" t="s">
        <v>30</v>
      </c>
      <c r="C44" s="27" t="s">
        <v>31</v>
      </c>
      <c r="D44" s="27" t="s">
        <v>32</v>
      </c>
      <c r="E44" s="25" t="s">
        <v>271</v>
      </c>
      <c r="F44" s="25" t="s">
        <v>272</v>
      </c>
      <c r="G44" s="25" t="s">
        <v>35</v>
      </c>
      <c r="H44" s="32" t="s">
        <v>282</v>
      </c>
      <c r="I44" s="32" t="e">
        <f>VLOOKUP(H44,'合同高级查询数据-8月返'!A:A,1,FALSE)</f>
        <v>#N/A</v>
      </c>
      <c r="J44" s="35" t="s">
        <v>37</v>
      </c>
      <c r="K44" s="25" t="s">
        <v>283</v>
      </c>
      <c r="L44" s="32" t="s">
        <v>284</v>
      </c>
      <c r="M44" s="25"/>
      <c r="N44" s="42">
        <v>44621</v>
      </c>
      <c r="O44" s="25"/>
      <c r="P44" s="43">
        <v>5300</v>
      </c>
      <c r="Q44" s="57"/>
      <c r="R44" s="54">
        <f t="shared" si="3"/>
        <v>0</v>
      </c>
      <c r="S44" s="55">
        <v>202308</v>
      </c>
      <c r="T44" s="56" t="s">
        <v>285</v>
      </c>
      <c r="U44" s="56"/>
      <c r="V44" s="71">
        <v>0</v>
      </c>
      <c r="W44" s="69"/>
      <c r="X44" s="70"/>
      <c r="Y44" s="70"/>
      <c r="Z44" s="25" t="s">
        <v>286</v>
      </c>
      <c r="AA44" s="84">
        <v>0</v>
      </c>
      <c r="AB44" s="84"/>
      <c r="AC44" s="84">
        <v>0</v>
      </c>
    </row>
    <row r="45" spans="1:32" s="10" customFormat="1" ht="15" customHeight="1">
      <c r="A45" s="28" t="s">
        <v>29</v>
      </c>
      <c r="B45" s="29" t="s">
        <v>30</v>
      </c>
      <c r="C45" s="30" t="s">
        <v>31</v>
      </c>
      <c r="D45" s="30" t="s">
        <v>32</v>
      </c>
      <c r="E45" s="28" t="s">
        <v>287</v>
      </c>
      <c r="F45" s="28" t="s">
        <v>288</v>
      </c>
      <c r="G45" s="28" t="s">
        <v>35</v>
      </c>
      <c r="H45" s="33" t="s">
        <v>289</v>
      </c>
      <c r="I45" s="33" t="e">
        <f>VLOOKUP(H45,'合同高级查询数据-8月返'!A:A,1,FALSE)</f>
        <v>#N/A</v>
      </c>
      <c r="J45" s="38" t="s">
        <v>37</v>
      </c>
      <c r="K45" s="28"/>
      <c r="L45" s="33" t="s">
        <v>290</v>
      </c>
      <c r="M45" s="28"/>
      <c r="N45" s="44">
        <v>44896</v>
      </c>
      <c r="O45" s="28"/>
      <c r="P45" s="45">
        <v>5000</v>
      </c>
      <c r="Q45" s="61"/>
      <c r="R45" s="58">
        <f t="shared" si="3"/>
        <v>0</v>
      </c>
      <c r="S45" s="59">
        <v>202308</v>
      </c>
      <c r="T45" s="60" t="s">
        <v>291</v>
      </c>
      <c r="U45" s="60"/>
      <c r="V45" s="75">
        <v>0</v>
      </c>
      <c r="W45" s="73"/>
      <c r="X45" s="74">
        <v>44896</v>
      </c>
      <c r="Y45" s="74">
        <v>45260</v>
      </c>
      <c r="Z45" s="28" t="s">
        <v>292</v>
      </c>
      <c r="AA45" s="85">
        <v>0</v>
      </c>
      <c r="AB45" s="85"/>
      <c r="AC45" s="85">
        <v>0</v>
      </c>
    </row>
    <row r="46" spans="1:32" s="10" customFormat="1" ht="15" customHeight="1">
      <c r="A46" s="28" t="s">
        <v>29</v>
      </c>
      <c r="B46" s="29" t="s">
        <v>30</v>
      </c>
      <c r="C46" s="30" t="s">
        <v>31</v>
      </c>
      <c r="D46" s="30" t="s">
        <v>32</v>
      </c>
      <c r="E46" s="28" t="s">
        <v>287</v>
      </c>
      <c r="F46" s="28" t="s">
        <v>288</v>
      </c>
      <c r="G46" s="28" t="s">
        <v>35</v>
      </c>
      <c r="H46" s="33" t="s">
        <v>289</v>
      </c>
      <c r="I46" s="33" t="e">
        <f>VLOOKUP(H46,'合同高级查询数据-8月返'!A:A,1,FALSE)</f>
        <v>#N/A</v>
      </c>
      <c r="J46" s="38" t="s">
        <v>37</v>
      </c>
      <c r="K46" s="28"/>
      <c r="L46" s="33" t="s">
        <v>293</v>
      </c>
      <c r="M46" s="28"/>
      <c r="N46" s="44">
        <v>44896</v>
      </c>
      <c r="O46" s="28"/>
      <c r="P46" s="45">
        <v>5000</v>
      </c>
      <c r="Q46" s="61"/>
      <c r="R46" s="58">
        <f t="shared" si="3"/>
        <v>0</v>
      </c>
      <c r="S46" s="59">
        <v>202308</v>
      </c>
      <c r="T46" s="60" t="s">
        <v>294</v>
      </c>
      <c r="U46" s="60"/>
      <c r="V46" s="75">
        <v>0</v>
      </c>
      <c r="W46" s="73"/>
      <c r="X46" s="74">
        <v>44896</v>
      </c>
      <c r="Y46" s="74">
        <v>45260</v>
      </c>
      <c r="Z46" s="28" t="s">
        <v>295</v>
      </c>
      <c r="AA46" s="85">
        <v>0</v>
      </c>
      <c r="AB46" s="85"/>
      <c r="AC46" s="85">
        <v>0</v>
      </c>
    </row>
    <row r="47" spans="1:32" s="10" customFormat="1" ht="15" customHeight="1">
      <c r="A47" s="28" t="s">
        <v>29</v>
      </c>
      <c r="B47" s="29" t="s">
        <v>30</v>
      </c>
      <c r="C47" s="30" t="s">
        <v>31</v>
      </c>
      <c r="D47" s="30" t="s">
        <v>32</v>
      </c>
      <c r="E47" s="28" t="s">
        <v>296</v>
      </c>
      <c r="F47" s="28" t="s">
        <v>297</v>
      </c>
      <c r="G47" s="28" t="s">
        <v>35</v>
      </c>
      <c r="H47" s="33" t="s">
        <v>298</v>
      </c>
      <c r="I47" s="33" t="e">
        <f>VLOOKUP(H47,'合同高级查询数据-8月返'!A:A,1,FALSE)</f>
        <v>#N/A</v>
      </c>
      <c r="J47" s="38" t="s">
        <v>37</v>
      </c>
      <c r="K47" s="28" t="s">
        <v>57</v>
      </c>
      <c r="L47" s="33" t="s">
        <v>299</v>
      </c>
      <c r="M47" s="28"/>
      <c r="N47" s="44">
        <v>45017</v>
      </c>
      <c r="O47" s="28"/>
      <c r="P47" s="45">
        <v>8533</v>
      </c>
      <c r="Q47" s="61">
        <v>42.008000000000003</v>
      </c>
      <c r="R47" s="58">
        <f t="shared" si="3"/>
        <v>358454.26</v>
      </c>
      <c r="S47" s="59">
        <v>202308</v>
      </c>
      <c r="T47" s="60" t="s">
        <v>300</v>
      </c>
      <c r="U47" s="60"/>
      <c r="V47" s="72">
        <v>42.007453918000003</v>
      </c>
      <c r="W47" s="73"/>
      <c r="X47" s="74">
        <v>44927</v>
      </c>
      <c r="Y47" s="74">
        <v>46022</v>
      </c>
      <c r="Z47" s="28" t="s">
        <v>301</v>
      </c>
      <c r="AA47" s="85">
        <v>0</v>
      </c>
      <c r="AB47" s="85"/>
      <c r="AC47" s="85">
        <v>0</v>
      </c>
      <c r="AD47" s="90"/>
      <c r="AF47" s="91"/>
    </row>
    <row r="48" spans="1:32" s="9" customFormat="1" ht="15" customHeight="1">
      <c r="A48" s="25" t="s">
        <v>184</v>
      </c>
      <c r="B48" s="26" t="s">
        <v>137</v>
      </c>
      <c r="C48" s="27" t="s">
        <v>302</v>
      </c>
      <c r="D48" s="26" t="s">
        <v>303</v>
      </c>
      <c r="E48" s="25" t="s">
        <v>304</v>
      </c>
      <c r="F48" s="25" t="s">
        <v>305</v>
      </c>
      <c r="G48" s="25" t="s">
        <v>35</v>
      </c>
      <c r="H48" s="32" t="s">
        <v>306</v>
      </c>
      <c r="I48" s="32" t="e">
        <f>VLOOKUP(H48,'合同高级查询数据-8月返'!A:A,1,FALSE)</f>
        <v>#N/A</v>
      </c>
      <c r="J48" s="35" t="s">
        <v>307</v>
      </c>
      <c r="K48" s="25" t="s">
        <v>308</v>
      </c>
      <c r="L48" s="32" t="s">
        <v>309</v>
      </c>
      <c r="M48" s="25" t="s">
        <v>310</v>
      </c>
      <c r="N48" s="42" t="s">
        <v>311</v>
      </c>
      <c r="O48" s="25" t="s">
        <v>312</v>
      </c>
      <c r="P48" s="43">
        <v>9500</v>
      </c>
      <c r="Q48" s="57">
        <v>156.88999999999999</v>
      </c>
      <c r="R48" s="54">
        <f t="shared" si="3"/>
        <v>1490455</v>
      </c>
      <c r="S48" s="55">
        <v>202308</v>
      </c>
      <c r="T48" s="56" t="s">
        <v>313</v>
      </c>
      <c r="U48" s="56"/>
      <c r="V48" s="68">
        <v>156.88666959400001</v>
      </c>
      <c r="W48" s="69"/>
      <c r="X48" s="70"/>
      <c r="Y48" s="70"/>
      <c r="Z48" s="25" t="s">
        <v>314</v>
      </c>
      <c r="AA48" s="84">
        <v>0.2</v>
      </c>
      <c r="AB48" s="84">
        <v>600</v>
      </c>
      <c r="AC48" s="84">
        <v>120</v>
      </c>
      <c r="AD48" s="88"/>
      <c r="AF48" s="89"/>
    </row>
    <row r="49" spans="1:32" s="9" customFormat="1" ht="15" customHeight="1">
      <c r="A49" s="25" t="s">
        <v>184</v>
      </c>
      <c r="B49" s="26" t="s">
        <v>137</v>
      </c>
      <c r="C49" s="27" t="s">
        <v>302</v>
      </c>
      <c r="D49" s="26" t="s">
        <v>303</v>
      </c>
      <c r="E49" s="25" t="s">
        <v>304</v>
      </c>
      <c r="F49" s="25" t="s">
        <v>305</v>
      </c>
      <c r="G49" s="25" t="s">
        <v>35</v>
      </c>
      <c r="H49" s="32" t="s">
        <v>315</v>
      </c>
      <c r="I49" s="32" t="e">
        <f>VLOOKUP(H49,'合同高级查询数据-8月返'!A:A,1,FALSE)</f>
        <v>#N/A</v>
      </c>
      <c r="J49" s="35" t="s">
        <v>37</v>
      </c>
      <c r="K49" s="25"/>
      <c r="L49" s="32" t="s">
        <v>316</v>
      </c>
      <c r="M49" s="25" t="s">
        <v>317</v>
      </c>
      <c r="N49" s="47" t="s">
        <v>318</v>
      </c>
      <c r="O49" s="25" t="s">
        <v>319</v>
      </c>
      <c r="P49" s="43">
        <v>9500</v>
      </c>
      <c r="Q49" s="57"/>
      <c r="R49" s="54">
        <f t="shared" si="3"/>
        <v>0</v>
      </c>
      <c r="S49" s="55">
        <v>202308</v>
      </c>
      <c r="T49" s="56" t="s">
        <v>320</v>
      </c>
      <c r="U49" s="56"/>
      <c r="V49" s="80">
        <v>0</v>
      </c>
      <c r="W49" s="69"/>
      <c r="X49" s="70"/>
      <c r="Y49" s="70"/>
      <c r="Z49" s="25" t="s">
        <v>321</v>
      </c>
      <c r="AA49" s="84" t="s">
        <v>123</v>
      </c>
      <c r="AB49" s="84">
        <v>0</v>
      </c>
      <c r="AC49" s="84">
        <v>0</v>
      </c>
    </row>
    <row r="50" spans="1:32" s="9" customFormat="1" ht="15" customHeight="1">
      <c r="A50" s="25" t="s">
        <v>184</v>
      </c>
      <c r="B50" s="26" t="s">
        <v>137</v>
      </c>
      <c r="C50" s="27" t="s">
        <v>138</v>
      </c>
      <c r="D50" s="27" t="s">
        <v>139</v>
      </c>
      <c r="E50" s="25" t="s">
        <v>322</v>
      </c>
      <c r="F50" s="25" t="s">
        <v>323</v>
      </c>
      <c r="G50" s="25" t="s">
        <v>35</v>
      </c>
      <c r="H50" s="32" t="s">
        <v>324</v>
      </c>
      <c r="I50" s="32" t="e">
        <f>VLOOKUP(H50,'合同高级查询数据-8月返'!A:A,1,FALSE)</f>
        <v>#N/A</v>
      </c>
      <c r="J50" s="35" t="s">
        <v>325</v>
      </c>
      <c r="K50" s="25" t="s">
        <v>326</v>
      </c>
      <c r="L50" s="32" t="s">
        <v>327</v>
      </c>
      <c r="M50" s="25"/>
      <c r="N50" s="42" t="s">
        <v>328</v>
      </c>
      <c r="O50" s="25" t="s">
        <v>329</v>
      </c>
      <c r="P50" s="43">
        <v>9500</v>
      </c>
      <c r="Q50" s="57"/>
      <c r="R50" s="54">
        <f t="shared" si="3"/>
        <v>0</v>
      </c>
      <c r="S50" s="55">
        <v>202308</v>
      </c>
      <c r="T50" s="56" t="s">
        <v>330</v>
      </c>
      <c r="U50" s="56"/>
      <c r="V50" s="71"/>
      <c r="W50" s="69"/>
      <c r="X50" s="70"/>
      <c r="Y50" s="70"/>
      <c r="Z50" s="25"/>
      <c r="AA50" s="84" t="s">
        <v>123</v>
      </c>
      <c r="AB50" s="84">
        <v>0</v>
      </c>
      <c r="AC50" s="84">
        <v>0</v>
      </c>
    </row>
    <row r="51" spans="1:32" s="9" customFormat="1" ht="15" customHeight="1">
      <c r="A51" s="25" t="s">
        <v>184</v>
      </c>
      <c r="B51" s="26" t="s">
        <v>137</v>
      </c>
      <c r="C51" s="27" t="s">
        <v>138</v>
      </c>
      <c r="D51" s="27" t="s">
        <v>139</v>
      </c>
      <c r="E51" s="25" t="s">
        <v>322</v>
      </c>
      <c r="F51" s="25" t="s">
        <v>323</v>
      </c>
      <c r="G51" s="25" t="s">
        <v>35</v>
      </c>
      <c r="H51" s="32" t="s">
        <v>324</v>
      </c>
      <c r="I51" s="32" t="e">
        <f>VLOOKUP(H51,'合同高级查询数据-8月返'!A:A,1,FALSE)</f>
        <v>#N/A</v>
      </c>
      <c r="J51" s="35" t="s">
        <v>325</v>
      </c>
      <c r="K51" s="25" t="s">
        <v>331</v>
      </c>
      <c r="L51" s="32" t="s">
        <v>332</v>
      </c>
      <c r="M51" s="25"/>
      <c r="N51" s="42">
        <v>44462</v>
      </c>
      <c r="O51" s="25" t="s">
        <v>146</v>
      </c>
      <c r="P51" s="43">
        <v>9500</v>
      </c>
      <c r="Q51" s="57">
        <v>2.4500000000000002</v>
      </c>
      <c r="R51" s="54">
        <f t="shared" si="3"/>
        <v>23275</v>
      </c>
      <c r="S51" s="55">
        <v>202308</v>
      </c>
      <c r="T51" s="56" t="s">
        <v>333</v>
      </c>
      <c r="U51" s="56"/>
      <c r="V51" s="68">
        <v>2.4500000000000002</v>
      </c>
      <c r="W51" s="76">
        <v>2.4500000000000002</v>
      </c>
      <c r="X51" s="70"/>
      <c r="Y51" s="70"/>
      <c r="Z51" s="25" t="s">
        <v>334</v>
      </c>
      <c r="AA51" s="84">
        <v>0.3</v>
      </c>
      <c r="AB51" s="84">
        <v>20</v>
      </c>
      <c r="AC51" s="84">
        <v>0</v>
      </c>
      <c r="AD51" s="88"/>
      <c r="AF51" s="89"/>
    </row>
    <row r="52" spans="1:32" s="9" customFormat="1" ht="15" customHeight="1">
      <c r="A52" s="25" t="s">
        <v>184</v>
      </c>
      <c r="B52" s="26" t="s">
        <v>137</v>
      </c>
      <c r="C52" s="27" t="s">
        <v>138</v>
      </c>
      <c r="D52" s="27" t="s">
        <v>139</v>
      </c>
      <c r="E52" s="25" t="s">
        <v>322</v>
      </c>
      <c r="F52" s="25" t="s">
        <v>323</v>
      </c>
      <c r="G52" s="25" t="s">
        <v>35</v>
      </c>
      <c r="H52" s="32" t="s">
        <v>324</v>
      </c>
      <c r="I52" s="32" t="e">
        <f>VLOOKUP(H52,'合同高级查询数据-8月返'!A:A,1,FALSE)</f>
        <v>#N/A</v>
      </c>
      <c r="J52" s="35" t="s">
        <v>37</v>
      </c>
      <c r="K52" s="39" t="s">
        <v>335</v>
      </c>
      <c r="L52" s="32" t="s">
        <v>323</v>
      </c>
      <c r="M52" s="25"/>
      <c r="N52" s="42" t="s">
        <v>336</v>
      </c>
      <c r="O52" s="25" t="s">
        <v>337</v>
      </c>
      <c r="P52" s="43">
        <v>9500</v>
      </c>
      <c r="Q52" s="57">
        <v>56.21</v>
      </c>
      <c r="R52" s="54">
        <f t="shared" si="3"/>
        <v>533995</v>
      </c>
      <c r="S52" s="55">
        <v>202308</v>
      </c>
      <c r="T52" s="56" t="s">
        <v>338</v>
      </c>
      <c r="U52" s="56"/>
      <c r="V52" s="68">
        <v>56.316223524999998</v>
      </c>
      <c r="W52" s="76">
        <v>56.21</v>
      </c>
      <c r="X52" s="70"/>
      <c r="Y52" s="70"/>
      <c r="Z52" s="25" t="s">
        <v>339</v>
      </c>
      <c r="AA52" s="84">
        <v>0.3</v>
      </c>
      <c r="AB52" s="84">
        <v>160</v>
      </c>
      <c r="AC52" s="84">
        <f>AB52*0.3+20*0.3</f>
        <v>54</v>
      </c>
      <c r="AD52" s="88"/>
      <c r="AF52" s="89"/>
    </row>
    <row r="53" spans="1:32" s="9" customFormat="1" ht="15" customHeight="1">
      <c r="A53" s="25" t="s">
        <v>184</v>
      </c>
      <c r="B53" s="26" t="s">
        <v>137</v>
      </c>
      <c r="C53" s="27" t="s">
        <v>138</v>
      </c>
      <c r="D53" s="27" t="s">
        <v>139</v>
      </c>
      <c r="E53" s="25" t="s">
        <v>322</v>
      </c>
      <c r="F53" s="25" t="s">
        <v>323</v>
      </c>
      <c r="G53" s="25" t="s">
        <v>35</v>
      </c>
      <c r="H53" s="32" t="s">
        <v>324</v>
      </c>
      <c r="I53" s="32" t="e">
        <f>VLOOKUP(H53,'合同高级查询数据-8月返'!A:A,1,FALSE)</f>
        <v>#N/A</v>
      </c>
      <c r="J53" s="35" t="s">
        <v>37</v>
      </c>
      <c r="K53" s="25" t="s">
        <v>340</v>
      </c>
      <c r="L53" s="32" t="s">
        <v>341</v>
      </c>
      <c r="M53" s="25"/>
      <c r="N53" s="42" t="s">
        <v>342</v>
      </c>
      <c r="O53" s="25" t="s">
        <v>343</v>
      </c>
      <c r="P53" s="43">
        <v>9500</v>
      </c>
      <c r="Q53" s="57">
        <v>44.04</v>
      </c>
      <c r="R53" s="54">
        <f t="shared" si="3"/>
        <v>418380</v>
      </c>
      <c r="S53" s="55">
        <v>202308</v>
      </c>
      <c r="T53" s="56" t="s">
        <v>344</v>
      </c>
      <c r="U53" s="56"/>
      <c r="V53" s="68">
        <v>44.116075133999999</v>
      </c>
      <c r="W53" s="76">
        <v>44.04</v>
      </c>
      <c r="X53" s="70"/>
      <c r="Y53" s="70"/>
      <c r="Z53" s="25" t="s">
        <v>345</v>
      </c>
      <c r="AA53" s="84">
        <v>0.3</v>
      </c>
      <c r="AB53" s="84">
        <v>140</v>
      </c>
      <c r="AC53" s="84">
        <v>42</v>
      </c>
      <c r="AD53" s="88"/>
      <c r="AF53" s="89"/>
    </row>
    <row r="54" spans="1:32" s="9" customFormat="1" ht="15" customHeight="1">
      <c r="A54" s="25" t="s">
        <v>184</v>
      </c>
      <c r="B54" s="26" t="s">
        <v>137</v>
      </c>
      <c r="C54" s="27" t="s">
        <v>138</v>
      </c>
      <c r="D54" s="27" t="s">
        <v>139</v>
      </c>
      <c r="E54" s="25" t="s">
        <v>322</v>
      </c>
      <c r="F54" s="25" t="s">
        <v>346</v>
      </c>
      <c r="G54" s="25" t="s">
        <v>35</v>
      </c>
      <c r="H54" s="32" t="s">
        <v>347</v>
      </c>
      <c r="I54" s="32" t="e">
        <f>VLOOKUP(H54,'合同高级查询数据-8月返'!A:A,1,FALSE)</f>
        <v>#N/A</v>
      </c>
      <c r="J54" s="35" t="s">
        <v>37</v>
      </c>
      <c r="K54" s="25" t="s">
        <v>348</v>
      </c>
      <c r="L54" s="32" t="s">
        <v>349</v>
      </c>
      <c r="M54" s="25"/>
      <c r="N54" s="42" t="s">
        <v>350</v>
      </c>
      <c r="O54" s="39" t="s">
        <v>351</v>
      </c>
      <c r="P54" s="43">
        <v>9500</v>
      </c>
      <c r="Q54" s="57"/>
      <c r="R54" s="54">
        <f t="shared" si="3"/>
        <v>0</v>
      </c>
      <c r="S54" s="55">
        <v>202308</v>
      </c>
      <c r="T54" s="62" t="s">
        <v>352</v>
      </c>
      <c r="U54" s="56"/>
      <c r="V54" s="71">
        <v>0</v>
      </c>
      <c r="W54" s="69"/>
      <c r="X54" s="70"/>
      <c r="Y54" s="70"/>
      <c r="Z54" s="25" t="s">
        <v>353</v>
      </c>
      <c r="AA54" s="84" t="s">
        <v>123</v>
      </c>
      <c r="AB54" s="84"/>
      <c r="AC54" s="84"/>
    </row>
    <row r="55" spans="1:32" s="9" customFormat="1" ht="15" customHeight="1">
      <c r="A55" s="25" t="s">
        <v>184</v>
      </c>
      <c r="B55" s="26" t="s">
        <v>137</v>
      </c>
      <c r="C55" s="27" t="s">
        <v>138</v>
      </c>
      <c r="D55" s="27" t="s">
        <v>139</v>
      </c>
      <c r="E55" s="25" t="s">
        <v>322</v>
      </c>
      <c r="F55" s="25" t="s">
        <v>346</v>
      </c>
      <c r="G55" s="25" t="s">
        <v>35</v>
      </c>
      <c r="H55" s="32" t="s">
        <v>347</v>
      </c>
      <c r="I55" s="32" t="e">
        <f>VLOOKUP(H55,'合同高级查询数据-8月返'!A:A,1,FALSE)</f>
        <v>#N/A</v>
      </c>
      <c r="J55" s="35" t="s">
        <v>37</v>
      </c>
      <c r="K55" s="25" t="s">
        <v>354</v>
      </c>
      <c r="L55" s="32" t="s">
        <v>354</v>
      </c>
      <c r="M55" s="25"/>
      <c r="N55" s="42">
        <v>44730</v>
      </c>
      <c r="O55" s="25" t="s">
        <v>355</v>
      </c>
      <c r="P55" s="43">
        <v>9500</v>
      </c>
      <c r="Q55" s="57">
        <v>126.7</v>
      </c>
      <c r="R55" s="54">
        <f t="shared" si="3"/>
        <v>1203650</v>
      </c>
      <c r="S55" s="55">
        <v>202308</v>
      </c>
      <c r="T55" s="56" t="s">
        <v>356</v>
      </c>
      <c r="U55" s="56"/>
      <c r="V55" s="76">
        <v>125.63481567300001</v>
      </c>
      <c r="W55" s="81">
        <v>127.6</v>
      </c>
      <c r="X55" s="70"/>
      <c r="Y55" s="70"/>
      <c r="Z55" s="25" t="s">
        <v>357</v>
      </c>
      <c r="AA55" s="84">
        <v>0.3</v>
      </c>
      <c r="AB55" s="84">
        <v>400</v>
      </c>
      <c r="AC55" s="84">
        <v>120</v>
      </c>
      <c r="AD55" s="88"/>
      <c r="AF55" s="89"/>
    </row>
    <row r="56" spans="1:32" s="9" customFormat="1" ht="15" customHeight="1">
      <c r="A56" s="25" t="s">
        <v>184</v>
      </c>
      <c r="B56" s="26" t="s">
        <v>137</v>
      </c>
      <c r="C56" s="27" t="s">
        <v>138</v>
      </c>
      <c r="D56" s="26" t="s">
        <v>139</v>
      </c>
      <c r="E56" s="25" t="s">
        <v>322</v>
      </c>
      <c r="F56" s="25" t="s">
        <v>358</v>
      </c>
      <c r="G56" s="25" t="s">
        <v>35</v>
      </c>
      <c r="H56" s="32" t="s">
        <v>359</v>
      </c>
      <c r="I56" s="32" t="e">
        <f>VLOOKUP(H56,'合同高级查询数据-8月返'!A:A,1,FALSE)</f>
        <v>#N/A</v>
      </c>
      <c r="J56" s="35" t="s">
        <v>157</v>
      </c>
      <c r="K56" s="39" t="s">
        <v>360</v>
      </c>
      <c r="L56" s="32" t="s">
        <v>361</v>
      </c>
      <c r="M56" s="25"/>
      <c r="N56" s="42">
        <v>41244</v>
      </c>
      <c r="O56" s="25" t="s">
        <v>362</v>
      </c>
      <c r="P56" s="46" t="s">
        <v>363</v>
      </c>
      <c r="Q56" s="57">
        <v>87.06</v>
      </c>
      <c r="R56" s="54">
        <f>ROUND(14000*Q56,2)</f>
        <v>1218840</v>
      </c>
      <c r="S56" s="55">
        <v>202308</v>
      </c>
      <c r="T56" s="56" t="s">
        <v>364</v>
      </c>
      <c r="U56" s="56"/>
      <c r="V56" s="68">
        <v>87.063915590999997</v>
      </c>
      <c r="W56" s="69"/>
      <c r="X56" s="70"/>
      <c r="Y56" s="70"/>
      <c r="Z56" s="25" t="s">
        <v>365</v>
      </c>
      <c r="AA56" s="84">
        <f>85/620</f>
        <v>0.13709677419354838</v>
      </c>
      <c r="AB56" s="84">
        <v>420</v>
      </c>
      <c r="AC56" s="84" t="s">
        <v>366</v>
      </c>
      <c r="AD56" s="88"/>
      <c r="AF56" s="89"/>
    </row>
    <row r="57" spans="1:32" s="9" customFormat="1" ht="15" customHeight="1">
      <c r="A57" s="25" t="s">
        <v>184</v>
      </c>
      <c r="B57" s="26" t="s">
        <v>137</v>
      </c>
      <c r="C57" s="27" t="s">
        <v>138</v>
      </c>
      <c r="D57" s="26" t="s">
        <v>139</v>
      </c>
      <c r="E57" s="25" t="s">
        <v>322</v>
      </c>
      <c r="F57" s="25" t="s">
        <v>358</v>
      </c>
      <c r="G57" s="25" t="s">
        <v>35</v>
      </c>
      <c r="H57" s="32" t="s">
        <v>359</v>
      </c>
      <c r="I57" s="32" t="e">
        <f>VLOOKUP(H57,'合同高级查询数据-8月返'!A:A,1,FALSE)</f>
        <v>#N/A</v>
      </c>
      <c r="J57" s="35" t="s">
        <v>157</v>
      </c>
      <c r="K57" s="25" t="s">
        <v>367</v>
      </c>
      <c r="L57" s="32" t="s">
        <v>368</v>
      </c>
      <c r="M57" s="25"/>
      <c r="N57" s="42">
        <v>41244</v>
      </c>
      <c r="O57" s="25" t="s">
        <v>319</v>
      </c>
      <c r="P57" s="46" t="s">
        <v>363</v>
      </c>
      <c r="Q57" s="57">
        <v>103.62</v>
      </c>
      <c r="R57" s="54">
        <f>ROUND(14000*Q57,2)</f>
        <v>1450680</v>
      </c>
      <c r="S57" s="55">
        <v>202308</v>
      </c>
      <c r="T57" s="56" t="s">
        <v>369</v>
      </c>
      <c r="U57" s="56"/>
      <c r="V57" s="68">
        <v>103.61664197499999</v>
      </c>
      <c r="W57" s="69"/>
      <c r="X57" s="70"/>
      <c r="Y57" s="70"/>
      <c r="Z57" s="25" t="s">
        <v>370</v>
      </c>
      <c r="AA57" s="84">
        <f>85/620</f>
        <v>0.13709677419354838</v>
      </c>
      <c r="AB57" s="84">
        <v>200</v>
      </c>
      <c r="AC57" s="84" t="s">
        <v>366</v>
      </c>
      <c r="AD57" s="88"/>
      <c r="AF57" s="89"/>
    </row>
    <row r="58" spans="1:32" s="9" customFormat="1" ht="15" customHeight="1">
      <c r="A58" s="25" t="s">
        <v>184</v>
      </c>
      <c r="B58" s="26" t="s">
        <v>137</v>
      </c>
      <c r="C58" s="27" t="s">
        <v>138</v>
      </c>
      <c r="D58" s="26" t="s">
        <v>139</v>
      </c>
      <c r="E58" s="25" t="s">
        <v>322</v>
      </c>
      <c r="F58" s="25" t="s">
        <v>358</v>
      </c>
      <c r="G58" s="25" t="s">
        <v>35</v>
      </c>
      <c r="H58" s="32" t="s">
        <v>359</v>
      </c>
      <c r="I58" s="32" t="e">
        <f>VLOOKUP(H58,'合同高级查询数据-8月返'!A:A,1,FALSE)</f>
        <v>#N/A</v>
      </c>
      <c r="J58" s="35" t="s">
        <v>76</v>
      </c>
      <c r="K58" s="25" t="s">
        <v>371</v>
      </c>
      <c r="L58" s="32" t="s">
        <v>372</v>
      </c>
      <c r="M58" s="25"/>
      <c r="N58" s="42">
        <v>42796</v>
      </c>
      <c r="O58" s="25" t="s">
        <v>146</v>
      </c>
      <c r="P58" s="43">
        <v>120000</v>
      </c>
      <c r="Q58" s="57">
        <v>3.92</v>
      </c>
      <c r="R58" s="54">
        <f>ROUND(P58*Q58,2)</f>
        <v>470400</v>
      </c>
      <c r="S58" s="55">
        <v>202308</v>
      </c>
      <c r="T58" s="56" t="s">
        <v>373</v>
      </c>
      <c r="U58" s="56"/>
      <c r="V58" s="68">
        <v>3.9240515870000001</v>
      </c>
      <c r="W58" s="69"/>
      <c r="X58" s="70"/>
      <c r="Y58" s="70"/>
      <c r="Z58" s="25" t="s">
        <v>374</v>
      </c>
      <c r="AA58" s="84">
        <v>0.1</v>
      </c>
      <c r="AB58" s="84">
        <v>20</v>
      </c>
      <c r="AC58" s="84">
        <v>2</v>
      </c>
      <c r="AD58" s="88"/>
      <c r="AF58" s="89"/>
    </row>
    <row r="59" spans="1:32" s="9" customFormat="1" ht="15" customHeight="1">
      <c r="A59" s="25" t="s">
        <v>184</v>
      </c>
      <c r="B59" s="26" t="s">
        <v>137</v>
      </c>
      <c r="C59" s="27" t="s">
        <v>138</v>
      </c>
      <c r="D59" s="26" t="s">
        <v>139</v>
      </c>
      <c r="E59" s="25" t="s">
        <v>322</v>
      </c>
      <c r="F59" s="25" t="s">
        <v>323</v>
      </c>
      <c r="G59" s="25" t="s">
        <v>35</v>
      </c>
      <c r="H59" s="32" t="s">
        <v>375</v>
      </c>
      <c r="I59" s="32" t="e">
        <f>VLOOKUP(H59,'合同高级查询数据-8月返'!A:A,1,FALSE)</f>
        <v>#N/A</v>
      </c>
      <c r="J59" s="35" t="s">
        <v>157</v>
      </c>
      <c r="K59" s="25" t="s">
        <v>376</v>
      </c>
      <c r="L59" s="32" t="s">
        <v>377</v>
      </c>
      <c r="M59" s="25"/>
      <c r="N59" s="42">
        <v>42795</v>
      </c>
      <c r="O59" s="25" t="s">
        <v>378</v>
      </c>
      <c r="P59" s="46" t="s">
        <v>379</v>
      </c>
      <c r="Q59" s="57">
        <v>28.963999999999999</v>
      </c>
      <c r="R59" s="54">
        <f>ROUND(14000*Q59,2)</f>
        <v>405496</v>
      </c>
      <c r="S59" s="55">
        <v>202308</v>
      </c>
      <c r="T59" s="56" t="s">
        <v>380</v>
      </c>
      <c r="U59" s="56"/>
      <c r="V59" s="68">
        <v>28.631355000999999</v>
      </c>
      <c r="W59" s="69">
        <v>29.295999999999999</v>
      </c>
      <c r="X59" s="70"/>
      <c r="Y59" s="70"/>
      <c r="Z59" s="25" t="s">
        <v>381</v>
      </c>
      <c r="AA59" s="84">
        <f>AC59/AB59</f>
        <v>0.13333333333333333</v>
      </c>
      <c r="AB59" s="84">
        <v>120</v>
      </c>
      <c r="AC59" s="84">
        <v>16</v>
      </c>
      <c r="AD59" s="88"/>
      <c r="AF59" s="89"/>
    </row>
    <row r="60" spans="1:32" s="9" customFormat="1" ht="15" customHeight="1">
      <c r="A60" s="25" t="s">
        <v>184</v>
      </c>
      <c r="B60" s="26" t="s">
        <v>137</v>
      </c>
      <c r="C60" s="27" t="s">
        <v>138</v>
      </c>
      <c r="D60" s="26" t="s">
        <v>139</v>
      </c>
      <c r="E60" s="25" t="s">
        <v>322</v>
      </c>
      <c r="F60" s="25" t="s">
        <v>382</v>
      </c>
      <c r="G60" s="25" t="s">
        <v>35</v>
      </c>
      <c r="H60" s="32" t="s">
        <v>383</v>
      </c>
      <c r="I60" s="32" t="e">
        <f>VLOOKUP(H60,'合同高级查询数据-8月返'!A:A,1,FALSE)</f>
        <v>#N/A</v>
      </c>
      <c r="J60" s="35" t="s">
        <v>157</v>
      </c>
      <c r="K60" s="25" t="s">
        <v>384</v>
      </c>
      <c r="L60" s="32" t="s">
        <v>385</v>
      </c>
      <c r="M60" s="25"/>
      <c r="N60" s="47" t="s">
        <v>386</v>
      </c>
      <c r="O60" s="39" t="s">
        <v>387</v>
      </c>
      <c r="P60" s="43">
        <v>9500</v>
      </c>
      <c r="Q60" s="57">
        <v>138.6</v>
      </c>
      <c r="R60" s="54">
        <f t="shared" ref="R60:R69" si="4">ROUND(P60*Q60,2)</f>
        <v>1316700</v>
      </c>
      <c r="S60" s="55">
        <v>202308</v>
      </c>
      <c r="T60" s="56" t="s">
        <v>388</v>
      </c>
      <c r="U60" s="56"/>
      <c r="V60" s="68">
        <v>136.86163151</v>
      </c>
      <c r="W60" s="69">
        <v>140.30000000000001</v>
      </c>
      <c r="X60" s="70"/>
      <c r="Y60" s="70"/>
      <c r="Z60" s="25" t="s">
        <v>389</v>
      </c>
      <c r="AA60" s="84">
        <v>0.3</v>
      </c>
      <c r="AB60" s="84">
        <v>400</v>
      </c>
      <c r="AC60" s="84">
        <f>AA60*AB60</f>
        <v>120</v>
      </c>
      <c r="AD60" s="88"/>
      <c r="AF60" s="89"/>
    </row>
    <row r="61" spans="1:32" s="10" customFormat="1" ht="15" customHeight="1">
      <c r="A61" s="28" t="s">
        <v>184</v>
      </c>
      <c r="B61" s="29" t="s">
        <v>137</v>
      </c>
      <c r="C61" s="30" t="s">
        <v>138</v>
      </c>
      <c r="D61" s="30" t="s">
        <v>139</v>
      </c>
      <c r="E61" s="28" t="s">
        <v>322</v>
      </c>
      <c r="F61" s="28" t="s">
        <v>390</v>
      </c>
      <c r="G61" s="28" t="s">
        <v>35</v>
      </c>
      <c r="H61" s="33" t="s">
        <v>391</v>
      </c>
      <c r="I61" s="33" t="e">
        <f>VLOOKUP(H61,'合同高级查询数据-8月返'!A:A,1,FALSE)</f>
        <v>#N/A</v>
      </c>
      <c r="J61" s="38" t="s">
        <v>37</v>
      </c>
      <c r="K61" s="28" t="s">
        <v>392</v>
      </c>
      <c r="L61" s="33" t="s">
        <v>393</v>
      </c>
      <c r="M61" s="28" t="s">
        <v>394</v>
      </c>
      <c r="N61" s="44">
        <v>44971</v>
      </c>
      <c r="O61" s="28" t="s">
        <v>395</v>
      </c>
      <c r="P61" s="45">
        <v>9500</v>
      </c>
      <c r="Q61" s="61">
        <v>16.670000000000002</v>
      </c>
      <c r="R61" s="58">
        <f t="shared" si="4"/>
        <v>158365</v>
      </c>
      <c r="S61" s="59">
        <v>202308</v>
      </c>
      <c r="T61" s="60" t="s">
        <v>396</v>
      </c>
      <c r="U61" s="60"/>
      <c r="V61" s="72">
        <v>16.66914349</v>
      </c>
      <c r="W61" s="73"/>
      <c r="X61" s="74">
        <v>44972</v>
      </c>
      <c r="Y61" s="74">
        <v>45336</v>
      </c>
      <c r="Z61" s="28" t="s">
        <v>397</v>
      </c>
      <c r="AA61" s="85">
        <v>0.3</v>
      </c>
      <c r="AB61" s="87">
        <v>50</v>
      </c>
      <c r="AC61" s="85">
        <f>AA61*AB61</f>
        <v>15</v>
      </c>
      <c r="AD61" s="90"/>
      <c r="AF61" s="91"/>
    </row>
    <row r="62" spans="1:32" s="9" customFormat="1" ht="15" customHeight="1">
      <c r="A62" s="25" t="s">
        <v>184</v>
      </c>
      <c r="B62" s="26" t="s">
        <v>137</v>
      </c>
      <c r="C62" s="27" t="s">
        <v>302</v>
      </c>
      <c r="D62" s="26" t="s">
        <v>303</v>
      </c>
      <c r="E62" s="25" t="s">
        <v>398</v>
      </c>
      <c r="F62" s="25" t="s">
        <v>399</v>
      </c>
      <c r="G62" s="25" t="s">
        <v>35</v>
      </c>
      <c r="H62" s="32" t="s">
        <v>400</v>
      </c>
      <c r="I62" s="32" t="e">
        <f>VLOOKUP(H62,'合同高级查询数据-8月返'!A:A,1,FALSE)</f>
        <v>#N/A</v>
      </c>
      <c r="J62" s="35" t="s">
        <v>37</v>
      </c>
      <c r="K62" s="25" t="s">
        <v>401</v>
      </c>
      <c r="L62" s="32" t="s">
        <v>399</v>
      </c>
      <c r="M62" s="25"/>
      <c r="N62" s="42" t="s">
        <v>402</v>
      </c>
      <c r="O62" s="25" t="s">
        <v>403</v>
      </c>
      <c r="P62" s="43">
        <v>7750</v>
      </c>
      <c r="Q62" s="57">
        <v>103.3</v>
      </c>
      <c r="R62" s="54">
        <f t="shared" si="4"/>
        <v>800575</v>
      </c>
      <c r="S62" s="55">
        <v>202308</v>
      </c>
      <c r="T62" s="56" t="s">
        <v>404</v>
      </c>
      <c r="U62" s="56"/>
      <c r="V62" s="68">
        <v>103.27828979500001</v>
      </c>
      <c r="W62" s="76"/>
      <c r="X62" s="70"/>
      <c r="Y62" s="70"/>
      <c r="Z62" s="25" t="s">
        <v>405</v>
      </c>
      <c r="AA62" s="84">
        <v>0.3</v>
      </c>
      <c r="AB62" s="84">
        <v>280</v>
      </c>
      <c r="AC62" s="84">
        <v>84</v>
      </c>
      <c r="AD62" s="88"/>
      <c r="AF62" s="89"/>
    </row>
    <row r="63" spans="1:32" s="9" customFormat="1" ht="15" customHeight="1">
      <c r="A63" s="25" t="s">
        <v>184</v>
      </c>
      <c r="B63" s="26" t="s">
        <v>137</v>
      </c>
      <c r="C63" s="27" t="s">
        <v>302</v>
      </c>
      <c r="D63" s="26" t="s">
        <v>303</v>
      </c>
      <c r="E63" s="25" t="s">
        <v>398</v>
      </c>
      <c r="F63" s="25" t="s">
        <v>399</v>
      </c>
      <c r="G63" s="25" t="s">
        <v>35</v>
      </c>
      <c r="H63" s="32" t="s">
        <v>400</v>
      </c>
      <c r="I63" s="32" t="e">
        <f>VLOOKUP(H63,'合同高级查询数据-8月返'!A:A,1,FALSE)</f>
        <v>#N/A</v>
      </c>
      <c r="J63" s="35" t="s">
        <v>37</v>
      </c>
      <c r="K63" s="25" t="s">
        <v>406</v>
      </c>
      <c r="L63" s="32" t="s">
        <v>407</v>
      </c>
      <c r="M63" s="25"/>
      <c r="N63" s="42" t="s">
        <v>408</v>
      </c>
      <c r="O63" s="25" t="s">
        <v>409</v>
      </c>
      <c r="P63" s="43">
        <v>7750</v>
      </c>
      <c r="Q63" s="57"/>
      <c r="R63" s="54">
        <f t="shared" si="4"/>
        <v>0</v>
      </c>
      <c r="S63" s="55">
        <v>202308</v>
      </c>
      <c r="T63" s="56" t="s">
        <v>410</v>
      </c>
      <c r="U63" s="56"/>
      <c r="V63" s="80">
        <v>0</v>
      </c>
      <c r="W63" s="69"/>
      <c r="X63" s="70"/>
      <c r="Y63" s="70"/>
      <c r="Z63" s="25" t="s">
        <v>411</v>
      </c>
      <c r="AA63" s="84" t="s">
        <v>123</v>
      </c>
      <c r="AB63" s="84">
        <v>0</v>
      </c>
      <c r="AC63" s="84">
        <v>0</v>
      </c>
    </row>
    <row r="64" spans="1:32" s="9" customFormat="1" ht="15" customHeight="1">
      <c r="A64" s="25" t="s">
        <v>184</v>
      </c>
      <c r="B64" s="26" t="s">
        <v>137</v>
      </c>
      <c r="C64" s="27" t="s">
        <v>302</v>
      </c>
      <c r="D64" s="26" t="s">
        <v>303</v>
      </c>
      <c r="E64" s="25" t="s">
        <v>398</v>
      </c>
      <c r="F64" s="25" t="s">
        <v>399</v>
      </c>
      <c r="G64" s="25" t="s">
        <v>35</v>
      </c>
      <c r="H64" s="32" t="s">
        <v>400</v>
      </c>
      <c r="I64" s="32" t="e">
        <f>VLOOKUP(H64,'合同高级查询数据-8月返'!A:A,1,FALSE)</f>
        <v>#N/A</v>
      </c>
      <c r="J64" s="35" t="s">
        <v>157</v>
      </c>
      <c r="K64" s="25" t="s">
        <v>412</v>
      </c>
      <c r="L64" s="32" t="s">
        <v>413</v>
      </c>
      <c r="M64" s="25"/>
      <c r="N64" s="42" t="s">
        <v>414</v>
      </c>
      <c r="O64" s="25" t="s">
        <v>415</v>
      </c>
      <c r="P64" s="43">
        <v>7750</v>
      </c>
      <c r="Q64" s="57">
        <v>93.2</v>
      </c>
      <c r="R64" s="54">
        <f t="shared" si="4"/>
        <v>722300</v>
      </c>
      <c r="S64" s="55">
        <v>202308</v>
      </c>
      <c r="T64" s="56" t="s">
        <v>416</v>
      </c>
      <c r="U64" s="56"/>
      <c r="V64" s="68">
        <v>93.172596164048002</v>
      </c>
      <c r="W64" s="69"/>
      <c r="X64" s="70"/>
      <c r="Y64" s="70"/>
      <c r="Z64" s="25" t="s">
        <v>417</v>
      </c>
      <c r="AA64" s="84">
        <v>0.3</v>
      </c>
      <c r="AB64" s="84">
        <v>240</v>
      </c>
      <c r="AC64" s="84">
        <v>72</v>
      </c>
      <c r="AD64" s="88"/>
      <c r="AF64" s="89"/>
    </row>
    <row r="65" spans="1:32" s="9" customFormat="1" ht="15" customHeight="1">
      <c r="A65" s="25" t="s">
        <v>184</v>
      </c>
      <c r="B65" s="26" t="s">
        <v>137</v>
      </c>
      <c r="C65" s="27" t="s">
        <v>302</v>
      </c>
      <c r="D65" s="26" t="s">
        <v>303</v>
      </c>
      <c r="E65" s="25" t="s">
        <v>398</v>
      </c>
      <c r="F65" s="25" t="s">
        <v>399</v>
      </c>
      <c r="G65" s="25" t="s">
        <v>35</v>
      </c>
      <c r="H65" s="32" t="s">
        <v>400</v>
      </c>
      <c r="I65" s="32" t="e">
        <f>VLOOKUP(H65,'合同高级查询数据-8月返'!A:A,1,FALSE)</f>
        <v>#N/A</v>
      </c>
      <c r="J65" s="35" t="s">
        <v>37</v>
      </c>
      <c r="K65" s="25" t="s">
        <v>418</v>
      </c>
      <c r="L65" s="32" t="s">
        <v>419</v>
      </c>
      <c r="M65" s="25"/>
      <c r="N65" s="42" t="s">
        <v>420</v>
      </c>
      <c r="O65" s="39" t="s">
        <v>421</v>
      </c>
      <c r="P65" s="43">
        <v>7750</v>
      </c>
      <c r="Q65" s="57">
        <v>59.4</v>
      </c>
      <c r="R65" s="54">
        <f t="shared" si="4"/>
        <v>460350</v>
      </c>
      <c r="S65" s="55">
        <v>202308</v>
      </c>
      <c r="T65" s="56" t="s">
        <v>422</v>
      </c>
      <c r="U65" s="56"/>
      <c r="V65" s="68">
        <v>59.377632140999999</v>
      </c>
      <c r="W65" s="69"/>
      <c r="X65" s="70"/>
      <c r="Y65" s="70"/>
      <c r="Z65" s="25" t="s">
        <v>423</v>
      </c>
      <c r="AA65" s="84">
        <v>0.3</v>
      </c>
      <c r="AB65" s="84">
        <v>180</v>
      </c>
      <c r="AC65" s="84">
        <v>54</v>
      </c>
      <c r="AD65" s="88"/>
      <c r="AF65" s="89"/>
    </row>
    <row r="66" spans="1:32" s="9" customFormat="1" ht="15" customHeight="1">
      <c r="A66" s="25" t="s">
        <v>184</v>
      </c>
      <c r="B66" s="26" t="s">
        <v>137</v>
      </c>
      <c r="C66" s="27" t="s">
        <v>302</v>
      </c>
      <c r="D66" s="26" t="s">
        <v>303</v>
      </c>
      <c r="E66" s="25" t="s">
        <v>398</v>
      </c>
      <c r="F66" s="25" t="s">
        <v>399</v>
      </c>
      <c r="G66" s="25" t="s">
        <v>35</v>
      </c>
      <c r="H66" s="32" t="s">
        <v>400</v>
      </c>
      <c r="I66" s="32" t="e">
        <f>VLOOKUP(H66,'合同高级查询数据-8月返'!A:A,1,FALSE)</f>
        <v>#N/A</v>
      </c>
      <c r="J66" s="35" t="s">
        <v>325</v>
      </c>
      <c r="K66" s="25" t="s">
        <v>424</v>
      </c>
      <c r="L66" s="32" t="s">
        <v>425</v>
      </c>
      <c r="M66" s="25"/>
      <c r="N66" s="42"/>
      <c r="O66" s="25" t="s">
        <v>426</v>
      </c>
      <c r="P66" s="43">
        <v>7750</v>
      </c>
      <c r="Q66" s="57">
        <v>1.6</v>
      </c>
      <c r="R66" s="54">
        <f t="shared" si="4"/>
        <v>12400</v>
      </c>
      <c r="S66" s="55">
        <v>202308</v>
      </c>
      <c r="T66" s="56" t="s">
        <v>427</v>
      </c>
      <c r="U66" s="56"/>
      <c r="V66" s="68">
        <v>1.54</v>
      </c>
      <c r="W66" s="69"/>
      <c r="X66" s="70"/>
      <c r="Y66" s="70"/>
      <c r="Z66" s="25" t="s">
        <v>428</v>
      </c>
      <c r="AA66" s="84">
        <v>0.1</v>
      </c>
      <c r="AB66" s="84">
        <v>10</v>
      </c>
      <c r="AC66" s="84">
        <v>1</v>
      </c>
      <c r="AD66" s="88"/>
      <c r="AF66" s="89"/>
    </row>
    <row r="67" spans="1:32" s="9" customFormat="1" ht="15" customHeight="1">
      <c r="A67" s="25" t="s">
        <v>184</v>
      </c>
      <c r="B67" s="26" t="s">
        <v>137</v>
      </c>
      <c r="C67" s="27" t="s">
        <v>429</v>
      </c>
      <c r="D67" s="27" t="s">
        <v>139</v>
      </c>
      <c r="E67" s="25" t="s">
        <v>430</v>
      </c>
      <c r="F67" s="27" t="s">
        <v>431</v>
      </c>
      <c r="G67" s="25" t="s">
        <v>35</v>
      </c>
      <c r="H67" s="32" t="s">
        <v>432</v>
      </c>
      <c r="I67" s="32" t="e">
        <f>VLOOKUP(H67,'合同高级查询数据-8月返'!A:A,1,FALSE)</f>
        <v>#N/A</v>
      </c>
      <c r="J67" s="35" t="s">
        <v>37</v>
      </c>
      <c r="K67" s="25" t="s">
        <v>433</v>
      </c>
      <c r="L67" s="32" t="s">
        <v>431</v>
      </c>
      <c r="M67" s="25"/>
      <c r="N67" s="47" t="s">
        <v>434</v>
      </c>
      <c r="O67" s="39" t="s">
        <v>435</v>
      </c>
      <c r="P67" s="43">
        <v>9833</v>
      </c>
      <c r="Q67" s="57"/>
      <c r="R67" s="54">
        <f t="shared" si="4"/>
        <v>0</v>
      </c>
      <c r="S67" s="55">
        <v>202308</v>
      </c>
      <c r="T67" s="56" t="s">
        <v>436</v>
      </c>
      <c r="U67" s="56"/>
      <c r="V67" s="71">
        <v>0</v>
      </c>
      <c r="W67" s="69"/>
      <c r="X67" s="70"/>
      <c r="Y67" s="70"/>
      <c r="Z67" s="25" t="s">
        <v>437</v>
      </c>
      <c r="AA67" s="84" t="s">
        <v>123</v>
      </c>
      <c r="AB67" s="84">
        <v>0</v>
      </c>
      <c r="AC67" s="84">
        <v>0</v>
      </c>
    </row>
    <row r="68" spans="1:32" s="9" customFormat="1" ht="15" customHeight="1">
      <c r="A68" s="25" t="s">
        <v>184</v>
      </c>
      <c r="B68" s="26" t="s">
        <v>137</v>
      </c>
      <c r="C68" s="27" t="s">
        <v>429</v>
      </c>
      <c r="D68" s="27" t="s">
        <v>139</v>
      </c>
      <c r="E68" s="25" t="s">
        <v>430</v>
      </c>
      <c r="F68" s="27" t="s">
        <v>431</v>
      </c>
      <c r="G68" s="25" t="s">
        <v>35</v>
      </c>
      <c r="H68" s="32" t="s">
        <v>432</v>
      </c>
      <c r="I68" s="32" t="e">
        <f>VLOOKUP(H68,'合同高级查询数据-8月返'!A:A,1,FALSE)</f>
        <v>#N/A</v>
      </c>
      <c r="J68" s="35" t="s">
        <v>37</v>
      </c>
      <c r="K68" s="25" t="s">
        <v>438</v>
      </c>
      <c r="L68" s="32" t="s">
        <v>439</v>
      </c>
      <c r="M68" s="25"/>
      <c r="N68" s="47" t="s">
        <v>440</v>
      </c>
      <c r="O68" s="39" t="s">
        <v>441</v>
      </c>
      <c r="P68" s="43">
        <v>11500</v>
      </c>
      <c r="Q68" s="57">
        <v>10.6</v>
      </c>
      <c r="R68" s="54">
        <f t="shared" si="4"/>
        <v>121900</v>
      </c>
      <c r="S68" s="55">
        <v>202308</v>
      </c>
      <c r="T68" s="56" t="s">
        <v>442</v>
      </c>
      <c r="U68" s="56"/>
      <c r="V68" s="68">
        <v>10.335776748000001</v>
      </c>
      <c r="W68" s="69">
        <v>10.6</v>
      </c>
      <c r="X68" s="70"/>
      <c r="Y68" s="70"/>
      <c r="Z68" s="25" t="s">
        <v>443</v>
      </c>
      <c r="AA68" s="84">
        <v>0.4</v>
      </c>
      <c r="AB68" s="84">
        <v>60</v>
      </c>
      <c r="AC68" s="84">
        <f>AA68*AB68</f>
        <v>24</v>
      </c>
      <c r="AD68" s="88"/>
      <c r="AF68" s="89"/>
    </row>
    <row r="69" spans="1:32" s="10" customFormat="1" ht="15" customHeight="1">
      <c r="A69" s="28" t="s">
        <v>184</v>
      </c>
      <c r="B69" s="29" t="s">
        <v>137</v>
      </c>
      <c r="C69" s="30" t="s">
        <v>138</v>
      </c>
      <c r="D69" s="30" t="s">
        <v>139</v>
      </c>
      <c r="E69" s="28" t="s">
        <v>444</v>
      </c>
      <c r="F69" s="28" t="s">
        <v>323</v>
      </c>
      <c r="G69" s="28" t="s">
        <v>35</v>
      </c>
      <c r="H69" s="33" t="s">
        <v>445</v>
      </c>
      <c r="I69" s="33" t="e">
        <f>VLOOKUP(H69,'合同高级查询数据-8月返'!A:A,1,FALSE)</f>
        <v>#N/A</v>
      </c>
      <c r="J69" s="38" t="s">
        <v>37</v>
      </c>
      <c r="K69" s="28" t="s">
        <v>206</v>
      </c>
      <c r="L69" s="33" t="s">
        <v>446</v>
      </c>
      <c r="M69" s="28"/>
      <c r="N69" s="44">
        <v>43889</v>
      </c>
      <c r="O69" s="28" t="s">
        <v>447</v>
      </c>
      <c r="P69" s="45">
        <v>0</v>
      </c>
      <c r="Q69" s="61"/>
      <c r="R69" s="58">
        <f t="shared" si="4"/>
        <v>0</v>
      </c>
      <c r="S69" s="59">
        <v>202308</v>
      </c>
      <c r="T69" s="60" t="s">
        <v>448</v>
      </c>
      <c r="U69" s="60"/>
      <c r="V69" s="75">
        <v>0</v>
      </c>
      <c r="W69" s="73"/>
      <c r="X69" s="74">
        <v>43825</v>
      </c>
      <c r="Y69" s="74">
        <v>45549</v>
      </c>
      <c r="Z69" s="28" t="s">
        <v>449</v>
      </c>
      <c r="AA69" s="85" t="s">
        <v>450</v>
      </c>
      <c r="AB69" s="85">
        <v>100</v>
      </c>
      <c r="AC69" s="85">
        <v>0</v>
      </c>
    </row>
    <row r="70" spans="1:32" s="9" customFormat="1" ht="15" customHeight="1">
      <c r="A70" s="25" t="s">
        <v>184</v>
      </c>
      <c r="B70" s="26" t="s">
        <v>137</v>
      </c>
      <c r="C70" s="27" t="s">
        <v>302</v>
      </c>
      <c r="D70" s="26" t="s">
        <v>303</v>
      </c>
      <c r="E70" s="25" t="s">
        <v>451</v>
      </c>
      <c r="F70" s="25" t="s">
        <v>305</v>
      </c>
      <c r="G70" s="25" t="s">
        <v>35</v>
      </c>
      <c r="H70" s="32" t="s">
        <v>452</v>
      </c>
      <c r="I70" s="32" t="e">
        <f>VLOOKUP(H70,'合同高级查询数据-8月返'!A:A,1,FALSE)</f>
        <v>#N/A</v>
      </c>
      <c r="J70" s="35" t="s">
        <v>76</v>
      </c>
      <c r="K70" s="25" t="s">
        <v>453</v>
      </c>
      <c r="L70" s="32" t="s">
        <v>454</v>
      </c>
      <c r="M70" s="25"/>
      <c r="N70" s="42"/>
      <c r="O70" s="25" t="s">
        <v>146</v>
      </c>
      <c r="P70" s="46" t="s">
        <v>455</v>
      </c>
      <c r="Q70" s="57">
        <v>5</v>
      </c>
      <c r="R70" s="54">
        <f>ROUND(Q70*50000,2)</f>
        <v>250000</v>
      </c>
      <c r="S70" s="55">
        <v>202308</v>
      </c>
      <c r="T70" s="56" t="s">
        <v>456</v>
      </c>
      <c r="U70" s="56"/>
      <c r="V70" s="68">
        <v>4.950554855</v>
      </c>
      <c r="W70" s="69"/>
      <c r="X70" s="70"/>
      <c r="Y70" s="70"/>
      <c r="Z70" s="25" t="s">
        <v>453</v>
      </c>
      <c r="AA70" s="84">
        <v>0.1</v>
      </c>
      <c r="AB70" s="84">
        <v>20</v>
      </c>
      <c r="AC70" s="84">
        <v>2</v>
      </c>
      <c r="AD70" s="88"/>
      <c r="AF70" s="89"/>
    </row>
    <row r="71" spans="1:32" s="10" customFormat="1" ht="15" customHeight="1">
      <c r="A71" s="28" t="s">
        <v>136</v>
      </c>
      <c r="B71" s="29" t="s">
        <v>137</v>
      </c>
      <c r="C71" s="30" t="s">
        <v>302</v>
      </c>
      <c r="D71" s="29" t="s">
        <v>303</v>
      </c>
      <c r="E71" s="28" t="s">
        <v>457</v>
      </c>
      <c r="F71" s="28" t="s">
        <v>458</v>
      </c>
      <c r="G71" s="28" t="s">
        <v>35</v>
      </c>
      <c r="H71" s="33" t="s">
        <v>459</v>
      </c>
      <c r="I71" s="33" t="e">
        <f>VLOOKUP(H71,'合同高级查询数据-8月返'!A:A,1,FALSE)</f>
        <v>#N/A</v>
      </c>
      <c r="J71" s="38" t="s">
        <v>37</v>
      </c>
      <c r="K71" s="28" t="s">
        <v>460</v>
      </c>
      <c r="L71" s="33" t="s">
        <v>461</v>
      </c>
      <c r="M71" s="28"/>
      <c r="N71" s="44" t="s">
        <v>462</v>
      </c>
      <c r="O71" s="48" t="s">
        <v>463</v>
      </c>
      <c r="P71" s="45">
        <v>9000</v>
      </c>
      <c r="Q71" s="61">
        <v>26.4</v>
      </c>
      <c r="R71" s="58">
        <f t="shared" ref="R71:R134" si="5">ROUND(P71*Q71,2)</f>
        <v>237600</v>
      </c>
      <c r="S71" s="59">
        <v>202308</v>
      </c>
      <c r="T71" s="60" t="s">
        <v>464</v>
      </c>
      <c r="U71" s="60"/>
      <c r="V71" s="72">
        <v>25.708072509000001</v>
      </c>
      <c r="W71" s="73">
        <v>27</v>
      </c>
      <c r="X71" s="74">
        <v>44562</v>
      </c>
      <c r="Y71" s="74">
        <v>45291</v>
      </c>
      <c r="Z71" s="28" t="s">
        <v>465</v>
      </c>
      <c r="AA71" s="85">
        <v>0.3</v>
      </c>
      <c r="AB71" s="85">
        <v>180</v>
      </c>
      <c r="AC71" s="85">
        <f>AA71*AB71-30</f>
        <v>24</v>
      </c>
      <c r="AD71" s="90"/>
      <c r="AF71" s="91"/>
    </row>
    <row r="72" spans="1:32" s="10" customFormat="1" ht="15" customHeight="1">
      <c r="A72" s="28" t="s">
        <v>136</v>
      </c>
      <c r="B72" s="29" t="s">
        <v>137</v>
      </c>
      <c r="C72" s="30" t="s">
        <v>302</v>
      </c>
      <c r="D72" s="29" t="s">
        <v>303</v>
      </c>
      <c r="E72" s="28" t="s">
        <v>457</v>
      </c>
      <c r="F72" s="28" t="s">
        <v>458</v>
      </c>
      <c r="G72" s="28" t="s">
        <v>35</v>
      </c>
      <c r="H72" s="33" t="s">
        <v>459</v>
      </c>
      <c r="I72" s="33" t="e">
        <f>VLOOKUP(H72,'合同高级查询数据-8月返'!A:A,1,FALSE)</f>
        <v>#N/A</v>
      </c>
      <c r="J72" s="38" t="s">
        <v>37</v>
      </c>
      <c r="K72" s="28" t="s">
        <v>460</v>
      </c>
      <c r="L72" s="33" t="s">
        <v>466</v>
      </c>
      <c r="M72" s="28"/>
      <c r="N72" s="44">
        <v>44804</v>
      </c>
      <c r="O72" s="28" t="s">
        <v>467</v>
      </c>
      <c r="P72" s="45">
        <v>9000</v>
      </c>
      <c r="Q72" s="61">
        <v>91.4</v>
      </c>
      <c r="R72" s="58">
        <f t="shared" si="5"/>
        <v>822600</v>
      </c>
      <c r="S72" s="59">
        <v>202308</v>
      </c>
      <c r="T72" s="111" t="s">
        <v>468</v>
      </c>
      <c r="U72" s="60"/>
      <c r="V72" s="72">
        <v>89.554378662000005</v>
      </c>
      <c r="W72" s="118">
        <v>93.2</v>
      </c>
      <c r="X72" s="74">
        <v>44562</v>
      </c>
      <c r="Y72" s="74">
        <v>45291</v>
      </c>
      <c r="Z72" s="28" t="s">
        <v>469</v>
      </c>
      <c r="AA72" s="85">
        <v>0.3</v>
      </c>
      <c r="AB72" s="85">
        <v>300</v>
      </c>
      <c r="AC72" s="85">
        <v>90</v>
      </c>
      <c r="AD72" s="90"/>
      <c r="AF72" s="91"/>
    </row>
    <row r="73" spans="1:32" s="10" customFormat="1" ht="15" customHeight="1">
      <c r="A73" s="28" t="s">
        <v>136</v>
      </c>
      <c r="B73" s="29" t="s">
        <v>137</v>
      </c>
      <c r="C73" s="30" t="s">
        <v>302</v>
      </c>
      <c r="D73" s="29" t="s">
        <v>303</v>
      </c>
      <c r="E73" s="28" t="s">
        <v>457</v>
      </c>
      <c r="F73" s="28" t="s">
        <v>458</v>
      </c>
      <c r="G73" s="28" t="s">
        <v>35</v>
      </c>
      <c r="H73" s="33" t="s">
        <v>459</v>
      </c>
      <c r="I73" s="33" t="e">
        <f>VLOOKUP(H73,'合同高级查询数据-8月返'!A:A,1,FALSE)</f>
        <v>#N/A</v>
      </c>
      <c r="J73" s="38" t="s">
        <v>325</v>
      </c>
      <c r="K73" s="28" t="s">
        <v>470</v>
      </c>
      <c r="L73" s="33" t="s">
        <v>471</v>
      </c>
      <c r="M73" s="28" t="s">
        <v>472</v>
      </c>
      <c r="N73" s="44" t="s">
        <v>473</v>
      </c>
      <c r="O73" s="28" t="s">
        <v>474</v>
      </c>
      <c r="P73" s="45">
        <v>9000</v>
      </c>
      <c r="Q73" s="61"/>
      <c r="R73" s="58">
        <f t="shared" si="5"/>
        <v>0</v>
      </c>
      <c r="S73" s="59">
        <v>202308</v>
      </c>
      <c r="T73" s="60" t="s">
        <v>475</v>
      </c>
      <c r="U73" s="60"/>
      <c r="V73" s="119">
        <v>0</v>
      </c>
      <c r="W73" s="73"/>
      <c r="X73" s="74">
        <v>44562</v>
      </c>
      <c r="Y73" s="74">
        <v>45291</v>
      </c>
      <c r="Z73" s="28" t="s">
        <v>476</v>
      </c>
      <c r="AA73" s="85" t="s">
        <v>123</v>
      </c>
      <c r="AB73" s="85">
        <v>0</v>
      </c>
      <c r="AC73" s="85">
        <v>0</v>
      </c>
    </row>
    <row r="74" spans="1:32" s="10" customFormat="1" ht="15" customHeight="1">
      <c r="A74" s="28" t="s">
        <v>136</v>
      </c>
      <c r="B74" s="29" t="s">
        <v>137</v>
      </c>
      <c r="C74" s="30" t="s">
        <v>302</v>
      </c>
      <c r="D74" s="29" t="s">
        <v>303</v>
      </c>
      <c r="E74" s="28" t="s">
        <v>457</v>
      </c>
      <c r="F74" s="28" t="s">
        <v>458</v>
      </c>
      <c r="G74" s="28" t="s">
        <v>35</v>
      </c>
      <c r="H74" s="33" t="s">
        <v>459</v>
      </c>
      <c r="I74" s="33" t="e">
        <f>VLOOKUP(H74,'合同高级查询数据-8月返'!A:A,1,FALSE)</f>
        <v>#N/A</v>
      </c>
      <c r="J74" s="38" t="s">
        <v>307</v>
      </c>
      <c r="K74" s="28" t="s">
        <v>477</v>
      </c>
      <c r="L74" s="33" t="s">
        <v>478</v>
      </c>
      <c r="M74" s="28"/>
      <c r="N74" s="44"/>
      <c r="O74" s="28" t="s">
        <v>319</v>
      </c>
      <c r="P74" s="45">
        <v>9000</v>
      </c>
      <c r="Q74" s="61">
        <v>68.400000000000006</v>
      </c>
      <c r="R74" s="58">
        <f t="shared" si="5"/>
        <v>615600</v>
      </c>
      <c r="S74" s="59">
        <v>202308</v>
      </c>
      <c r="T74" s="60" t="s">
        <v>479</v>
      </c>
      <c r="U74" s="60"/>
      <c r="V74" s="72">
        <v>69.514513323000003</v>
      </c>
      <c r="W74" s="73">
        <v>68.400000000000006</v>
      </c>
      <c r="X74" s="74">
        <v>44562</v>
      </c>
      <c r="Y74" s="74">
        <v>45291</v>
      </c>
      <c r="Z74" s="28" t="s">
        <v>480</v>
      </c>
      <c r="AA74" s="85">
        <v>0.24</v>
      </c>
      <c r="AB74" s="85">
        <v>200</v>
      </c>
      <c r="AC74" s="85">
        <v>48</v>
      </c>
      <c r="AD74" s="90"/>
      <c r="AF74" s="91"/>
    </row>
    <row r="75" spans="1:32" s="9" customFormat="1" ht="15" customHeight="1">
      <c r="A75" s="25" t="s">
        <v>136</v>
      </c>
      <c r="B75" s="26" t="s">
        <v>137</v>
      </c>
      <c r="C75" s="27" t="s">
        <v>302</v>
      </c>
      <c r="D75" s="26" t="s">
        <v>303</v>
      </c>
      <c r="E75" s="25" t="s">
        <v>457</v>
      </c>
      <c r="F75" s="25" t="s">
        <v>458</v>
      </c>
      <c r="G75" s="25" t="s">
        <v>35</v>
      </c>
      <c r="H75" s="32" t="s">
        <v>481</v>
      </c>
      <c r="I75" s="32" t="e">
        <f>VLOOKUP(H75,'合同高级查询数据-8月返'!A:A,1,FALSE)</f>
        <v>#N/A</v>
      </c>
      <c r="J75" s="35" t="s">
        <v>37</v>
      </c>
      <c r="K75" s="25" t="s">
        <v>482</v>
      </c>
      <c r="L75" s="32" t="s">
        <v>483</v>
      </c>
      <c r="M75" s="25" t="s">
        <v>484</v>
      </c>
      <c r="N75" s="42" t="s">
        <v>485</v>
      </c>
      <c r="O75" s="25" t="s">
        <v>486</v>
      </c>
      <c r="P75" s="43">
        <v>0</v>
      </c>
      <c r="Q75" s="57"/>
      <c r="R75" s="54">
        <f t="shared" si="5"/>
        <v>0</v>
      </c>
      <c r="S75" s="55">
        <v>202308</v>
      </c>
      <c r="T75" s="56" t="s">
        <v>487</v>
      </c>
      <c r="U75" s="56"/>
      <c r="V75" s="80">
        <v>0</v>
      </c>
      <c r="W75" s="69"/>
      <c r="X75" s="70"/>
      <c r="Y75" s="70"/>
      <c r="Z75" s="25" t="s">
        <v>482</v>
      </c>
      <c r="AA75" s="84" t="s">
        <v>123</v>
      </c>
      <c r="AB75" s="84">
        <v>0</v>
      </c>
      <c r="AC75" s="84">
        <v>0</v>
      </c>
    </row>
    <row r="76" spans="1:32" s="9" customFormat="1" ht="15" customHeight="1">
      <c r="A76" s="25" t="s">
        <v>136</v>
      </c>
      <c r="B76" s="26" t="s">
        <v>137</v>
      </c>
      <c r="C76" s="27" t="s">
        <v>302</v>
      </c>
      <c r="D76" s="26" t="s">
        <v>303</v>
      </c>
      <c r="E76" s="25" t="s">
        <v>457</v>
      </c>
      <c r="F76" s="25" t="s">
        <v>458</v>
      </c>
      <c r="G76" s="25" t="s">
        <v>35</v>
      </c>
      <c r="H76" s="32" t="s">
        <v>488</v>
      </c>
      <c r="I76" s="32" t="e">
        <f>VLOOKUP(H76,'合同高级查询数据-8月返'!A:A,1,FALSE)</f>
        <v>#N/A</v>
      </c>
      <c r="J76" s="35" t="s">
        <v>37</v>
      </c>
      <c r="K76" s="25" t="s">
        <v>460</v>
      </c>
      <c r="L76" s="32" t="s">
        <v>489</v>
      </c>
      <c r="M76" s="25"/>
      <c r="N76" s="47" t="s">
        <v>490</v>
      </c>
      <c r="O76" s="39" t="s">
        <v>202</v>
      </c>
      <c r="P76" s="43">
        <v>0</v>
      </c>
      <c r="Q76" s="57"/>
      <c r="R76" s="54">
        <f t="shared" si="5"/>
        <v>0</v>
      </c>
      <c r="S76" s="55">
        <v>202308</v>
      </c>
      <c r="T76" s="56" t="s">
        <v>491</v>
      </c>
      <c r="U76" s="56"/>
      <c r="V76" s="80">
        <v>0</v>
      </c>
      <c r="W76" s="69"/>
      <c r="X76" s="70"/>
      <c r="Y76" s="70"/>
      <c r="Z76" s="25" t="s">
        <v>492</v>
      </c>
      <c r="AA76" s="84" t="s">
        <v>450</v>
      </c>
      <c r="AB76" s="84">
        <v>140</v>
      </c>
      <c r="AC76" s="84">
        <v>0</v>
      </c>
    </row>
    <row r="77" spans="1:32" s="10" customFormat="1" ht="15" customHeight="1">
      <c r="A77" s="28" t="s">
        <v>136</v>
      </c>
      <c r="B77" s="29" t="s">
        <v>137</v>
      </c>
      <c r="C77" s="30" t="s">
        <v>302</v>
      </c>
      <c r="D77" s="29" t="s">
        <v>303</v>
      </c>
      <c r="E77" s="28" t="s">
        <v>457</v>
      </c>
      <c r="F77" s="28" t="s">
        <v>458</v>
      </c>
      <c r="G77" s="28" t="s">
        <v>35</v>
      </c>
      <c r="H77" s="33" t="s">
        <v>459</v>
      </c>
      <c r="I77" s="33" t="e">
        <f>VLOOKUP(H77,'合同高级查询数据-8月返'!A:A,1,FALSE)</f>
        <v>#N/A</v>
      </c>
      <c r="J77" s="38" t="s">
        <v>37</v>
      </c>
      <c r="K77" s="28" t="s">
        <v>460</v>
      </c>
      <c r="L77" s="33" t="s">
        <v>493</v>
      </c>
      <c r="M77" s="28"/>
      <c r="N77" s="44">
        <v>44866</v>
      </c>
      <c r="O77" s="28" t="s">
        <v>494</v>
      </c>
      <c r="P77" s="45">
        <v>9000</v>
      </c>
      <c r="Q77" s="61">
        <v>150.5</v>
      </c>
      <c r="R77" s="58">
        <f t="shared" si="5"/>
        <v>1354500</v>
      </c>
      <c r="S77" s="59">
        <v>202308</v>
      </c>
      <c r="T77" s="60" t="s">
        <v>495</v>
      </c>
      <c r="U77" s="60"/>
      <c r="V77" s="72">
        <v>150.46991538099999</v>
      </c>
      <c r="W77" s="73"/>
      <c r="X77" s="74">
        <v>44562</v>
      </c>
      <c r="Y77" s="74">
        <v>45291</v>
      </c>
      <c r="Z77" s="28" t="s">
        <v>496</v>
      </c>
      <c r="AA77" s="85">
        <v>0.3</v>
      </c>
      <c r="AB77" s="85">
        <v>500</v>
      </c>
      <c r="AC77" s="85">
        <v>150</v>
      </c>
      <c r="AD77" s="90"/>
      <c r="AF77" s="91"/>
    </row>
    <row r="78" spans="1:32" s="9" customFormat="1" ht="15" customHeight="1">
      <c r="A78" s="25" t="s">
        <v>136</v>
      </c>
      <c r="B78" s="26" t="s">
        <v>137</v>
      </c>
      <c r="C78" s="27" t="s">
        <v>138</v>
      </c>
      <c r="D78" s="27" t="s">
        <v>139</v>
      </c>
      <c r="E78" s="25" t="s">
        <v>497</v>
      </c>
      <c r="F78" s="25" t="s">
        <v>498</v>
      </c>
      <c r="G78" s="25" t="s">
        <v>35</v>
      </c>
      <c r="H78" s="32" t="s">
        <v>499</v>
      </c>
      <c r="I78" s="32" t="e">
        <f>VLOOKUP(H78,'合同高级查询数据-8月返'!A:A,1,FALSE)</f>
        <v>#N/A</v>
      </c>
      <c r="J78" s="35" t="s">
        <v>37</v>
      </c>
      <c r="K78" s="25" t="s">
        <v>392</v>
      </c>
      <c r="L78" s="32" t="s">
        <v>500</v>
      </c>
      <c r="M78" s="25" t="s">
        <v>394</v>
      </c>
      <c r="N78" s="42">
        <v>44958</v>
      </c>
      <c r="O78" s="25" t="s">
        <v>79</v>
      </c>
      <c r="P78" s="43">
        <v>9000</v>
      </c>
      <c r="Q78" s="57">
        <v>10.79</v>
      </c>
      <c r="R78" s="54">
        <f t="shared" si="5"/>
        <v>97110</v>
      </c>
      <c r="S78" s="55">
        <v>202308</v>
      </c>
      <c r="T78" s="56" t="s">
        <v>501</v>
      </c>
      <c r="U78" s="56"/>
      <c r="V78" s="76">
        <v>10.785084704999999</v>
      </c>
      <c r="W78" s="69"/>
      <c r="X78" s="70"/>
      <c r="Y78" s="70"/>
      <c r="Z78" s="25" t="s">
        <v>502</v>
      </c>
      <c r="AA78" s="84">
        <v>0.3</v>
      </c>
      <c r="AB78" s="86">
        <v>30</v>
      </c>
      <c r="AC78" s="84">
        <f>AA78*AB78</f>
        <v>9</v>
      </c>
      <c r="AD78" s="88"/>
      <c r="AF78" s="89"/>
    </row>
    <row r="79" spans="1:32" s="10" customFormat="1" ht="15" customHeight="1">
      <c r="A79" s="28" t="s">
        <v>136</v>
      </c>
      <c r="B79" s="29" t="s">
        <v>137</v>
      </c>
      <c r="C79" s="30" t="s">
        <v>302</v>
      </c>
      <c r="D79" s="29" t="s">
        <v>303</v>
      </c>
      <c r="E79" s="28" t="s">
        <v>503</v>
      </c>
      <c r="F79" s="28" t="s">
        <v>504</v>
      </c>
      <c r="G79" s="28" t="s">
        <v>35</v>
      </c>
      <c r="H79" s="33" t="s">
        <v>505</v>
      </c>
      <c r="I79" s="33" t="e">
        <f>VLOOKUP(H79,'合同高级查询数据-8月返'!A:A,1,FALSE)</f>
        <v>#N/A</v>
      </c>
      <c r="J79" s="38" t="s">
        <v>157</v>
      </c>
      <c r="K79" s="28" t="s">
        <v>506</v>
      </c>
      <c r="L79" s="33" t="s">
        <v>507</v>
      </c>
      <c r="M79" s="28" t="s">
        <v>508</v>
      </c>
      <c r="N79" s="44">
        <v>43132</v>
      </c>
      <c r="O79" s="28" t="s">
        <v>161</v>
      </c>
      <c r="P79" s="45">
        <v>9000</v>
      </c>
      <c r="Q79" s="61">
        <v>122.015</v>
      </c>
      <c r="R79" s="58">
        <f t="shared" si="5"/>
        <v>1098135</v>
      </c>
      <c r="S79" s="59">
        <v>202308</v>
      </c>
      <c r="T79" s="60" t="s">
        <v>509</v>
      </c>
      <c r="U79" s="60"/>
      <c r="V79" s="72">
        <v>122.06534563</v>
      </c>
      <c r="W79" s="73">
        <v>122.015</v>
      </c>
      <c r="X79" s="74">
        <v>44986</v>
      </c>
      <c r="Y79" s="74">
        <v>45351</v>
      </c>
      <c r="Z79" s="28" t="s">
        <v>510</v>
      </c>
      <c r="AA79" s="85">
        <v>0.3</v>
      </c>
      <c r="AB79" s="85">
        <v>240</v>
      </c>
      <c r="AC79" s="85">
        <v>72</v>
      </c>
      <c r="AD79" s="90"/>
      <c r="AF79" s="91"/>
    </row>
    <row r="80" spans="1:32" s="10" customFormat="1" ht="15" customHeight="1">
      <c r="A80" s="28" t="s">
        <v>136</v>
      </c>
      <c r="B80" s="29" t="s">
        <v>137</v>
      </c>
      <c r="C80" s="30" t="s">
        <v>302</v>
      </c>
      <c r="D80" s="29" t="s">
        <v>303</v>
      </c>
      <c r="E80" s="28" t="s">
        <v>503</v>
      </c>
      <c r="F80" s="28" t="s">
        <v>504</v>
      </c>
      <c r="G80" s="28" t="s">
        <v>35</v>
      </c>
      <c r="H80" s="33" t="s">
        <v>511</v>
      </c>
      <c r="I80" s="33" t="str">
        <f>VLOOKUP(H80,'合同高级查询数据-8月返'!A:A,1,FALSE)</f>
        <v>182315IDC00308</v>
      </c>
      <c r="J80" s="38" t="s">
        <v>37</v>
      </c>
      <c r="K80" s="28" t="s">
        <v>512</v>
      </c>
      <c r="L80" s="33" t="s">
        <v>513</v>
      </c>
      <c r="M80" s="28"/>
      <c r="N80" s="101" t="s">
        <v>514</v>
      </c>
      <c r="O80" s="48" t="s">
        <v>515</v>
      </c>
      <c r="P80" s="45">
        <v>9000</v>
      </c>
      <c r="Q80" s="61">
        <v>51.582999999999998</v>
      </c>
      <c r="R80" s="58">
        <f t="shared" si="5"/>
        <v>464247</v>
      </c>
      <c r="S80" s="59">
        <v>202308</v>
      </c>
      <c r="T80" s="60" t="s">
        <v>516</v>
      </c>
      <c r="U80" s="60"/>
      <c r="V80" s="72">
        <v>50.430937423000003</v>
      </c>
      <c r="W80" s="120">
        <v>52.734000000000002</v>
      </c>
      <c r="X80" s="74">
        <v>45017</v>
      </c>
      <c r="Y80" s="74">
        <v>45382</v>
      </c>
      <c r="Z80" s="28" t="s">
        <v>517</v>
      </c>
      <c r="AA80" s="85">
        <v>0.3</v>
      </c>
      <c r="AB80" s="85">
        <v>160</v>
      </c>
      <c r="AC80" s="85">
        <f>AA80*AB80+10*0.3</f>
        <v>51</v>
      </c>
      <c r="AD80" s="90"/>
      <c r="AF80" s="91"/>
    </row>
    <row r="81" spans="1:32" s="10" customFormat="1" ht="15" customHeight="1">
      <c r="A81" s="28" t="s">
        <v>136</v>
      </c>
      <c r="B81" s="29" t="s">
        <v>137</v>
      </c>
      <c r="C81" s="30" t="s">
        <v>302</v>
      </c>
      <c r="D81" s="29" t="s">
        <v>303</v>
      </c>
      <c r="E81" s="28" t="s">
        <v>503</v>
      </c>
      <c r="F81" s="28" t="s">
        <v>504</v>
      </c>
      <c r="G81" s="28" t="s">
        <v>35</v>
      </c>
      <c r="H81" s="33" t="s">
        <v>511</v>
      </c>
      <c r="I81" s="33" t="str">
        <f>VLOOKUP(H81,'合同高级查询数据-8月返'!A:A,1,FALSE)</f>
        <v>182315IDC00308</v>
      </c>
      <c r="J81" s="38" t="s">
        <v>37</v>
      </c>
      <c r="K81" s="28" t="s">
        <v>518</v>
      </c>
      <c r="L81" s="33" t="s">
        <v>519</v>
      </c>
      <c r="M81" s="28"/>
      <c r="N81" s="101" t="s">
        <v>520</v>
      </c>
      <c r="O81" s="48" t="s">
        <v>521</v>
      </c>
      <c r="P81" s="45">
        <v>9000</v>
      </c>
      <c r="Q81" s="61"/>
      <c r="R81" s="58">
        <f t="shared" si="5"/>
        <v>0</v>
      </c>
      <c r="S81" s="59">
        <v>202308</v>
      </c>
      <c r="T81" s="60" t="s">
        <v>522</v>
      </c>
      <c r="U81" s="60"/>
      <c r="V81" s="119"/>
      <c r="W81" s="73"/>
      <c r="X81" s="74">
        <v>45017</v>
      </c>
      <c r="Y81" s="74">
        <v>45382</v>
      </c>
      <c r="Z81" s="28" t="s">
        <v>523</v>
      </c>
      <c r="AA81" s="85">
        <v>0.3</v>
      </c>
      <c r="AB81" s="85">
        <v>0</v>
      </c>
      <c r="AC81" s="85">
        <v>0</v>
      </c>
    </row>
    <row r="82" spans="1:32" s="10" customFormat="1" ht="15" customHeight="1">
      <c r="A82" s="28" t="s">
        <v>136</v>
      </c>
      <c r="B82" s="29" t="s">
        <v>137</v>
      </c>
      <c r="C82" s="30" t="s">
        <v>302</v>
      </c>
      <c r="D82" s="29" t="s">
        <v>303</v>
      </c>
      <c r="E82" s="28" t="s">
        <v>503</v>
      </c>
      <c r="F82" s="28" t="s">
        <v>504</v>
      </c>
      <c r="G82" s="28" t="s">
        <v>35</v>
      </c>
      <c r="H82" s="33" t="s">
        <v>511</v>
      </c>
      <c r="I82" s="33" t="str">
        <f>VLOOKUP(H82,'合同高级查询数据-8月返'!A:A,1,FALSE)</f>
        <v>182315IDC00308</v>
      </c>
      <c r="J82" s="38" t="s">
        <v>37</v>
      </c>
      <c r="K82" s="28" t="s">
        <v>524</v>
      </c>
      <c r="L82" s="33" t="s">
        <v>504</v>
      </c>
      <c r="M82" s="28"/>
      <c r="N82" s="44">
        <v>44774</v>
      </c>
      <c r="O82" s="28" t="s">
        <v>174</v>
      </c>
      <c r="P82" s="45">
        <v>9000</v>
      </c>
      <c r="Q82" s="61">
        <v>61.264000000000003</v>
      </c>
      <c r="R82" s="58">
        <f t="shared" si="5"/>
        <v>551376</v>
      </c>
      <c r="S82" s="59">
        <v>202308</v>
      </c>
      <c r="T82" s="60" t="s">
        <v>525</v>
      </c>
      <c r="U82" s="60"/>
      <c r="V82" s="72">
        <v>60.462210005999999</v>
      </c>
      <c r="W82" s="120">
        <v>61.264000000000003</v>
      </c>
      <c r="X82" s="74">
        <v>45017</v>
      </c>
      <c r="Y82" s="74">
        <v>45382</v>
      </c>
      <c r="Z82" s="28" t="s">
        <v>526</v>
      </c>
      <c r="AA82" s="85">
        <v>0.3</v>
      </c>
      <c r="AB82" s="85">
        <v>180</v>
      </c>
      <c r="AC82" s="85">
        <v>54</v>
      </c>
      <c r="AD82" s="90"/>
      <c r="AF82" s="91"/>
    </row>
    <row r="83" spans="1:32" s="10" customFormat="1" ht="15" customHeight="1">
      <c r="A83" s="28" t="s">
        <v>136</v>
      </c>
      <c r="B83" s="29" t="s">
        <v>137</v>
      </c>
      <c r="C83" s="30" t="s">
        <v>302</v>
      </c>
      <c r="D83" s="29" t="s">
        <v>303</v>
      </c>
      <c r="E83" s="28" t="s">
        <v>503</v>
      </c>
      <c r="F83" s="28" t="s">
        <v>504</v>
      </c>
      <c r="G83" s="28" t="s">
        <v>35</v>
      </c>
      <c r="H83" s="33" t="s">
        <v>511</v>
      </c>
      <c r="I83" s="33" t="str">
        <f>VLOOKUP(H83,'合同高级查询数据-8月返'!A:A,1,FALSE)</f>
        <v>182315IDC00308</v>
      </c>
      <c r="J83" s="38" t="s">
        <v>325</v>
      </c>
      <c r="K83" s="28" t="s">
        <v>527</v>
      </c>
      <c r="L83" s="33" t="s">
        <v>528</v>
      </c>
      <c r="M83" s="28" t="s">
        <v>529</v>
      </c>
      <c r="N83" s="44" t="s">
        <v>530</v>
      </c>
      <c r="O83" s="28" t="s">
        <v>531</v>
      </c>
      <c r="P83" s="45">
        <v>9000</v>
      </c>
      <c r="Q83" s="61"/>
      <c r="R83" s="58">
        <f t="shared" si="5"/>
        <v>0</v>
      </c>
      <c r="S83" s="59">
        <v>202308</v>
      </c>
      <c r="T83" s="60" t="s">
        <v>532</v>
      </c>
      <c r="U83" s="60"/>
      <c r="V83" s="119">
        <v>0</v>
      </c>
      <c r="W83" s="73"/>
      <c r="X83" s="74">
        <v>45017</v>
      </c>
      <c r="Y83" s="74">
        <v>45382</v>
      </c>
      <c r="Z83" s="28" t="s">
        <v>533</v>
      </c>
      <c r="AA83" s="85" t="s">
        <v>123</v>
      </c>
      <c r="AB83" s="85">
        <v>0</v>
      </c>
      <c r="AC83" s="85">
        <v>0</v>
      </c>
    </row>
    <row r="84" spans="1:32" s="10" customFormat="1" ht="15" customHeight="1">
      <c r="A84" s="28" t="s">
        <v>136</v>
      </c>
      <c r="B84" s="29" t="s">
        <v>137</v>
      </c>
      <c r="C84" s="30" t="s">
        <v>302</v>
      </c>
      <c r="D84" s="29" t="s">
        <v>303</v>
      </c>
      <c r="E84" s="28" t="s">
        <v>503</v>
      </c>
      <c r="F84" s="28" t="s">
        <v>504</v>
      </c>
      <c r="G84" s="28" t="s">
        <v>35</v>
      </c>
      <c r="H84" s="33" t="s">
        <v>511</v>
      </c>
      <c r="I84" s="33" t="str">
        <f>VLOOKUP(H84,'合同高级查询数据-8月返'!A:A,1,FALSE)</f>
        <v>182315IDC00308</v>
      </c>
      <c r="J84" s="38" t="s">
        <v>37</v>
      </c>
      <c r="K84" s="28"/>
      <c r="L84" s="33" t="s">
        <v>534</v>
      </c>
      <c r="M84" s="28" t="s">
        <v>535</v>
      </c>
      <c r="N84" s="44" t="s">
        <v>536</v>
      </c>
      <c r="O84" s="28" t="s">
        <v>537</v>
      </c>
      <c r="P84" s="45">
        <v>9000</v>
      </c>
      <c r="Q84" s="61"/>
      <c r="R84" s="58">
        <f t="shared" si="5"/>
        <v>0</v>
      </c>
      <c r="S84" s="59">
        <v>202308</v>
      </c>
      <c r="T84" s="60" t="s">
        <v>538</v>
      </c>
      <c r="U84" s="60"/>
      <c r="V84" s="119"/>
      <c r="W84" s="73"/>
      <c r="X84" s="74">
        <v>45017</v>
      </c>
      <c r="Y84" s="74">
        <v>45382</v>
      </c>
      <c r="Z84" s="28" t="s">
        <v>539</v>
      </c>
      <c r="AA84" s="85" t="s">
        <v>123</v>
      </c>
      <c r="AB84" s="85">
        <v>0</v>
      </c>
      <c r="AC84" s="85">
        <v>0</v>
      </c>
    </row>
    <row r="85" spans="1:32" s="10" customFormat="1" ht="15" customHeight="1">
      <c r="A85" s="28" t="s">
        <v>136</v>
      </c>
      <c r="B85" s="29" t="s">
        <v>137</v>
      </c>
      <c r="C85" s="30" t="s">
        <v>302</v>
      </c>
      <c r="D85" s="29" t="s">
        <v>303</v>
      </c>
      <c r="E85" s="28" t="s">
        <v>503</v>
      </c>
      <c r="F85" s="28" t="s">
        <v>504</v>
      </c>
      <c r="G85" s="28" t="s">
        <v>35</v>
      </c>
      <c r="H85" s="33" t="s">
        <v>511</v>
      </c>
      <c r="I85" s="33" t="str">
        <f>VLOOKUP(H85,'合同高级查询数据-8月返'!A:A,1,FALSE)</f>
        <v>182315IDC00308</v>
      </c>
      <c r="J85" s="38" t="s">
        <v>37</v>
      </c>
      <c r="K85" s="28"/>
      <c r="L85" s="33" t="s">
        <v>540</v>
      </c>
      <c r="M85" s="28" t="s">
        <v>541</v>
      </c>
      <c r="N85" s="44" t="s">
        <v>542</v>
      </c>
      <c r="O85" s="28" t="s">
        <v>543</v>
      </c>
      <c r="P85" s="45">
        <v>9000</v>
      </c>
      <c r="Q85" s="61"/>
      <c r="R85" s="58">
        <f t="shared" si="5"/>
        <v>0</v>
      </c>
      <c r="S85" s="59">
        <v>202308</v>
      </c>
      <c r="T85" s="60" t="s">
        <v>544</v>
      </c>
      <c r="U85" s="60"/>
      <c r="V85" s="119"/>
      <c r="W85" s="73"/>
      <c r="X85" s="74">
        <v>45017</v>
      </c>
      <c r="Y85" s="74">
        <v>45382</v>
      </c>
      <c r="Z85" s="28" t="s">
        <v>545</v>
      </c>
      <c r="AA85" s="85" t="s">
        <v>123</v>
      </c>
      <c r="AB85" s="85">
        <v>0</v>
      </c>
      <c r="AC85" s="85">
        <v>0</v>
      </c>
    </row>
    <row r="86" spans="1:32" s="9" customFormat="1" ht="15" customHeight="1">
      <c r="A86" s="25" t="s">
        <v>136</v>
      </c>
      <c r="B86" s="26" t="s">
        <v>137</v>
      </c>
      <c r="C86" s="27" t="s">
        <v>302</v>
      </c>
      <c r="D86" s="26" t="s">
        <v>303</v>
      </c>
      <c r="E86" s="25" t="s">
        <v>503</v>
      </c>
      <c r="F86" s="25" t="s">
        <v>504</v>
      </c>
      <c r="G86" s="25" t="s">
        <v>35</v>
      </c>
      <c r="H86" s="32" t="s">
        <v>546</v>
      </c>
      <c r="I86" s="32" t="e">
        <f>VLOOKUP(H86,'合同高级查询数据-8月返'!A:A,1,FALSE)</f>
        <v>#N/A</v>
      </c>
      <c r="J86" s="35" t="s">
        <v>37</v>
      </c>
      <c r="K86" s="25" t="s">
        <v>547</v>
      </c>
      <c r="L86" s="32" t="s">
        <v>548</v>
      </c>
      <c r="M86" s="25"/>
      <c r="N86" s="42" t="s">
        <v>549</v>
      </c>
      <c r="O86" s="39" t="s">
        <v>550</v>
      </c>
      <c r="P86" s="43">
        <v>9000</v>
      </c>
      <c r="Q86" s="57"/>
      <c r="R86" s="54">
        <f t="shared" si="5"/>
        <v>0</v>
      </c>
      <c r="S86" s="55">
        <v>202308</v>
      </c>
      <c r="T86" s="56" t="s">
        <v>551</v>
      </c>
      <c r="U86" s="56"/>
      <c r="V86" s="80"/>
      <c r="W86" s="69"/>
      <c r="X86" s="70"/>
      <c r="Y86" s="70"/>
      <c r="Z86" s="25" t="s">
        <v>552</v>
      </c>
      <c r="AA86" s="84" t="s">
        <v>450</v>
      </c>
      <c r="AB86" s="84">
        <v>100</v>
      </c>
      <c r="AC86" s="84">
        <v>0</v>
      </c>
    </row>
    <row r="87" spans="1:32" s="9" customFormat="1" ht="15" customHeight="1">
      <c r="A87" s="25" t="s">
        <v>136</v>
      </c>
      <c r="B87" s="26" t="s">
        <v>137</v>
      </c>
      <c r="C87" s="27" t="s">
        <v>302</v>
      </c>
      <c r="D87" s="26" t="s">
        <v>303</v>
      </c>
      <c r="E87" s="25" t="s">
        <v>503</v>
      </c>
      <c r="F87" s="25" t="s">
        <v>504</v>
      </c>
      <c r="G87" s="25" t="s">
        <v>35</v>
      </c>
      <c r="H87" s="32" t="s">
        <v>553</v>
      </c>
      <c r="I87" s="32" t="e">
        <f>VLOOKUP(H87,'合同高级查询数据-8月返'!A:A,1,FALSE)</f>
        <v>#N/A</v>
      </c>
      <c r="J87" s="35" t="s">
        <v>37</v>
      </c>
      <c r="K87" s="25"/>
      <c r="L87" s="32" t="s">
        <v>554</v>
      </c>
      <c r="M87" s="25" t="s">
        <v>555</v>
      </c>
      <c r="N87" s="47" t="s">
        <v>556</v>
      </c>
      <c r="O87" s="39" t="s">
        <v>557</v>
      </c>
      <c r="P87" s="43">
        <v>0</v>
      </c>
      <c r="Q87" s="57"/>
      <c r="R87" s="54">
        <f t="shared" si="5"/>
        <v>0</v>
      </c>
      <c r="S87" s="55">
        <v>202308</v>
      </c>
      <c r="T87" s="56" t="s">
        <v>558</v>
      </c>
      <c r="U87" s="56"/>
      <c r="V87" s="80">
        <v>0</v>
      </c>
      <c r="W87" s="69"/>
      <c r="X87" s="70"/>
      <c r="Y87" s="70"/>
      <c r="Z87" s="25" t="s">
        <v>559</v>
      </c>
      <c r="AA87" s="84" t="s">
        <v>450</v>
      </c>
      <c r="AB87" s="84">
        <v>120</v>
      </c>
      <c r="AC87" s="84">
        <v>0</v>
      </c>
    </row>
    <row r="88" spans="1:32" s="9" customFormat="1" ht="15" customHeight="1">
      <c r="A88" s="25" t="s">
        <v>136</v>
      </c>
      <c r="B88" s="26" t="s">
        <v>137</v>
      </c>
      <c r="C88" s="27" t="s">
        <v>429</v>
      </c>
      <c r="D88" s="27" t="s">
        <v>139</v>
      </c>
      <c r="E88" s="25" t="s">
        <v>560</v>
      </c>
      <c r="F88" s="25" t="s">
        <v>561</v>
      </c>
      <c r="G88" s="25" t="s">
        <v>35</v>
      </c>
      <c r="H88" s="32" t="s">
        <v>562</v>
      </c>
      <c r="I88" s="32" t="e">
        <f>VLOOKUP(H88,'合同高级查询数据-8月返'!A:A,1,FALSE)</f>
        <v>#N/A</v>
      </c>
      <c r="J88" s="35" t="s">
        <v>37</v>
      </c>
      <c r="K88" s="25" t="s">
        <v>563</v>
      </c>
      <c r="L88" s="32" t="s">
        <v>561</v>
      </c>
      <c r="M88" s="25"/>
      <c r="N88" s="42" t="s">
        <v>564</v>
      </c>
      <c r="O88" s="25" t="s">
        <v>565</v>
      </c>
      <c r="P88" s="43">
        <v>10000</v>
      </c>
      <c r="Q88" s="57">
        <v>30</v>
      </c>
      <c r="R88" s="54">
        <f t="shared" si="5"/>
        <v>300000</v>
      </c>
      <c r="S88" s="55">
        <v>202308</v>
      </c>
      <c r="T88" s="56" t="s">
        <v>566</v>
      </c>
      <c r="U88" s="56"/>
      <c r="V88" s="68">
        <v>29.397990608000001</v>
      </c>
      <c r="W88" s="69"/>
      <c r="X88" s="70"/>
      <c r="Y88" s="70"/>
      <c r="Z88" s="25" t="s">
        <v>567</v>
      </c>
      <c r="AA88" s="84">
        <v>0.3</v>
      </c>
      <c r="AB88" s="84">
        <v>100</v>
      </c>
      <c r="AC88" s="84">
        <v>30</v>
      </c>
      <c r="AD88" s="88"/>
      <c r="AF88" s="89"/>
    </row>
    <row r="89" spans="1:32" s="9" customFormat="1" ht="15" customHeight="1">
      <c r="A89" s="25" t="s">
        <v>136</v>
      </c>
      <c r="B89" s="26" t="s">
        <v>137</v>
      </c>
      <c r="C89" s="27" t="s">
        <v>302</v>
      </c>
      <c r="D89" s="26" t="s">
        <v>303</v>
      </c>
      <c r="E89" s="25" t="s">
        <v>568</v>
      </c>
      <c r="F89" s="25" t="s">
        <v>569</v>
      </c>
      <c r="G89" s="25" t="s">
        <v>35</v>
      </c>
      <c r="H89" s="32" t="s">
        <v>570</v>
      </c>
      <c r="I89" s="32" t="e">
        <f>VLOOKUP(H89,'合同高级查询数据-8月返'!A:A,1,FALSE)</f>
        <v>#N/A</v>
      </c>
      <c r="J89" s="35" t="s">
        <v>37</v>
      </c>
      <c r="K89" s="25" t="s">
        <v>571</v>
      </c>
      <c r="L89" s="32" t="s">
        <v>569</v>
      </c>
      <c r="M89" s="25"/>
      <c r="N89" s="42" t="s">
        <v>572</v>
      </c>
      <c r="O89" s="39" t="s">
        <v>573</v>
      </c>
      <c r="P89" s="43">
        <v>9000</v>
      </c>
      <c r="Q89" s="57">
        <v>18</v>
      </c>
      <c r="R89" s="54">
        <f t="shared" si="5"/>
        <v>162000</v>
      </c>
      <c r="S89" s="55">
        <v>202308</v>
      </c>
      <c r="T89" s="56" t="s">
        <v>574</v>
      </c>
      <c r="U89" s="56"/>
      <c r="V89" s="68">
        <v>17.744690246000001</v>
      </c>
      <c r="W89" s="80"/>
      <c r="X89" s="70"/>
      <c r="Y89" s="70"/>
      <c r="Z89" s="25" t="s">
        <v>575</v>
      </c>
      <c r="AA89" s="84">
        <v>0.3</v>
      </c>
      <c r="AB89" s="84">
        <v>60</v>
      </c>
      <c r="AC89" s="84">
        <v>18</v>
      </c>
      <c r="AD89" s="88"/>
      <c r="AF89" s="89"/>
    </row>
    <row r="90" spans="1:32" s="9" customFormat="1" ht="15" customHeight="1">
      <c r="A90" s="25" t="s">
        <v>191</v>
      </c>
      <c r="B90" s="26" t="s">
        <v>137</v>
      </c>
      <c r="C90" s="27" t="s">
        <v>138</v>
      </c>
      <c r="D90" s="27" t="s">
        <v>139</v>
      </c>
      <c r="E90" s="25" t="s">
        <v>576</v>
      </c>
      <c r="F90" s="25" t="s">
        <v>577</v>
      </c>
      <c r="G90" s="25" t="s">
        <v>35</v>
      </c>
      <c r="H90" s="32" t="s">
        <v>578</v>
      </c>
      <c r="I90" s="32" t="e">
        <f>VLOOKUP(H90,'合同高级查询数据-8月返'!A:A,1,FALSE)</f>
        <v>#N/A</v>
      </c>
      <c r="J90" s="35" t="s">
        <v>37</v>
      </c>
      <c r="K90" s="25" t="s">
        <v>392</v>
      </c>
      <c r="L90" s="32" t="s">
        <v>579</v>
      </c>
      <c r="M90" s="25" t="s">
        <v>394</v>
      </c>
      <c r="N90" s="42">
        <v>44958</v>
      </c>
      <c r="O90" s="25" t="s">
        <v>580</v>
      </c>
      <c r="P90" s="43">
        <v>6740</v>
      </c>
      <c r="Q90" s="57">
        <v>28</v>
      </c>
      <c r="R90" s="54">
        <f t="shared" si="5"/>
        <v>188720</v>
      </c>
      <c r="S90" s="55">
        <v>202308</v>
      </c>
      <c r="T90" s="56" t="s">
        <v>581</v>
      </c>
      <c r="U90" s="56"/>
      <c r="V90" s="68">
        <v>24.486582729999999</v>
      </c>
      <c r="W90" s="69"/>
      <c r="X90" s="70"/>
      <c r="Y90" s="70"/>
      <c r="Z90" s="25" t="s">
        <v>582</v>
      </c>
      <c r="AA90" s="84">
        <v>0.4</v>
      </c>
      <c r="AB90" s="86">
        <v>70</v>
      </c>
      <c r="AC90" s="84">
        <f>AA90*AB90</f>
        <v>28</v>
      </c>
      <c r="AD90" s="88"/>
      <c r="AF90" s="89"/>
    </row>
    <row r="91" spans="1:32" s="9" customFormat="1" ht="15" customHeight="1">
      <c r="A91" s="25" t="s">
        <v>191</v>
      </c>
      <c r="B91" s="26" t="s">
        <v>137</v>
      </c>
      <c r="C91" s="27" t="s">
        <v>138</v>
      </c>
      <c r="D91" s="26" t="s">
        <v>139</v>
      </c>
      <c r="E91" s="25" t="s">
        <v>583</v>
      </c>
      <c r="F91" s="25" t="s">
        <v>584</v>
      </c>
      <c r="G91" s="25" t="s">
        <v>35</v>
      </c>
      <c r="H91" s="32" t="s">
        <v>585</v>
      </c>
      <c r="I91" s="32" t="e">
        <f>VLOOKUP(H91,'合同高级查询数据-8月返'!A:A,1,FALSE)</f>
        <v>#N/A</v>
      </c>
      <c r="J91" s="35" t="s">
        <v>76</v>
      </c>
      <c r="K91" s="25" t="s">
        <v>586</v>
      </c>
      <c r="L91" s="32" t="s">
        <v>587</v>
      </c>
      <c r="M91" s="25"/>
      <c r="N91" s="42" t="s">
        <v>588</v>
      </c>
      <c r="O91" s="25" t="s">
        <v>589</v>
      </c>
      <c r="P91" s="43">
        <v>120000</v>
      </c>
      <c r="Q91" s="57">
        <v>4</v>
      </c>
      <c r="R91" s="54">
        <f t="shared" si="5"/>
        <v>480000</v>
      </c>
      <c r="S91" s="55">
        <v>202308</v>
      </c>
      <c r="T91" s="56" t="s">
        <v>590</v>
      </c>
      <c r="U91" s="56"/>
      <c r="V91" s="68">
        <v>3.578697483</v>
      </c>
      <c r="W91" s="69"/>
      <c r="X91" s="70"/>
      <c r="Y91" s="70"/>
      <c r="Z91" s="25" t="s">
        <v>591</v>
      </c>
      <c r="AA91" s="84">
        <v>0.2</v>
      </c>
      <c r="AB91" s="84">
        <v>20</v>
      </c>
      <c r="AC91" s="84">
        <v>4</v>
      </c>
      <c r="AD91" s="88"/>
      <c r="AF91" s="89"/>
    </row>
    <row r="92" spans="1:32" s="9" customFormat="1" ht="15" customHeight="1">
      <c r="A92" s="25" t="s">
        <v>191</v>
      </c>
      <c r="B92" s="26" t="s">
        <v>137</v>
      </c>
      <c r="C92" s="27" t="s">
        <v>138</v>
      </c>
      <c r="D92" s="26" t="s">
        <v>139</v>
      </c>
      <c r="E92" s="25" t="s">
        <v>583</v>
      </c>
      <c r="F92" s="25" t="s">
        <v>584</v>
      </c>
      <c r="G92" s="25" t="s">
        <v>35</v>
      </c>
      <c r="H92" s="32" t="s">
        <v>592</v>
      </c>
      <c r="I92" s="32" t="e">
        <f>VLOOKUP(H92,'合同高级查询数据-8月返'!A:A,1,FALSE)</f>
        <v>#N/A</v>
      </c>
      <c r="J92" s="35" t="s">
        <v>157</v>
      </c>
      <c r="K92" s="25" t="s">
        <v>593</v>
      </c>
      <c r="L92" s="32" t="s">
        <v>584</v>
      </c>
      <c r="M92" s="25"/>
      <c r="N92" s="42" t="s">
        <v>594</v>
      </c>
      <c r="O92" s="25" t="s">
        <v>595</v>
      </c>
      <c r="P92" s="43">
        <v>15000</v>
      </c>
      <c r="Q92" s="57">
        <v>107.97</v>
      </c>
      <c r="R92" s="54">
        <f t="shared" si="5"/>
        <v>1619550</v>
      </c>
      <c r="S92" s="55">
        <v>202308</v>
      </c>
      <c r="T92" s="56" t="s">
        <v>596</v>
      </c>
      <c r="U92" s="56"/>
      <c r="V92" s="68">
        <v>107.966439854</v>
      </c>
      <c r="W92" s="69"/>
      <c r="X92" s="70"/>
      <c r="Y92" s="70"/>
      <c r="Z92" s="25" t="s">
        <v>597</v>
      </c>
      <c r="AA92" s="84">
        <v>0.1</v>
      </c>
      <c r="AB92" s="84">
        <v>200</v>
      </c>
      <c r="AC92" s="84">
        <v>20</v>
      </c>
      <c r="AD92" s="88"/>
      <c r="AF92" s="89"/>
    </row>
    <row r="93" spans="1:32" s="9" customFormat="1" ht="15" customHeight="1">
      <c r="A93" s="25" t="s">
        <v>191</v>
      </c>
      <c r="B93" s="26" t="s">
        <v>137</v>
      </c>
      <c r="C93" s="27" t="s">
        <v>138</v>
      </c>
      <c r="D93" s="26" t="s">
        <v>139</v>
      </c>
      <c r="E93" s="25" t="s">
        <v>598</v>
      </c>
      <c r="F93" s="25" t="s">
        <v>599</v>
      </c>
      <c r="G93" s="25" t="s">
        <v>35</v>
      </c>
      <c r="H93" s="32" t="s">
        <v>600</v>
      </c>
      <c r="I93" s="32" t="e">
        <f>VLOOKUP(H93,'合同高级查询数据-8月返'!A:A,1,FALSE)</f>
        <v>#N/A</v>
      </c>
      <c r="J93" s="35" t="s">
        <v>157</v>
      </c>
      <c r="K93" s="25" t="s">
        <v>601</v>
      </c>
      <c r="L93" s="32" t="s">
        <v>602</v>
      </c>
      <c r="M93" s="25"/>
      <c r="N93" s="47" t="s">
        <v>603</v>
      </c>
      <c r="O93" s="39" t="s">
        <v>604</v>
      </c>
      <c r="P93" s="43">
        <v>6740</v>
      </c>
      <c r="Q93" s="57">
        <v>167.35</v>
      </c>
      <c r="R93" s="54">
        <f t="shared" si="5"/>
        <v>1127939</v>
      </c>
      <c r="S93" s="55">
        <v>202308</v>
      </c>
      <c r="T93" s="56" t="s">
        <v>605</v>
      </c>
      <c r="U93" s="56"/>
      <c r="V93" s="68">
        <v>167.35306925699001</v>
      </c>
      <c r="W93" s="69"/>
      <c r="X93" s="70"/>
      <c r="Y93" s="70"/>
      <c r="Z93" s="25" t="s">
        <v>606</v>
      </c>
      <c r="AA93" s="84">
        <v>0.4</v>
      </c>
      <c r="AB93" s="84">
        <v>400</v>
      </c>
      <c r="AC93" s="84">
        <f>AA93*AB93</f>
        <v>160</v>
      </c>
      <c r="AD93" s="88"/>
      <c r="AF93" s="89"/>
    </row>
    <row r="94" spans="1:32" s="9" customFormat="1" ht="15" customHeight="1">
      <c r="A94" s="25" t="s">
        <v>191</v>
      </c>
      <c r="B94" s="26" t="s">
        <v>137</v>
      </c>
      <c r="C94" s="27" t="s">
        <v>138</v>
      </c>
      <c r="D94" s="27" t="s">
        <v>139</v>
      </c>
      <c r="E94" s="25" t="s">
        <v>607</v>
      </c>
      <c r="F94" s="25" t="s">
        <v>608</v>
      </c>
      <c r="G94" s="25" t="s">
        <v>35</v>
      </c>
      <c r="H94" s="32" t="s">
        <v>609</v>
      </c>
      <c r="I94" s="32" t="e">
        <f>VLOOKUP(H94,'合同高级查询数据-8月返'!A:A,1,FALSE)</f>
        <v>#N/A</v>
      </c>
      <c r="J94" s="35" t="s">
        <v>37</v>
      </c>
      <c r="K94" s="25" t="s">
        <v>610</v>
      </c>
      <c r="L94" s="32" t="s">
        <v>611</v>
      </c>
      <c r="M94" s="25" t="s">
        <v>612</v>
      </c>
      <c r="N94" s="47" t="s">
        <v>613</v>
      </c>
      <c r="O94" s="39" t="s">
        <v>521</v>
      </c>
      <c r="P94" s="43">
        <v>6740</v>
      </c>
      <c r="Q94" s="57"/>
      <c r="R94" s="54">
        <f t="shared" si="5"/>
        <v>0</v>
      </c>
      <c r="S94" s="55">
        <v>202308</v>
      </c>
      <c r="T94" s="56" t="s">
        <v>614</v>
      </c>
      <c r="U94" s="56"/>
      <c r="V94" s="71">
        <v>0</v>
      </c>
      <c r="W94" s="69"/>
      <c r="X94" s="70"/>
      <c r="Y94" s="70"/>
      <c r="Z94" s="25" t="s">
        <v>615</v>
      </c>
      <c r="AA94" s="84" t="s">
        <v>123</v>
      </c>
      <c r="AB94" s="84">
        <v>0</v>
      </c>
      <c r="AC94" s="84">
        <v>0</v>
      </c>
    </row>
    <row r="95" spans="1:32" s="10" customFormat="1" ht="15" customHeight="1">
      <c r="A95" s="28" t="s">
        <v>191</v>
      </c>
      <c r="B95" s="29" t="s">
        <v>137</v>
      </c>
      <c r="C95" s="30" t="s">
        <v>138</v>
      </c>
      <c r="D95" s="30" t="s">
        <v>139</v>
      </c>
      <c r="E95" s="28" t="s">
        <v>616</v>
      </c>
      <c r="F95" s="28" t="s">
        <v>617</v>
      </c>
      <c r="G95" s="28" t="s">
        <v>35</v>
      </c>
      <c r="H95" s="33" t="s">
        <v>618</v>
      </c>
      <c r="I95" s="33" t="e">
        <f>VLOOKUP(H95,'合同高级查询数据-8月返'!A:A,1,FALSE)</f>
        <v>#N/A</v>
      </c>
      <c r="J95" s="38" t="s">
        <v>37</v>
      </c>
      <c r="K95" s="28" t="s">
        <v>619</v>
      </c>
      <c r="L95" s="33" t="s">
        <v>617</v>
      </c>
      <c r="M95" s="28" t="s">
        <v>620</v>
      </c>
      <c r="N95" s="44">
        <v>44927</v>
      </c>
      <c r="O95" s="28" t="s">
        <v>621</v>
      </c>
      <c r="P95" s="45">
        <v>6740</v>
      </c>
      <c r="Q95" s="61">
        <v>88</v>
      </c>
      <c r="R95" s="58">
        <f t="shared" si="5"/>
        <v>593120</v>
      </c>
      <c r="S95" s="59">
        <v>202308</v>
      </c>
      <c r="T95" s="60" t="s">
        <v>622</v>
      </c>
      <c r="U95" s="60"/>
      <c r="V95" s="72">
        <v>84.060166538000004</v>
      </c>
      <c r="W95" s="73"/>
      <c r="X95" s="74">
        <v>44905</v>
      </c>
      <c r="Y95" s="74">
        <v>45269</v>
      </c>
      <c r="Z95" s="28" t="s">
        <v>623</v>
      </c>
      <c r="AA95" s="85">
        <v>0.4</v>
      </c>
      <c r="AB95" s="85">
        <v>220</v>
      </c>
      <c r="AC95" s="85">
        <v>88</v>
      </c>
      <c r="AD95" s="90"/>
      <c r="AF95" s="91"/>
    </row>
    <row r="96" spans="1:32" s="9" customFormat="1" ht="15" customHeight="1">
      <c r="A96" s="25" t="s">
        <v>191</v>
      </c>
      <c r="B96" s="26" t="s">
        <v>137</v>
      </c>
      <c r="C96" s="27" t="s">
        <v>138</v>
      </c>
      <c r="D96" s="27" t="s">
        <v>139</v>
      </c>
      <c r="E96" s="25" t="s">
        <v>624</v>
      </c>
      <c r="F96" s="25" t="s">
        <v>625</v>
      </c>
      <c r="G96" s="25" t="s">
        <v>35</v>
      </c>
      <c r="H96" s="32" t="s">
        <v>626</v>
      </c>
      <c r="I96" s="32" t="e">
        <f>VLOOKUP(H96,'合同高级查询数据-8月返'!A:A,1,FALSE)</f>
        <v>#N/A</v>
      </c>
      <c r="J96" s="35" t="s">
        <v>37</v>
      </c>
      <c r="K96" s="25" t="s">
        <v>627</v>
      </c>
      <c r="L96" s="32" t="s">
        <v>625</v>
      </c>
      <c r="M96" s="25"/>
      <c r="N96" s="42" t="s">
        <v>628</v>
      </c>
      <c r="O96" s="25" t="s">
        <v>629</v>
      </c>
      <c r="P96" s="43">
        <v>6740</v>
      </c>
      <c r="Q96" s="57"/>
      <c r="R96" s="54">
        <f t="shared" si="5"/>
        <v>0</v>
      </c>
      <c r="S96" s="55">
        <v>202308</v>
      </c>
      <c r="T96" s="56" t="s">
        <v>630</v>
      </c>
      <c r="U96" s="56"/>
      <c r="V96" s="71">
        <v>0</v>
      </c>
      <c r="W96" s="69"/>
      <c r="X96" s="70"/>
      <c r="Y96" s="70"/>
      <c r="Z96" s="25" t="s">
        <v>631</v>
      </c>
      <c r="AA96" s="84" t="s">
        <v>123</v>
      </c>
      <c r="AB96" s="84">
        <v>0</v>
      </c>
      <c r="AC96" s="84">
        <v>0</v>
      </c>
    </row>
    <row r="97" spans="1:32" s="9" customFormat="1" ht="15" customHeight="1">
      <c r="A97" s="25" t="s">
        <v>191</v>
      </c>
      <c r="B97" s="26" t="s">
        <v>137</v>
      </c>
      <c r="C97" s="27" t="s">
        <v>138</v>
      </c>
      <c r="D97" s="27" t="s">
        <v>139</v>
      </c>
      <c r="E97" s="25" t="s">
        <v>624</v>
      </c>
      <c r="F97" s="25" t="s">
        <v>625</v>
      </c>
      <c r="G97" s="25" t="s">
        <v>35</v>
      </c>
      <c r="H97" s="32" t="s">
        <v>626</v>
      </c>
      <c r="I97" s="32" t="e">
        <f>VLOOKUP(H97,'合同高级查询数据-8月返'!A:A,1,FALSE)</f>
        <v>#N/A</v>
      </c>
      <c r="J97" s="35" t="s">
        <v>325</v>
      </c>
      <c r="K97" s="25" t="s">
        <v>632</v>
      </c>
      <c r="L97" s="32" t="s">
        <v>633</v>
      </c>
      <c r="M97" s="25"/>
      <c r="N97" s="42" t="s">
        <v>634</v>
      </c>
      <c r="O97" s="25" t="s">
        <v>635</v>
      </c>
      <c r="P97" s="43">
        <v>6740</v>
      </c>
      <c r="Q97" s="57">
        <f>16-13.97</f>
        <v>2.0299999999999994</v>
      </c>
      <c r="R97" s="54">
        <f t="shared" si="5"/>
        <v>13682.2</v>
      </c>
      <c r="S97" s="55">
        <v>202308</v>
      </c>
      <c r="T97" s="56" t="s">
        <v>636</v>
      </c>
      <c r="U97" s="56"/>
      <c r="V97" s="68">
        <v>0.74</v>
      </c>
      <c r="W97" s="69"/>
      <c r="X97" s="70"/>
      <c r="Y97" s="70"/>
      <c r="Z97" s="25" t="s">
        <v>637</v>
      </c>
      <c r="AA97" s="84">
        <v>0.4</v>
      </c>
      <c r="AB97" s="84">
        <v>10</v>
      </c>
      <c r="AC97" s="84">
        <v>4</v>
      </c>
      <c r="AD97" s="88"/>
      <c r="AF97" s="89"/>
    </row>
    <row r="98" spans="1:32" s="9" customFormat="1" ht="15" customHeight="1">
      <c r="A98" s="25" t="s">
        <v>191</v>
      </c>
      <c r="B98" s="26" t="s">
        <v>137</v>
      </c>
      <c r="C98" s="27" t="s">
        <v>138</v>
      </c>
      <c r="D98" s="27" t="s">
        <v>139</v>
      </c>
      <c r="E98" s="25" t="s">
        <v>624</v>
      </c>
      <c r="F98" s="25" t="s">
        <v>625</v>
      </c>
      <c r="G98" s="25" t="s">
        <v>35</v>
      </c>
      <c r="H98" s="32" t="s">
        <v>626</v>
      </c>
      <c r="I98" s="32" t="e">
        <f>VLOOKUP(H98,'合同高级查询数据-8月返'!A:A,1,FALSE)</f>
        <v>#N/A</v>
      </c>
      <c r="J98" s="35" t="s">
        <v>37</v>
      </c>
      <c r="K98" s="25" t="s">
        <v>638</v>
      </c>
      <c r="L98" s="32" t="s">
        <v>639</v>
      </c>
      <c r="M98" s="25"/>
      <c r="N98" s="42" t="s">
        <v>640</v>
      </c>
      <c r="O98" s="25" t="s">
        <v>641</v>
      </c>
      <c r="P98" s="43">
        <v>0</v>
      </c>
      <c r="Q98" s="57"/>
      <c r="R98" s="54">
        <f t="shared" si="5"/>
        <v>0</v>
      </c>
      <c r="S98" s="55">
        <v>202308</v>
      </c>
      <c r="T98" s="56" t="s">
        <v>642</v>
      </c>
      <c r="U98" s="56"/>
      <c r="V98" s="71">
        <v>0</v>
      </c>
      <c r="W98" s="69"/>
      <c r="X98" s="70"/>
      <c r="Y98" s="70"/>
      <c r="Z98" s="25" t="s">
        <v>643</v>
      </c>
      <c r="AA98" s="84" t="s">
        <v>123</v>
      </c>
      <c r="AB98" s="84">
        <v>0</v>
      </c>
      <c r="AC98" s="84">
        <v>0</v>
      </c>
    </row>
    <row r="99" spans="1:32" s="9" customFormat="1" ht="15" customHeight="1">
      <c r="A99" s="25" t="s">
        <v>191</v>
      </c>
      <c r="B99" s="26" t="s">
        <v>137</v>
      </c>
      <c r="C99" s="27" t="s">
        <v>138</v>
      </c>
      <c r="D99" s="27" t="s">
        <v>139</v>
      </c>
      <c r="E99" s="25" t="s">
        <v>624</v>
      </c>
      <c r="F99" s="25" t="s">
        <v>625</v>
      </c>
      <c r="G99" s="25" t="s">
        <v>35</v>
      </c>
      <c r="H99" s="32" t="s">
        <v>626</v>
      </c>
      <c r="I99" s="32" t="e">
        <f>VLOOKUP(H99,'合同高级查询数据-8月返'!A:A,1,FALSE)</f>
        <v>#N/A</v>
      </c>
      <c r="J99" s="35" t="s">
        <v>37</v>
      </c>
      <c r="K99" s="25" t="s">
        <v>644</v>
      </c>
      <c r="L99" s="32" t="s">
        <v>645</v>
      </c>
      <c r="M99" s="25"/>
      <c r="N99" s="42" t="s">
        <v>646</v>
      </c>
      <c r="O99" s="25" t="s">
        <v>647</v>
      </c>
      <c r="P99" s="43">
        <v>6740</v>
      </c>
      <c r="Q99" s="57">
        <v>13.97</v>
      </c>
      <c r="R99" s="54">
        <f t="shared" si="5"/>
        <v>94157.8</v>
      </c>
      <c r="S99" s="55">
        <v>202308</v>
      </c>
      <c r="T99" s="56" t="s">
        <v>648</v>
      </c>
      <c r="U99" s="56"/>
      <c r="V99" s="68">
        <v>13.973480224999999</v>
      </c>
      <c r="W99" s="69"/>
      <c r="X99" s="70"/>
      <c r="Y99" s="70"/>
      <c r="Z99" s="25" t="s">
        <v>649</v>
      </c>
      <c r="AA99" s="84">
        <v>0.4</v>
      </c>
      <c r="AB99" s="84">
        <v>30</v>
      </c>
      <c r="AC99" s="84">
        <v>12</v>
      </c>
      <c r="AD99" s="88"/>
      <c r="AF99" s="89"/>
    </row>
    <row r="100" spans="1:32" s="9" customFormat="1" ht="15" customHeight="1">
      <c r="A100" s="25" t="s">
        <v>191</v>
      </c>
      <c r="B100" s="26" t="s">
        <v>137</v>
      </c>
      <c r="C100" s="27" t="s">
        <v>138</v>
      </c>
      <c r="D100" s="27" t="s">
        <v>139</v>
      </c>
      <c r="E100" s="25" t="s">
        <v>650</v>
      </c>
      <c r="F100" s="25" t="s">
        <v>651</v>
      </c>
      <c r="G100" s="25" t="s">
        <v>35</v>
      </c>
      <c r="H100" s="32" t="s">
        <v>652</v>
      </c>
      <c r="I100" s="32" t="e">
        <f>VLOOKUP(H100,'合同高级查询数据-8月返'!A:A,1,FALSE)</f>
        <v>#N/A</v>
      </c>
      <c r="J100" s="35" t="s">
        <v>37</v>
      </c>
      <c r="K100" s="25" t="s">
        <v>653</v>
      </c>
      <c r="L100" s="32" t="s">
        <v>651</v>
      </c>
      <c r="M100" s="25"/>
      <c r="N100" s="42" t="s">
        <v>654</v>
      </c>
      <c r="O100" s="39" t="s">
        <v>655</v>
      </c>
      <c r="P100" s="43">
        <v>6740</v>
      </c>
      <c r="Q100" s="57">
        <v>100.49</v>
      </c>
      <c r="R100" s="54">
        <f t="shared" si="5"/>
        <v>677302.6</v>
      </c>
      <c r="S100" s="55">
        <v>202308</v>
      </c>
      <c r="T100" s="56" t="s">
        <v>656</v>
      </c>
      <c r="U100" s="56"/>
      <c r="V100" s="68">
        <v>100.486678689</v>
      </c>
      <c r="W100" s="69"/>
      <c r="X100" s="70"/>
      <c r="Y100" s="70"/>
      <c r="Z100" s="25" t="s">
        <v>657</v>
      </c>
      <c r="AA100" s="84">
        <v>0.4</v>
      </c>
      <c r="AB100" s="84">
        <v>200</v>
      </c>
      <c r="AC100" s="84">
        <v>80</v>
      </c>
      <c r="AD100" s="88"/>
      <c r="AF100" s="89"/>
    </row>
    <row r="101" spans="1:32" s="9" customFormat="1" ht="15" customHeight="1">
      <c r="A101" s="25" t="s">
        <v>191</v>
      </c>
      <c r="B101" s="26" t="s">
        <v>137</v>
      </c>
      <c r="C101" s="27" t="s">
        <v>138</v>
      </c>
      <c r="D101" s="27" t="s">
        <v>139</v>
      </c>
      <c r="E101" s="25" t="s">
        <v>650</v>
      </c>
      <c r="F101" s="25" t="s">
        <v>651</v>
      </c>
      <c r="G101" s="25" t="s">
        <v>35</v>
      </c>
      <c r="H101" s="32" t="s">
        <v>658</v>
      </c>
      <c r="I101" s="32" t="e">
        <f>VLOOKUP(H101,'合同高级查询数据-8月返'!A:A,1,FALSE)</f>
        <v>#N/A</v>
      </c>
      <c r="J101" s="35" t="s">
        <v>37</v>
      </c>
      <c r="K101" s="25" t="s">
        <v>653</v>
      </c>
      <c r="L101" s="32" t="s">
        <v>659</v>
      </c>
      <c r="M101" s="25" t="s">
        <v>660</v>
      </c>
      <c r="N101" s="42">
        <v>44835</v>
      </c>
      <c r="O101" s="25" t="s">
        <v>467</v>
      </c>
      <c r="P101" s="43">
        <v>6740</v>
      </c>
      <c r="Q101" s="57">
        <v>121.7</v>
      </c>
      <c r="R101" s="54">
        <f t="shared" si="5"/>
        <v>820258</v>
      </c>
      <c r="S101" s="55">
        <v>202308</v>
      </c>
      <c r="T101" s="56" t="s">
        <v>661</v>
      </c>
      <c r="U101" s="56"/>
      <c r="V101" s="68">
        <v>121.703483581</v>
      </c>
      <c r="W101" s="69"/>
      <c r="X101" s="70"/>
      <c r="Y101" s="70"/>
      <c r="Z101" s="25" t="s">
        <v>662</v>
      </c>
      <c r="AA101" s="84">
        <v>0.4</v>
      </c>
      <c r="AB101" s="84">
        <v>300</v>
      </c>
      <c r="AC101" s="84">
        <v>120</v>
      </c>
      <c r="AD101" s="88"/>
      <c r="AF101" s="89"/>
    </row>
    <row r="102" spans="1:32" s="9" customFormat="1" ht="15" customHeight="1">
      <c r="A102" s="25" t="s">
        <v>191</v>
      </c>
      <c r="B102" s="26" t="s">
        <v>137</v>
      </c>
      <c r="C102" s="27" t="s">
        <v>138</v>
      </c>
      <c r="D102" s="27" t="s">
        <v>139</v>
      </c>
      <c r="E102" s="25" t="s">
        <v>663</v>
      </c>
      <c r="F102" s="25" t="s">
        <v>664</v>
      </c>
      <c r="G102" s="25" t="s">
        <v>35</v>
      </c>
      <c r="H102" s="32" t="s">
        <v>665</v>
      </c>
      <c r="I102" s="32" t="e">
        <f>VLOOKUP(H102,'合同高级查询数据-8月返'!A:A,1,FALSE)</f>
        <v>#N/A</v>
      </c>
      <c r="J102" s="35" t="s">
        <v>37</v>
      </c>
      <c r="K102" s="25" t="s">
        <v>666</v>
      </c>
      <c r="L102" s="32" t="s">
        <v>664</v>
      </c>
      <c r="M102" s="25"/>
      <c r="N102" s="42" t="s">
        <v>667</v>
      </c>
      <c r="O102" s="25" t="s">
        <v>668</v>
      </c>
      <c r="P102" s="43">
        <v>6740</v>
      </c>
      <c r="Q102" s="57"/>
      <c r="R102" s="54">
        <f t="shared" si="5"/>
        <v>0</v>
      </c>
      <c r="S102" s="55">
        <v>202308</v>
      </c>
      <c r="T102" s="56" t="s">
        <v>669</v>
      </c>
      <c r="U102" s="56"/>
      <c r="V102" s="71">
        <v>0</v>
      </c>
      <c r="W102" s="69"/>
      <c r="X102" s="70"/>
      <c r="Y102" s="70"/>
      <c r="Z102" s="25" t="s">
        <v>670</v>
      </c>
      <c r="AA102" s="84" t="s">
        <v>123</v>
      </c>
      <c r="AB102" s="84">
        <v>0</v>
      </c>
      <c r="AC102" s="84">
        <v>0</v>
      </c>
    </row>
    <row r="103" spans="1:32" s="9" customFormat="1" ht="15" customHeight="1">
      <c r="A103" s="25" t="s">
        <v>191</v>
      </c>
      <c r="B103" s="26" t="s">
        <v>137</v>
      </c>
      <c r="C103" s="27" t="s">
        <v>138</v>
      </c>
      <c r="D103" s="27" t="s">
        <v>139</v>
      </c>
      <c r="E103" s="25" t="s">
        <v>663</v>
      </c>
      <c r="F103" s="25" t="s">
        <v>664</v>
      </c>
      <c r="G103" s="25" t="s">
        <v>35</v>
      </c>
      <c r="H103" s="32" t="s">
        <v>665</v>
      </c>
      <c r="I103" s="32" t="e">
        <f>VLOOKUP(H103,'合同高级查询数据-8月返'!A:A,1,FALSE)</f>
        <v>#N/A</v>
      </c>
      <c r="J103" s="35" t="s">
        <v>37</v>
      </c>
      <c r="K103" s="25" t="s">
        <v>671</v>
      </c>
      <c r="L103" s="32" t="s">
        <v>672</v>
      </c>
      <c r="M103" s="25"/>
      <c r="N103" s="42" t="s">
        <v>673</v>
      </c>
      <c r="O103" s="39" t="s">
        <v>674</v>
      </c>
      <c r="P103" s="43">
        <v>6740</v>
      </c>
      <c r="Q103" s="57">
        <v>147.18</v>
      </c>
      <c r="R103" s="54">
        <f t="shared" si="5"/>
        <v>991993.2</v>
      </c>
      <c r="S103" s="55">
        <v>202308</v>
      </c>
      <c r="T103" s="56" t="s">
        <v>675</v>
      </c>
      <c r="U103" s="56"/>
      <c r="V103" s="68">
        <v>147.183517456</v>
      </c>
      <c r="W103" s="69"/>
      <c r="X103" s="70"/>
      <c r="Y103" s="70"/>
      <c r="Z103" s="25" t="s">
        <v>676</v>
      </c>
      <c r="AA103" s="84">
        <v>0.4</v>
      </c>
      <c r="AB103" s="84">
        <v>340</v>
      </c>
      <c r="AC103" s="84">
        <v>136</v>
      </c>
      <c r="AD103" s="88"/>
      <c r="AF103" s="89"/>
    </row>
    <row r="104" spans="1:32" s="9" customFormat="1" ht="15" customHeight="1">
      <c r="A104" s="25" t="s">
        <v>191</v>
      </c>
      <c r="B104" s="26" t="s">
        <v>137</v>
      </c>
      <c r="C104" s="27" t="s">
        <v>138</v>
      </c>
      <c r="D104" s="27" t="s">
        <v>139</v>
      </c>
      <c r="E104" s="25" t="s">
        <v>663</v>
      </c>
      <c r="F104" s="25" t="s">
        <v>664</v>
      </c>
      <c r="G104" s="25" t="s">
        <v>35</v>
      </c>
      <c r="H104" s="32" t="s">
        <v>665</v>
      </c>
      <c r="I104" s="32" t="e">
        <f>VLOOKUP(H104,'合同高级查询数据-8月返'!A:A,1,FALSE)</f>
        <v>#N/A</v>
      </c>
      <c r="J104" s="35" t="s">
        <v>37</v>
      </c>
      <c r="K104" s="25" t="s">
        <v>677</v>
      </c>
      <c r="L104" s="32" t="s">
        <v>678</v>
      </c>
      <c r="M104" s="25"/>
      <c r="N104" s="42" t="s">
        <v>679</v>
      </c>
      <c r="O104" s="39" t="s">
        <v>680</v>
      </c>
      <c r="P104" s="43">
        <v>6740</v>
      </c>
      <c r="Q104" s="57">
        <v>8</v>
      </c>
      <c r="R104" s="54">
        <f t="shared" si="5"/>
        <v>53920</v>
      </c>
      <c r="S104" s="55">
        <v>202308</v>
      </c>
      <c r="T104" s="56" t="s">
        <v>681</v>
      </c>
      <c r="U104" s="56"/>
      <c r="V104" s="68">
        <v>7.8667926789999996</v>
      </c>
      <c r="W104" s="69"/>
      <c r="X104" s="70"/>
      <c r="Y104" s="70"/>
      <c r="Z104" s="25" t="s">
        <v>682</v>
      </c>
      <c r="AA104" s="84">
        <v>0.4</v>
      </c>
      <c r="AB104" s="86">
        <v>20</v>
      </c>
      <c r="AC104" s="84">
        <v>8</v>
      </c>
      <c r="AD104" s="88"/>
      <c r="AF104" s="89"/>
    </row>
    <row r="105" spans="1:32" s="9" customFormat="1" ht="15" customHeight="1">
      <c r="A105" s="25" t="s">
        <v>191</v>
      </c>
      <c r="B105" s="26" t="s">
        <v>137</v>
      </c>
      <c r="C105" s="27" t="s">
        <v>302</v>
      </c>
      <c r="D105" s="26" t="s">
        <v>303</v>
      </c>
      <c r="E105" s="25" t="s">
        <v>683</v>
      </c>
      <c r="F105" s="25" t="s">
        <v>684</v>
      </c>
      <c r="G105" s="25" t="s">
        <v>35</v>
      </c>
      <c r="H105" s="32" t="s">
        <v>685</v>
      </c>
      <c r="I105" s="32" t="e">
        <f>VLOOKUP(H105,'合同高级查询数据-8月返'!A:A,1,FALSE)</f>
        <v>#N/A</v>
      </c>
      <c r="J105" s="35" t="s">
        <v>37</v>
      </c>
      <c r="K105" s="25" t="s">
        <v>686</v>
      </c>
      <c r="L105" s="32" t="s">
        <v>687</v>
      </c>
      <c r="M105" s="25"/>
      <c r="N105" s="42" t="s">
        <v>688</v>
      </c>
      <c r="O105" s="39" t="s">
        <v>689</v>
      </c>
      <c r="P105" s="43">
        <v>6740</v>
      </c>
      <c r="Q105" s="57">
        <v>213.21</v>
      </c>
      <c r="R105" s="54">
        <f t="shared" si="5"/>
        <v>1437035.4</v>
      </c>
      <c r="S105" s="55">
        <v>202308</v>
      </c>
      <c r="T105" s="56" t="s">
        <v>690</v>
      </c>
      <c r="U105" s="56"/>
      <c r="V105" s="68">
        <v>213.20602417000001</v>
      </c>
      <c r="W105" s="69"/>
      <c r="X105" s="70"/>
      <c r="Y105" s="70"/>
      <c r="Z105" s="25" t="s">
        <v>691</v>
      </c>
      <c r="AA105" s="84">
        <v>0.4</v>
      </c>
      <c r="AB105" s="84">
        <v>500</v>
      </c>
      <c r="AC105" s="84">
        <v>200</v>
      </c>
      <c r="AD105" s="88"/>
      <c r="AF105" s="89"/>
    </row>
    <row r="106" spans="1:32" s="10" customFormat="1" ht="15" customHeight="1">
      <c r="A106" s="28" t="s">
        <v>191</v>
      </c>
      <c r="B106" s="29" t="s">
        <v>137</v>
      </c>
      <c r="C106" s="30" t="s">
        <v>302</v>
      </c>
      <c r="D106" s="29" t="s">
        <v>303</v>
      </c>
      <c r="E106" s="28" t="s">
        <v>683</v>
      </c>
      <c r="F106" s="28" t="s">
        <v>684</v>
      </c>
      <c r="G106" s="28" t="s">
        <v>35</v>
      </c>
      <c r="H106" s="33" t="s">
        <v>692</v>
      </c>
      <c r="I106" s="33" t="e">
        <f>VLOOKUP(H106,'合同高级查询数据-8月返'!A:A,1,FALSE)</f>
        <v>#N/A</v>
      </c>
      <c r="J106" s="38" t="s">
        <v>76</v>
      </c>
      <c r="K106" s="28" t="s">
        <v>693</v>
      </c>
      <c r="L106" s="33" t="s">
        <v>694</v>
      </c>
      <c r="M106" s="28"/>
      <c r="N106" s="44">
        <v>42522</v>
      </c>
      <c r="O106" s="28" t="s">
        <v>146</v>
      </c>
      <c r="P106" s="45">
        <v>20000</v>
      </c>
      <c r="Q106" s="61">
        <v>4</v>
      </c>
      <c r="R106" s="58">
        <f t="shared" si="5"/>
        <v>80000</v>
      </c>
      <c r="S106" s="59">
        <v>202308</v>
      </c>
      <c r="T106" s="60" t="s">
        <v>695</v>
      </c>
      <c r="U106" s="60"/>
      <c r="V106" s="72">
        <v>0.91918535344302998</v>
      </c>
      <c r="W106" s="73"/>
      <c r="X106" s="74">
        <v>44378</v>
      </c>
      <c r="Y106" s="74">
        <v>45473</v>
      </c>
      <c r="Z106" s="28" t="s">
        <v>696</v>
      </c>
      <c r="AA106" s="85">
        <v>0.2</v>
      </c>
      <c r="AB106" s="85">
        <v>20</v>
      </c>
      <c r="AC106" s="85">
        <v>4</v>
      </c>
      <c r="AD106" s="90"/>
      <c r="AF106" s="91"/>
    </row>
    <row r="107" spans="1:32" s="9" customFormat="1" ht="15" customHeight="1">
      <c r="A107" s="25" t="s">
        <v>191</v>
      </c>
      <c r="B107" s="26" t="s">
        <v>137</v>
      </c>
      <c r="C107" s="27" t="s">
        <v>302</v>
      </c>
      <c r="D107" s="26" t="s">
        <v>303</v>
      </c>
      <c r="E107" s="25" t="s">
        <v>683</v>
      </c>
      <c r="F107" s="25" t="s">
        <v>684</v>
      </c>
      <c r="G107" s="25" t="s">
        <v>35</v>
      </c>
      <c r="H107" s="32" t="s">
        <v>685</v>
      </c>
      <c r="I107" s="32" t="e">
        <f>VLOOKUP(H107,'合同高级查询数据-8月返'!A:A,1,FALSE)</f>
        <v>#N/A</v>
      </c>
      <c r="J107" s="35" t="s">
        <v>37</v>
      </c>
      <c r="K107" s="25" t="s">
        <v>697</v>
      </c>
      <c r="L107" s="32" t="s">
        <v>697</v>
      </c>
      <c r="M107" s="25" t="s">
        <v>698</v>
      </c>
      <c r="N107" s="42">
        <v>44839</v>
      </c>
      <c r="O107" s="25" t="s">
        <v>319</v>
      </c>
      <c r="P107" s="43">
        <v>6740</v>
      </c>
      <c r="Q107" s="57">
        <v>80</v>
      </c>
      <c r="R107" s="54">
        <f t="shared" si="5"/>
        <v>539200</v>
      </c>
      <c r="S107" s="55">
        <v>202308</v>
      </c>
      <c r="T107" s="56" t="s">
        <v>699</v>
      </c>
      <c r="U107" s="56"/>
      <c r="V107" s="68">
        <v>73.138232228000007</v>
      </c>
      <c r="W107" s="69"/>
      <c r="X107" s="70"/>
      <c r="Y107" s="70"/>
      <c r="Z107" s="25" t="s">
        <v>700</v>
      </c>
      <c r="AA107" s="84">
        <v>0.4</v>
      </c>
      <c r="AB107" s="84">
        <v>200</v>
      </c>
      <c r="AC107" s="84">
        <v>80</v>
      </c>
      <c r="AD107" s="88"/>
      <c r="AF107" s="89"/>
    </row>
    <row r="108" spans="1:32" s="9" customFormat="1" ht="15" customHeight="1">
      <c r="A108" s="25" t="s">
        <v>191</v>
      </c>
      <c r="B108" s="26" t="s">
        <v>137</v>
      </c>
      <c r="C108" s="27" t="s">
        <v>302</v>
      </c>
      <c r="D108" s="26" t="s">
        <v>303</v>
      </c>
      <c r="E108" s="25" t="s">
        <v>701</v>
      </c>
      <c r="F108" s="25" t="s">
        <v>702</v>
      </c>
      <c r="G108" s="25" t="s">
        <v>35</v>
      </c>
      <c r="H108" s="32" t="s">
        <v>703</v>
      </c>
      <c r="I108" s="32" t="e">
        <f>VLOOKUP(H108,'合同高级查询数据-8月返'!A:A,1,FALSE)</f>
        <v>#N/A</v>
      </c>
      <c r="J108" s="35" t="s">
        <v>37</v>
      </c>
      <c r="K108" s="32" t="s">
        <v>704</v>
      </c>
      <c r="L108" s="32" t="s">
        <v>704</v>
      </c>
      <c r="M108" s="25"/>
      <c r="N108" s="47" t="s">
        <v>705</v>
      </c>
      <c r="O108" s="39" t="s">
        <v>706</v>
      </c>
      <c r="P108" s="43">
        <v>6740</v>
      </c>
      <c r="Q108" s="57">
        <v>61.6</v>
      </c>
      <c r="R108" s="54">
        <f t="shared" si="5"/>
        <v>415184</v>
      </c>
      <c r="S108" s="55">
        <v>202308</v>
      </c>
      <c r="T108" s="56" t="s">
        <v>707</v>
      </c>
      <c r="U108" s="56"/>
      <c r="V108" s="68">
        <v>61.599693297999998</v>
      </c>
      <c r="W108" s="69"/>
      <c r="X108" s="70"/>
      <c r="Y108" s="70"/>
      <c r="Z108" s="25" t="s">
        <v>708</v>
      </c>
      <c r="AA108" s="84">
        <v>0.4</v>
      </c>
      <c r="AB108" s="84">
        <v>150</v>
      </c>
      <c r="AC108" s="84">
        <f>AA108*AB108</f>
        <v>60</v>
      </c>
      <c r="AD108" s="88"/>
      <c r="AF108" s="89"/>
    </row>
    <row r="109" spans="1:32" s="9" customFormat="1" ht="15" customHeight="1">
      <c r="A109" s="25" t="s">
        <v>191</v>
      </c>
      <c r="B109" s="26" t="s">
        <v>137</v>
      </c>
      <c r="C109" s="27" t="s">
        <v>302</v>
      </c>
      <c r="D109" s="26" t="s">
        <v>303</v>
      </c>
      <c r="E109" s="25" t="s">
        <v>701</v>
      </c>
      <c r="F109" s="25" t="s">
        <v>702</v>
      </c>
      <c r="G109" s="25" t="s">
        <v>35</v>
      </c>
      <c r="H109" s="32" t="s">
        <v>709</v>
      </c>
      <c r="I109" s="32" t="e">
        <f>VLOOKUP(H109,'合同高级查询数据-8月返'!A:A,1,FALSE)</f>
        <v>#N/A</v>
      </c>
      <c r="J109" s="35" t="s">
        <v>37</v>
      </c>
      <c r="K109" s="32" t="s">
        <v>710</v>
      </c>
      <c r="L109" s="32" t="s">
        <v>710</v>
      </c>
      <c r="M109" s="25"/>
      <c r="N109" s="42">
        <v>45121</v>
      </c>
      <c r="O109" s="39" t="s">
        <v>711</v>
      </c>
      <c r="P109" s="43">
        <v>6740</v>
      </c>
      <c r="Q109" s="57">
        <v>61.2</v>
      </c>
      <c r="R109" s="54">
        <f t="shared" si="5"/>
        <v>412488</v>
      </c>
      <c r="S109" s="55">
        <v>202308</v>
      </c>
      <c r="T109" s="56" t="s">
        <v>712</v>
      </c>
      <c r="U109" s="56"/>
      <c r="V109" s="68">
        <v>61.201461792000003</v>
      </c>
      <c r="W109" s="69"/>
      <c r="X109" s="70"/>
      <c r="Y109" s="70"/>
      <c r="Z109" s="25" t="s">
        <v>713</v>
      </c>
      <c r="AA109" s="84">
        <v>0.4</v>
      </c>
      <c r="AB109" s="84">
        <v>150</v>
      </c>
      <c r="AC109" s="84">
        <f>AA109*AB109</f>
        <v>60</v>
      </c>
      <c r="AD109" s="88"/>
      <c r="AF109" s="89"/>
    </row>
    <row r="110" spans="1:32" s="9" customFormat="1" ht="15" customHeight="1">
      <c r="A110" s="25" t="s">
        <v>191</v>
      </c>
      <c r="B110" s="26" t="s">
        <v>137</v>
      </c>
      <c r="C110" s="27" t="s">
        <v>302</v>
      </c>
      <c r="D110" s="26" t="s">
        <v>303</v>
      </c>
      <c r="E110" s="25" t="s">
        <v>701</v>
      </c>
      <c r="F110" s="25" t="s">
        <v>702</v>
      </c>
      <c r="G110" s="25" t="s">
        <v>35</v>
      </c>
      <c r="H110" s="32" t="s">
        <v>703</v>
      </c>
      <c r="I110" s="32" t="e">
        <f>VLOOKUP(H110,'合同高级查询数据-8月返'!A:A,1,FALSE)</f>
        <v>#N/A</v>
      </c>
      <c r="J110" s="35" t="s">
        <v>37</v>
      </c>
      <c r="K110" s="25" t="s">
        <v>714</v>
      </c>
      <c r="L110" s="32" t="s">
        <v>715</v>
      </c>
      <c r="M110" s="25"/>
      <c r="N110" s="42">
        <v>44228</v>
      </c>
      <c r="O110" s="25" t="s">
        <v>319</v>
      </c>
      <c r="P110" s="43">
        <v>6740</v>
      </c>
      <c r="Q110" s="57">
        <v>81.99</v>
      </c>
      <c r="R110" s="54">
        <f t="shared" si="5"/>
        <v>552612.6</v>
      </c>
      <c r="S110" s="55">
        <v>202308</v>
      </c>
      <c r="T110" s="56" t="s">
        <v>716</v>
      </c>
      <c r="U110" s="56"/>
      <c r="V110" s="68">
        <v>81.989471436000002</v>
      </c>
      <c r="W110" s="69"/>
      <c r="X110" s="70"/>
      <c r="Y110" s="70"/>
      <c r="Z110" s="25" t="s">
        <v>717</v>
      </c>
      <c r="AA110" s="84">
        <v>0.4</v>
      </c>
      <c r="AB110" s="84">
        <v>200</v>
      </c>
      <c r="AC110" s="84">
        <v>80</v>
      </c>
      <c r="AD110" s="88"/>
      <c r="AF110" s="89"/>
    </row>
    <row r="111" spans="1:32" s="9" customFormat="1" ht="15" customHeight="1">
      <c r="A111" s="25" t="s">
        <v>191</v>
      </c>
      <c r="B111" s="26" t="s">
        <v>137</v>
      </c>
      <c r="C111" s="27" t="s">
        <v>302</v>
      </c>
      <c r="D111" s="26" t="s">
        <v>303</v>
      </c>
      <c r="E111" s="25" t="s">
        <v>718</v>
      </c>
      <c r="F111" s="25" t="s">
        <v>719</v>
      </c>
      <c r="G111" s="25" t="s">
        <v>35</v>
      </c>
      <c r="H111" s="32" t="s">
        <v>720</v>
      </c>
      <c r="I111" s="32" t="e">
        <f>VLOOKUP(H111,'合同高级查询数据-8月返'!A:A,1,FALSE)</f>
        <v>#N/A</v>
      </c>
      <c r="J111" s="35" t="s">
        <v>37</v>
      </c>
      <c r="K111" s="25" t="s">
        <v>721</v>
      </c>
      <c r="L111" s="32" t="s">
        <v>722</v>
      </c>
      <c r="M111" s="25" t="s">
        <v>723</v>
      </c>
      <c r="N111" s="42">
        <v>44967</v>
      </c>
      <c r="O111" s="25" t="s">
        <v>724</v>
      </c>
      <c r="P111" s="43">
        <v>6740</v>
      </c>
      <c r="Q111" s="57">
        <v>306.95</v>
      </c>
      <c r="R111" s="54">
        <f t="shared" si="5"/>
        <v>2068843</v>
      </c>
      <c r="S111" s="55">
        <v>202308</v>
      </c>
      <c r="T111" s="56" t="s">
        <v>725</v>
      </c>
      <c r="U111" s="56"/>
      <c r="V111" s="68">
        <v>306.94718768600001</v>
      </c>
      <c r="W111" s="69"/>
      <c r="X111" s="70"/>
      <c r="Y111" s="70"/>
      <c r="Z111" s="25" t="s">
        <v>726</v>
      </c>
      <c r="AA111" s="84">
        <v>0.4</v>
      </c>
      <c r="AB111" s="84">
        <v>600</v>
      </c>
      <c r="AC111" s="84">
        <f>AA111*AB111</f>
        <v>240</v>
      </c>
      <c r="AD111" s="88"/>
      <c r="AF111" s="89"/>
    </row>
    <row r="112" spans="1:32" s="9" customFormat="1" ht="15" customHeight="1">
      <c r="A112" s="26" t="s">
        <v>191</v>
      </c>
      <c r="B112" s="27" t="s">
        <v>137</v>
      </c>
      <c r="C112" s="26" t="s">
        <v>302</v>
      </c>
      <c r="D112" s="26" t="s">
        <v>303</v>
      </c>
      <c r="E112" s="26" t="s">
        <v>727</v>
      </c>
      <c r="F112" s="26" t="s">
        <v>728</v>
      </c>
      <c r="G112" s="96" t="s">
        <v>35</v>
      </c>
      <c r="H112" s="32" t="s">
        <v>729</v>
      </c>
      <c r="I112" s="32" t="e">
        <f>VLOOKUP(H112,'合同高级查询数据-8月返'!A:A,1,FALSE)</f>
        <v>#N/A</v>
      </c>
      <c r="J112" s="97" t="s">
        <v>37</v>
      </c>
      <c r="K112" s="97" t="s">
        <v>730</v>
      </c>
      <c r="L112" s="32" t="s">
        <v>731</v>
      </c>
      <c r="M112" s="49" t="s">
        <v>732</v>
      </c>
      <c r="N112" s="102">
        <v>45022</v>
      </c>
      <c r="O112" s="103" t="s">
        <v>319</v>
      </c>
      <c r="P112" s="104">
        <v>6740</v>
      </c>
      <c r="Q112" s="104">
        <v>82.42</v>
      </c>
      <c r="R112" s="63">
        <f t="shared" si="5"/>
        <v>555510.80000000005</v>
      </c>
      <c r="S112" s="55">
        <v>202308</v>
      </c>
      <c r="T112" s="112" t="s">
        <v>733</v>
      </c>
      <c r="U112" s="112"/>
      <c r="V112" s="68">
        <v>82.422973632999998</v>
      </c>
      <c r="W112" s="79"/>
      <c r="X112" s="70"/>
      <c r="Y112" s="70"/>
      <c r="Z112" s="25" t="s">
        <v>734</v>
      </c>
      <c r="AA112" s="121">
        <v>0.4</v>
      </c>
      <c r="AB112" s="121">
        <v>200</v>
      </c>
      <c r="AC112" s="121">
        <f>AA112*AB112</f>
        <v>80</v>
      </c>
      <c r="AD112" s="88"/>
      <c r="AF112" s="89"/>
    </row>
    <row r="113" spans="1:32" s="9" customFormat="1" ht="15" customHeight="1">
      <c r="A113" s="25" t="s">
        <v>191</v>
      </c>
      <c r="B113" s="26" t="s">
        <v>137</v>
      </c>
      <c r="C113" s="27" t="s">
        <v>429</v>
      </c>
      <c r="D113" s="27" t="s">
        <v>139</v>
      </c>
      <c r="E113" s="25" t="s">
        <v>735</v>
      </c>
      <c r="F113" s="25" t="s">
        <v>736</v>
      </c>
      <c r="G113" s="25" t="s">
        <v>35</v>
      </c>
      <c r="H113" s="32" t="s">
        <v>737</v>
      </c>
      <c r="I113" s="32" t="e">
        <f>VLOOKUP(H113,'合同高级查询数据-8月返'!A:A,1,FALSE)</f>
        <v>#N/A</v>
      </c>
      <c r="J113" s="35" t="s">
        <v>37</v>
      </c>
      <c r="K113" s="25" t="s">
        <v>429</v>
      </c>
      <c r="L113" s="32" t="s">
        <v>738</v>
      </c>
      <c r="M113" s="25" t="s">
        <v>739</v>
      </c>
      <c r="N113" s="42" t="s">
        <v>740</v>
      </c>
      <c r="O113" s="25" t="s">
        <v>741</v>
      </c>
      <c r="P113" s="43">
        <v>15000</v>
      </c>
      <c r="Q113" s="57">
        <v>8.48</v>
      </c>
      <c r="R113" s="54">
        <f t="shared" si="5"/>
        <v>127200</v>
      </c>
      <c r="S113" s="55">
        <v>202308</v>
      </c>
      <c r="T113" s="62" t="s">
        <v>742</v>
      </c>
      <c r="U113" s="56"/>
      <c r="V113" s="68">
        <v>8.4845218659999997</v>
      </c>
      <c r="W113" s="69"/>
      <c r="X113" s="70"/>
      <c r="Y113" s="70"/>
      <c r="Z113" s="25" t="s">
        <v>743</v>
      </c>
      <c r="AA113" s="84">
        <v>0.4</v>
      </c>
      <c r="AB113" s="84">
        <v>20</v>
      </c>
      <c r="AC113" s="84">
        <v>8</v>
      </c>
      <c r="AD113" s="88"/>
      <c r="AF113" s="89"/>
    </row>
    <row r="114" spans="1:32" s="9" customFormat="1" ht="15" customHeight="1">
      <c r="A114" s="25" t="s">
        <v>191</v>
      </c>
      <c r="B114" s="26" t="s">
        <v>137</v>
      </c>
      <c r="C114" s="27" t="s">
        <v>429</v>
      </c>
      <c r="D114" s="26" t="s">
        <v>139</v>
      </c>
      <c r="E114" s="25" t="s">
        <v>735</v>
      </c>
      <c r="F114" s="25" t="s">
        <v>736</v>
      </c>
      <c r="G114" s="25" t="s">
        <v>35</v>
      </c>
      <c r="H114" s="32" t="s">
        <v>744</v>
      </c>
      <c r="I114" s="32" t="e">
        <f>VLOOKUP(H114,'合同高级查询数据-8月返'!A:A,1,FALSE)</f>
        <v>#N/A</v>
      </c>
      <c r="J114" s="35" t="s">
        <v>157</v>
      </c>
      <c r="K114" s="25" t="s">
        <v>745</v>
      </c>
      <c r="L114" s="32" t="s">
        <v>736</v>
      </c>
      <c r="M114" s="25"/>
      <c r="N114" s="42" t="s">
        <v>746</v>
      </c>
      <c r="O114" s="25" t="s">
        <v>747</v>
      </c>
      <c r="P114" s="43">
        <v>19800</v>
      </c>
      <c r="Q114" s="57"/>
      <c r="R114" s="54">
        <f t="shared" si="5"/>
        <v>0</v>
      </c>
      <c r="S114" s="55">
        <v>202308</v>
      </c>
      <c r="T114" s="56" t="s">
        <v>748</v>
      </c>
      <c r="U114" s="56"/>
      <c r="V114" s="71">
        <v>0</v>
      </c>
      <c r="W114" s="69"/>
      <c r="X114" s="70"/>
      <c r="Y114" s="70"/>
      <c r="Z114" s="25" t="s">
        <v>749</v>
      </c>
      <c r="AA114" s="84" t="s">
        <v>123</v>
      </c>
      <c r="AB114" s="84">
        <v>0</v>
      </c>
      <c r="AC114" s="84">
        <v>0</v>
      </c>
    </row>
    <row r="115" spans="1:32" s="9" customFormat="1" ht="15" customHeight="1">
      <c r="A115" s="92" t="s">
        <v>750</v>
      </c>
      <c r="B115" s="26" t="s">
        <v>137</v>
      </c>
      <c r="C115" s="93" t="s">
        <v>751</v>
      </c>
      <c r="D115" s="27" t="s">
        <v>139</v>
      </c>
      <c r="E115" s="92" t="s">
        <v>752</v>
      </c>
      <c r="F115" s="92" t="s">
        <v>753</v>
      </c>
      <c r="G115" s="32" t="s">
        <v>35</v>
      </c>
      <c r="H115" s="32" t="s">
        <v>754</v>
      </c>
      <c r="I115" s="32" t="e">
        <f>VLOOKUP(H115,'合同高级查询数据-8月返'!A:A,1,FALSE)</f>
        <v>#N/A</v>
      </c>
      <c r="J115" s="35" t="s">
        <v>37</v>
      </c>
      <c r="K115" s="92" t="s">
        <v>755</v>
      </c>
      <c r="L115" s="98" t="s">
        <v>756</v>
      </c>
      <c r="M115" s="49" t="s">
        <v>757</v>
      </c>
      <c r="N115" s="105" t="s">
        <v>758</v>
      </c>
      <c r="O115" s="105" t="s">
        <v>759</v>
      </c>
      <c r="P115" s="106">
        <v>6600</v>
      </c>
      <c r="Q115" s="113">
        <v>108.8</v>
      </c>
      <c r="R115" s="63">
        <f t="shared" si="5"/>
        <v>718080</v>
      </c>
      <c r="S115" s="55">
        <v>202308</v>
      </c>
      <c r="T115" s="114" t="s">
        <v>760</v>
      </c>
      <c r="U115" s="114"/>
      <c r="V115" s="68">
        <v>108.743835449</v>
      </c>
      <c r="W115" s="93"/>
      <c r="X115" s="70"/>
      <c r="Y115" s="70"/>
      <c r="Z115" s="25" t="s">
        <v>761</v>
      </c>
      <c r="AA115" s="84">
        <v>0.3</v>
      </c>
      <c r="AB115" s="84">
        <v>280</v>
      </c>
      <c r="AC115" s="84">
        <f t="shared" ref="AC115:AC120" si="6">AA115*AB115</f>
        <v>84</v>
      </c>
      <c r="AD115" s="88"/>
      <c r="AF115" s="89"/>
    </row>
    <row r="116" spans="1:32" s="9" customFormat="1" ht="15" customHeight="1">
      <c r="A116" s="92" t="s">
        <v>762</v>
      </c>
      <c r="B116" s="26" t="s">
        <v>137</v>
      </c>
      <c r="C116" s="93" t="s">
        <v>751</v>
      </c>
      <c r="D116" s="27" t="s">
        <v>139</v>
      </c>
      <c r="E116" s="92" t="s">
        <v>752</v>
      </c>
      <c r="F116" s="92" t="s">
        <v>763</v>
      </c>
      <c r="G116" s="32" t="s">
        <v>35</v>
      </c>
      <c r="H116" s="32" t="s">
        <v>764</v>
      </c>
      <c r="I116" s="32" t="e">
        <f>VLOOKUP(H116,'合同高级查询数据-8月返'!A:A,1,FALSE)</f>
        <v>#N/A</v>
      </c>
      <c r="J116" s="35" t="s">
        <v>37</v>
      </c>
      <c r="K116" s="92" t="s">
        <v>755</v>
      </c>
      <c r="L116" s="98" t="s">
        <v>765</v>
      </c>
      <c r="M116" s="49" t="s">
        <v>757</v>
      </c>
      <c r="N116" s="105" t="s">
        <v>758</v>
      </c>
      <c r="O116" s="105" t="s">
        <v>766</v>
      </c>
      <c r="P116" s="106">
        <v>7650</v>
      </c>
      <c r="Q116" s="113">
        <v>62.2</v>
      </c>
      <c r="R116" s="63">
        <f t="shared" si="5"/>
        <v>475830</v>
      </c>
      <c r="S116" s="55">
        <v>202308</v>
      </c>
      <c r="T116" s="114" t="s">
        <v>767</v>
      </c>
      <c r="U116" s="114"/>
      <c r="V116" s="68">
        <v>62.171848296999997</v>
      </c>
      <c r="W116" s="93"/>
      <c r="X116" s="70"/>
      <c r="Y116" s="70"/>
      <c r="Z116" s="25" t="s">
        <v>768</v>
      </c>
      <c r="AA116" s="84">
        <v>0.3</v>
      </c>
      <c r="AB116" s="84">
        <v>180</v>
      </c>
      <c r="AC116" s="84">
        <f t="shared" si="6"/>
        <v>54</v>
      </c>
      <c r="AD116" s="88"/>
      <c r="AF116" s="89"/>
    </row>
    <row r="117" spans="1:32" s="9" customFormat="1" ht="15" customHeight="1">
      <c r="A117" s="92" t="s">
        <v>769</v>
      </c>
      <c r="B117" s="26" t="s">
        <v>137</v>
      </c>
      <c r="C117" s="93" t="s">
        <v>751</v>
      </c>
      <c r="D117" s="27" t="s">
        <v>139</v>
      </c>
      <c r="E117" s="92" t="s">
        <v>752</v>
      </c>
      <c r="F117" s="92" t="s">
        <v>770</v>
      </c>
      <c r="G117" s="32" t="s">
        <v>35</v>
      </c>
      <c r="H117" s="32" t="s">
        <v>771</v>
      </c>
      <c r="I117" s="32" t="e">
        <f>VLOOKUP(H117,'合同高级查询数据-8月返'!A:A,1,FALSE)</f>
        <v>#N/A</v>
      </c>
      <c r="J117" s="35" t="s">
        <v>37</v>
      </c>
      <c r="K117" s="92" t="s">
        <v>755</v>
      </c>
      <c r="L117" s="98" t="s">
        <v>772</v>
      </c>
      <c r="M117" s="49" t="s">
        <v>757</v>
      </c>
      <c r="N117" s="105" t="s">
        <v>758</v>
      </c>
      <c r="O117" s="50" t="s">
        <v>773</v>
      </c>
      <c r="P117" s="106">
        <v>5042</v>
      </c>
      <c r="Q117" s="113">
        <v>127.1</v>
      </c>
      <c r="R117" s="63">
        <f t="shared" si="5"/>
        <v>640838.19999999995</v>
      </c>
      <c r="S117" s="55">
        <v>202308</v>
      </c>
      <c r="T117" s="114" t="s">
        <v>774</v>
      </c>
      <c r="U117" s="114"/>
      <c r="V117" s="68">
        <v>127.084571838</v>
      </c>
      <c r="W117" s="93"/>
      <c r="X117" s="70"/>
      <c r="Y117" s="70"/>
      <c r="Z117" s="25" t="s">
        <v>775</v>
      </c>
      <c r="AA117" s="84">
        <v>0.4</v>
      </c>
      <c r="AB117" s="84">
        <v>260</v>
      </c>
      <c r="AC117" s="84">
        <f t="shared" si="6"/>
        <v>104</v>
      </c>
      <c r="AD117" s="88"/>
      <c r="AF117" s="89"/>
    </row>
    <row r="118" spans="1:32" s="10" customFormat="1" ht="15" customHeight="1">
      <c r="A118" s="94" t="s">
        <v>184</v>
      </c>
      <c r="B118" s="29" t="s">
        <v>137</v>
      </c>
      <c r="C118" s="95" t="s">
        <v>751</v>
      </c>
      <c r="D118" s="30" t="s">
        <v>139</v>
      </c>
      <c r="E118" s="94" t="s">
        <v>776</v>
      </c>
      <c r="F118" s="94" t="s">
        <v>777</v>
      </c>
      <c r="G118" s="33" t="s">
        <v>35</v>
      </c>
      <c r="H118" s="33" t="s">
        <v>778</v>
      </c>
      <c r="I118" s="33" t="e">
        <f>VLOOKUP(H118,'合同高级查询数据-8月返'!A:A,1,FALSE)</f>
        <v>#N/A</v>
      </c>
      <c r="J118" s="38" t="s">
        <v>37</v>
      </c>
      <c r="K118" s="94" t="s">
        <v>779</v>
      </c>
      <c r="L118" s="99" t="s">
        <v>780</v>
      </c>
      <c r="M118" s="107" t="s">
        <v>781</v>
      </c>
      <c r="N118" s="108">
        <v>44934</v>
      </c>
      <c r="O118" s="108" t="s">
        <v>467</v>
      </c>
      <c r="P118" s="109">
        <v>9500</v>
      </c>
      <c r="Q118" s="115">
        <v>90</v>
      </c>
      <c r="R118" s="116">
        <f t="shared" si="5"/>
        <v>855000</v>
      </c>
      <c r="S118" s="59">
        <v>202308</v>
      </c>
      <c r="T118" s="117" t="s">
        <v>782</v>
      </c>
      <c r="U118" s="117"/>
      <c r="V118" s="72">
        <v>82.622452022999994</v>
      </c>
      <c r="W118" s="95"/>
      <c r="X118" s="74">
        <v>44927</v>
      </c>
      <c r="Y118" s="74">
        <v>45291</v>
      </c>
      <c r="Z118" s="28" t="s">
        <v>783</v>
      </c>
      <c r="AA118" s="85">
        <v>0.3</v>
      </c>
      <c r="AB118" s="85">
        <v>300</v>
      </c>
      <c r="AC118" s="85">
        <f t="shared" si="6"/>
        <v>90</v>
      </c>
      <c r="AD118" s="90"/>
      <c r="AF118" s="91"/>
    </row>
    <row r="119" spans="1:32" s="10" customFormat="1" ht="15" customHeight="1">
      <c r="A119" s="94" t="s">
        <v>184</v>
      </c>
      <c r="B119" s="29" t="s">
        <v>137</v>
      </c>
      <c r="C119" s="95" t="s">
        <v>751</v>
      </c>
      <c r="D119" s="30" t="s">
        <v>139</v>
      </c>
      <c r="E119" s="94" t="s">
        <v>784</v>
      </c>
      <c r="F119" s="94" t="s">
        <v>785</v>
      </c>
      <c r="G119" s="33" t="s">
        <v>35</v>
      </c>
      <c r="H119" s="33" t="s">
        <v>786</v>
      </c>
      <c r="I119" s="33" t="e">
        <f>VLOOKUP(H119,'合同高级查询数据-8月返'!A:A,1,FALSE)</f>
        <v>#N/A</v>
      </c>
      <c r="J119" s="38" t="s">
        <v>37</v>
      </c>
      <c r="K119" s="100" t="s">
        <v>787</v>
      </c>
      <c r="L119" s="99" t="s">
        <v>788</v>
      </c>
      <c r="M119" s="107"/>
      <c r="N119" s="110" t="s">
        <v>789</v>
      </c>
      <c r="O119" s="110" t="s">
        <v>790</v>
      </c>
      <c r="P119" s="109">
        <v>6750</v>
      </c>
      <c r="Q119" s="115">
        <v>160.59</v>
      </c>
      <c r="R119" s="116">
        <f t="shared" si="5"/>
        <v>1083982.5</v>
      </c>
      <c r="S119" s="59">
        <v>202308</v>
      </c>
      <c r="T119" s="117" t="s">
        <v>791</v>
      </c>
      <c r="U119" s="117"/>
      <c r="V119" s="77">
        <v>160.58529663100001</v>
      </c>
      <c r="W119" s="95">
        <v>164.28</v>
      </c>
      <c r="X119" s="74">
        <v>45017</v>
      </c>
      <c r="Y119" s="74">
        <v>45382</v>
      </c>
      <c r="Z119" s="28" t="s">
        <v>792</v>
      </c>
      <c r="AA119" s="85">
        <v>0.3</v>
      </c>
      <c r="AB119" s="87">
        <v>440</v>
      </c>
      <c r="AC119" s="85">
        <f t="shared" si="6"/>
        <v>132</v>
      </c>
      <c r="AD119" s="90"/>
      <c r="AF119" s="91"/>
    </row>
    <row r="120" spans="1:32" s="10" customFormat="1" ht="15" customHeight="1">
      <c r="A120" s="94" t="s">
        <v>184</v>
      </c>
      <c r="B120" s="29" t="s">
        <v>137</v>
      </c>
      <c r="C120" s="95" t="s">
        <v>751</v>
      </c>
      <c r="D120" s="30" t="s">
        <v>139</v>
      </c>
      <c r="E120" s="94" t="s">
        <v>784</v>
      </c>
      <c r="F120" s="94" t="s">
        <v>785</v>
      </c>
      <c r="G120" s="33" t="s">
        <v>35</v>
      </c>
      <c r="H120" s="33" t="s">
        <v>786</v>
      </c>
      <c r="I120" s="33" t="e">
        <f>VLOOKUP(H120,'合同高级查询数据-8月返'!A:A,1,FALSE)</f>
        <v>#N/A</v>
      </c>
      <c r="J120" s="38" t="s">
        <v>37</v>
      </c>
      <c r="K120" s="100" t="s">
        <v>793</v>
      </c>
      <c r="L120" s="99" t="s">
        <v>794</v>
      </c>
      <c r="M120" s="107"/>
      <c r="N120" s="110" t="s">
        <v>795</v>
      </c>
      <c r="O120" s="110" t="s">
        <v>796</v>
      </c>
      <c r="P120" s="109">
        <v>6750</v>
      </c>
      <c r="Q120" s="115"/>
      <c r="R120" s="116">
        <f t="shared" si="5"/>
        <v>0</v>
      </c>
      <c r="S120" s="59">
        <v>202308</v>
      </c>
      <c r="T120" s="117" t="s">
        <v>797</v>
      </c>
      <c r="U120" s="117"/>
      <c r="V120" s="75">
        <v>0</v>
      </c>
      <c r="W120" s="95"/>
      <c r="X120" s="74">
        <v>45017</v>
      </c>
      <c r="Y120" s="74">
        <v>45382</v>
      </c>
      <c r="Z120" s="28"/>
      <c r="AA120" s="85">
        <v>0.3</v>
      </c>
      <c r="AB120" s="85">
        <v>0</v>
      </c>
      <c r="AC120" s="85">
        <f t="shared" si="6"/>
        <v>0</v>
      </c>
    </row>
    <row r="121" spans="1:32" s="10" customFormat="1" ht="15" customHeight="1">
      <c r="A121" s="94" t="s">
        <v>184</v>
      </c>
      <c r="B121" s="29" t="s">
        <v>137</v>
      </c>
      <c r="C121" s="95" t="s">
        <v>751</v>
      </c>
      <c r="D121" s="30" t="s">
        <v>139</v>
      </c>
      <c r="E121" s="94" t="s">
        <v>784</v>
      </c>
      <c r="F121" s="94" t="s">
        <v>785</v>
      </c>
      <c r="G121" s="33" t="s">
        <v>35</v>
      </c>
      <c r="H121" s="33" t="s">
        <v>786</v>
      </c>
      <c r="I121" s="33" t="e">
        <f>VLOOKUP(H121,'合同高级查询数据-8月返'!A:A,1,FALSE)</f>
        <v>#N/A</v>
      </c>
      <c r="J121" s="33" t="s">
        <v>325</v>
      </c>
      <c r="K121" s="94" t="s">
        <v>798</v>
      </c>
      <c r="L121" s="99" t="s">
        <v>798</v>
      </c>
      <c r="M121" s="107" t="s">
        <v>799</v>
      </c>
      <c r="N121" s="108"/>
      <c r="O121" s="108" t="s">
        <v>79</v>
      </c>
      <c r="P121" s="109">
        <v>6750</v>
      </c>
      <c r="Q121" s="115">
        <v>3</v>
      </c>
      <c r="R121" s="116">
        <f t="shared" si="5"/>
        <v>20250</v>
      </c>
      <c r="S121" s="59">
        <v>202308</v>
      </c>
      <c r="T121" s="117" t="s">
        <v>800</v>
      </c>
      <c r="U121" s="117"/>
      <c r="V121" s="72">
        <v>1.76</v>
      </c>
      <c r="W121" s="95"/>
      <c r="X121" s="74">
        <v>45017</v>
      </c>
      <c r="Y121" s="74">
        <v>45382</v>
      </c>
      <c r="Z121" s="28" t="s">
        <v>801</v>
      </c>
      <c r="AA121" s="85">
        <v>10</v>
      </c>
      <c r="AB121" s="85">
        <v>30</v>
      </c>
      <c r="AC121" s="85">
        <v>3</v>
      </c>
      <c r="AD121" s="90"/>
      <c r="AF121" s="91"/>
    </row>
    <row r="122" spans="1:32" s="9" customFormat="1" ht="15" customHeight="1">
      <c r="A122" s="92" t="s">
        <v>184</v>
      </c>
      <c r="B122" s="26" t="s">
        <v>137</v>
      </c>
      <c r="C122" s="93" t="s">
        <v>751</v>
      </c>
      <c r="D122" s="27" t="s">
        <v>139</v>
      </c>
      <c r="E122" s="92" t="s">
        <v>802</v>
      </c>
      <c r="F122" s="92" t="s">
        <v>803</v>
      </c>
      <c r="G122" s="32" t="s">
        <v>35</v>
      </c>
      <c r="H122" s="32" t="s">
        <v>804</v>
      </c>
      <c r="I122" s="32" t="e">
        <f>VLOOKUP(H122,'合同高级查询数据-8月返'!A:A,1,FALSE)</f>
        <v>#N/A</v>
      </c>
      <c r="J122" s="35" t="s">
        <v>37</v>
      </c>
      <c r="K122" s="92" t="s">
        <v>805</v>
      </c>
      <c r="L122" s="98" t="s">
        <v>805</v>
      </c>
      <c r="M122" s="49" t="s">
        <v>806</v>
      </c>
      <c r="N122" s="105" t="s">
        <v>807</v>
      </c>
      <c r="O122" s="50" t="s">
        <v>808</v>
      </c>
      <c r="P122" s="106">
        <v>9500</v>
      </c>
      <c r="Q122" s="113">
        <v>6.6</v>
      </c>
      <c r="R122" s="63">
        <f t="shared" si="5"/>
        <v>62700</v>
      </c>
      <c r="S122" s="55">
        <v>202308</v>
      </c>
      <c r="T122" s="114" t="s">
        <v>809</v>
      </c>
      <c r="U122" s="114"/>
      <c r="V122" s="68">
        <v>6.6024584769999999</v>
      </c>
      <c r="W122" s="93"/>
      <c r="X122" s="70"/>
      <c r="Y122" s="70"/>
      <c r="Z122" s="25" t="s">
        <v>810</v>
      </c>
      <c r="AA122" s="84">
        <v>0.3</v>
      </c>
      <c r="AB122" s="84">
        <v>20</v>
      </c>
      <c r="AC122" s="84">
        <f>AA122*AB122</f>
        <v>6</v>
      </c>
      <c r="AD122" s="88"/>
      <c r="AF122" s="89"/>
    </row>
    <row r="123" spans="1:32" s="9" customFormat="1" ht="15" customHeight="1">
      <c r="A123" s="92" t="s">
        <v>184</v>
      </c>
      <c r="B123" s="26" t="s">
        <v>137</v>
      </c>
      <c r="C123" s="93" t="s">
        <v>751</v>
      </c>
      <c r="D123" s="27" t="s">
        <v>139</v>
      </c>
      <c r="E123" s="92" t="s">
        <v>802</v>
      </c>
      <c r="F123" s="92" t="s">
        <v>803</v>
      </c>
      <c r="G123" s="32" t="s">
        <v>35</v>
      </c>
      <c r="H123" s="32" t="s">
        <v>811</v>
      </c>
      <c r="I123" s="32" t="e">
        <f>VLOOKUP(H123,'合同高级查询数据-8月返'!A:A,1,FALSE)</f>
        <v>#N/A</v>
      </c>
      <c r="J123" s="35" t="s">
        <v>37</v>
      </c>
      <c r="K123" s="92" t="s">
        <v>812</v>
      </c>
      <c r="L123" s="98" t="s">
        <v>812</v>
      </c>
      <c r="M123" s="49" t="s">
        <v>806</v>
      </c>
      <c r="N123" s="105" t="s">
        <v>813</v>
      </c>
      <c r="O123" s="105" t="s">
        <v>668</v>
      </c>
      <c r="P123" s="106">
        <v>9833.33</v>
      </c>
      <c r="Q123" s="113"/>
      <c r="R123" s="63">
        <f t="shared" si="5"/>
        <v>0</v>
      </c>
      <c r="S123" s="55">
        <v>202308</v>
      </c>
      <c r="T123" s="114" t="s">
        <v>814</v>
      </c>
      <c r="U123" s="114"/>
      <c r="V123" s="71">
        <v>0</v>
      </c>
      <c r="W123" s="93"/>
      <c r="X123" s="70"/>
      <c r="Y123" s="70"/>
      <c r="Z123" s="25">
        <v>0</v>
      </c>
      <c r="AA123" s="84" t="s">
        <v>123</v>
      </c>
      <c r="AB123" s="84">
        <v>0</v>
      </c>
      <c r="AC123" s="84">
        <v>0</v>
      </c>
    </row>
    <row r="124" spans="1:32" s="9" customFormat="1" ht="15" customHeight="1">
      <c r="A124" s="92" t="s">
        <v>184</v>
      </c>
      <c r="B124" s="26" t="s">
        <v>137</v>
      </c>
      <c r="C124" s="93" t="s">
        <v>751</v>
      </c>
      <c r="D124" s="27" t="s">
        <v>139</v>
      </c>
      <c r="E124" s="92" t="s">
        <v>802</v>
      </c>
      <c r="F124" s="92" t="s">
        <v>803</v>
      </c>
      <c r="G124" s="32" t="s">
        <v>35</v>
      </c>
      <c r="H124" s="32" t="s">
        <v>811</v>
      </c>
      <c r="I124" s="32" t="e">
        <f>VLOOKUP(H124,'合同高级查询数据-8月返'!A:A,1,FALSE)</f>
        <v>#N/A</v>
      </c>
      <c r="J124" s="35" t="s">
        <v>37</v>
      </c>
      <c r="K124" s="92" t="s">
        <v>815</v>
      </c>
      <c r="L124" s="98" t="s">
        <v>816</v>
      </c>
      <c r="M124" s="49" t="s">
        <v>806</v>
      </c>
      <c r="N124" s="105" t="s">
        <v>817</v>
      </c>
      <c r="O124" s="105" t="s">
        <v>818</v>
      </c>
      <c r="P124" s="106">
        <v>9833.33</v>
      </c>
      <c r="Q124" s="113"/>
      <c r="R124" s="63">
        <f t="shared" si="5"/>
        <v>0</v>
      </c>
      <c r="S124" s="55">
        <v>202308</v>
      </c>
      <c r="T124" s="114" t="s">
        <v>819</v>
      </c>
      <c r="U124" s="114"/>
      <c r="V124" s="71">
        <v>0</v>
      </c>
      <c r="W124" s="93"/>
      <c r="X124" s="70"/>
      <c r="Y124" s="70"/>
      <c r="Z124" s="25">
        <v>0</v>
      </c>
      <c r="AA124" s="84" t="s">
        <v>123</v>
      </c>
      <c r="AB124" s="84">
        <v>0</v>
      </c>
      <c r="AC124" s="84">
        <v>0</v>
      </c>
    </row>
    <row r="125" spans="1:32" s="9" customFormat="1" ht="15" customHeight="1">
      <c r="A125" s="92" t="s">
        <v>184</v>
      </c>
      <c r="B125" s="26" t="s">
        <v>137</v>
      </c>
      <c r="C125" s="93" t="s">
        <v>751</v>
      </c>
      <c r="D125" s="27" t="s">
        <v>139</v>
      </c>
      <c r="E125" s="92" t="s">
        <v>802</v>
      </c>
      <c r="F125" s="92" t="s">
        <v>803</v>
      </c>
      <c r="G125" s="32" t="s">
        <v>35</v>
      </c>
      <c r="H125" s="32" t="s">
        <v>820</v>
      </c>
      <c r="I125" s="32" t="e">
        <f>VLOOKUP(H125,'合同高级查询数据-8月返'!A:A,1,FALSE)</f>
        <v>#N/A</v>
      </c>
      <c r="J125" s="35" t="s">
        <v>37</v>
      </c>
      <c r="K125" s="92" t="s">
        <v>821</v>
      </c>
      <c r="L125" s="98" t="s">
        <v>821</v>
      </c>
      <c r="M125" s="49" t="s">
        <v>822</v>
      </c>
      <c r="N125" s="105" t="s">
        <v>823</v>
      </c>
      <c r="O125" s="50" t="s">
        <v>818</v>
      </c>
      <c r="P125" s="106">
        <v>0</v>
      </c>
      <c r="Q125" s="113"/>
      <c r="R125" s="63">
        <f t="shared" si="5"/>
        <v>0</v>
      </c>
      <c r="S125" s="55">
        <v>202308</v>
      </c>
      <c r="T125" s="114" t="s">
        <v>824</v>
      </c>
      <c r="U125" s="114"/>
      <c r="V125" s="71">
        <v>0</v>
      </c>
      <c r="W125" s="93"/>
      <c r="X125" s="70"/>
      <c r="Y125" s="70"/>
      <c r="Z125" s="25">
        <v>0</v>
      </c>
      <c r="AA125" s="84" t="s">
        <v>123</v>
      </c>
      <c r="AB125" s="84">
        <v>0</v>
      </c>
      <c r="AC125" s="84">
        <v>0</v>
      </c>
    </row>
    <row r="126" spans="1:32" s="10" customFormat="1" ht="15" customHeight="1">
      <c r="A126" s="94" t="s">
        <v>136</v>
      </c>
      <c r="B126" s="29" t="s">
        <v>137</v>
      </c>
      <c r="C126" s="95" t="s">
        <v>751</v>
      </c>
      <c r="D126" s="30" t="s">
        <v>139</v>
      </c>
      <c r="E126" s="94" t="s">
        <v>825</v>
      </c>
      <c r="F126" s="94" t="s">
        <v>826</v>
      </c>
      <c r="G126" s="33" t="s">
        <v>35</v>
      </c>
      <c r="H126" s="33" t="s">
        <v>827</v>
      </c>
      <c r="I126" s="33" t="e">
        <f>VLOOKUP(H126,'合同高级查询数据-8月返'!A:A,1,FALSE)</f>
        <v>#N/A</v>
      </c>
      <c r="J126" s="38" t="s">
        <v>37</v>
      </c>
      <c r="K126" s="94" t="s">
        <v>826</v>
      </c>
      <c r="L126" s="99" t="s">
        <v>828</v>
      </c>
      <c r="M126" s="107" t="s">
        <v>829</v>
      </c>
      <c r="N126" s="108" t="s">
        <v>830</v>
      </c>
      <c r="O126" s="108" t="s">
        <v>831</v>
      </c>
      <c r="P126" s="109">
        <v>9000</v>
      </c>
      <c r="Q126" s="115">
        <v>16.45</v>
      </c>
      <c r="R126" s="116">
        <f t="shared" si="5"/>
        <v>148050</v>
      </c>
      <c r="S126" s="59">
        <v>202308</v>
      </c>
      <c r="T126" s="117" t="s">
        <v>832</v>
      </c>
      <c r="U126" s="117"/>
      <c r="V126" s="72">
        <v>16.454735028999998</v>
      </c>
      <c r="W126" s="95"/>
      <c r="X126" s="74">
        <v>44652</v>
      </c>
      <c r="Y126" s="74">
        <v>45382</v>
      </c>
      <c r="Z126" s="28" t="s">
        <v>833</v>
      </c>
      <c r="AA126" s="85">
        <v>0.2</v>
      </c>
      <c r="AB126" s="85">
        <v>80</v>
      </c>
      <c r="AC126" s="85">
        <f>AA126*AB126</f>
        <v>16</v>
      </c>
      <c r="AD126" s="90"/>
      <c r="AF126" s="91"/>
    </row>
    <row r="127" spans="1:32" s="10" customFormat="1" ht="15" customHeight="1">
      <c r="A127" s="94" t="s">
        <v>136</v>
      </c>
      <c r="B127" s="29" t="s">
        <v>137</v>
      </c>
      <c r="C127" s="95" t="s">
        <v>751</v>
      </c>
      <c r="D127" s="30" t="s">
        <v>139</v>
      </c>
      <c r="E127" s="94" t="s">
        <v>834</v>
      </c>
      <c r="F127" s="94" t="s">
        <v>835</v>
      </c>
      <c r="G127" s="33" t="s">
        <v>35</v>
      </c>
      <c r="H127" s="33" t="s">
        <v>836</v>
      </c>
      <c r="I127" s="33" t="e">
        <f>VLOOKUP(H127,'合同高级查询数据-8月返'!A:A,1,FALSE)</f>
        <v>#N/A</v>
      </c>
      <c r="J127" s="33" t="s">
        <v>325</v>
      </c>
      <c r="K127" s="94" t="s">
        <v>837</v>
      </c>
      <c r="L127" s="99" t="s">
        <v>837</v>
      </c>
      <c r="M127" s="107" t="s">
        <v>838</v>
      </c>
      <c r="N127" s="108" t="s">
        <v>839</v>
      </c>
      <c r="O127" s="108" t="s">
        <v>840</v>
      </c>
      <c r="P127" s="109">
        <v>9000</v>
      </c>
      <c r="Q127" s="115"/>
      <c r="R127" s="116">
        <f t="shared" si="5"/>
        <v>0</v>
      </c>
      <c r="S127" s="59">
        <v>202308</v>
      </c>
      <c r="T127" s="117" t="s">
        <v>841</v>
      </c>
      <c r="U127" s="117"/>
      <c r="V127" s="75">
        <v>0</v>
      </c>
      <c r="W127" s="95"/>
      <c r="X127" s="74">
        <v>44317</v>
      </c>
      <c r="Y127" s="74">
        <v>45046</v>
      </c>
      <c r="Z127" s="28"/>
      <c r="AA127" s="85" t="s">
        <v>123</v>
      </c>
      <c r="AB127" s="85"/>
      <c r="AC127" s="85">
        <v>0</v>
      </c>
    </row>
    <row r="128" spans="1:32" s="10" customFormat="1" ht="15" customHeight="1">
      <c r="A128" s="94" t="s">
        <v>136</v>
      </c>
      <c r="B128" s="29" t="s">
        <v>137</v>
      </c>
      <c r="C128" s="95" t="s">
        <v>751</v>
      </c>
      <c r="D128" s="30" t="s">
        <v>139</v>
      </c>
      <c r="E128" s="94" t="s">
        <v>834</v>
      </c>
      <c r="F128" s="94" t="s">
        <v>835</v>
      </c>
      <c r="G128" s="33" t="s">
        <v>35</v>
      </c>
      <c r="H128" s="33" t="s">
        <v>836</v>
      </c>
      <c r="I128" s="33" t="e">
        <f>VLOOKUP(H128,'合同高级查询数据-8月返'!A:A,1,FALSE)</f>
        <v>#N/A</v>
      </c>
      <c r="J128" s="38" t="s">
        <v>37</v>
      </c>
      <c r="K128" s="94" t="s">
        <v>842</v>
      </c>
      <c r="L128" s="99" t="s">
        <v>843</v>
      </c>
      <c r="M128" s="107" t="s">
        <v>844</v>
      </c>
      <c r="N128" s="108" t="s">
        <v>845</v>
      </c>
      <c r="O128" s="108" t="s">
        <v>846</v>
      </c>
      <c r="P128" s="109">
        <v>9000</v>
      </c>
      <c r="Q128" s="115"/>
      <c r="R128" s="116">
        <f t="shared" si="5"/>
        <v>0</v>
      </c>
      <c r="S128" s="59">
        <v>202308</v>
      </c>
      <c r="T128" s="117" t="s">
        <v>847</v>
      </c>
      <c r="U128" s="117"/>
      <c r="V128" s="75">
        <v>0</v>
      </c>
      <c r="W128" s="95"/>
      <c r="X128" s="74">
        <v>44317</v>
      </c>
      <c r="Y128" s="74">
        <v>45046</v>
      </c>
      <c r="Z128" s="28">
        <v>0</v>
      </c>
      <c r="AA128" s="85" t="s">
        <v>123</v>
      </c>
      <c r="AB128" s="85"/>
      <c r="AC128" s="85">
        <v>0</v>
      </c>
    </row>
    <row r="129" spans="1:32" s="9" customFormat="1" ht="15" customHeight="1">
      <c r="A129" s="92" t="s">
        <v>136</v>
      </c>
      <c r="B129" s="26" t="s">
        <v>137</v>
      </c>
      <c r="C129" s="93" t="s">
        <v>751</v>
      </c>
      <c r="D129" s="27" t="s">
        <v>139</v>
      </c>
      <c r="E129" s="92" t="s">
        <v>848</v>
      </c>
      <c r="F129" s="92" t="s">
        <v>849</v>
      </c>
      <c r="G129" s="32" t="s">
        <v>35</v>
      </c>
      <c r="H129" s="32" t="s">
        <v>850</v>
      </c>
      <c r="I129" s="32" t="e">
        <f>VLOOKUP(H129,'合同高级查询数据-8月返'!A:A,1,FALSE)</f>
        <v>#N/A</v>
      </c>
      <c r="J129" s="35" t="s">
        <v>37</v>
      </c>
      <c r="K129" s="92" t="s">
        <v>849</v>
      </c>
      <c r="L129" s="98" t="s">
        <v>849</v>
      </c>
      <c r="M129" s="49" t="s">
        <v>851</v>
      </c>
      <c r="N129" s="50" t="s">
        <v>852</v>
      </c>
      <c r="O129" s="105" t="s">
        <v>853</v>
      </c>
      <c r="P129" s="106">
        <v>9000</v>
      </c>
      <c r="Q129" s="57">
        <v>71.8</v>
      </c>
      <c r="R129" s="63">
        <f t="shared" si="5"/>
        <v>646200</v>
      </c>
      <c r="S129" s="55">
        <v>202308</v>
      </c>
      <c r="T129" s="114" t="s">
        <v>854</v>
      </c>
      <c r="U129" s="114"/>
      <c r="V129" s="68">
        <v>71.780852899999999</v>
      </c>
      <c r="W129" s="93"/>
      <c r="X129" s="70"/>
      <c r="Y129" s="70"/>
      <c r="Z129" s="25" t="s">
        <v>855</v>
      </c>
      <c r="AA129" s="84">
        <v>0.2</v>
      </c>
      <c r="AB129" s="84">
        <v>200</v>
      </c>
      <c r="AC129" s="84">
        <f t="shared" ref="AC129:AC150" si="7">AA129*AB129</f>
        <v>40</v>
      </c>
      <c r="AD129" s="88"/>
      <c r="AF129" s="89"/>
    </row>
    <row r="130" spans="1:32" s="10" customFormat="1" ht="15" customHeight="1">
      <c r="A130" s="94" t="s">
        <v>136</v>
      </c>
      <c r="B130" s="29" t="s">
        <v>137</v>
      </c>
      <c r="C130" s="95" t="s">
        <v>751</v>
      </c>
      <c r="D130" s="30" t="s">
        <v>139</v>
      </c>
      <c r="E130" s="94" t="s">
        <v>856</v>
      </c>
      <c r="F130" s="94" t="s">
        <v>857</v>
      </c>
      <c r="G130" s="33" t="s">
        <v>35</v>
      </c>
      <c r="H130" s="33" t="s">
        <v>858</v>
      </c>
      <c r="I130" s="33" t="e">
        <f>VLOOKUP(H130,'合同高级查询数据-8月返'!A:A,1,FALSE)</f>
        <v>#N/A</v>
      </c>
      <c r="J130" s="38" t="s">
        <v>37</v>
      </c>
      <c r="K130" s="94" t="s">
        <v>857</v>
      </c>
      <c r="L130" s="99" t="s">
        <v>857</v>
      </c>
      <c r="M130" s="107" t="s">
        <v>859</v>
      </c>
      <c r="N130" s="110" t="s">
        <v>860</v>
      </c>
      <c r="O130" s="108" t="s">
        <v>861</v>
      </c>
      <c r="P130" s="109">
        <v>9000</v>
      </c>
      <c r="Q130" s="115">
        <v>85.3</v>
      </c>
      <c r="R130" s="116">
        <f t="shared" si="5"/>
        <v>767700</v>
      </c>
      <c r="S130" s="59">
        <v>202308</v>
      </c>
      <c r="T130" s="117" t="s">
        <v>862</v>
      </c>
      <c r="U130" s="117"/>
      <c r="V130" s="72">
        <v>85.300554849999997</v>
      </c>
      <c r="W130" s="95"/>
      <c r="X130" s="74">
        <v>44835</v>
      </c>
      <c r="Y130" s="74">
        <v>45199</v>
      </c>
      <c r="Z130" s="28" t="s">
        <v>863</v>
      </c>
      <c r="AA130" s="85">
        <v>0.2</v>
      </c>
      <c r="AB130" s="85">
        <v>300</v>
      </c>
      <c r="AC130" s="85">
        <f t="shared" si="7"/>
        <v>60</v>
      </c>
      <c r="AD130" s="90"/>
      <c r="AF130" s="91"/>
    </row>
    <row r="131" spans="1:32" s="9" customFormat="1" ht="15" customHeight="1">
      <c r="A131" s="92" t="s">
        <v>136</v>
      </c>
      <c r="B131" s="26" t="s">
        <v>137</v>
      </c>
      <c r="C131" s="93" t="s">
        <v>751</v>
      </c>
      <c r="D131" s="27" t="s">
        <v>139</v>
      </c>
      <c r="E131" s="92" t="s">
        <v>864</v>
      </c>
      <c r="F131" s="92" t="s">
        <v>865</v>
      </c>
      <c r="G131" s="32" t="s">
        <v>35</v>
      </c>
      <c r="H131" s="32" t="s">
        <v>866</v>
      </c>
      <c r="I131" s="32" t="e">
        <f>VLOOKUP(H131,'合同高级查询数据-8月返'!A:A,1,FALSE)</f>
        <v>#N/A</v>
      </c>
      <c r="J131" s="35" t="s">
        <v>37</v>
      </c>
      <c r="K131" s="92" t="s">
        <v>867</v>
      </c>
      <c r="L131" s="98" t="s">
        <v>867</v>
      </c>
      <c r="M131" s="49" t="s">
        <v>868</v>
      </c>
      <c r="N131" s="50" t="s">
        <v>869</v>
      </c>
      <c r="O131" s="50" t="s">
        <v>870</v>
      </c>
      <c r="P131" s="106">
        <v>9000</v>
      </c>
      <c r="Q131" s="113">
        <v>14.6</v>
      </c>
      <c r="R131" s="63">
        <f t="shared" si="5"/>
        <v>131400</v>
      </c>
      <c r="S131" s="55">
        <v>202308</v>
      </c>
      <c r="T131" s="114" t="s">
        <v>871</v>
      </c>
      <c r="U131" s="114"/>
      <c r="V131" s="68">
        <v>14.220590895999999</v>
      </c>
      <c r="W131" s="93">
        <v>14.8</v>
      </c>
      <c r="X131" s="70"/>
      <c r="Y131" s="70"/>
      <c r="Z131" s="25" t="s">
        <v>872</v>
      </c>
      <c r="AA131" s="84">
        <v>0.3</v>
      </c>
      <c r="AB131" s="84">
        <v>40</v>
      </c>
      <c r="AC131" s="84">
        <f t="shared" si="7"/>
        <v>12</v>
      </c>
      <c r="AD131" s="88"/>
      <c r="AF131" s="89"/>
    </row>
    <row r="132" spans="1:32" s="9" customFormat="1" ht="15" customHeight="1">
      <c r="A132" s="92" t="s">
        <v>136</v>
      </c>
      <c r="B132" s="26" t="s">
        <v>137</v>
      </c>
      <c r="C132" s="93" t="s">
        <v>751</v>
      </c>
      <c r="D132" s="27" t="s">
        <v>139</v>
      </c>
      <c r="E132" s="92" t="s">
        <v>864</v>
      </c>
      <c r="F132" s="92" t="s">
        <v>865</v>
      </c>
      <c r="G132" s="32" t="s">
        <v>35</v>
      </c>
      <c r="H132" s="32" t="s">
        <v>873</v>
      </c>
      <c r="I132" s="32" t="e">
        <f>VLOOKUP(H132,'合同高级查询数据-8月返'!A:A,1,FALSE)</f>
        <v>#N/A</v>
      </c>
      <c r="J132" s="35" t="s">
        <v>37</v>
      </c>
      <c r="K132" s="92" t="s">
        <v>874</v>
      </c>
      <c r="L132" s="98" t="s">
        <v>874</v>
      </c>
      <c r="M132" s="49" t="s">
        <v>868</v>
      </c>
      <c r="N132" s="105">
        <v>45001</v>
      </c>
      <c r="O132" s="105" t="s">
        <v>447</v>
      </c>
      <c r="P132" s="106">
        <v>9000</v>
      </c>
      <c r="Q132" s="113">
        <v>36</v>
      </c>
      <c r="R132" s="63">
        <f t="shared" si="5"/>
        <v>324000</v>
      </c>
      <c r="S132" s="55">
        <v>202308</v>
      </c>
      <c r="T132" s="114" t="s">
        <v>875</v>
      </c>
      <c r="U132" s="114"/>
      <c r="V132" s="68">
        <v>35.135494311000002</v>
      </c>
      <c r="W132" s="93">
        <v>36</v>
      </c>
      <c r="X132" s="70"/>
      <c r="Y132" s="70"/>
      <c r="Z132" s="25" t="s">
        <v>876</v>
      </c>
      <c r="AA132" s="84">
        <v>0.3</v>
      </c>
      <c r="AB132" s="84">
        <v>100</v>
      </c>
      <c r="AC132" s="84">
        <f t="shared" si="7"/>
        <v>30</v>
      </c>
      <c r="AD132" s="88"/>
      <c r="AF132" s="89"/>
    </row>
    <row r="133" spans="1:32" s="9" customFormat="1" ht="15" customHeight="1">
      <c r="A133" s="92" t="s">
        <v>136</v>
      </c>
      <c r="B133" s="26" t="s">
        <v>137</v>
      </c>
      <c r="C133" s="93" t="s">
        <v>751</v>
      </c>
      <c r="D133" s="27" t="s">
        <v>139</v>
      </c>
      <c r="E133" s="92" t="s">
        <v>877</v>
      </c>
      <c r="F133" s="92" t="s">
        <v>878</v>
      </c>
      <c r="G133" s="32" t="s">
        <v>35</v>
      </c>
      <c r="H133" s="32" t="s">
        <v>879</v>
      </c>
      <c r="I133" s="32" t="e">
        <f>VLOOKUP(H133,'合同高级查询数据-8月返'!A:A,1,FALSE)</f>
        <v>#N/A</v>
      </c>
      <c r="J133" s="35" t="s">
        <v>37</v>
      </c>
      <c r="K133" s="92" t="s">
        <v>878</v>
      </c>
      <c r="L133" s="98" t="s">
        <v>878</v>
      </c>
      <c r="M133" s="49" t="s">
        <v>880</v>
      </c>
      <c r="N133" s="50" t="s">
        <v>881</v>
      </c>
      <c r="O133" s="50" t="s">
        <v>882</v>
      </c>
      <c r="P133" s="106">
        <v>9000</v>
      </c>
      <c r="Q133" s="113">
        <v>56</v>
      </c>
      <c r="R133" s="63">
        <f t="shared" si="5"/>
        <v>504000</v>
      </c>
      <c r="S133" s="55">
        <v>202308</v>
      </c>
      <c r="T133" s="140" t="s">
        <v>883</v>
      </c>
      <c r="U133" s="114"/>
      <c r="V133" s="76">
        <v>55.538879727999998</v>
      </c>
      <c r="W133" s="76">
        <v>56</v>
      </c>
      <c r="X133" s="70"/>
      <c r="Y133" s="70"/>
      <c r="Z133" s="25" t="s">
        <v>884</v>
      </c>
      <c r="AA133" s="84">
        <v>0.2</v>
      </c>
      <c r="AB133" s="84">
        <v>200</v>
      </c>
      <c r="AC133" s="84">
        <f t="shared" si="7"/>
        <v>40</v>
      </c>
      <c r="AD133" s="88"/>
      <c r="AF133" s="89"/>
    </row>
    <row r="134" spans="1:32" s="10" customFormat="1" ht="15" customHeight="1">
      <c r="A134" s="94" t="s">
        <v>136</v>
      </c>
      <c r="B134" s="29" t="s">
        <v>137</v>
      </c>
      <c r="C134" s="95" t="s">
        <v>751</v>
      </c>
      <c r="D134" s="30" t="s">
        <v>139</v>
      </c>
      <c r="E134" s="94" t="s">
        <v>885</v>
      </c>
      <c r="F134" s="94" t="s">
        <v>886</v>
      </c>
      <c r="G134" s="33" t="s">
        <v>35</v>
      </c>
      <c r="H134" s="33" t="s">
        <v>887</v>
      </c>
      <c r="I134" s="33" t="e">
        <f>VLOOKUP(H134,'合同高级查询数据-8月返'!A:A,1,FALSE)</f>
        <v>#N/A</v>
      </c>
      <c r="J134" s="38" t="s">
        <v>37</v>
      </c>
      <c r="K134" s="94" t="s">
        <v>886</v>
      </c>
      <c r="L134" s="99" t="s">
        <v>886</v>
      </c>
      <c r="M134" s="107" t="s">
        <v>888</v>
      </c>
      <c r="N134" s="110" t="s">
        <v>889</v>
      </c>
      <c r="O134" s="110" t="s">
        <v>890</v>
      </c>
      <c r="P134" s="109">
        <v>9000</v>
      </c>
      <c r="Q134" s="115">
        <v>153.19999999999999</v>
      </c>
      <c r="R134" s="116">
        <f t="shared" si="5"/>
        <v>1378800</v>
      </c>
      <c r="S134" s="59">
        <v>202308</v>
      </c>
      <c r="T134" s="141" t="s">
        <v>891</v>
      </c>
      <c r="U134" s="117"/>
      <c r="V134" s="72">
        <v>153.133499395</v>
      </c>
      <c r="W134" s="95">
        <v>155.1</v>
      </c>
      <c r="X134" s="74">
        <v>44652</v>
      </c>
      <c r="Y134" s="74">
        <v>45382</v>
      </c>
      <c r="Z134" s="28" t="s">
        <v>892</v>
      </c>
      <c r="AA134" s="85">
        <v>0.2</v>
      </c>
      <c r="AB134" s="85">
        <v>400</v>
      </c>
      <c r="AC134" s="85">
        <f t="shared" si="7"/>
        <v>80</v>
      </c>
      <c r="AD134" s="90"/>
      <c r="AF134" s="91"/>
    </row>
    <row r="135" spans="1:32" s="9" customFormat="1" ht="15" customHeight="1">
      <c r="A135" s="92" t="s">
        <v>136</v>
      </c>
      <c r="B135" s="26" t="s">
        <v>137</v>
      </c>
      <c r="C135" s="93" t="s">
        <v>751</v>
      </c>
      <c r="D135" s="27" t="s">
        <v>139</v>
      </c>
      <c r="E135" s="92" t="s">
        <v>893</v>
      </c>
      <c r="F135" s="92" t="s">
        <v>894</v>
      </c>
      <c r="G135" s="32" t="s">
        <v>35</v>
      </c>
      <c r="H135" s="32" t="s">
        <v>895</v>
      </c>
      <c r="I135" s="32" t="e">
        <f>VLOOKUP(H135,'合同高级查询数据-8月返'!A:A,1,FALSE)</f>
        <v>#N/A</v>
      </c>
      <c r="J135" s="35" t="s">
        <v>37</v>
      </c>
      <c r="K135" s="92" t="s">
        <v>894</v>
      </c>
      <c r="L135" s="98" t="s">
        <v>894</v>
      </c>
      <c r="M135" s="49" t="s">
        <v>896</v>
      </c>
      <c r="N135" s="105">
        <v>44789</v>
      </c>
      <c r="O135" s="105" t="s">
        <v>447</v>
      </c>
      <c r="P135" s="106">
        <v>9000</v>
      </c>
      <c r="Q135" s="113">
        <v>20</v>
      </c>
      <c r="R135" s="63">
        <f t="shared" ref="R135:R188" si="8">ROUND(P135*Q135,2)</f>
        <v>180000</v>
      </c>
      <c r="S135" s="55">
        <v>202308</v>
      </c>
      <c r="T135" s="114" t="s">
        <v>897</v>
      </c>
      <c r="U135" s="114"/>
      <c r="V135" s="68">
        <v>16.949409970000001</v>
      </c>
      <c r="W135" s="93">
        <v>20</v>
      </c>
      <c r="X135" s="70"/>
      <c r="Y135" s="70"/>
      <c r="Z135" s="25" t="s">
        <v>898</v>
      </c>
      <c r="AA135" s="84">
        <v>0.2</v>
      </c>
      <c r="AB135" s="84">
        <v>100</v>
      </c>
      <c r="AC135" s="84">
        <f t="shared" si="7"/>
        <v>20</v>
      </c>
      <c r="AD135" s="88"/>
      <c r="AF135" s="89"/>
    </row>
    <row r="136" spans="1:32" s="9" customFormat="1" ht="15" customHeight="1">
      <c r="A136" s="92" t="s">
        <v>191</v>
      </c>
      <c r="B136" s="26" t="s">
        <v>137</v>
      </c>
      <c r="C136" s="93" t="s">
        <v>751</v>
      </c>
      <c r="D136" s="27" t="s">
        <v>139</v>
      </c>
      <c r="E136" s="92" t="s">
        <v>899</v>
      </c>
      <c r="F136" s="92" t="s">
        <v>900</v>
      </c>
      <c r="G136" s="32" t="s">
        <v>35</v>
      </c>
      <c r="H136" s="32" t="s">
        <v>901</v>
      </c>
      <c r="I136" s="32" t="e">
        <f>VLOOKUP(H136,'合同高级查询数据-8月返'!A:A,1,FALSE)</f>
        <v>#N/A</v>
      </c>
      <c r="J136" s="35" t="s">
        <v>37</v>
      </c>
      <c r="K136" s="98" t="s">
        <v>900</v>
      </c>
      <c r="L136" s="98" t="s">
        <v>900</v>
      </c>
      <c r="M136" s="49" t="s">
        <v>902</v>
      </c>
      <c r="N136" s="50" t="s">
        <v>903</v>
      </c>
      <c r="O136" s="50" t="s">
        <v>904</v>
      </c>
      <c r="P136" s="106">
        <v>6740</v>
      </c>
      <c r="Q136" s="113">
        <v>46.32</v>
      </c>
      <c r="R136" s="63">
        <f t="shared" si="8"/>
        <v>312196.8</v>
      </c>
      <c r="S136" s="55">
        <v>202308</v>
      </c>
      <c r="T136" s="114" t="s">
        <v>905</v>
      </c>
      <c r="U136" s="114"/>
      <c r="V136" s="68">
        <v>46.320011139000002</v>
      </c>
      <c r="W136" s="93"/>
      <c r="X136" s="70"/>
      <c r="Y136" s="70"/>
      <c r="Z136" s="25" t="s">
        <v>906</v>
      </c>
      <c r="AA136" s="84">
        <v>0.4</v>
      </c>
      <c r="AB136" s="84">
        <v>110</v>
      </c>
      <c r="AC136" s="84">
        <f t="shared" si="7"/>
        <v>44</v>
      </c>
      <c r="AD136" s="88"/>
      <c r="AF136" s="89"/>
    </row>
    <row r="137" spans="1:32" s="9" customFormat="1" ht="15" customHeight="1">
      <c r="A137" s="92" t="s">
        <v>191</v>
      </c>
      <c r="B137" s="26" t="s">
        <v>137</v>
      </c>
      <c r="C137" s="93" t="s">
        <v>751</v>
      </c>
      <c r="D137" s="27" t="s">
        <v>139</v>
      </c>
      <c r="E137" s="92" t="s">
        <v>899</v>
      </c>
      <c r="F137" s="92" t="s">
        <v>900</v>
      </c>
      <c r="G137" s="32" t="s">
        <v>35</v>
      </c>
      <c r="H137" s="32" t="s">
        <v>901</v>
      </c>
      <c r="I137" s="32" t="e">
        <f>VLOOKUP(H137,'合同高级查询数据-8月返'!A:A,1,FALSE)</f>
        <v>#N/A</v>
      </c>
      <c r="J137" s="35" t="s">
        <v>37</v>
      </c>
      <c r="K137" s="98" t="s">
        <v>907</v>
      </c>
      <c r="L137" s="98" t="s">
        <v>907</v>
      </c>
      <c r="M137" s="49" t="s">
        <v>908</v>
      </c>
      <c r="N137" s="50" t="s">
        <v>909</v>
      </c>
      <c r="O137" s="50" t="s">
        <v>910</v>
      </c>
      <c r="P137" s="106">
        <v>6740</v>
      </c>
      <c r="Q137" s="113">
        <v>216.24</v>
      </c>
      <c r="R137" s="63">
        <f t="shared" si="8"/>
        <v>1457457.6</v>
      </c>
      <c r="S137" s="55">
        <v>202308</v>
      </c>
      <c r="T137" s="114" t="s">
        <v>911</v>
      </c>
      <c r="U137" s="114"/>
      <c r="V137" s="68">
        <v>216.24313034400001</v>
      </c>
      <c r="W137" s="93"/>
      <c r="X137" s="70"/>
      <c r="Y137" s="70"/>
      <c r="Z137" s="25" t="s">
        <v>912</v>
      </c>
      <c r="AA137" s="84">
        <v>0.4</v>
      </c>
      <c r="AB137" s="84">
        <v>500</v>
      </c>
      <c r="AC137" s="84">
        <f t="shared" si="7"/>
        <v>200</v>
      </c>
      <c r="AD137" s="88"/>
      <c r="AF137" s="89"/>
    </row>
    <row r="138" spans="1:32" s="10" customFormat="1" ht="15" customHeight="1">
      <c r="A138" s="94" t="s">
        <v>191</v>
      </c>
      <c r="B138" s="29" t="s">
        <v>137</v>
      </c>
      <c r="C138" s="95" t="s">
        <v>751</v>
      </c>
      <c r="D138" s="30" t="s">
        <v>139</v>
      </c>
      <c r="E138" s="94" t="s">
        <v>913</v>
      </c>
      <c r="F138" s="94" t="s">
        <v>914</v>
      </c>
      <c r="G138" s="33" t="s">
        <v>35</v>
      </c>
      <c r="H138" s="33" t="s">
        <v>915</v>
      </c>
      <c r="I138" s="33" t="e">
        <f>VLOOKUP(H138,'合同高级查询数据-8月返'!A:A,1,FALSE)</f>
        <v>#N/A</v>
      </c>
      <c r="J138" s="38" t="s">
        <v>37</v>
      </c>
      <c r="K138" s="94" t="s">
        <v>916</v>
      </c>
      <c r="L138" s="99" t="s">
        <v>914</v>
      </c>
      <c r="M138" s="107" t="s">
        <v>917</v>
      </c>
      <c r="N138" s="108" t="s">
        <v>918</v>
      </c>
      <c r="O138" s="108" t="s">
        <v>919</v>
      </c>
      <c r="P138" s="109">
        <v>6740</v>
      </c>
      <c r="Q138" s="115"/>
      <c r="R138" s="116">
        <f t="shared" si="8"/>
        <v>0</v>
      </c>
      <c r="S138" s="59">
        <v>202308</v>
      </c>
      <c r="T138" s="117" t="s">
        <v>920</v>
      </c>
      <c r="U138" s="117"/>
      <c r="V138" s="75">
        <v>0</v>
      </c>
      <c r="W138" s="95"/>
      <c r="X138" s="74">
        <v>44197</v>
      </c>
      <c r="Y138" s="74">
        <v>44926</v>
      </c>
      <c r="Z138" s="28">
        <v>0</v>
      </c>
      <c r="AA138" s="85" t="s">
        <v>123</v>
      </c>
      <c r="AB138" s="85">
        <v>0</v>
      </c>
      <c r="AC138" s="85">
        <v>0</v>
      </c>
    </row>
    <row r="139" spans="1:32" s="9" customFormat="1" ht="15" customHeight="1">
      <c r="A139" s="92" t="s">
        <v>191</v>
      </c>
      <c r="B139" s="26" t="s">
        <v>137</v>
      </c>
      <c r="C139" s="93" t="s">
        <v>751</v>
      </c>
      <c r="D139" s="27" t="s">
        <v>139</v>
      </c>
      <c r="E139" s="92" t="s">
        <v>921</v>
      </c>
      <c r="F139" s="92" t="s">
        <v>922</v>
      </c>
      <c r="G139" s="32" t="s">
        <v>35</v>
      </c>
      <c r="H139" s="32" t="s">
        <v>923</v>
      </c>
      <c r="I139" s="32" t="e">
        <f>VLOOKUP(H139,'合同高级查询数据-8月返'!A:A,1,FALSE)</f>
        <v>#N/A</v>
      </c>
      <c r="J139" s="35" t="s">
        <v>37</v>
      </c>
      <c r="K139" s="92" t="s">
        <v>922</v>
      </c>
      <c r="L139" s="98" t="s">
        <v>922</v>
      </c>
      <c r="M139" s="49" t="s">
        <v>924</v>
      </c>
      <c r="N139" s="105" t="s">
        <v>925</v>
      </c>
      <c r="O139" s="105" t="s">
        <v>926</v>
      </c>
      <c r="P139" s="106">
        <v>6740</v>
      </c>
      <c r="Q139" s="113"/>
      <c r="R139" s="63">
        <f t="shared" si="8"/>
        <v>0</v>
      </c>
      <c r="S139" s="55">
        <v>202308</v>
      </c>
      <c r="T139" s="114" t="s">
        <v>927</v>
      </c>
      <c r="U139" s="114"/>
      <c r="V139" s="71">
        <v>0</v>
      </c>
      <c r="W139" s="93"/>
      <c r="X139" s="70"/>
      <c r="Y139" s="70"/>
      <c r="Z139" s="25">
        <v>0</v>
      </c>
      <c r="AA139" s="84" t="s">
        <v>123</v>
      </c>
      <c r="AB139" s="84">
        <v>0</v>
      </c>
      <c r="AC139" s="84">
        <v>0</v>
      </c>
    </row>
    <row r="140" spans="1:32" s="9" customFormat="1" ht="15" customHeight="1">
      <c r="A140" s="92" t="s">
        <v>191</v>
      </c>
      <c r="B140" s="26" t="s">
        <v>137</v>
      </c>
      <c r="C140" s="93" t="s">
        <v>751</v>
      </c>
      <c r="D140" s="27" t="s">
        <v>139</v>
      </c>
      <c r="E140" s="92" t="s">
        <v>921</v>
      </c>
      <c r="F140" s="92" t="s">
        <v>922</v>
      </c>
      <c r="G140" s="32" t="s">
        <v>35</v>
      </c>
      <c r="H140" s="32" t="s">
        <v>923</v>
      </c>
      <c r="I140" s="32" t="e">
        <f>VLOOKUP(H140,'合同高级查询数据-8月返'!A:A,1,FALSE)</f>
        <v>#N/A</v>
      </c>
      <c r="J140" s="35" t="s">
        <v>37</v>
      </c>
      <c r="K140" s="92" t="s">
        <v>928</v>
      </c>
      <c r="L140" s="98" t="s">
        <v>928</v>
      </c>
      <c r="M140" s="49" t="s">
        <v>929</v>
      </c>
      <c r="N140" s="105" t="s">
        <v>930</v>
      </c>
      <c r="O140" s="50" t="s">
        <v>931</v>
      </c>
      <c r="P140" s="106">
        <v>6740</v>
      </c>
      <c r="Q140" s="113">
        <v>33.119999999999997</v>
      </c>
      <c r="R140" s="63">
        <f t="shared" si="8"/>
        <v>223228.79999999999</v>
      </c>
      <c r="S140" s="55">
        <v>202308</v>
      </c>
      <c r="T140" s="114" t="s">
        <v>932</v>
      </c>
      <c r="U140" s="114"/>
      <c r="V140" s="68">
        <v>33.120449065999999</v>
      </c>
      <c r="W140" s="93"/>
      <c r="X140" s="70"/>
      <c r="Y140" s="70"/>
      <c r="Z140" s="25" t="s">
        <v>933</v>
      </c>
      <c r="AA140" s="84">
        <v>0.4</v>
      </c>
      <c r="AB140" s="84">
        <v>80</v>
      </c>
      <c r="AC140" s="84">
        <f t="shared" si="7"/>
        <v>32</v>
      </c>
      <c r="AD140" s="88"/>
      <c r="AF140" s="89"/>
    </row>
    <row r="141" spans="1:32" s="9" customFormat="1" ht="15" customHeight="1">
      <c r="A141" s="92" t="s">
        <v>191</v>
      </c>
      <c r="B141" s="26" t="s">
        <v>137</v>
      </c>
      <c r="C141" s="93" t="s">
        <v>751</v>
      </c>
      <c r="D141" s="27" t="s">
        <v>139</v>
      </c>
      <c r="E141" s="92" t="s">
        <v>921</v>
      </c>
      <c r="F141" s="92" t="s">
        <v>922</v>
      </c>
      <c r="G141" s="32" t="s">
        <v>35</v>
      </c>
      <c r="H141" s="32" t="s">
        <v>923</v>
      </c>
      <c r="I141" s="32" t="e">
        <f>VLOOKUP(H141,'合同高级查询数据-8月返'!A:A,1,FALSE)</f>
        <v>#N/A</v>
      </c>
      <c r="J141" s="32" t="s">
        <v>325</v>
      </c>
      <c r="K141" s="92" t="s">
        <v>934</v>
      </c>
      <c r="L141" s="98" t="s">
        <v>934</v>
      </c>
      <c r="M141" s="49" t="s">
        <v>935</v>
      </c>
      <c r="N141" s="105" t="s">
        <v>936</v>
      </c>
      <c r="O141" s="105" t="s">
        <v>840</v>
      </c>
      <c r="P141" s="106">
        <v>6740</v>
      </c>
      <c r="Q141" s="113"/>
      <c r="R141" s="63">
        <f t="shared" si="8"/>
        <v>0</v>
      </c>
      <c r="S141" s="55">
        <v>202308</v>
      </c>
      <c r="T141" s="114" t="s">
        <v>937</v>
      </c>
      <c r="U141" s="114"/>
      <c r="V141" s="71">
        <v>0</v>
      </c>
      <c r="W141" s="93"/>
      <c r="X141" s="70"/>
      <c r="Y141" s="70"/>
      <c r="Z141" s="25">
        <v>0</v>
      </c>
      <c r="AA141" s="84" t="s">
        <v>123</v>
      </c>
      <c r="AB141" s="84">
        <v>0</v>
      </c>
      <c r="AC141" s="84">
        <v>0</v>
      </c>
    </row>
    <row r="142" spans="1:32" s="10" customFormat="1" ht="15" customHeight="1">
      <c r="A142" s="94" t="s">
        <v>191</v>
      </c>
      <c r="B142" s="29" t="s">
        <v>137</v>
      </c>
      <c r="C142" s="95" t="s">
        <v>751</v>
      </c>
      <c r="D142" s="30" t="s">
        <v>139</v>
      </c>
      <c r="E142" s="94" t="s">
        <v>938</v>
      </c>
      <c r="F142" s="94" t="s">
        <v>939</v>
      </c>
      <c r="G142" s="33" t="s">
        <v>35</v>
      </c>
      <c r="H142" s="33" t="s">
        <v>940</v>
      </c>
      <c r="I142" s="33" t="e">
        <f>VLOOKUP(H142,'合同高级查询数据-8月返'!A:A,1,FALSE)</f>
        <v>#N/A</v>
      </c>
      <c r="J142" s="38" t="s">
        <v>37</v>
      </c>
      <c r="K142" s="94" t="s">
        <v>941</v>
      </c>
      <c r="L142" s="99" t="s">
        <v>941</v>
      </c>
      <c r="M142" s="107" t="s">
        <v>942</v>
      </c>
      <c r="N142" s="108" t="s">
        <v>943</v>
      </c>
      <c r="O142" s="108" t="s">
        <v>944</v>
      </c>
      <c r="P142" s="109">
        <v>6740</v>
      </c>
      <c r="Q142" s="115"/>
      <c r="R142" s="116">
        <f t="shared" si="8"/>
        <v>0</v>
      </c>
      <c r="S142" s="59">
        <v>202308</v>
      </c>
      <c r="T142" s="117" t="s">
        <v>945</v>
      </c>
      <c r="U142" s="117"/>
      <c r="V142" s="75">
        <v>0</v>
      </c>
      <c r="W142" s="95"/>
      <c r="X142" s="74">
        <v>44197</v>
      </c>
      <c r="Y142" s="74">
        <v>44926</v>
      </c>
      <c r="Z142" s="28"/>
      <c r="AA142" s="85" t="s">
        <v>123</v>
      </c>
      <c r="AB142" s="85">
        <v>0</v>
      </c>
      <c r="AC142" s="85">
        <v>0</v>
      </c>
    </row>
    <row r="143" spans="1:32" s="10" customFormat="1" ht="15" customHeight="1">
      <c r="A143" s="94" t="s">
        <v>191</v>
      </c>
      <c r="B143" s="29" t="s">
        <v>137</v>
      </c>
      <c r="C143" s="95" t="s">
        <v>751</v>
      </c>
      <c r="D143" s="30" t="s">
        <v>139</v>
      </c>
      <c r="E143" s="94" t="s">
        <v>946</v>
      </c>
      <c r="F143" s="94" t="s">
        <v>947</v>
      </c>
      <c r="G143" s="33" t="s">
        <v>35</v>
      </c>
      <c r="H143" s="33" t="s">
        <v>948</v>
      </c>
      <c r="I143" s="33" t="e">
        <f>VLOOKUP(H143,'合同高级查询数据-8月返'!A:A,1,FALSE)</f>
        <v>#N/A</v>
      </c>
      <c r="J143" s="38" t="s">
        <v>37</v>
      </c>
      <c r="K143" s="94" t="s">
        <v>949</v>
      </c>
      <c r="L143" s="99" t="s">
        <v>947</v>
      </c>
      <c r="M143" s="107" t="s">
        <v>950</v>
      </c>
      <c r="N143" s="108" t="s">
        <v>951</v>
      </c>
      <c r="O143" s="108" t="s">
        <v>952</v>
      </c>
      <c r="P143" s="109">
        <v>6740</v>
      </c>
      <c r="Q143" s="115"/>
      <c r="R143" s="116">
        <f t="shared" si="8"/>
        <v>0</v>
      </c>
      <c r="S143" s="59">
        <v>202308</v>
      </c>
      <c r="T143" s="117" t="s">
        <v>953</v>
      </c>
      <c r="U143" s="117"/>
      <c r="V143" s="75">
        <v>0</v>
      </c>
      <c r="W143" s="95"/>
      <c r="X143" s="74">
        <v>44197</v>
      </c>
      <c r="Y143" s="74">
        <v>44926</v>
      </c>
      <c r="Z143" s="28">
        <v>0</v>
      </c>
      <c r="AA143" s="85" t="s">
        <v>123</v>
      </c>
      <c r="AB143" s="85">
        <v>0</v>
      </c>
      <c r="AC143" s="85">
        <v>0</v>
      </c>
    </row>
    <row r="144" spans="1:32" s="10" customFormat="1" ht="15" customHeight="1">
      <c r="A144" s="94" t="s">
        <v>191</v>
      </c>
      <c r="B144" s="29" t="s">
        <v>137</v>
      </c>
      <c r="C144" s="95" t="s">
        <v>751</v>
      </c>
      <c r="D144" s="30" t="s">
        <v>139</v>
      </c>
      <c r="E144" s="94" t="s">
        <v>946</v>
      </c>
      <c r="F144" s="94" t="s">
        <v>947</v>
      </c>
      <c r="G144" s="33" t="s">
        <v>35</v>
      </c>
      <c r="H144" s="33" t="s">
        <v>948</v>
      </c>
      <c r="I144" s="33" t="e">
        <f>VLOOKUP(H144,'合同高级查询数据-8月返'!A:A,1,FALSE)</f>
        <v>#N/A</v>
      </c>
      <c r="J144" s="38" t="s">
        <v>37</v>
      </c>
      <c r="K144" s="94" t="s">
        <v>954</v>
      </c>
      <c r="L144" s="99" t="s">
        <v>955</v>
      </c>
      <c r="M144" s="107" t="s">
        <v>956</v>
      </c>
      <c r="N144" s="108" t="s">
        <v>957</v>
      </c>
      <c r="O144" s="108" t="s">
        <v>668</v>
      </c>
      <c r="P144" s="109">
        <v>6740</v>
      </c>
      <c r="Q144" s="115"/>
      <c r="R144" s="116">
        <f t="shared" si="8"/>
        <v>0</v>
      </c>
      <c r="S144" s="59">
        <v>202308</v>
      </c>
      <c r="T144" s="117" t="s">
        <v>958</v>
      </c>
      <c r="U144" s="117"/>
      <c r="V144" s="75">
        <v>0</v>
      </c>
      <c r="W144" s="95"/>
      <c r="X144" s="74">
        <v>44197</v>
      </c>
      <c r="Y144" s="74">
        <v>44926</v>
      </c>
      <c r="Z144" s="28">
        <v>0</v>
      </c>
      <c r="AA144" s="85" t="s">
        <v>123</v>
      </c>
      <c r="AB144" s="85">
        <v>0</v>
      </c>
      <c r="AC144" s="85">
        <v>0</v>
      </c>
    </row>
    <row r="145" spans="1:32" s="9" customFormat="1" ht="15" customHeight="1">
      <c r="A145" s="92" t="s">
        <v>191</v>
      </c>
      <c r="B145" s="26" t="s">
        <v>137</v>
      </c>
      <c r="C145" s="93" t="s">
        <v>751</v>
      </c>
      <c r="D145" s="27" t="s">
        <v>139</v>
      </c>
      <c r="E145" s="92" t="s">
        <v>959</v>
      </c>
      <c r="F145" s="92" t="s">
        <v>960</v>
      </c>
      <c r="G145" s="32" t="s">
        <v>35</v>
      </c>
      <c r="H145" s="32" t="s">
        <v>961</v>
      </c>
      <c r="I145" s="32" t="e">
        <f>VLOOKUP(H145,'合同高级查询数据-8月返'!A:A,1,FALSE)</f>
        <v>#N/A</v>
      </c>
      <c r="J145" s="35" t="s">
        <v>37</v>
      </c>
      <c r="K145" s="92" t="s">
        <v>962</v>
      </c>
      <c r="L145" s="98" t="s">
        <v>960</v>
      </c>
      <c r="M145" s="49" t="s">
        <v>963</v>
      </c>
      <c r="N145" s="105">
        <v>45017</v>
      </c>
      <c r="O145" s="105" t="s">
        <v>319</v>
      </c>
      <c r="P145" s="106">
        <v>6740</v>
      </c>
      <c r="Q145" s="113">
        <v>80</v>
      </c>
      <c r="R145" s="63">
        <f t="shared" si="8"/>
        <v>539200</v>
      </c>
      <c r="S145" s="55">
        <v>202308</v>
      </c>
      <c r="T145" s="114" t="s">
        <v>964</v>
      </c>
      <c r="U145" s="114"/>
      <c r="V145" s="68">
        <v>76.795841284999995</v>
      </c>
      <c r="W145" s="93"/>
      <c r="X145" s="70"/>
      <c r="Y145" s="70"/>
      <c r="Z145" s="25" t="s">
        <v>965</v>
      </c>
      <c r="AA145" s="84">
        <v>0.4</v>
      </c>
      <c r="AB145" s="84">
        <v>200</v>
      </c>
      <c r="AC145" s="84">
        <f t="shared" si="7"/>
        <v>80</v>
      </c>
      <c r="AD145" s="88"/>
      <c r="AF145" s="89"/>
    </row>
    <row r="146" spans="1:32" s="10" customFormat="1" ht="15" customHeight="1">
      <c r="A146" s="94" t="s">
        <v>191</v>
      </c>
      <c r="B146" s="29" t="s">
        <v>137</v>
      </c>
      <c r="C146" s="95" t="s">
        <v>751</v>
      </c>
      <c r="D146" s="30" t="s">
        <v>139</v>
      </c>
      <c r="E146" s="94" t="s">
        <v>966</v>
      </c>
      <c r="F146" s="94" t="s">
        <v>967</v>
      </c>
      <c r="G146" s="33" t="s">
        <v>35</v>
      </c>
      <c r="H146" s="33" t="s">
        <v>968</v>
      </c>
      <c r="I146" s="33" t="e">
        <f>VLOOKUP(H146,'合同高级查询数据-8月返'!A:A,1,FALSE)</f>
        <v>#N/A</v>
      </c>
      <c r="J146" s="38" t="s">
        <v>37</v>
      </c>
      <c r="K146" s="94" t="s">
        <v>969</v>
      </c>
      <c r="L146" s="99" t="s">
        <v>970</v>
      </c>
      <c r="M146" s="107" t="s">
        <v>971</v>
      </c>
      <c r="N146" s="108">
        <v>44816</v>
      </c>
      <c r="O146" s="108" t="s">
        <v>319</v>
      </c>
      <c r="P146" s="109">
        <v>6740</v>
      </c>
      <c r="Q146" s="115">
        <v>89.37</v>
      </c>
      <c r="R146" s="116">
        <f t="shared" si="8"/>
        <v>602353.80000000005</v>
      </c>
      <c r="S146" s="59">
        <v>202308</v>
      </c>
      <c r="T146" s="117" t="s">
        <v>972</v>
      </c>
      <c r="U146" s="117"/>
      <c r="V146" s="72">
        <v>89.371972564999993</v>
      </c>
      <c r="W146" s="77"/>
      <c r="X146" s="74">
        <v>44805</v>
      </c>
      <c r="Y146" s="74">
        <v>45170</v>
      </c>
      <c r="Z146" s="28" t="s">
        <v>973</v>
      </c>
      <c r="AA146" s="85">
        <v>0.4</v>
      </c>
      <c r="AB146" s="85">
        <v>200</v>
      </c>
      <c r="AC146" s="85">
        <f t="shared" si="7"/>
        <v>80</v>
      </c>
      <c r="AD146" s="90"/>
      <c r="AF146" s="91"/>
    </row>
    <row r="147" spans="1:32" s="9" customFormat="1" ht="15" customHeight="1">
      <c r="A147" s="92" t="s">
        <v>191</v>
      </c>
      <c r="B147" s="26" t="s">
        <v>137</v>
      </c>
      <c r="C147" s="93" t="s">
        <v>751</v>
      </c>
      <c r="D147" s="27" t="s">
        <v>139</v>
      </c>
      <c r="E147" s="92" t="s">
        <v>974</v>
      </c>
      <c r="F147" s="92" t="s">
        <v>975</v>
      </c>
      <c r="G147" s="32" t="s">
        <v>35</v>
      </c>
      <c r="H147" s="32" t="s">
        <v>976</v>
      </c>
      <c r="I147" s="32" t="e">
        <f>VLOOKUP(H147,'合同高级查询数据-8月返'!A:A,1,FALSE)</f>
        <v>#N/A</v>
      </c>
      <c r="J147" s="35" t="s">
        <v>37</v>
      </c>
      <c r="K147" s="92" t="s">
        <v>977</v>
      </c>
      <c r="L147" s="98" t="s">
        <v>977</v>
      </c>
      <c r="M147" s="49" t="s">
        <v>978</v>
      </c>
      <c r="N147" s="105" t="s">
        <v>979</v>
      </c>
      <c r="O147" s="105" t="s">
        <v>980</v>
      </c>
      <c r="P147" s="106">
        <v>6740</v>
      </c>
      <c r="Q147" s="113">
        <v>50.2</v>
      </c>
      <c r="R147" s="63">
        <f t="shared" si="8"/>
        <v>338348</v>
      </c>
      <c r="S147" s="55">
        <v>202308</v>
      </c>
      <c r="T147" s="114" t="s">
        <v>981</v>
      </c>
      <c r="U147" s="114"/>
      <c r="V147" s="68">
        <v>50.204689025999997</v>
      </c>
      <c r="W147" s="93"/>
      <c r="X147" s="70"/>
      <c r="Y147" s="70"/>
      <c r="Z147" s="25" t="s">
        <v>982</v>
      </c>
      <c r="AA147" s="84">
        <v>0.4</v>
      </c>
      <c r="AB147" s="84">
        <v>120</v>
      </c>
      <c r="AC147" s="84">
        <f t="shared" si="7"/>
        <v>48</v>
      </c>
      <c r="AD147" s="88"/>
      <c r="AF147" s="89"/>
    </row>
    <row r="148" spans="1:32" s="9" customFormat="1" ht="15" customHeight="1">
      <c r="A148" s="92" t="s">
        <v>191</v>
      </c>
      <c r="B148" s="26" t="s">
        <v>137</v>
      </c>
      <c r="C148" s="93" t="s">
        <v>751</v>
      </c>
      <c r="D148" s="27" t="s">
        <v>139</v>
      </c>
      <c r="E148" s="92" t="s">
        <v>974</v>
      </c>
      <c r="F148" s="92" t="s">
        <v>975</v>
      </c>
      <c r="G148" s="32" t="s">
        <v>35</v>
      </c>
      <c r="H148" s="32" t="s">
        <v>976</v>
      </c>
      <c r="I148" s="32" t="e">
        <f>VLOOKUP(H148,'合同高级查询数据-8月返'!A:A,1,FALSE)</f>
        <v>#N/A</v>
      </c>
      <c r="J148" s="35" t="s">
        <v>37</v>
      </c>
      <c r="K148" s="92" t="s">
        <v>983</v>
      </c>
      <c r="L148" s="98" t="s">
        <v>984</v>
      </c>
      <c r="M148" s="49" t="s">
        <v>978</v>
      </c>
      <c r="N148" s="105">
        <v>44812</v>
      </c>
      <c r="O148" s="105" t="s">
        <v>985</v>
      </c>
      <c r="P148" s="106">
        <v>6740</v>
      </c>
      <c r="Q148" s="113">
        <v>167.05</v>
      </c>
      <c r="R148" s="63">
        <f t="shared" si="8"/>
        <v>1125917</v>
      </c>
      <c r="S148" s="55">
        <v>202308</v>
      </c>
      <c r="T148" s="114" t="s">
        <v>986</v>
      </c>
      <c r="U148" s="114"/>
      <c r="V148" s="68">
        <v>167.05334851800001</v>
      </c>
      <c r="W148" s="93"/>
      <c r="X148" s="70"/>
      <c r="Y148" s="70"/>
      <c r="Z148" s="25" t="s">
        <v>987</v>
      </c>
      <c r="AA148" s="84">
        <v>0.4</v>
      </c>
      <c r="AB148" s="84">
        <v>260</v>
      </c>
      <c r="AC148" s="84">
        <f t="shared" si="7"/>
        <v>104</v>
      </c>
      <c r="AD148" s="88"/>
      <c r="AF148" s="89"/>
    </row>
    <row r="149" spans="1:32" s="9" customFormat="1" ht="15" customHeight="1">
      <c r="A149" s="92" t="s">
        <v>191</v>
      </c>
      <c r="B149" s="26" t="s">
        <v>137</v>
      </c>
      <c r="C149" s="93" t="s">
        <v>751</v>
      </c>
      <c r="D149" s="27" t="s">
        <v>139</v>
      </c>
      <c r="E149" s="92" t="s">
        <v>988</v>
      </c>
      <c r="F149" s="92" t="s">
        <v>989</v>
      </c>
      <c r="G149" s="32" t="s">
        <v>35</v>
      </c>
      <c r="H149" s="32" t="s">
        <v>990</v>
      </c>
      <c r="I149" s="32" t="e">
        <f>VLOOKUP(H149,'合同高级查询数据-8月返'!A:A,1,FALSE)</f>
        <v>#N/A</v>
      </c>
      <c r="J149" s="35" t="s">
        <v>37</v>
      </c>
      <c r="K149" s="92" t="s">
        <v>991</v>
      </c>
      <c r="L149" s="98" t="s">
        <v>991</v>
      </c>
      <c r="M149" s="49" t="s">
        <v>992</v>
      </c>
      <c r="N149" s="105" t="s">
        <v>993</v>
      </c>
      <c r="O149" s="105" t="s">
        <v>994</v>
      </c>
      <c r="P149" s="106">
        <v>6740</v>
      </c>
      <c r="Q149" s="113">
        <v>33.119999999999997</v>
      </c>
      <c r="R149" s="63">
        <f t="shared" si="8"/>
        <v>223228.79999999999</v>
      </c>
      <c r="S149" s="55">
        <v>202308</v>
      </c>
      <c r="T149" s="114" t="s">
        <v>995</v>
      </c>
      <c r="U149" s="114"/>
      <c r="V149" s="68">
        <v>33.116966247999997</v>
      </c>
      <c r="W149" s="93"/>
      <c r="X149" s="70"/>
      <c r="Y149" s="70"/>
      <c r="Z149" s="25" t="s">
        <v>996</v>
      </c>
      <c r="AA149" s="84">
        <v>0.4</v>
      </c>
      <c r="AB149" s="84">
        <v>80</v>
      </c>
      <c r="AC149" s="84">
        <f t="shared" si="7"/>
        <v>32</v>
      </c>
      <c r="AD149" s="88"/>
      <c r="AF149" s="89"/>
    </row>
    <row r="150" spans="1:32" s="9" customFormat="1" ht="15" customHeight="1">
      <c r="A150" s="92" t="s">
        <v>191</v>
      </c>
      <c r="B150" s="26" t="s">
        <v>137</v>
      </c>
      <c r="C150" s="93" t="s">
        <v>751</v>
      </c>
      <c r="D150" s="27" t="s">
        <v>139</v>
      </c>
      <c r="E150" s="92" t="s">
        <v>997</v>
      </c>
      <c r="F150" s="92" t="s">
        <v>998</v>
      </c>
      <c r="G150" s="32" t="s">
        <v>35</v>
      </c>
      <c r="H150" s="124" t="s">
        <v>999</v>
      </c>
      <c r="I150" s="32" t="e">
        <f>VLOOKUP(H150,'合同高级查询数据-8月返'!A:A,1,FALSE)</f>
        <v>#N/A</v>
      </c>
      <c r="J150" s="35" t="s">
        <v>37</v>
      </c>
      <c r="K150" s="92" t="s">
        <v>1000</v>
      </c>
      <c r="L150" s="98" t="s">
        <v>998</v>
      </c>
      <c r="M150" s="49" t="s">
        <v>1001</v>
      </c>
      <c r="N150" s="50" t="s">
        <v>1002</v>
      </c>
      <c r="O150" s="50" t="s">
        <v>1003</v>
      </c>
      <c r="P150" s="106">
        <v>6740</v>
      </c>
      <c r="Q150" s="113">
        <v>294.18</v>
      </c>
      <c r="R150" s="63">
        <f t="shared" si="8"/>
        <v>1982773.2</v>
      </c>
      <c r="S150" s="55">
        <v>202308</v>
      </c>
      <c r="T150" s="114" t="s">
        <v>1004</v>
      </c>
      <c r="U150" s="114"/>
      <c r="V150" s="68">
        <v>286.835756253</v>
      </c>
      <c r="W150" s="93">
        <v>301.51</v>
      </c>
      <c r="X150" s="70"/>
      <c r="Y150" s="70"/>
      <c r="Z150" s="25" t="s">
        <v>1005</v>
      </c>
      <c r="AA150" s="84">
        <v>0.4</v>
      </c>
      <c r="AB150" s="84">
        <v>700</v>
      </c>
      <c r="AC150" s="84">
        <f t="shared" si="7"/>
        <v>280</v>
      </c>
      <c r="AD150" s="88"/>
      <c r="AF150" s="89"/>
    </row>
    <row r="151" spans="1:32" s="9" customFormat="1" ht="15" customHeight="1">
      <c r="A151" s="122" t="s">
        <v>184</v>
      </c>
      <c r="B151" s="123" t="s">
        <v>1006</v>
      </c>
      <c r="C151" s="123" t="s">
        <v>1007</v>
      </c>
      <c r="D151" s="123" t="s">
        <v>139</v>
      </c>
      <c r="E151" s="123" t="s">
        <v>1008</v>
      </c>
      <c r="F151" s="125" t="s">
        <v>1009</v>
      </c>
      <c r="G151" s="124" t="s">
        <v>35</v>
      </c>
      <c r="H151" s="124" t="s">
        <v>1010</v>
      </c>
      <c r="I151" s="32" t="e">
        <f>VLOOKUP(H151,'合同高级查询数据-8月返'!A:A,1,FALSE)</f>
        <v>#N/A</v>
      </c>
      <c r="J151" s="125" t="s">
        <v>325</v>
      </c>
      <c r="K151" s="125" t="s">
        <v>1011</v>
      </c>
      <c r="L151" s="127" t="s">
        <v>1012</v>
      </c>
      <c r="M151" s="130" t="s">
        <v>1013</v>
      </c>
      <c r="N151" s="125" t="s">
        <v>1014</v>
      </c>
      <c r="O151" s="131" t="s">
        <v>840</v>
      </c>
      <c r="P151" s="132">
        <v>9500</v>
      </c>
      <c r="Q151" s="142"/>
      <c r="R151" s="143">
        <f t="shared" si="8"/>
        <v>0</v>
      </c>
      <c r="S151" s="55">
        <v>202308</v>
      </c>
      <c r="T151" s="144" t="s">
        <v>1015</v>
      </c>
      <c r="U151" s="149"/>
      <c r="V151" s="71">
        <v>0</v>
      </c>
      <c r="W151" s="150"/>
      <c r="X151" s="70"/>
      <c r="Y151" s="70"/>
      <c r="Z151" s="158" t="s">
        <v>1016</v>
      </c>
      <c r="AA151" s="84" t="s">
        <v>123</v>
      </c>
      <c r="AB151" s="159">
        <v>0</v>
      </c>
      <c r="AC151" s="166">
        <v>0</v>
      </c>
    </row>
    <row r="152" spans="1:32" s="9" customFormat="1" ht="15" customHeight="1">
      <c r="A152" s="122" t="s">
        <v>184</v>
      </c>
      <c r="B152" s="123" t="s">
        <v>1006</v>
      </c>
      <c r="C152" s="123" t="s">
        <v>1007</v>
      </c>
      <c r="D152" s="123" t="s">
        <v>139</v>
      </c>
      <c r="E152" s="123" t="s">
        <v>1008</v>
      </c>
      <c r="F152" s="125" t="s">
        <v>1009</v>
      </c>
      <c r="G152" s="124" t="s">
        <v>35</v>
      </c>
      <c r="H152" s="124" t="s">
        <v>1010</v>
      </c>
      <c r="I152" s="32" t="e">
        <f>VLOOKUP(H152,'合同高级查询数据-8月返'!A:A,1,FALSE)</f>
        <v>#N/A</v>
      </c>
      <c r="J152" s="35" t="s">
        <v>37</v>
      </c>
      <c r="K152" s="125" t="s">
        <v>1017</v>
      </c>
      <c r="L152" s="127" t="s">
        <v>1018</v>
      </c>
      <c r="M152" s="130" t="s">
        <v>1013</v>
      </c>
      <c r="N152" s="125" t="s">
        <v>1019</v>
      </c>
      <c r="O152" s="131" t="s">
        <v>1020</v>
      </c>
      <c r="P152" s="132">
        <v>9500</v>
      </c>
      <c r="Q152" s="142">
        <v>34.700000000000003</v>
      </c>
      <c r="R152" s="143">
        <f t="shared" si="8"/>
        <v>329650</v>
      </c>
      <c r="S152" s="55">
        <v>202308</v>
      </c>
      <c r="T152" s="145" t="s">
        <v>1021</v>
      </c>
      <c r="U152" s="151"/>
      <c r="V152" s="68">
        <v>34.682731627999999</v>
      </c>
      <c r="W152" s="152"/>
      <c r="X152" s="70"/>
      <c r="Y152" s="70"/>
      <c r="Z152" s="25" t="s">
        <v>1022</v>
      </c>
      <c r="AA152" s="160">
        <v>0.3</v>
      </c>
      <c r="AB152" s="160">
        <v>100</v>
      </c>
      <c r="AC152" s="25">
        <v>30</v>
      </c>
      <c r="AD152" s="88"/>
      <c r="AF152" s="89"/>
    </row>
    <row r="153" spans="1:32" s="9" customFormat="1" ht="15" customHeight="1">
      <c r="A153" s="122" t="s">
        <v>184</v>
      </c>
      <c r="B153" s="123" t="s">
        <v>1006</v>
      </c>
      <c r="C153" s="123" t="s">
        <v>1007</v>
      </c>
      <c r="D153" s="123" t="s">
        <v>139</v>
      </c>
      <c r="E153" s="123" t="s">
        <v>1008</v>
      </c>
      <c r="F153" s="125" t="s">
        <v>1009</v>
      </c>
      <c r="G153" s="124" t="s">
        <v>35</v>
      </c>
      <c r="H153" s="124" t="s">
        <v>1010</v>
      </c>
      <c r="I153" s="32" t="e">
        <f>VLOOKUP(H153,'合同高级查询数据-8月返'!A:A,1,FALSE)</f>
        <v>#N/A</v>
      </c>
      <c r="J153" s="35" t="s">
        <v>37</v>
      </c>
      <c r="K153" s="125" t="s">
        <v>1023</v>
      </c>
      <c r="L153" s="127" t="s">
        <v>1024</v>
      </c>
      <c r="M153" s="130" t="s">
        <v>1025</v>
      </c>
      <c r="N153" s="125" t="s">
        <v>1026</v>
      </c>
      <c r="O153" s="131" t="s">
        <v>1027</v>
      </c>
      <c r="P153" s="132">
        <v>9500</v>
      </c>
      <c r="Q153" s="142">
        <v>9.9</v>
      </c>
      <c r="R153" s="143">
        <f t="shared" si="8"/>
        <v>94050</v>
      </c>
      <c r="S153" s="55">
        <v>202308</v>
      </c>
      <c r="T153" s="145" t="s">
        <v>1028</v>
      </c>
      <c r="U153" s="149"/>
      <c r="V153" s="68">
        <v>9.8802175519999995</v>
      </c>
      <c r="W153" s="150"/>
      <c r="X153" s="70"/>
      <c r="Y153" s="70"/>
      <c r="Z153" s="158" t="s">
        <v>1029</v>
      </c>
      <c r="AA153" s="160">
        <v>0.3</v>
      </c>
      <c r="AB153" s="160">
        <v>30</v>
      </c>
      <c r="AC153" s="25">
        <v>9</v>
      </c>
      <c r="AD153" s="88"/>
      <c r="AF153" s="89"/>
    </row>
    <row r="154" spans="1:32" s="9" customFormat="1" ht="15" customHeight="1">
      <c r="A154" s="122" t="s">
        <v>136</v>
      </c>
      <c r="B154" s="123" t="s">
        <v>1006</v>
      </c>
      <c r="C154" s="123" t="s">
        <v>1007</v>
      </c>
      <c r="D154" s="123" t="s">
        <v>139</v>
      </c>
      <c r="E154" s="122" t="s">
        <v>1030</v>
      </c>
      <c r="F154" s="125" t="s">
        <v>1031</v>
      </c>
      <c r="G154" s="124" t="s">
        <v>35</v>
      </c>
      <c r="H154" s="32" t="s">
        <v>1032</v>
      </c>
      <c r="I154" s="32" t="e">
        <f>VLOOKUP(H154,'合同高级查询数据-8月返'!A:A,1,FALSE)</f>
        <v>#N/A</v>
      </c>
      <c r="J154" s="35" t="s">
        <v>37</v>
      </c>
      <c r="K154" s="125" t="s">
        <v>1017</v>
      </c>
      <c r="L154" s="127" t="s">
        <v>1033</v>
      </c>
      <c r="M154" s="130" t="s">
        <v>1034</v>
      </c>
      <c r="N154" s="125" t="s">
        <v>1035</v>
      </c>
      <c r="O154" s="131" t="s">
        <v>1036</v>
      </c>
      <c r="P154" s="133">
        <v>9000</v>
      </c>
      <c r="Q154" s="142">
        <v>6.1</v>
      </c>
      <c r="R154" s="143">
        <f t="shared" si="8"/>
        <v>54900</v>
      </c>
      <c r="S154" s="55">
        <v>202308</v>
      </c>
      <c r="T154" s="145" t="s">
        <v>1037</v>
      </c>
      <c r="U154" s="149"/>
      <c r="V154" s="68">
        <v>5.9362120340000004</v>
      </c>
      <c r="W154" s="150">
        <v>6.2</v>
      </c>
      <c r="X154" s="70"/>
      <c r="Y154" s="70"/>
      <c r="Z154" s="158" t="s">
        <v>1038</v>
      </c>
      <c r="AA154" s="161">
        <v>0.3</v>
      </c>
      <c r="AB154" s="159">
        <v>20</v>
      </c>
      <c r="AC154" s="25">
        <v>6</v>
      </c>
      <c r="AD154" s="88"/>
      <c r="AF154" s="89"/>
    </row>
    <row r="155" spans="1:32" s="9" customFormat="1" ht="15" customHeight="1">
      <c r="A155" s="122" t="s">
        <v>191</v>
      </c>
      <c r="B155" s="123" t="s">
        <v>1006</v>
      </c>
      <c r="C155" s="123" t="s">
        <v>1007</v>
      </c>
      <c r="D155" s="123" t="s">
        <v>139</v>
      </c>
      <c r="E155" s="123" t="s">
        <v>1039</v>
      </c>
      <c r="F155" s="125" t="s">
        <v>1040</v>
      </c>
      <c r="G155" s="124" t="s">
        <v>35</v>
      </c>
      <c r="H155" s="32" t="s">
        <v>1041</v>
      </c>
      <c r="I155" s="32" t="e">
        <f>VLOOKUP(H155,'合同高级查询数据-8月返'!A:A,1,FALSE)</f>
        <v>#N/A</v>
      </c>
      <c r="J155" s="35" t="s">
        <v>37</v>
      </c>
      <c r="K155" s="125" t="s">
        <v>1017</v>
      </c>
      <c r="L155" s="127" t="s">
        <v>1040</v>
      </c>
      <c r="M155" s="130" t="s">
        <v>1042</v>
      </c>
      <c r="N155" s="125" t="s">
        <v>1043</v>
      </c>
      <c r="O155" s="131" t="s">
        <v>1044</v>
      </c>
      <c r="P155" s="132">
        <v>6740</v>
      </c>
      <c r="Q155" s="142"/>
      <c r="R155" s="143">
        <f t="shared" si="8"/>
        <v>0</v>
      </c>
      <c r="S155" s="55">
        <v>202308</v>
      </c>
      <c r="T155" s="145" t="s">
        <v>1045</v>
      </c>
      <c r="U155" s="149"/>
      <c r="V155" s="71">
        <v>0</v>
      </c>
      <c r="W155" s="150"/>
      <c r="X155" s="70"/>
      <c r="Y155" s="70"/>
      <c r="Z155" s="158" t="s">
        <v>1046</v>
      </c>
      <c r="AA155" s="84" t="s">
        <v>123</v>
      </c>
      <c r="AB155" s="159">
        <v>0</v>
      </c>
      <c r="AC155" s="166">
        <v>0</v>
      </c>
    </row>
    <row r="156" spans="1:32" s="9" customFormat="1" ht="15" customHeight="1">
      <c r="A156" s="122" t="s">
        <v>191</v>
      </c>
      <c r="B156" s="123" t="s">
        <v>1006</v>
      </c>
      <c r="C156" s="123" t="s">
        <v>1007</v>
      </c>
      <c r="D156" s="123" t="s">
        <v>139</v>
      </c>
      <c r="E156" s="123" t="s">
        <v>1039</v>
      </c>
      <c r="F156" s="125" t="s">
        <v>1040</v>
      </c>
      <c r="G156" s="124" t="s">
        <v>35</v>
      </c>
      <c r="H156" s="32" t="s">
        <v>1041</v>
      </c>
      <c r="I156" s="32" t="e">
        <f>VLOOKUP(H156,'合同高级查询数据-8月返'!A:A,1,FALSE)</f>
        <v>#N/A</v>
      </c>
      <c r="J156" s="35" t="s">
        <v>37</v>
      </c>
      <c r="K156" s="122" t="s">
        <v>1047</v>
      </c>
      <c r="L156" s="127" t="s">
        <v>1048</v>
      </c>
      <c r="M156" s="130" t="s">
        <v>1049</v>
      </c>
      <c r="N156" s="125" t="s">
        <v>1050</v>
      </c>
      <c r="O156" s="131" t="s">
        <v>1051</v>
      </c>
      <c r="P156" s="132">
        <v>6740</v>
      </c>
      <c r="Q156" s="142">
        <v>8</v>
      </c>
      <c r="R156" s="143">
        <f t="shared" si="8"/>
        <v>53920</v>
      </c>
      <c r="S156" s="55">
        <v>202308</v>
      </c>
      <c r="T156" s="145" t="s">
        <v>1052</v>
      </c>
      <c r="U156" s="149"/>
      <c r="V156" s="68">
        <v>7.2179999349999999</v>
      </c>
      <c r="W156" s="150"/>
      <c r="X156" s="70"/>
      <c r="Y156" s="70"/>
      <c r="Z156" s="158" t="s">
        <v>1053</v>
      </c>
      <c r="AA156" s="161">
        <v>0.4</v>
      </c>
      <c r="AB156" s="159">
        <v>20</v>
      </c>
      <c r="AC156" s="166">
        <v>8</v>
      </c>
      <c r="AD156" s="88"/>
      <c r="AF156" s="89"/>
    </row>
    <row r="157" spans="1:32" s="9" customFormat="1" ht="15" customHeight="1">
      <c r="A157" s="122" t="s">
        <v>191</v>
      </c>
      <c r="B157" s="123" t="s">
        <v>1006</v>
      </c>
      <c r="C157" s="123" t="s">
        <v>1007</v>
      </c>
      <c r="D157" s="123" t="s">
        <v>139</v>
      </c>
      <c r="E157" s="123" t="s">
        <v>1039</v>
      </c>
      <c r="F157" s="125" t="s">
        <v>1040</v>
      </c>
      <c r="G157" s="124" t="s">
        <v>35</v>
      </c>
      <c r="H157" s="32" t="s">
        <v>1041</v>
      </c>
      <c r="I157" s="32" t="e">
        <f>VLOOKUP(H157,'合同高级查询数据-8月返'!A:A,1,FALSE)</f>
        <v>#N/A</v>
      </c>
      <c r="J157" s="35" t="s">
        <v>37</v>
      </c>
      <c r="K157" s="125" t="s">
        <v>1054</v>
      </c>
      <c r="L157" s="127" t="s">
        <v>1055</v>
      </c>
      <c r="M157" s="130" t="s">
        <v>1049</v>
      </c>
      <c r="N157" s="125" t="s">
        <v>1056</v>
      </c>
      <c r="O157" s="131" t="s">
        <v>1057</v>
      </c>
      <c r="P157" s="132">
        <v>6740</v>
      </c>
      <c r="Q157" s="142"/>
      <c r="R157" s="143">
        <f t="shared" si="8"/>
        <v>0</v>
      </c>
      <c r="S157" s="55">
        <v>202308</v>
      </c>
      <c r="T157" s="145" t="s">
        <v>1058</v>
      </c>
      <c r="U157" s="149"/>
      <c r="V157" s="71">
        <v>0</v>
      </c>
      <c r="W157" s="150"/>
      <c r="X157" s="70"/>
      <c r="Y157" s="70"/>
      <c r="Z157" s="158" t="s">
        <v>1059</v>
      </c>
      <c r="AA157" s="84" t="s">
        <v>123</v>
      </c>
      <c r="AB157" s="159">
        <v>0</v>
      </c>
      <c r="AC157" s="166">
        <v>0</v>
      </c>
    </row>
    <row r="158" spans="1:32" s="9" customFormat="1" ht="15" customHeight="1">
      <c r="A158" s="122" t="s">
        <v>191</v>
      </c>
      <c r="B158" s="123" t="s">
        <v>1006</v>
      </c>
      <c r="C158" s="123" t="s">
        <v>1007</v>
      </c>
      <c r="D158" s="123" t="s">
        <v>139</v>
      </c>
      <c r="E158" s="123" t="s">
        <v>1060</v>
      </c>
      <c r="F158" s="125" t="s">
        <v>1061</v>
      </c>
      <c r="G158" s="124" t="s">
        <v>35</v>
      </c>
      <c r="H158" s="123" t="s">
        <v>1062</v>
      </c>
      <c r="I158" s="32" t="e">
        <f>VLOOKUP(H158,'合同高级查询数据-8月返'!A:A,1,FALSE)</f>
        <v>#N/A</v>
      </c>
      <c r="J158" s="35" t="s">
        <v>37</v>
      </c>
      <c r="K158" s="125" t="s">
        <v>1063</v>
      </c>
      <c r="L158" s="127" t="s">
        <v>1064</v>
      </c>
      <c r="M158" s="130" t="s">
        <v>1065</v>
      </c>
      <c r="N158" s="50" t="s">
        <v>1066</v>
      </c>
      <c r="O158" s="131" t="s">
        <v>1067</v>
      </c>
      <c r="P158" s="133">
        <v>6740</v>
      </c>
      <c r="Q158" s="142">
        <v>411.98</v>
      </c>
      <c r="R158" s="143">
        <f t="shared" si="8"/>
        <v>2776745.2</v>
      </c>
      <c r="S158" s="55">
        <v>202308</v>
      </c>
      <c r="T158" s="144" t="s">
        <v>1068</v>
      </c>
      <c r="U158" s="153"/>
      <c r="V158" s="68">
        <v>411.97608873299998</v>
      </c>
      <c r="W158" s="150"/>
      <c r="X158" s="70"/>
      <c r="Y158" s="70"/>
      <c r="Z158" s="158" t="s">
        <v>1069</v>
      </c>
      <c r="AA158" s="161">
        <v>0.4</v>
      </c>
      <c r="AB158" s="159">
        <v>800</v>
      </c>
      <c r="AC158" s="166">
        <f>AA158*AB158</f>
        <v>320</v>
      </c>
      <c r="AD158" s="88"/>
      <c r="AF158" s="89"/>
    </row>
    <row r="159" spans="1:32" s="9" customFormat="1" ht="15" customHeight="1">
      <c r="A159" s="122" t="s">
        <v>191</v>
      </c>
      <c r="B159" s="123" t="s">
        <v>1006</v>
      </c>
      <c r="C159" s="123" t="s">
        <v>1007</v>
      </c>
      <c r="D159" s="123" t="s">
        <v>139</v>
      </c>
      <c r="E159" s="123" t="s">
        <v>1060</v>
      </c>
      <c r="F159" s="125" t="s">
        <v>1061</v>
      </c>
      <c r="G159" s="124" t="s">
        <v>35</v>
      </c>
      <c r="H159" s="123" t="s">
        <v>1062</v>
      </c>
      <c r="I159" s="32" t="e">
        <f>VLOOKUP(H159,'合同高级查询数据-8月返'!A:A,1,FALSE)</f>
        <v>#N/A</v>
      </c>
      <c r="J159" s="35" t="s">
        <v>37</v>
      </c>
      <c r="K159" s="125" t="s">
        <v>1070</v>
      </c>
      <c r="L159" s="127" t="s">
        <v>1071</v>
      </c>
      <c r="M159" s="130" t="s">
        <v>1065</v>
      </c>
      <c r="N159" s="50">
        <v>45139</v>
      </c>
      <c r="O159" s="131" t="s">
        <v>319</v>
      </c>
      <c r="P159" s="133">
        <v>6740</v>
      </c>
      <c r="Q159" s="142">
        <v>101.59</v>
      </c>
      <c r="R159" s="143">
        <f t="shared" si="8"/>
        <v>684716.6</v>
      </c>
      <c r="S159" s="55">
        <v>202308</v>
      </c>
      <c r="T159" s="144" t="s">
        <v>1072</v>
      </c>
      <c r="U159" s="153"/>
      <c r="V159" s="68">
        <v>101.589306405</v>
      </c>
      <c r="W159" s="150"/>
      <c r="X159" s="70"/>
      <c r="Y159" s="70"/>
      <c r="Z159" s="158" t="s">
        <v>1073</v>
      </c>
      <c r="AA159" s="161">
        <v>0.4</v>
      </c>
      <c r="AB159" s="159">
        <v>200</v>
      </c>
      <c r="AC159" s="166">
        <f>AA159*AB159</f>
        <v>80</v>
      </c>
      <c r="AD159" s="88"/>
      <c r="AF159" s="89"/>
    </row>
    <row r="160" spans="1:32" s="9" customFormat="1" ht="15" customHeight="1">
      <c r="A160" s="25" t="s">
        <v>191</v>
      </c>
      <c r="B160" s="26" t="s">
        <v>137</v>
      </c>
      <c r="C160" s="25" t="s">
        <v>138</v>
      </c>
      <c r="D160" s="27" t="s">
        <v>139</v>
      </c>
      <c r="E160" s="25" t="s">
        <v>607</v>
      </c>
      <c r="F160" s="25" t="s">
        <v>608</v>
      </c>
      <c r="G160" s="34" t="s">
        <v>35</v>
      </c>
      <c r="H160" s="32" t="s">
        <v>1074</v>
      </c>
      <c r="I160" s="32" t="e">
        <f>VLOOKUP(H160,'合同高级查询数据-8月返'!A:A,1,FALSE)</f>
        <v>#N/A</v>
      </c>
      <c r="J160" s="35" t="s">
        <v>37</v>
      </c>
      <c r="K160" s="34" t="s">
        <v>610</v>
      </c>
      <c r="L160" s="32" t="s">
        <v>1075</v>
      </c>
      <c r="M160" s="49" t="s">
        <v>612</v>
      </c>
      <c r="N160" s="102">
        <v>45047</v>
      </c>
      <c r="O160" s="34" t="s">
        <v>319</v>
      </c>
      <c r="P160" s="51">
        <v>6740</v>
      </c>
      <c r="Q160" s="51">
        <v>104.78</v>
      </c>
      <c r="R160" s="63">
        <f t="shared" si="8"/>
        <v>706217.2</v>
      </c>
      <c r="S160" s="146">
        <v>202308</v>
      </c>
      <c r="T160" s="56" t="s">
        <v>614</v>
      </c>
      <c r="U160" s="139"/>
      <c r="V160" s="68">
        <v>105.14073944099999</v>
      </c>
      <c r="W160" s="79">
        <v>104.78</v>
      </c>
      <c r="X160" s="70"/>
      <c r="Y160" s="70"/>
      <c r="Z160" s="25" t="s">
        <v>1076</v>
      </c>
      <c r="AA160" s="84">
        <v>0.4</v>
      </c>
      <c r="AB160" s="84">
        <v>200</v>
      </c>
      <c r="AC160" s="84">
        <f>AB160*AA160</f>
        <v>80</v>
      </c>
      <c r="AD160" s="88"/>
      <c r="AF160" s="89"/>
    </row>
    <row r="161" spans="1:32" s="9" customFormat="1" ht="15" customHeight="1">
      <c r="A161" s="122" t="s">
        <v>191</v>
      </c>
      <c r="B161" s="123" t="s">
        <v>1006</v>
      </c>
      <c r="C161" s="123" t="s">
        <v>1007</v>
      </c>
      <c r="D161" s="123" t="s">
        <v>139</v>
      </c>
      <c r="E161" s="123" t="s">
        <v>1039</v>
      </c>
      <c r="F161" s="125" t="s">
        <v>1040</v>
      </c>
      <c r="G161" s="124" t="s">
        <v>35</v>
      </c>
      <c r="H161" s="123" t="s">
        <v>1077</v>
      </c>
      <c r="I161" s="32" t="e">
        <f>VLOOKUP(H161,'合同高级查询数据-8月返'!A:A,1,FALSE)</f>
        <v>#N/A</v>
      </c>
      <c r="J161" s="35" t="s">
        <v>37</v>
      </c>
      <c r="K161" s="127" t="s">
        <v>1078</v>
      </c>
      <c r="L161" s="127" t="s">
        <v>1079</v>
      </c>
      <c r="M161" s="130" t="s">
        <v>1080</v>
      </c>
      <c r="N161" s="50">
        <v>45054</v>
      </c>
      <c r="O161" s="131" t="s">
        <v>355</v>
      </c>
      <c r="P161" s="133">
        <v>6740</v>
      </c>
      <c r="Q161" s="142">
        <v>201.49</v>
      </c>
      <c r="R161" s="143">
        <f t="shared" si="8"/>
        <v>1358042.6</v>
      </c>
      <c r="S161" s="55">
        <v>202308</v>
      </c>
      <c r="T161" s="145" t="s">
        <v>1081</v>
      </c>
      <c r="U161" s="149"/>
      <c r="V161" s="68">
        <v>201.487078371</v>
      </c>
      <c r="W161" s="150"/>
      <c r="X161" s="70"/>
      <c r="Y161" s="70"/>
      <c r="Z161" s="158" t="s">
        <v>1082</v>
      </c>
      <c r="AA161" s="161">
        <v>0.4</v>
      </c>
      <c r="AB161" s="84">
        <v>400</v>
      </c>
      <c r="AC161" s="84">
        <f>AA161*AB161</f>
        <v>160</v>
      </c>
      <c r="AD161" s="88"/>
      <c r="AF161" s="89"/>
    </row>
    <row r="162" spans="1:32" s="9" customFormat="1" ht="15" customHeight="1">
      <c r="A162" s="25" t="s">
        <v>191</v>
      </c>
      <c r="B162" s="26" t="s">
        <v>137</v>
      </c>
      <c r="C162" s="27" t="s">
        <v>302</v>
      </c>
      <c r="D162" s="26" t="s">
        <v>303</v>
      </c>
      <c r="E162" s="25" t="s">
        <v>718</v>
      </c>
      <c r="F162" s="25" t="s">
        <v>719</v>
      </c>
      <c r="G162" s="25" t="s">
        <v>35</v>
      </c>
      <c r="H162" s="32" t="s">
        <v>1083</v>
      </c>
      <c r="I162" s="32" t="e">
        <f>VLOOKUP(H162,'合同高级查询数据-8月返'!A:A,1,FALSE)</f>
        <v>#N/A</v>
      </c>
      <c r="J162" s="35" t="s">
        <v>37</v>
      </c>
      <c r="K162" s="25" t="s">
        <v>721</v>
      </c>
      <c r="L162" s="32" t="s">
        <v>1084</v>
      </c>
      <c r="M162" s="25" t="s">
        <v>723</v>
      </c>
      <c r="N162" s="42">
        <v>45057</v>
      </c>
      <c r="O162" s="25" t="s">
        <v>319</v>
      </c>
      <c r="P162" s="43">
        <v>6740</v>
      </c>
      <c r="Q162" s="57">
        <v>102.71</v>
      </c>
      <c r="R162" s="54">
        <f t="shared" si="8"/>
        <v>692265.4</v>
      </c>
      <c r="S162" s="55">
        <v>202308</v>
      </c>
      <c r="T162" s="56" t="s">
        <v>1085</v>
      </c>
      <c r="U162" s="56"/>
      <c r="V162" s="68">
        <v>102.70707471999999</v>
      </c>
      <c r="W162" s="69"/>
      <c r="X162" s="70"/>
      <c r="Y162" s="70"/>
      <c r="Z162" s="25" t="s">
        <v>1086</v>
      </c>
      <c r="AA162" s="84">
        <v>0.4</v>
      </c>
      <c r="AB162" s="84">
        <v>200</v>
      </c>
      <c r="AC162" s="84">
        <f>AA162*AB162</f>
        <v>80</v>
      </c>
      <c r="AD162" s="88"/>
      <c r="AF162" s="89"/>
    </row>
    <row r="163" spans="1:32" s="10" customFormat="1" ht="15" customHeight="1">
      <c r="A163" s="28" t="s">
        <v>29</v>
      </c>
      <c r="B163" s="29" t="s">
        <v>30</v>
      </c>
      <c r="C163" s="30" t="s">
        <v>31</v>
      </c>
      <c r="D163" s="30" t="s">
        <v>32</v>
      </c>
      <c r="E163" s="28" t="s">
        <v>232</v>
      </c>
      <c r="F163" s="28" t="s">
        <v>233</v>
      </c>
      <c r="G163" s="28" t="s">
        <v>35</v>
      </c>
      <c r="H163" s="33" t="s">
        <v>238</v>
      </c>
      <c r="I163" s="33" t="e">
        <f>VLOOKUP(H163,'合同高级查询数据-8月返'!A:A,1,FALSE)</f>
        <v>#N/A</v>
      </c>
      <c r="J163" s="38" t="s">
        <v>37</v>
      </c>
      <c r="K163" s="33" t="s">
        <v>1087</v>
      </c>
      <c r="L163" s="33" t="s">
        <v>1088</v>
      </c>
      <c r="M163" s="28"/>
      <c r="N163" s="44">
        <v>45047</v>
      </c>
      <c r="O163" s="28"/>
      <c r="P163" s="45">
        <v>4800</v>
      </c>
      <c r="Q163" s="61">
        <v>159.726</v>
      </c>
      <c r="R163" s="58">
        <f t="shared" si="8"/>
        <v>766684.8</v>
      </c>
      <c r="S163" s="59">
        <v>202308</v>
      </c>
      <c r="T163" s="60" t="s">
        <v>1089</v>
      </c>
      <c r="U163" s="60"/>
      <c r="V163" s="72">
        <v>159.72567749000001</v>
      </c>
      <c r="W163" s="73"/>
      <c r="X163" s="74">
        <v>45047</v>
      </c>
      <c r="Y163" s="74">
        <v>45412</v>
      </c>
      <c r="Z163" s="28" t="s">
        <v>1090</v>
      </c>
      <c r="AA163" s="85">
        <v>0</v>
      </c>
      <c r="AB163" s="85"/>
      <c r="AC163" s="85">
        <v>0</v>
      </c>
      <c r="AD163" s="90"/>
      <c r="AF163" s="91"/>
    </row>
    <row r="164" spans="1:32" s="10" customFormat="1" ht="15" customHeight="1">
      <c r="A164" s="28" t="s">
        <v>29</v>
      </c>
      <c r="B164" s="29" t="s">
        <v>30</v>
      </c>
      <c r="C164" s="30" t="s">
        <v>31</v>
      </c>
      <c r="D164" s="30" t="s">
        <v>32</v>
      </c>
      <c r="E164" s="28" t="s">
        <v>232</v>
      </c>
      <c r="F164" s="28" t="s">
        <v>233</v>
      </c>
      <c r="G164" s="28" t="s">
        <v>35</v>
      </c>
      <c r="H164" s="33" t="s">
        <v>1091</v>
      </c>
      <c r="I164" s="33" t="e">
        <f>VLOOKUP(H164,'合同高级查询数据-8月返'!A:A,1,FALSE)</f>
        <v>#N/A</v>
      </c>
      <c r="J164" s="38" t="s">
        <v>37</v>
      </c>
      <c r="K164" s="28"/>
      <c r="L164" s="33" t="s">
        <v>1092</v>
      </c>
      <c r="M164" s="28"/>
      <c r="N164" s="44">
        <v>45078</v>
      </c>
      <c r="O164" s="28"/>
      <c r="P164" s="45">
        <v>5040</v>
      </c>
      <c r="Q164" s="61">
        <v>86.757000000000005</v>
      </c>
      <c r="R164" s="58">
        <f t="shared" si="8"/>
        <v>437255.28</v>
      </c>
      <c r="S164" s="59">
        <v>202308</v>
      </c>
      <c r="T164" s="60" t="s">
        <v>1093</v>
      </c>
      <c r="U164" s="60"/>
      <c r="V164" s="72">
        <v>86.756423949999999</v>
      </c>
      <c r="W164" s="73"/>
      <c r="X164" s="74">
        <v>45047</v>
      </c>
      <c r="Y164" s="74">
        <v>45412</v>
      </c>
      <c r="Z164" s="28" t="s">
        <v>1094</v>
      </c>
      <c r="AA164" s="85">
        <v>0</v>
      </c>
      <c r="AB164" s="85"/>
      <c r="AC164" s="85">
        <v>0</v>
      </c>
      <c r="AD164" s="90"/>
      <c r="AF164" s="91"/>
    </row>
    <row r="165" spans="1:32" s="9" customFormat="1" ht="15" customHeight="1">
      <c r="A165" s="25" t="s">
        <v>29</v>
      </c>
      <c r="B165" s="26" t="s">
        <v>30</v>
      </c>
      <c r="C165" s="27" t="s">
        <v>31</v>
      </c>
      <c r="D165" s="27" t="s">
        <v>32</v>
      </c>
      <c r="E165" s="25" t="s">
        <v>271</v>
      </c>
      <c r="F165" s="25" t="s">
        <v>272</v>
      </c>
      <c r="G165" s="25" t="s">
        <v>35</v>
      </c>
      <c r="H165" s="32" t="s">
        <v>1095</v>
      </c>
      <c r="I165" s="32" t="e">
        <f>VLOOKUP(H165,'合同高级查询数据-8月返'!A:A,1,FALSE)</f>
        <v>#N/A</v>
      </c>
      <c r="J165" s="35" t="s">
        <v>37</v>
      </c>
      <c r="K165" s="32" t="s">
        <v>1096</v>
      </c>
      <c r="L165" s="32" t="s">
        <v>1096</v>
      </c>
      <c r="M165" s="25"/>
      <c r="N165" s="42">
        <v>45047</v>
      </c>
      <c r="O165" s="25"/>
      <c r="P165" s="43">
        <v>5500</v>
      </c>
      <c r="Q165" s="57"/>
      <c r="R165" s="54">
        <f t="shared" si="8"/>
        <v>0</v>
      </c>
      <c r="S165" s="55">
        <v>202308</v>
      </c>
      <c r="T165" s="56" t="s">
        <v>1089</v>
      </c>
      <c r="U165" s="56"/>
      <c r="V165" s="71">
        <v>0</v>
      </c>
      <c r="W165" s="69"/>
      <c r="X165" s="70"/>
      <c r="Y165" s="70"/>
      <c r="Z165" s="25" t="s">
        <v>1097</v>
      </c>
      <c r="AA165" s="84">
        <v>0</v>
      </c>
      <c r="AB165" s="84"/>
      <c r="AC165" s="84">
        <v>0</v>
      </c>
      <c r="AD165" s="88"/>
    </row>
    <row r="166" spans="1:32" s="10" customFormat="1" ht="15" customHeight="1">
      <c r="A166" s="28" t="s">
        <v>29</v>
      </c>
      <c r="B166" s="29" t="s">
        <v>30</v>
      </c>
      <c r="C166" s="30" t="s">
        <v>31</v>
      </c>
      <c r="D166" s="30" t="s">
        <v>32</v>
      </c>
      <c r="E166" s="28" t="s">
        <v>1098</v>
      </c>
      <c r="F166" s="28" t="s">
        <v>1099</v>
      </c>
      <c r="G166" s="28" t="s">
        <v>35</v>
      </c>
      <c r="H166" s="33" t="s">
        <v>1100</v>
      </c>
      <c r="I166" s="33" t="e">
        <f>VLOOKUP(H166,'合同高级查询数据-8月返'!A:A,1,FALSE)</f>
        <v>#N/A</v>
      </c>
      <c r="J166" s="38" t="s">
        <v>37</v>
      </c>
      <c r="K166" s="33" t="s">
        <v>1101</v>
      </c>
      <c r="L166" s="33" t="s">
        <v>1101</v>
      </c>
      <c r="M166" s="28"/>
      <c r="N166" s="44">
        <v>45047</v>
      </c>
      <c r="O166" s="28"/>
      <c r="P166" s="45">
        <v>5200</v>
      </c>
      <c r="Q166" s="61"/>
      <c r="R166" s="58">
        <f t="shared" si="8"/>
        <v>0</v>
      </c>
      <c r="S166" s="59">
        <v>202308</v>
      </c>
      <c r="T166" s="60" t="s">
        <v>1102</v>
      </c>
      <c r="U166" s="60"/>
      <c r="V166" s="75">
        <v>0</v>
      </c>
      <c r="W166" s="73"/>
      <c r="X166" s="74">
        <v>45047</v>
      </c>
      <c r="Y166" s="74">
        <v>45412</v>
      </c>
      <c r="Z166" s="28" t="s">
        <v>1103</v>
      </c>
      <c r="AA166" s="85">
        <v>0</v>
      </c>
      <c r="AB166" s="85"/>
      <c r="AC166" s="85">
        <v>0</v>
      </c>
      <c r="AD166" s="90"/>
    </row>
    <row r="167" spans="1:32" s="10" customFormat="1" ht="15" customHeight="1">
      <c r="A167" s="28" t="s">
        <v>29</v>
      </c>
      <c r="B167" s="29" t="s">
        <v>30</v>
      </c>
      <c r="C167" s="30" t="s">
        <v>31</v>
      </c>
      <c r="D167" s="30" t="s">
        <v>32</v>
      </c>
      <c r="E167" s="28" t="s">
        <v>127</v>
      </c>
      <c r="F167" s="28" t="s">
        <v>128</v>
      </c>
      <c r="G167" s="28" t="s">
        <v>35</v>
      </c>
      <c r="H167" s="33" t="s">
        <v>1104</v>
      </c>
      <c r="I167" s="33" t="e">
        <f>VLOOKUP(H167,'合同高级查询数据-8月返'!A:A,1,FALSE)</f>
        <v>#N/A</v>
      </c>
      <c r="J167" s="38" t="s">
        <v>37</v>
      </c>
      <c r="K167" s="33" t="s">
        <v>1105</v>
      </c>
      <c r="L167" s="33" t="s">
        <v>1105</v>
      </c>
      <c r="M167" s="28"/>
      <c r="N167" s="44">
        <v>45047</v>
      </c>
      <c r="O167" s="28"/>
      <c r="P167" s="45">
        <v>5200</v>
      </c>
      <c r="Q167" s="61">
        <v>6.0819999999999999</v>
      </c>
      <c r="R167" s="58">
        <f t="shared" si="8"/>
        <v>31626.400000000001</v>
      </c>
      <c r="S167" s="59">
        <v>202308</v>
      </c>
      <c r="T167" s="60" t="s">
        <v>1089</v>
      </c>
      <c r="U167" s="60"/>
      <c r="V167" s="72">
        <v>6.0815649030000003</v>
      </c>
      <c r="W167" s="73"/>
      <c r="X167" s="74">
        <v>45047</v>
      </c>
      <c r="Y167" s="74">
        <v>45412</v>
      </c>
      <c r="Z167" s="28" t="s">
        <v>1106</v>
      </c>
      <c r="AA167" s="85">
        <v>0</v>
      </c>
      <c r="AB167" s="85"/>
      <c r="AC167" s="85">
        <v>0</v>
      </c>
      <c r="AD167" s="90"/>
      <c r="AF167" s="91"/>
    </row>
    <row r="168" spans="1:32" s="9" customFormat="1" ht="15" customHeight="1">
      <c r="A168" s="92" t="s">
        <v>191</v>
      </c>
      <c r="B168" s="26" t="s">
        <v>137</v>
      </c>
      <c r="C168" s="93" t="s">
        <v>751</v>
      </c>
      <c r="D168" s="27" t="s">
        <v>139</v>
      </c>
      <c r="E168" s="92" t="s">
        <v>938</v>
      </c>
      <c r="F168" s="92" t="s">
        <v>939</v>
      </c>
      <c r="G168" s="32" t="s">
        <v>35</v>
      </c>
      <c r="H168" s="32" t="s">
        <v>1107</v>
      </c>
      <c r="I168" s="32" t="e">
        <f>VLOOKUP(H168,'合同高级查询数据-8月返'!A:A,1,FALSE)</f>
        <v>#N/A</v>
      </c>
      <c r="J168" s="35" t="s">
        <v>37</v>
      </c>
      <c r="K168" s="92" t="s">
        <v>1108</v>
      </c>
      <c r="L168" s="92" t="s">
        <v>1108</v>
      </c>
      <c r="M168" s="49" t="s">
        <v>1109</v>
      </c>
      <c r="N168" s="105">
        <v>45085</v>
      </c>
      <c r="O168" s="105" t="s">
        <v>355</v>
      </c>
      <c r="P168" s="106">
        <v>6740</v>
      </c>
      <c r="Q168" s="57">
        <v>191.08</v>
      </c>
      <c r="R168" s="63">
        <f t="shared" si="8"/>
        <v>1287879.2</v>
      </c>
      <c r="S168" s="55">
        <v>202308</v>
      </c>
      <c r="T168" s="114" t="s">
        <v>1110</v>
      </c>
      <c r="U168" s="114"/>
      <c r="V168" s="68">
        <v>191.08195370300001</v>
      </c>
      <c r="W168" s="93"/>
      <c r="X168" s="70"/>
      <c r="Y168" s="70"/>
      <c r="Z168" s="25" t="s">
        <v>1111</v>
      </c>
      <c r="AA168" s="84">
        <v>0.4</v>
      </c>
      <c r="AB168" s="84">
        <v>400</v>
      </c>
      <c r="AC168" s="84">
        <f>AA168*AB168</f>
        <v>160</v>
      </c>
      <c r="AD168" s="88"/>
      <c r="AF168" s="89"/>
    </row>
    <row r="169" spans="1:32" s="9" customFormat="1" ht="15" customHeight="1">
      <c r="A169" s="122" t="s">
        <v>191</v>
      </c>
      <c r="B169" s="123" t="s">
        <v>1006</v>
      </c>
      <c r="C169" s="123" t="s">
        <v>1007</v>
      </c>
      <c r="D169" s="123" t="s">
        <v>139</v>
      </c>
      <c r="E169" s="123" t="s">
        <v>1112</v>
      </c>
      <c r="F169" s="125" t="s">
        <v>1113</v>
      </c>
      <c r="G169" s="124" t="s">
        <v>35</v>
      </c>
      <c r="H169" s="123" t="s">
        <v>1114</v>
      </c>
      <c r="I169" s="32" t="e">
        <f>VLOOKUP(H169,'合同高级查询数据-8月返'!A:A,1,FALSE)</f>
        <v>#N/A</v>
      </c>
      <c r="J169" s="35" t="s">
        <v>37</v>
      </c>
      <c r="K169" s="125" t="s">
        <v>1113</v>
      </c>
      <c r="L169" s="125" t="s">
        <v>1113</v>
      </c>
      <c r="M169" s="130" t="s">
        <v>1115</v>
      </c>
      <c r="N169" s="50" t="s">
        <v>1116</v>
      </c>
      <c r="O169" s="131" t="s">
        <v>1117</v>
      </c>
      <c r="P169" s="133">
        <v>6740</v>
      </c>
      <c r="Q169" s="142">
        <v>240</v>
      </c>
      <c r="R169" s="143">
        <f t="shared" si="8"/>
        <v>1617600</v>
      </c>
      <c r="S169" s="55">
        <v>202308</v>
      </c>
      <c r="T169" s="144" t="s">
        <v>1118</v>
      </c>
      <c r="U169" s="154"/>
      <c r="V169" s="68">
        <v>229.51861330700001</v>
      </c>
      <c r="W169" s="25"/>
      <c r="X169" s="70"/>
      <c r="Y169" s="70"/>
      <c r="Z169" s="25" t="s">
        <v>1119</v>
      </c>
      <c r="AA169" s="84">
        <v>0.4</v>
      </c>
      <c r="AB169" s="84">
        <v>600</v>
      </c>
      <c r="AC169" s="84">
        <f>AA169*AB169</f>
        <v>240</v>
      </c>
      <c r="AD169" s="88"/>
      <c r="AF169" s="89"/>
    </row>
    <row r="170" spans="1:32" s="9" customFormat="1" ht="15" customHeight="1">
      <c r="A170" s="25" t="s">
        <v>191</v>
      </c>
      <c r="B170" s="26" t="s">
        <v>137</v>
      </c>
      <c r="C170" s="25" t="s">
        <v>138</v>
      </c>
      <c r="D170" s="27" t="s">
        <v>139</v>
      </c>
      <c r="E170" s="25" t="s">
        <v>1120</v>
      </c>
      <c r="F170" s="25" t="s">
        <v>1121</v>
      </c>
      <c r="G170" s="34" t="s">
        <v>35</v>
      </c>
      <c r="H170" s="32" t="s">
        <v>1122</v>
      </c>
      <c r="I170" s="32" t="e">
        <f>VLOOKUP(H170,'合同高级查询数据-8月返'!A:A,1,FALSE)</f>
        <v>#N/A</v>
      </c>
      <c r="J170" s="35" t="s">
        <v>37</v>
      </c>
      <c r="K170" s="32" t="s">
        <v>1123</v>
      </c>
      <c r="L170" s="32" t="s">
        <v>1123</v>
      </c>
      <c r="M170" s="49" t="s">
        <v>1124</v>
      </c>
      <c r="N170" s="134" t="s">
        <v>1116</v>
      </c>
      <c r="O170" s="125" t="s">
        <v>1125</v>
      </c>
      <c r="P170" s="51">
        <v>6740</v>
      </c>
      <c r="Q170" s="51">
        <v>160</v>
      </c>
      <c r="R170" s="63">
        <f t="shared" si="8"/>
        <v>1078400</v>
      </c>
      <c r="S170" s="146">
        <v>202308</v>
      </c>
      <c r="T170" s="147" t="s">
        <v>1126</v>
      </c>
      <c r="U170" s="154"/>
      <c r="V170" s="68">
        <v>153.95263584599999</v>
      </c>
      <c r="W170" s="25"/>
      <c r="X170" s="70"/>
      <c r="Y170" s="70"/>
      <c r="Z170" s="25" t="s">
        <v>1127</v>
      </c>
      <c r="AA170" s="84">
        <v>0.4</v>
      </c>
      <c r="AB170" s="84">
        <v>400</v>
      </c>
      <c r="AC170" s="84">
        <f>AB170*AA170</f>
        <v>160</v>
      </c>
      <c r="AD170" s="88"/>
      <c r="AF170" s="89"/>
    </row>
    <row r="171" spans="1:32" s="9" customFormat="1" ht="15" customHeight="1">
      <c r="A171" s="92" t="s">
        <v>191</v>
      </c>
      <c r="B171" s="26" t="s">
        <v>137</v>
      </c>
      <c r="C171" s="93" t="s">
        <v>751</v>
      </c>
      <c r="D171" s="27" t="s">
        <v>139</v>
      </c>
      <c r="E171" s="92" t="s">
        <v>899</v>
      </c>
      <c r="F171" s="92" t="s">
        <v>900</v>
      </c>
      <c r="G171" s="32" t="s">
        <v>35</v>
      </c>
      <c r="H171" s="32" t="s">
        <v>1128</v>
      </c>
      <c r="I171" s="32" t="e">
        <f>VLOOKUP(H171,'合同高级查询数据-8月返'!A:A,1,FALSE)</f>
        <v>#N/A</v>
      </c>
      <c r="J171" s="35" t="s">
        <v>37</v>
      </c>
      <c r="K171" s="98" t="s">
        <v>1129</v>
      </c>
      <c r="L171" s="98" t="s">
        <v>1129</v>
      </c>
      <c r="M171" s="49" t="s">
        <v>1130</v>
      </c>
      <c r="N171" s="105">
        <v>45085</v>
      </c>
      <c r="O171" s="105" t="s">
        <v>355</v>
      </c>
      <c r="P171" s="106">
        <v>6740</v>
      </c>
      <c r="Q171" s="113">
        <v>222.32</v>
      </c>
      <c r="R171" s="63">
        <f t="shared" si="8"/>
        <v>1498436.8</v>
      </c>
      <c r="S171" s="55">
        <v>202308</v>
      </c>
      <c r="T171" s="114" t="s">
        <v>1131</v>
      </c>
      <c r="U171" s="114"/>
      <c r="V171" s="68">
        <v>222.315941522</v>
      </c>
      <c r="W171" s="93"/>
      <c r="X171" s="70"/>
      <c r="Y171" s="70"/>
      <c r="Z171" s="25" t="s">
        <v>1132</v>
      </c>
      <c r="AA171" s="84">
        <v>0.4</v>
      </c>
      <c r="AB171" s="84">
        <v>400</v>
      </c>
      <c r="AC171" s="84">
        <f>AA171*AB171</f>
        <v>160</v>
      </c>
      <c r="AD171" s="88"/>
      <c r="AF171" s="89"/>
    </row>
    <row r="172" spans="1:32" s="9" customFormat="1" ht="15" customHeight="1">
      <c r="A172" s="25" t="s">
        <v>191</v>
      </c>
      <c r="B172" s="26" t="s">
        <v>137</v>
      </c>
      <c r="C172" s="27" t="s">
        <v>302</v>
      </c>
      <c r="D172" s="26" t="s">
        <v>303</v>
      </c>
      <c r="E172" s="25" t="s">
        <v>683</v>
      </c>
      <c r="F172" s="25" t="s">
        <v>684</v>
      </c>
      <c r="G172" s="25" t="s">
        <v>35</v>
      </c>
      <c r="H172" s="32" t="s">
        <v>1133</v>
      </c>
      <c r="I172" s="32" t="e">
        <f>VLOOKUP(H172,'合同高级查询数据-8月返'!A:A,1,FALSE)</f>
        <v>#N/A</v>
      </c>
      <c r="J172" s="35" t="s">
        <v>37</v>
      </c>
      <c r="K172" s="25" t="s">
        <v>1134</v>
      </c>
      <c r="L172" s="32" t="s">
        <v>1134</v>
      </c>
      <c r="M172" s="25" t="s">
        <v>1135</v>
      </c>
      <c r="N172" s="42">
        <v>45088</v>
      </c>
      <c r="O172" s="25" t="s">
        <v>447</v>
      </c>
      <c r="P172" s="43">
        <v>6740</v>
      </c>
      <c r="Q172" s="57">
        <v>40</v>
      </c>
      <c r="R172" s="54">
        <f t="shared" si="8"/>
        <v>269600</v>
      </c>
      <c r="S172" s="55">
        <v>202308</v>
      </c>
      <c r="T172" s="56" t="s">
        <v>1136</v>
      </c>
      <c r="U172" s="56"/>
      <c r="V172" s="68">
        <v>36.587220510999998</v>
      </c>
      <c r="W172" s="69"/>
      <c r="X172" s="70"/>
      <c r="Y172" s="70"/>
      <c r="Z172" s="25" t="s">
        <v>1137</v>
      </c>
      <c r="AA172" s="84">
        <v>0.4</v>
      </c>
      <c r="AB172" s="84">
        <v>100</v>
      </c>
      <c r="AC172" s="84">
        <f>AA172*AB172</f>
        <v>40</v>
      </c>
      <c r="AD172" s="88"/>
      <c r="AF172" s="89"/>
    </row>
    <row r="173" spans="1:32" s="9" customFormat="1" ht="15" customHeight="1">
      <c r="A173" s="25" t="s">
        <v>136</v>
      </c>
      <c r="B173" s="26" t="s">
        <v>137</v>
      </c>
      <c r="C173" s="27" t="s">
        <v>302</v>
      </c>
      <c r="D173" s="26" t="s">
        <v>303</v>
      </c>
      <c r="E173" s="25" t="s">
        <v>568</v>
      </c>
      <c r="F173" s="25" t="s">
        <v>569</v>
      </c>
      <c r="G173" s="25" t="s">
        <v>35</v>
      </c>
      <c r="H173" s="32" t="s">
        <v>1138</v>
      </c>
      <c r="I173" s="32" t="e">
        <f>VLOOKUP(H173,'合同高级查询数据-8月返'!A:A,1,FALSE)</f>
        <v>#N/A</v>
      </c>
      <c r="J173" s="35" t="s">
        <v>37</v>
      </c>
      <c r="K173" s="25" t="s">
        <v>1139</v>
      </c>
      <c r="L173" s="25" t="s">
        <v>1139</v>
      </c>
      <c r="M173" s="25" t="s">
        <v>1140</v>
      </c>
      <c r="N173" s="134" t="s">
        <v>1141</v>
      </c>
      <c r="O173" s="39" t="s">
        <v>1142</v>
      </c>
      <c r="P173" s="43">
        <v>9000</v>
      </c>
      <c r="Q173" s="57"/>
      <c r="R173" s="54">
        <f t="shared" si="8"/>
        <v>0</v>
      </c>
      <c r="S173" s="55">
        <v>202308</v>
      </c>
      <c r="T173" s="56" t="s">
        <v>1143</v>
      </c>
      <c r="U173" s="56"/>
      <c r="V173" s="80">
        <v>0</v>
      </c>
      <c r="W173" s="80"/>
      <c r="X173" s="70"/>
      <c r="Y173" s="70"/>
      <c r="Z173" s="25" t="s">
        <v>1144</v>
      </c>
      <c r="AA173" s="84" t="s">
        <v>450</v>
      </c>
      <c r="AB173" s="84">
        <v>60</v>
      </c>
      <c r="AC173" s="84" t="s">
        <v>450</v>
      </c>
    </row>
    <row r="174" spans="1:32" s="9" customFormat="1" ht="15" customHeight="1">
      <c r="A174" s="25" t="s">
        <v>136</v>
      </c>
      <c r="B174" s="26" t="s">
        <v>137</v>
      </c>
      <c r="C174" s="27" t="s">
        <v>302</v>
      </c>
      <c r="D174" s="26" t="s">
        <v>303</v>
      </c>
      <c r="E174" s="25" t="s">
        <v>503</v>
      </c>
      <c r="F174" s="25" t="s">
        <v>504</v>
      </c>
      <c r="G174" s="25" t="s">
        <v>35</v>
      </c>
      <c r="H174" s="32" t="s">
        <v>1145</v>
      </c>
      <c r="I174" s="32" t="e">
        <f>VLOOKUP(H174,'合同高级查询数据-8月返'!A:A,1,FALSE)</f>
        <v>#N/A</v>
      </c>
      <c r="J174" s="35" t="s">
        <v>37</v>
      </c>
      <c r="K174" s="128" t="s">
        <v>1146</v>
      </c>
      <c r="L174" s="128" t="s">
        <v>1146</v>
      </c>
      <c r="M174" s="49" t="s">
        <v>1147</v>
      </c>
      <c r="N174" s="134">
        <v>45108</v>
      </c>
      <c r="O174" s="25" t="s">
        <v>319</v>
      </c>
      <c r="P174" s="43">
        <v>9000</v>
      </c>
      <c r="Q174" s="57">
        <v>60</v>
      </c>
      <c r="R174" s="63">
        <f t="shared" si="8"/>
        <v>540000</v>
      </c>
      <c r="S174" s="55">
        <v>202308</v>
      </c>
      <c r="T174" s="56" t="s">
        <v>1148</v>
      </c>
      <c r="U174" s="56"/>
      <c r="V174" s="68">
        <v>34.152654622</v>
      </c>
      <c r="W174" s="69"/>
      <c r="X174" s="70"/>
      <c r="Y174" s="70"/>
      <c r="Z174" s="25" t="s">
        <v>1149</v>
      </c>
      <c r="AA174" s="84">
        <v>0.3</v>
      </c>
      <c r="AB174" s="84">
        <v>200</v>
      </c>
      <c r="AC174" s="84">
        <f>AA174*AB174</f>
        <v>60</v>
      </c>
      <c r="AD174" s="88"/>
      <c r="AF174" s="89"/>
    </row>
    <row r="175" spans="1:32" s="9" customFormat="1" ht="15" customHeight="1">
      <c r="A175" s="25" t="s">
        <v>191</v>
      </c>
      <c r="B175" s="26" t="s">
        <v>137</v>
      </c>
      <c r="C175" s="27" t="s">
        <v>302</v>
      </c>
      <c r="D175" s="26" t="s">
        <v>303</v>
      </c>
      <c r="E175" s="25" t="s">
        <v>1150</v>
      </c>
      <c r="F175" s="25" t="s">
        <v>1151</v>
      </c>
      <c r="G175" s="25" t="s">
        <v>35</v>
      </c>
      <c r="H175" s="32" t="s">
        <v>1152</v>
      </c>
      <c r="I175" s="32" t="e">
        <f>VLOOKUP(H175,'合同高级查询数据-8月返'!A:A,1,FALSE)</f>
        <v>#N/A</v>
      </c>
      <c r="J175" s="35" t="s">
        <v>37</v>
      </c>
      <c r="K175" s="32" t="s">
        <v>1153</v>
      </c>
      <c r="L175" s="32" t="s">
        <v>1153</v>
      </c>
      <c r="M175" s="25" t="s">
        <v>1154</v>
      </c>
      <c r="N175" s="42">
        <v>45119</v>
      </c>
      <c r="O175" s="25" t="s">
        <v>319</v>
      </c>
      <c r="P175" s="43">
        <v>6740</v>
      </c>
      <c r="Q175" s="43">
        <v>80.38</v>
      </c>
      <c r="R175" s="54">
        <f t="shared" si="8"/>
        <v>541761.19999999995</v>
      </c>
      <c r="S175" s="55">
        <v>202308</v>
      </c>
      <c r="T175" s="56" t="s">
        <v>1155</v>
      </c>
      <c r="U175" s="56"/>
      <c r="V175" s="68">
        <v>80.381183605999993</v>
      </c>
      <c r="W175" s="69"/>
      <c r="X175" s="70"/>
      <c r="Y175" s="70"/>
      <c r="Z175" s="25" t="s">
        <v>1156</v>
      </c>
      <c r="AA175" s="84">
        <v>0.4</v>
      </c>
      <c r="AB175" s="84">
        <v>200</v>
      </c>
      <c r="AC175" s="84">
        <f>AA175*AB175</f>
        <v>80</v>
      </c>
      <c r="AD175" s="88"/>
      <c r="AF175" s="89"/>
    </row>
    <row r="176" spans="1:32" s="9" customFormat="1" ht="15" customHeight="1">
      <c r="A176" s="25" t="s">
        <v>184</v>
      </c>
      <c r="B176" s="26" t="s">
        <v>137</v>
      </c>
      <c r="C176" s="27" t="s">
        <v>138</v>
      </c>
      <c r="D176" s="26" t="s">
        <v>139</v>
      </c>
      <c r="E176" s="25" t="s">
        <v>322</v>
      </c>
      <c r="F176" s="25" t="s">
        <v>186</v>
      </c>
      <c r="G176" s="25" t="s">
        <v>35</v>
      </c>
      <c r="H176" s="32" t="s">
        <v>1157</v>
      </c>
      <c r="I176" s="32" t="e">
        <f>VLOOKUP(H176,'合同高级查询数据-8月返'!A:A,1,FALSE)</f>
        <v>#N/A</v>
      </c>
      <c r="J176" s="35" t="s">
        <v>37</v>
      </c>
      <c r="K176" s="32" t="s">
        <v>1158</v>
      </c>
      <c r="L176" s="32" t="s">
        <v>1158</v>
      </c>
      <c r="M176" s="25" t="s">
        <v>1159</v>
      </c>
      <c r="N176" s="42">
        <v>45108</v>
      </c>
      <c r="O176" s="25" t="s">
        <v>319</v>
      </c>
      <c r="P176" s="132">
        <v>9500</v>
      </c>
      <c r="Q176" s="57">
        <v>100.4</v>
      </c>
      <c r="R176" s="143">
        <f t="shared" si="8"/>
        <v>953800</v>
      </c>
      <c r="S176" s="55">
        <v>202308</v>
      </c>
      <c r="T176" s="56" t="s">
        <v>1160</v>
      </c>
      <c r="U176" s="56"/>
      <c r="V176" s="68">
        <v>100.395305932</v>
      </c>
      <c r="W176" s="69"/>
      <c r="X176" s="70"/>
      <c r="Y176" s="70"/>
      <c r="Z176" s="25" t="s">
        <v>1161</v>
      </c>
      <c r="AA176" s="84">
        <v>0.3</v>
      </c>
      <c r="AB176" s="84">
        <v>200</v>
      </c>
      <c r="AC176" s="84">
        <f>AA176*AB176</f>
        <v>60</v>
      </c>
      <c r="AD176" s="88"/>
      <c r="AF176" s="89"/>
    </row>
    <row r="177" spans="1:32" s="9" customFormat="1" ht="15" customHeight="1">
      <c r="A177" s="25" t="s">
        <v>191</v>
      </c>
      <c r="B177" s="26" t="s">
        <v>137</v>
      </c>
      <c r="C177" s="25" t="s">
        <v>138</v>
      </c>
      <c r="D177" s="27" t="s">
        <v>139</v>
      </c>
      <c r="E177" s="25" t="s">
        <v>607</v>
      </c>
      <c r="F177" s="25" t="s">
        <v>608</v>
      </c>
      <c r="G177" s="34" t="s">
        <v>35</v>
      </c>
      <c r="H177" s="32" t="s">
        <v>1162</v>
      </c>
      <c r="I177" s="32" t="e">
        <f>VLOOKUP(H177,'合同高级查询数据-8月返'!A:A,1,FALSE)</f>
        <v>#N/A</v>
      </c>
      <c r="J177" s="35" t="s">
        <v>37</v>
      </c>
      <c r="K177" s="32" t="s">
        <v>1163</v>
      </c>
      <c r="L177" s="32" t="s">
        <v>1163</v>
      </c>
      <c r="M177" s="49" t="s">
        <v>612</v>
      </c>
      <c r="N177" s="102">
        <v>45108</v>
      </c>
      <c r="O177" s="34" t="s">
        <v>319</v>
      </c>
      <c r="P177" s="51">
        <v>6740</v>
      </c>
      <c r="Q177" s="51">
        <v>91.85</v>
      </c>
      <c r="R177" s="63">
        <f t="shared" si="8"/>
        <v>619069</v>
      </c>
      <c r="S177" s="146">
        <v>202308</v>
      </c>
      <c r="T177" s="112" t="s">
        <v>1164</v>
      </c>
      <c r="U177" s="139"/>
      <c r="V177" s="68">
        <v>90.747202967000007</v>
      </c>
      <c r="W177" s="79">
        <v>92.94</v>
      </c>
      <c r="X177" s="70"/>
      <c r="Y177" s="70"/>
      <c r="Z177" s="25" t="s">
        <v>1165</v>
      </c>
      <c r="AA177" s="84">
        <v>0.4</v>
      </c>
      <c r="AB177" s="84">
        <v>200</v>
      </c>
      <c r="AC177" s="84">
        <f>AB177*AA177</f>
        <v>80</v>
      </c>
      <c r="AD177" s="88"/>
      <c r="AF177" s="89"/>
    </row>
    <row r="178" spans="1:32" s="9" customFormat="1" ht="15" customHeight="1">
      <c r="A178" s="25" t="s">
        <v>29</v>
      </c>
      <c r="B178" s="26" t="s">
        <v>30</v>
      </c>
      <c r="C178" s="27" t="s">
        <v>31</v>
      </c>
      <c r="D178" s="27" t="s">
        <v>32</v>
      </c>
      <c r="E178" s="25" t="s">
        <v>1166</v>
      </c>
      <c r="F178" s="25" t="s">
        <v>1167</v>
      </c>
      <c r="G178" s="25" t="s">
        <v>35</v>
      </c>
      <c r="H178" s="32" t="s">
        <v>1168</v>
      </c>
      <c r="I178" s="32" t="e">
        <f>VLOOKUP(H178,'合同高级查询数据-8月返'!A:A,1,FALSE)</f>
        <v>#N/A</v>
      </c>
      <c r="J178" s="35" t="s">
        <v>37</v>
      </c>
      <c r="K178" s="25"/>
      <c r="L178" s="32" t="s">
        <v>1169</v>
      </c>
      <c r="M178" s="25"/>
      <c r="N178" s="42">
        <v>45108</v>
      </c>
      <c r="O178" s="25"/>
      <c r="P178" s="43">
        <v>4800</v>
      </c>
      <c r="Q178" s="43"/>
      <c r="R178" s="63">
        <f t="shared" si="8"/>
        <v>0</v>
      </c>
      <c r="S178" s="55">
        <v>202308</v>
      </c>
      <c r="T178" s="56" t="s">
        <v>1170</v>
      </c>
      <c r="U178" s="56"/>
      <c r="V178" s="71">
        <v>9.0969999999999995E-6</v>
      </c>
      <c r="W178" s="69"/>
      <c r="X178" s="70"/>
      <c r="Y178" s="70"/>
      <c r="Z178" s="25" t="s">
        <v>1171</v>
      </c>
      <c r="AA178" s="84">
        <v>0</v>
      </c>
      <c r="AB178" s="84"/>
      <c r="AC178" s="84">
        <v>0</v>
      </c>
    </row>
    <row r="179" spans="1:32" s="9" customFormat="1" ht="15" customHeight="1">
      <c r="A179" s="25" t="s">
        <v>29</v>
      </c>
      <c r="B179" s="26" t="s">
        <v>30</v>
      </c>
      <c r="C179" s="27" t="s">
        <v>31</v>
      </c>
      <c r="D179" s="27" t="s">
        <v>32</v>
      </c>
      <c r="E179" s="25" t="s">
        <v>242</v>
      </c>
      <c r="F179" s="25" t="s">
        <v>243</v>
      </c>
      <c r="G179" s="25" t="s">
        <v>35</v>
      </c>
      <c r="H179" s="32" t="s">
        <v>1172</v>
      </c>
      <c r="I179" s="32" t="e">
        <f>VLOOKUP(H179,'合同高级查询数据-8月返'!A:A,1,FALSE)</f>
        <v>#N/A</v>
      </c>
      <c r="J179" s="35" t="s">
        <v>37</v>
      </c>
      <c r="K179" s="25"/>
      <c r="L179" s="32" t="s">
        <v>1173</v>
      </c>
      <c r="M179" s="25"/>
      <c r="N179" s="42">
        <v>45108</v>
      </c>
      <c r="O179" s="25"/>
      <c r="P179" s="43">
        <v>5800</v>
      </c>
      <c r="Q179" s="57">
        <v>533.44000000000005</v>
      </c>
      <c r="R179" s="63">
        <f t="shared" si="8"/>
        <v>3093952</v>
      </c>
      <c r="S179" s="55">
        <v>202308</v>
      </c>
      <c r="T179" s="56" t="s">
        <v>1174</v>
      </c>
      <c r="U179" s="69"/>
      <c r="V179" s="68">
        <v>533.43927001999998</v>
      </c>
      <c r="W179" s="76">
        <v>533.44000000000005</v>
      </c>
      <c r="X179" s="84"/>
      <c r="Y179" s="84"/>
      <c r="Z179" s="84" t="s">
        <v>1175</v>
      </c>
      <c r="AA179" s="84">
        <v>0</v>
      </c>
      <c r="AB179" s="84"/>
      <c r="AC179" s="84">
        <v>0</v>
      </c>
      <c r="AD179" s="88"/>
      <c r="AF179" s="89"/>
    </row>
    <row r="180" spans="1:32" s="9" customFormat="1" ht="15" customHeight="1">
      <c r="A180" s="25" t="s">
        <v>29</v>
      </c>
      <c r="B180" s="26" t="s">
        <v>30</v>
      </c>
      <c r="C180" s="27" t="s">
        <v>31</v>
      </c>
      <c r="D180" s="27" t="s">
        <v>32</v>
      </c>
      <c r="E180" s="25" t="s">
        <v>54</v>
      </c>
      <c r="F180" s="25" t="s">
        <v>55</v>
      </c>
      <c r="G180" s="25" t="s">
        <v>35</v>
      </c>
      <c r="H180" s="32" t="s">
        <v>1176</v>
      </c>
      <c r="I180" s="32" t="e">
        <f>VLOOKUP(H180,'合同高级查询数据-8月返'!A:A,1,FALSE)</f>
        <v>#N/A</v>
      </c>
      <c r="J180" s="35" t="s">
        <v>37</v>
      </c>
      <c r="K180" s="25"/>
      <c r="L180" s="32" t="s">
        <v>1177</v>
      </c>
      <c r="M180" s="25"/>
      <c r="N180" s="42">
        <v>45139</v>
      </c>
      <c r="O180" s="25"/>
      <c r="P180" s="43">
        <v>4850</v>
      </c>
      <c r="Q180" s="43">
        <v>371.964</v>
      </c>
      <c r="R180" s="63">
        <f t="shared" si="8"/>
        <v>1804025.4</v>
      </c>
      <c r="S180" s="55">
        <v>202308</v>
      </c>
      <c r="T180" s="56" t="s">
        <v>1174</v>
      </c>
      <c r="U180" s="56"/>
      <c r="V180" s="68">
        <v>371.963378906</v>
      </c>
      <c r="W180" s="69"/>
      <c r="X180" s="70"/>
      <c r="Y180" s="70"/>
      <c r="Z180" s="25" t="s">
        <v>1178</v>
      </c>
      <c r="AA180" s="84">
        <v>0</v>
      </c>
      <c r="AB180" s="84"/>
      <c r="AC180" s="84">
        <v>0</v>
      </c>
      <c r="AD180" s="88"/>
      <c r="AF180" s="89"/>
    </row>
    <row r="181" spans="1:32" s="9" customFormat="1" ht="15" customHeight="1">
      <c r="A181" s="122" t="s">
        <v>191</v>
      </c>
      <c r="B181" s="123" t="s">
        <v>1006</v>
      </c>
      <c r="C181" s="123" t="s">
        <v>1007</v>
      </c>
      <c r="D181" s="123" t="s">
        <v>139</v>
      </c>
      <c r="E181" s="123" t="s">
        <v>1060</v>
      </c>
      <c r="F181" s="125" t="s">
        <v>1061</v>
      </c>
      <c r="G181" s="124" t="s">
        <v>35</v>
      </c>
      <c r="H181" s="123" t="s">
        <v>1062</v>
      </c>
      <c r="I181" s="32" t="e">
        <f>VLOOKUP(H181,'合同高级查询数据-8月返'!A:A,1,FALSE)</f>
        <v>#N/A</v>
      </c>
      <c r="J181" s="35" t="s">
        <v>37</v>
      </c>
      <c r="K181" s="125" t="s">
        <v>1179</v>
      </c>
      <c r="L181" s="127" t="s">
        <v>1180</v>
      </c>
      <c r="M181" s="130" t="s">
        <v>1065</v>
      </c>
      <c r="N181" s="50">
        <v>45141</v>
      </c>
      <c r="O181" s="131" t="s">
        <v>319</v>
      </c>
      <c r="P181" s="133">
        <v>6740</v>
      </c>
      <c r="Q181" s="142">
        <v>138</v>
      </c>
      <c r="R181" s="143">
        <f t="shared" si="8"/>
        <v>930120</v>
      </c>
      <c r="S181" s="55">
        <v>202308</v>
      </c>
      <c r="T181" s="145" t="s">
        <v>1181</v>
      </c>
      <c r="U181" s="153"/>
      <c r="V181" s="68">
        <v>138.00245536599999</v>
      </c>
      <c r="W181" s="150"/>
      <c r="X181" s="70"/>
      <c r="Y181" s="70"/>
      <c r="Z181" s="158" t="s">
        <v>1182</v>
      </c>
      <c r="AA181" s="161">
        <v>0.4</v>
      </c>
      <c r="AB181" s="159">
        <v>200</v>
      </c>
      <c r="AC181" s="166">
        <f>AA181*AB181</f>
        <v>80</v>
      </c>
      <c r="AD181" s="88"/>
      <c r="AF181" s="89"/>
    </row>
    <row r="182" spans="1:32" s="10" customFormat="1" ht="15" customHeight="1">
      <c r="A182" s="29" t="s">
        <v>191</v>
      </c>
      <c r="B182" s="30" t="s">
        <v>137</v>
      </c>
      <c r="C182" s="29" t="s">
        <v>302</v>
      </c>
      <c r="D182" s="29" t="s">
        <v>303</v>
      </c>
      <c r="E182" s="29" t="s">
        <v>727</v>
      </c>
      <c r="F182" s="29" t="s">
        <v>728</v>
      </c>
      <c r="G182" s="126" t="s">
        <v>35</v>
      </c>
      <c r="H182" s="33" t="s">
        <v>1183</v>
      </c>
      <c r="I182" s="33" t="e">
        <f>VLOOKUP(H182,'合同高级查询数据-8月返'!A:A,1,FALSE)</f>
        <v>#N/A</v>
      </c>
      <c r="J182" s="129" t="s">
        <v>37</v>
      </c>
      <c r="K182" s="129" t="s">
        <v>730</v>
      </c>
      <c r="L182" s="33" t="s">
        <v>731</v>
      </c>
      <c r="M182" s="107" t="s">
        <v>732</v>
      </c>
      <c r="N182" s="135">
        <v>45022</v>
      </c>
      <c r="O182" s="136" t="s">
        <v>319</v>
      </c>
      <c r="P182" s="137">
        <v>6740</v>
      </c>
      <c r="Q182" s="137">
        <f>85.46-84.82</f>
        <v>0.64000000000000057</v>
      </c>
      <c r="R182" s="116">
        <f t="shared" si="8"/>
        <v>4313.6000000000004</v>
      </c>
      <c r="S182" s="59">
        <v>202305</v>
      </c>
      <c r="T182" s="148" t="s">
        <v>1184</v>
      </c>
      <c r="U182" s="148"/>
      <c r="V182" s="77">
        <v>84.818725585999999</v>
      </c>
      <c r="W182" s="155">
        <v>86.1</v>
      </c>
      <c r="X182" s="156">
        <v>45022</v>
      </c>
      <c r="Y182" s="156">
        <v>45107</v>
      </c>
      <c r="Z182" s="162"/>
      <c r="AA182" s="163"/>
      <c r="AB182" s="163"/>
      <c r="AC182" s="163"/>
    </row>
    <row r="183" spans="1:32" s="10" customFormat="1" ht="15" customHeight="1">
      <c r="A183" s="29" t="s">
        <v>191</v>
      </c>
      <c r="B183" s="30" t="s">
        <v>137</v>
      </c>
      <c r="C183" s="29" t="s">
        <v>302</v>
      </c>
      <c r="D183" s="29" t="s">
        <v>303</v>
      </c>
      <c r="E183" s="29" t="s">
        <v>727</v>
      </c>
      <c r="F183" s="29" t="s">
        <v>728</v>
      </c>
      <c r="G183" s="126" t="s">
        <v>35</v>
      </c>
      <c r="H183" s="33" t="s">
        <v>1183</v>
      </c>
      <c r="I183" s="33" t="e">
        <f>VLOOKUP(H183,'合同高级查询数据-8月返'!A:A,1,FALSE)</f>
        <v>#N/A</v>
      </c>
      <c r="J183" s="129" t="s">
        <v>37</v>
      </c>
      <c r="K183" s="129" t="s">
        <v>730</v>
      </c>
      <c r="L183" s="33" t="s">
        <v>731</v>
      </c>
      <c r="M183" s="107" t="s">
        <v>732</v>
      </c>
      <c r="N183" s="135">
        <v>45022</v>
      </c>
      <c r="O183" s="136" t="s">
        <v>319</v>
      </c>
      <c r="P183" s="137">
        <v>6740</v>
      </c>
      <c r="Q183" s="137">
        <f>86.52-85.84</f>
        <v>0.67999999999999261</v>
      </c>
      <c r="R183" s="116">
        <f t="shared" si="8"/>
        <v>4583.2</v>
      </c>
      <c r="S183" s="59">
        <v>202306</v>
      </c>
      <c r="T183" s="148" t="s">
        <v>1185</v>
      </c>
      <c r="U183" s="148"/>
      <c r="V183" s="77">
        <v>85.837547302000004</v>
      </c>
      <c r="W183" s="155">
        <v>87.19</v>
      </c>
      <c r="X183" s="156">
        <v>45022</v>
      </c>
      <c r="Y183" s="156">
        <v>45107</v>
      </c>
      <c r="Z183" s="162"/>
      <c r="AA183" s="163"/>
      <c r="AB183" s="163"/>
      <c r="AC183" s="163"/>
    </row>
    <row r="184" spans="1:32" s="10" customFormat="1" ht="15" customHeight="1">
      <c r="A184" s="28" t="s">
        <v>29</v>
      </c>
      <c r="B184" s="29" t="s">
        <v>30</v>
      </c>
      <c r="C184" s="30" t="s">
        <v>31</v>
      </c>
      <c r="D184" s="30" t="s">
        <v>32</v>
      </c>
      <c r="E184" s="28" t="s">
        <v>232</v>
      </c>
      <c r="F184" s="28" t="s">
        <v>233</v>
      </c>
      <c r="G184" s="28" t="s">
        <v>35</v>
      </c>
      <c r="H184" s="33" t="s">
        <v>1091</v>
      </c>
      <c r="I184" s="33" t="e">
        <f>VLOOKUP(H184,'合同高级查询数据-8月返'!A:A,1,FALSE)</f>
        <v>#N/A</v>
      </c>
      <c r="J184" s="38" t="s">
        <v>37</v>
      </c>
      <c r="K184" s="28"/>
      <c r="L184" s="33" t="s">
        <v>1092</v>
      </c>
      <c r="M184" s="28"/>
      <c r="N184" s="44">
        <v>45047</v>
      </c>
      <c r="O184" s="28"/>
      <c r="P184" s="45">
        <v>5040</v>
      </c>
      <c r="Q184" s="61">
        <v>23.550999999999998</v>
      </c>
      <c r="R184" s="58">
        <f t="shared" si="8"/>
        <v>118697.04</v>
      </c>
      <c r="S184" s="59">
        <v>202305</v>
      </c>
      <c r="T184" s="60" t="s">
        <v>1186</v>
      </c>
      <c r="U184" s="60"/>
      <c r="V184" s="75">
        <v>23.550999999999998</v>
      </c>
      <c r="W184" s="73">
        <v>23.550999999999998</v>
      </c>
      <c r="X184" s="156">
        <v>45047</v>
      </c>
      <c r="Y184" s="156">
        <v>45412</v>
      </c>
      <c r="Z184" s="162"/>
      <c r="AA184" s="163"/>
      <c r="AB184" s="163"/>
      <c r="AC184" s="163"/>
    </row>
    <row r="185" spans="1:32" s="9" customFormat="1" ht="15" customHeight="1">
      <c r="A185" s="25" t="s">
        <v>136</v>
      </c>
      <c r="B185" s="26" t="s">
        <v>137</v>
      </c>
      <c r="C185" s="27" t="s">
        <v>138</v>
      </c>
      <c r="D185" s="27" t="s">
        <v>139</v>
      </c>
      <c r="E185" s="25" t="s">
        <v>140</v>
      </c>
      <c r="F185" s="25" t="s">
        <v>141</v>
      </c>
      <c r="G185" s="25" t="s">
        <v>35</v>
      </c>
      <c r="H185" s="32" t="s">
        <v>149</v>
      </c>
      <c r="I185" s="32" t="e">
        <f>VLOOKUP(H185,'合同高级查询数据-8月返'!A:A,1,FALSE)</f>
        <v>#N/A</v>
      </c>
      <c r="J185" s="35" t="s">
        <v>37</v>
      </c>
      <c r="K185" s="25" t="s">
        <v>198</v>
      </c>
      <c r="L185" s="32" t="s">
        <v>199</v>
      </c>
      <c r="M185" s="25" t="s">
        <v>200</v>
      </c>
      <c r="N185" s="42" t="s">
        <v>201</v>
      </c>
      <c r="O185" s="25" t="s">
        <v>202</v>
      </c>
      <c r="P185" s="43">
        <v>9000</v>
      </c>
      <c r="Q185" s="57">
        <f>56.822-42</f>
        <v>14.822000000000003</v>
      </c>
      <c r="R185" s="54">
        <f t="shared" si="8"/>
        <v>133398</v>
      </c>
      <c r="S185" s="55">
        <v>202307</v>
      </c>
      <c r="T185" s="56" t="s">
        <v>1187</v>
      </c>
      <c r="U185" s="56"/>
      <c r="V185" s="76">
        <v>57.55</v>
      </c>
      <c r="W185" s="69">
        <v>58.9</v>
      </c>
      <c r="X185" s="157"/>
      <c r="Y185" s="157"/>
      <c r="Z185" s="164"/>
      <c r="AA185" s="165"/>
      <c r="AB185" s="165"/>
      <c r="AC185" s="165"/>
    </row>
    <row r="186" spans="1:32" s="10" customFormat="1" ht="15" customHeight="1">
      <c r="A186" s="28" t="s">
        <v>29</v>
      </c>
      <c r="B186" s="29" t="s">
        <v>30</v>
      </c>
      <c r="C186" s="30" t="s">
        <v>31</v>
      </c>
      <c r="D186" s="30" t="s">
        <v>32</v>
      </c>
      <c r="E186" s="28" t="s">
        <v>271</v>
      </c>
      <c r="F186" s="28" t="s">
        <v>272</v>
      </c>
      <c r="G186" s="28" t="s">
        <v>35</v>
      </c>
      <c r="H186" s="33" t="s">
        <v>278</v>
      </c>
      <c r="I186" s="33" t="e">
        <f>VLOOKUP(H186,'合同高级查询数据-8月返'!A:A,1,FALSE)</f>
        <v>#N/A</v>
      </c>
      <c r="J186" s="38" t="s">
        <v>37</v>
      </c>
      <c r="K186" s="28" t="s">
        <v>38</v>
      </c>
      <c r="L186" s="33" t="s">
        <v>279</v>
      </c>
      <c r="M186" s="28"/>
      <c r="N186" s="44">
        <v>43556</v>
      </c>
      <c r="O186" s="28"/>
      <c r="P186" s="45">
        <v>8400</v>
      </c>
      <c r="Q186" s="61">
        <f>1862.1556216956-1862.049</f>
        <v>0.10662169560009715</v>
      </c>
      <c r="R186" s="58">
        <f t="shared" si="8"/>
        <v>895.62</v>
      </c>
      <c r="S186" s="59">
        <v>202307</v>
      </c>
      <c r="T186" s="60" t="s">
        <v>1188</v>
      </c>
      <c r="U186" s="60"/>
      <c r="V186" s="75">
        <v>1862.0480957029999</v>
      </c>
      <c r="W186" s="73">
        <v>1862.1556216956001</v>
      </c>
      <c r="X186" s="156">
        <v>44927</v>
      </c>
      <c r="Y186" s="156">
        <v>45291</v>
      </c>
      <c r="Z186" s="162"/>
      <c r="AA186" s="163"/>
      <c r="AB186" s="163"/>
      <c r="AC186" s="163"/>
    </row>
    <row r="187" spans="1:32" s="9" customFormat="1" ht="15" customHeight="1">
      <c r="A187" s="122" t="s">
        <v>184</v>
      </c>
      <c r="B187" s="123" t="s">
        <v>1006</v>
      </c>
      <c r="C187" s="123" t="s">
        <v>1007</v>
      </c>
      <c r="D187" s="123" t="s">
        <v>139</v>
      </c>
      <c r="E187" s="123" t="s">
        <v>1008</v>
      </c>
      <c r="F187" s="34" t="s">
        <v>1009</v>
      </c>
      <c r="G187" s="32" t="s">
        <v>35</v>
      </c>
      <c r="H187" s="32" t="s">
        <v>1010</v>
      </c>
      <c r="I187" s="32" t="e">
        <f>VLOOKUP(H187,'合同高级查询数据-8月返'!A:A,1,FALSE)</f>
        <v>#N/A</v>
      </c>
      <c r="J187" s="35" t="s">
        <v>37</v>
      </c>
      <c r="K187" s="34" t="s">
        <v>1023</v>
      </c>
      <c r="L187" s="49" t="s">
        <v>1024</v>
      </c>
      <c r="M187" s="138" t="s">
        <v>1025</v>
      </c>
      <c r="N187" s="34" t="s">
        <v>1026</v>
      </c>
      <c r="O187" s="139" t="s">
        <v>1027</v>
      </c>
      <c r="P187" s="132">
        <v>9500</v>
      </c>
      <c r="Q187" s="142">
        <f>10.52-10.5</f>
        <v>1.9999999999999574E-2</v>
      </c>
      <c r="R187" s="143">
        <f t="shared" si="8"/>
        <v>190</v>
      </c>
      <c r="S187" s="55">
        <v>202307</v>
      </c>
      <c r="T187" s="145" t="s">
        <v>1189</v>
      </c>
      <c r="U187" s="79"/>
      <c r="V187" s="76">
        <v>10.413926125</v>
      </c>
      <c r="W187" s="150">
        <v>10.64</v>
      </c>
      <c r="X187" s="157"/>
      <c r="Y187" s="157"/>
      <c r="Z187" s="164"/>
      <c r="AA187" s="165"/>
      <c r="AB187" s="165"/>
      <c r="AC187" s="165"/>
    </row>
    <row r="188" spans="1:32" s="11" customFormat="1" ht="15" customHeight="1">
      <c r="A188" s="28" t="s">
        <v>184</v>
      </c>
      <c r="B188" s="29" t="s">
        <v>137</v>
      </c>
      <c r="C188" s="30" t="s">
        <v>138</v>
      </c>
      <c r="D188" s="30" t="s">
        <v>139</v>
      </c>
      <c r="E188" s="28" t="s">
        <v>322</v>
      </c>
      <c r="F188" s="28" t="s">
        <v>390</v>
      </c>
      <c r="G188" s="28" t="s">
        <v>35</v>
      </c>
      <c r="H188" s="33" t="s">
        <v>391</v>
      </c>
      <c r="I188" s="33" t="e">
        <f>VLOOKUP(H188,'合同高级查询数据-8月返'!A:A,1,FALSE)</f>
        <v>#N/A</v>
      </c>
      <c r="J188" s="38" t="s">
        <v>37</v>
      </c>
      <c r="K188" s="28" t="s">
        <v>392</v>
      </c>
      <c r="L188" s="33" t="s">
        <v>393</v>
      </c>
      <c r="M188" s="28" t="s">
        <v>394</v>
      </c>
      <c r="N188" s="44">
        <v>44971</v>
      </c>
      <c r="O188" s="28" t="s">
        <v>395</v>
      </c>
      <c r="P188" s="45">
        <v>9500</v>
      </c>
      <c r="Q188" s="61">
        <f>26.94-24.14</f>
        <v>2.8000000000000007</v>
      </c>
      <c r="R188" s="58">
        <f t="shared" si="8"/>
        <v>26600</v>
      </c>
      <c r="S188" s="59">
        <v>202307</v>
      </c>
      <c r="T188" s="60" t="s">
        <v>1190</v>
      </c>
      <c r="U188" s="60"/>
      <c r="V188" s="77">
        <v>24.136938907000001</v>
      </c>
      <c r="W188" s="73">
        <v>29.73714</v>
      </c>
      <c r="X188" s="156">
        <v>44972</v>
      </c>
      <c r="Y188" s="156">
        <v>45336</v>
      </c>
      <c r="Z188" s="162"/>
      <c r="AA188" s="163"/>
      <c r="AB188" s="163"/>
      <c r="AC188" s="163"/>
      <c r="AD188" s="10"/>
    </row>
    <row r="189" spans="1:32" s="12" customFormat="1" ht="15" customHeight="1">
      <c r="A189" s="25" t="s">
        <v>184</v>
      </c>
      <c r="B189" s="26" t="s">
        <v>137</v>
      </c>
      <c r="C189" s="27" t="s">
        <v>138</v>
      </c>
      <c r="D189" s="26" t="s">
        <v>139</v>
      </c>
      <c r="E189" s="25" t="s">
        <v>322</v>
      </c>
      <c r="F189" s="25" t="s">
        <v>323</v>
      </c>
      <c r="G189" s="25" t="s">
        <v>35</v>
      </c>
      <c r="H189" s="32" t="s">
        <v>375</v>
      </c>
      <c r="I189" s="32" t="e">
        <f>VLOOKUP(H189,'合同高级查询数据-8月返'!A:A,1,FALSE)</f>
        <v>#N/A</v>
      </c>
      <c r="J189" s="35" t="s">
        <v>157</v>
      </c>
      <c r="K189" s="25" t="s">
        <v>376</v>
      </c>
      <c r="L189" s="32" t="s">
        <v>377</v>
      </c>
      <c r="M189" s="25"/>
      <c r="N189" s="42">
        <v>42795</v>
      </c>
      <c r="O189" s="25" t="s">
        <v>378</v>
      </c>
      <c r="P189" s="43" t="s">
        <v>379</v>
      </c>
      <c r="Q189" s="57">
        <f>28.207-27.97</f>
        <v>0.23700000000000188</v>
      </c>
      <c r="R189" s="54">
        <f>ROUND(14000*Q189,2)</f>
        <v>3318</v>
      </c>
      <c r="S189" s="55">
        <v>202307</v>
      </c>
      <c r="T189" s="56" t="s">
        <v>1191</v>
      </c>
      <c r="U189" s="56"/>
      <c r="V189" s="76">
        <v>27.968102340000002</v>
      </c>
      <c r="W189" s="69">
        <v>28.628</v>
      </c>
      <c r="X189" s="157"/>
      <c r="Y189" s="157"/>
      <c r="Z189" s="164"/>
      <c r="AA189" s="165"/>
      <c r="AB189" s="165"/>
      <c r="AC189" s="165"/>
      <c r="AD189" s="9"/>
    </row>
    <row r="190" spans="1:32" s="12" customFormat="1" ht="15" customHeight="1">
      <c r="A190" s="25" t="s">
        <v>184</v>
      </c>
      <c r="B190" s="26" t="s">
        <v>137</v>
      </c>
      <c r="C190" s="27" t="s">
        <v>138</v>
      </c>
      <c r="D190" s="26" t="s">
        <v>139</v>
      </c>
      <c r="E190" s="25" t="s">
        <v>322</v>
      </c>
      <c r="F190" s="25" t="s">
        <v>382</v>
      </c>
      <c r="G190" s="25" t="s">
        <v>35</v>
      </c>
      <c r="H190" s="32" t="s">
        <v>383</v>
      </c>
      <c r="I190" s="32" t="e">
        <f>VLOOKUP(H190,'合同高级查询数据-8月返'!A:A,1,FALSE)</f>
        <v>#N/A</v>
      </c>
      <c r="J190" s="35" t="s">
        <v>157</v>
      </c>
      <c r="K190" s="25" t="s">
        <v>384</v>
      </c>
      <c r="L190" s="32" t="s">
        <v>385</v>
      </c>
      <c r="M190" s="25"/>
      <c r="N190" s="42" t="s">
        <v>386</v>
      </c>
      <c r="O190" s="25" t="s">
        <v>387</v>
      </c>
      <c r="P190" s="43">
        <v>9500</v>
      </c>
      <c r="Q190" s="57">
        <f>132.93-131.4</f>
        <v>1.5300000000000011</v>
      </c>
      <c r="R190" s="54">
        <f>ROUND(P190*Q190,2)</f>
        <v>14535</v>
      </c>
      <c r="S190" s="55">
        <v>202307</v>
      </c>
      <c r="T190" s="56" t="s">
        <v>1192</v>
      </c>
      <c r="U190" s="56"/>
      <c r="V190" s="76">
        <v>131.34827765099999</v>
      </c>
      <c r="W190" s="69">
        <v>134.5</v>
      </c>
      <c r="X190" s="157"/>
      <c r="Y190" s="157"/>
      <c r="Z190" s="164"/>
      <c r="AA190" s="165"/>
      <c r="AB190" s="165"/>
      <c r="AC190" s="165"/>
      <c r="AD190" s="9"/>
    </row>
    <row r="191" spans="1:32" s="12" customFormat="1" ht="15" customHeight="1">
      <c r="A191" s="25" t="s">
        <v>184</v>
      </c>
      <c r="B191" s="26" t="s">
        <v>137</v>
      </c>
      <c r="C191" s="27" t="s">
        <v>429</v>
      </c>
      <c r="D191" s="27" t="s">
        <v>139</v>
      </c>
      <c r="E191" s="25" t="s">
        <v>430</v>
      </c>
      <c r="F191" s="27" t="s">
        <v>431</v>
      </c>
      <c r="G191" s="25" t="s">
        <v>35</v>
      </c>
      <c r="H191" s="32" t="s">
        <v>432</v>
      </c>
      <c r="I191" s="32" t="e">
        <f>VLOOKUP(H191,'合同高级查询数据-8月返'!A:A,1,FALSE)</f>
        <v>#N/A</v>
      </c>
      <c r="J191" s="35" t="s">
        <v>37</v>
      </c>
      <c r="K191" s="25" t="s">
        <v>438</v>
      </c>
      <c r="L191" s="32" t="s">
        <v>439</v>
      </c>
      <c r="M191" s="25"/>
      <c r="N191" s="42" t="s">
        <v>440</v>
      </c>
      <c r="O191" s="25" t="s">
        <v>441</v>
      </c>
      <c r="P191" s="43">
        <v>11500</v>
      </c>
      <c r="Q191" s="57">
        <f>8.9-8.7</f>
        <v>0.20000000000000107</v>
      </c>
      <c r="R191" s="54">
        <f t="shared" ref="R191:R200" si="9">ROUND(P191*Q191,2)</f>
        <v>2300</v>
      </c>
      <c r="S191" s="55">
        <v>202307</v>
      </c>
      <c r="T191" s="56" t="s">
        <v>1193</v>
      </c>
      <c r="U191" s="56"/>
      <c r="V191" s="76">
        <v>8.6970037270000002</v>
      </c>
      <c r="W191" s="69">
        <v>8.9</v>
      </c>
      <c r="X191" s="157"/>
      <c r="Y191" s="157"/>
      <c r="Z191" s="164"/>
      <c r="AA191" s="165"/>
      <c r="AB191" s="165"/>
      <c r="AC191" s="165"/>
      <c r="AD191" s="9"/>
    </row>
    <row r="192" spans="1:32" s="11" customFormat="1" ht="15" customHeight="1">
      <c r="A192" s="28" t="s">
        <v>136</v>
      </c>
      <c r="B192" s="29" t="s">
        <v>137</v>
      </c>
      <c r="C192" s="30" t="s">
        <v>302</v>
      </c>
      <c r="D192" s="29" t="s">
        <v>303</v>
      </c>
      <c r="E192" s="28" t="s">
        <v>503</v>
      </c>
      <c r="F192" s="28" t="s">
        <v>504</v>
      </c>
      <c r="G192" s="28" t="s">
        <v>35</v>
      </c>
      <c r="H192" s="33" t="s">
        <v>505</v>
      </c>
      <c r="I192" s="33" t="e">
        <f>VLOOKUP(H192,'合同高级查询数据-8月返'!A:A,1,FALSE)</f>
        <v>#N/A</v>
      </c>
      <c r="J192" s="38" t="s">
        <v>157</v>
      </c>
      <c r="K192" s="28" t="s">
        <v>506</v>
      </c>
      <c r="L192" s="33" t="s">
        <v>507</v>
      </c>
      <c r="M192" s="28" t="s">
        <v>508</v>
      </c>
      <c r="N192" s="44">
        <v>43132</v>
      </c>
      <c r="O192" s="28" t="s">
        <v>161</v>
      </c>
      <c r="P192" s="45">
        <v>9000</v>
      </c>
      <c r="Q192" s="61">
        <f>114.443-114.4</f>
        <v>4.2999999999992156E-2</v>
      </c>
      <c r="R192" s="58">
        <f t="shared" si="9"/>
        <v>387</v>
      </c>
      <c r="S192" s="59">
        <v>202307</v>
      </c>
      <c r="T192" s="60" t="s">
        <v>1194</v>
      </c>
      <c r="U192" s="60"/>
      <c r="V192" s="77">
        <v>114.398742375</v>
      </c>
      <c r="W192" s="73">
        <v>114.443</v>
      </c>
      <c r="X192" s="156">
        <v>44986</v>
      </c>
      <c r="Y192" s="156">
        <v>45351</v>
      </c>
      <c r="Z192" s="162"/>
      <c r="AA192" s="163"/>
      <c r="AB192" s="163"/>
      <c r="AC192" s="163"/>
      <c r="AD192" s="10"/>
    </row>
    <row r="193" spans="1:32" s="11" customFormat="1" ht="15" customHeight="1">
      <c r="A193" s="28" t="s">
        <v>136</v>
      </c>
      <c r="B193" s="29" t="s">
        <v>137</v>
      </c>
      <c r="C193" s="30" t="s">
        <v>302</v>
      </c>
      <c r="D193" s="29" t="s">
        <v>303</v>
      </c>
      <c r="E193" s="28" t="s">
        <v>503</v>
      </c>
      <c r="F193" s="28" t="s">
        <v>504</v>
      </c>
      <c r="G193" s="28" t="s">
        <v>35</v>
      </c>
      <c r="H193" s="33" t="s">
        <v>511</v>
      </c>
      <c r="I193" s="33" t="str">
        <f>VLOOKUP(H193,'合同高级查询数据-8月返'!A:A,1,FALSE)</f>
        <v>182315IDC00308</v>
      </c>
      <c r="J193" s="38" t="s">
        <v>37</v>
      </c>
      <c r="K193" s="28" t="s">
        <v>524</v>
      </c>
      <c r="L193" s="33" t="s">
        <v>504</v>
      </c>
      <c r="M193" s="28"/>
      <c r="N193" s="44">
        <v>44774</v>
      </c>
      <c r="O193" s="28" t="s">
        <v>174</v>
      </c>
      <c r="P193" s="45">
        <v>9000</v>
      </c>
      <c r="Q193" s="61">
        <f>61.168-59.76</f>
        <v>1.4080000000000013</v>
      </c>
      <c r="R193" s="58">
        <f t="shared" si="9"/>
        <v>12672</v>
      </c>
      <c r="S193" s="59">
        <v>202307</v>
      </c>
      <c r="T193" s="60" t="s">
        <v>1195</v>
      </c>
      <c r="U193" s="60"/>
      <c r="V193" s="77">
        <v>59.760795821999999</v>
      </c>
      <c r="W193" s="73">
        <v>61.167999999999999</v>
      </c>
      <c r="X193" s="156">
        <v>45017</v>
      </c>
      <c r="Y193" s="156">
        <v>45382</v>
      </c>
      <c r="Z193" s="162"/>
      <c r="AA193" s="163"/>
      <c r="AB193" s="163"/>
      <c r="AC193" s="163"/>
      <c r="AD193" s="10"/>
    </row>
    <row r="194" spans="1:32" s="12" customFormat="1" ht="15" customHeight="1">
      <c r="A194" s="25" t="s">
        <v>191</v>
      </c>
      <c r="B194" s="26" t="s">
        <v>137</v>
      </c>
      <c r="C194" s="25" t="s">
        <v>138</v>
      </c>
      <c r="D194" s="27" t="s">
        <v>139</v>
      </c>
      <c r="E194" s="25" t="s">
        <v>607</v>
      </c>
      <c r="F194" s="25" t="s">
        <v>608</v>
      </c>
      <c r="G194" s="34" t="s">
        <v>35</v>
      </c>
      <c r="H194" s="32" t="s">
        <v>1074</v>
      </c>
      <c r="I194" s="32" t="e">
        <f>VLOOKUP(H194,'合同高级查询数据-8月返'!A:A,1,FALSE)</f>
        <v>#N/A</v>
      </c>
      <c r="J194" s="35" t="s">
        <v>37</v>
      </c>
      <c r="K194" s="34" t="s">
        <v>610</v>
      </c>
      <c r="L194" s="32" t="s">
        <v>1075</v>
      </c>
      <c r="M194" s="49" t="s">
        <v>612</v>
      </c>
      <c r="N194" s="102">
        <v>45047</v>
      </c>
      <c r="O194" s="34" t="s">
        <v>319</v>
      </c>
      <c r="P194" s="51">
        <v>6740</v>
      </c>
      <c r="Q194" s="51">
        <f>82.92-82.17</f>
        <v>0.75</v>
      </c>
      <c r="R194" s="63">
        <f t="shared" si="9"/>
        <v>5055</v>
      </c>
      <c r="S194" s="146">
        <v>202307</v>
      </c>
      <c r="T194" s="56" t="s">
        <v>1196</v>
      </c>
      <c r="U194" s="139"/>
      <c r="V194" s="76">
        <v>82.167388915999993</v>
      </c>
      <c r="W194" s="79">
        <v>83.68</v>
      </c>
      <c r="X194" s="157"/>
      <c r="Y194" s="157"/>
      <c r="Z194" s="164"/>
      <c r="AA194" s="165"/>
      <c r="AB194" s="165"/>
      <c r="AC194" s="165"/>
      <c r="AD194" s="9"/>
    </row>
    <row r="195" spans="1:32" s="12" customFormat="1" ht="15" customHeight="1">
      <c r="A195" s="25" t="s">
        <v>191</v>
      </c>
      <c r="B195" s="26" t="s">
        <v>137</v>
      </c>
      <c r="C195" s="27" t="s">
        <v>138</v>
      </c>
      <c r="D195" s="27" t="s">
        <v>139</v>
      </c>
      <c r="E195" s="25" t="s">
        <v>650</v>
      </c>
      <c r="F195" s="25" t="s">
        <v>651</v>
      </c>
      <c r="G195" s="25" t="s">
        <v>35</v>
      </c>
      <c r="H195" s="32" t="s">
        <v>652</v>
      </c>
      <c r="I195" s="32" t="e">
        <f>VLOOKUP(H195,'合同高级查询数据-8月返'!A:A,1,FALSE)</f>
        <v>#N/A</v>
      </c>
      <c r="J195" s="35" t="s">
        <v>37</v>
      </c>
      <c r="K195" s="25" t="s">
        <v>653</v>
      </c>
      <c r="L195" s="32" t="s">
        <v>651</v>
      </c>
      <c r="M195" s="25"/>
      <c r="N195" s="42" t="s">
        <v>654</v>
      </c>
      <c r="O195" s="25" t="s">
        <v>655</v>
      </c>
      <c r="P195" s="43">
        <v>6740</v>
      </c>
      <c r="Q195" s="57">
        <f>138.2-136.95</f>
        <v>1.25</v>
      </c>
      <c r="R195" s="54">
        <f t="shared" si="9"/>
        <v>8425</v>
      </c>
      <c r="S195" s="55">
        <v>202307</v>
      </c>
      <c r="T195" s="56" t="s">
        <v>1197</v>
      </c>
      <c r="U195" s="56"/>
      <c r="V195" s="76">
        <v>136.94726969300001</v>
      </c>
      <c r="W195" s="69">
        <v>139.44</v>
      </c>
      <c r="X195" s="157"/>
      <c r="Y195" s="157"/>
      <c r="Z195" s="164"/>
      <c r="AA195" s="165"/>
      <c r="AB195" s="165"/>
      <c r="AC195" s="165"/>
      <c r="AD195" s="9"/>
    </row>
    <row r="196" spans="1:32" s="12" customFormat="1" ht="15" customHeight="1">
      <c r="A196" s="25" t="s">
        <v>191</v>
      </c>
      <c r="B196" s="26" t="s">
        <v>137</v>
      </c>
      <c r="C196" s="27" t="s">
        <v>138</v>
      </c>
      <c r="D196" s="27" t="s">
        <v>139</v>
      </c>
      <c r="E196" s="25" t="s">
        <v>650</v>
      </c>
      <c r="F196" s="25" t="s">
        <v>651</v>
      </c>
      <c r="G196" s="25" t="s">
        <v>35</v>
      </c>
      <c r="H196" s="32" t="s">
        <v>658</v>
      </c>
      <c r="I196" s="32" t="e">
        <f>VLOOKUP(H196,'合同高级查询数据-8月返'!A:A,1,FALSE)</f>
        <v>#N/A</v>
      </c>
      <c r="J196" s="35" t="s">
        <v>37</v>
      </c>
      <c r="K196" s="25" t="s">
        <v>653</v>
      </c>
      <c r="L196" s="32" t="s">
        <v>659</v>
      </c>
      <c r="M196" s="25" t="s">
        <v>660</v>
      </c>
      <c r="N196" s="42">
        <v>44835</v>
      </c>
      <c r="O196" s="25" t="s">
        <v>467</v>
      </c>
      <c r="P196" s="43">
        <v>6740</v>
      </c>
      <c r="Q196" s="57">
        <f>125.41-120.29</f>
        <v>5.1199999999999903</v>
      </c>
      <c r="R196" s="54">
        <f t="shared" si="9"/>
        <v>34508.800000000003</v>
      </c>
      <c r="S196" s="55">
        <v>202307</v>
      </c>
      <c r="T196" s="56" t="s">
        <v>1198</v>
      </c>
      <c r="U196" s="56"/>
      <c r="V196" s="76">
        <v>120.291313</v>
      </c>
      <c r="W196" s="69">
        <v>125.41</v>
      </c>
      <c r="X196" s="157"/>
      <c r="Y196" s="157"/>
      <c r="Z196" s="164"/>
      <c r="AA196" s="165"/>
      <c r="AB196" s="165"/>
      <c r="AC196" s="165"/>
      <c r="AD196" s="9"/>
    </row>
    <row r="197" spans="1:32" s="12" customFormat="1" ht="15" customHeight="1">
      <c r="A197" s="25" t="s">
        <v>191</v>
      </c>
      <c r="B197" s="26" t="s">
        <v>137</v>
      </c>
      <c r="C197" s="27" t="s">
        <v>302</v>
      </c>
      <c r="D197" s="26" t="s">
        <v>303</v>
      </c>
      <c r="E197" s="25" t="s">
        <v>683</v>
      </c>
      <c r="F197" s="25" t="s">
        <v>684</v>
      </c>
      <c r="G197" s="25" t="s">
        <v>35</v>
      </c>
      <c r="H197" s="32" t="s">
        <v>685</v>
      </c>
      <c r="I197" s="32" t="e">
        <f>VLOOKUP(H197,'合同高级查询数据-8月返'!A:A,1,FALSE)</f>
        <v>#N/A</v>
      </c>
      <c r="J197" s="35" t="s">
        <v>37</v>
      </c>
      <c r="K197" s="25" t="s">
        <v>686</v>
      </c>
      <c r="L197" s="32" t="s">
        <v>687</v>
      </c>
      <c r="M197" s="25"/>
      <c r="N197" s="42" t="s">
        <v>688</v>
      </c>
      <c r="O197" s="25" t="s">
        <v>689</v>
      </c>
      <c r="P197" s="43">
        <v>6740</v>
      </c>
      <c r="Q197" s="57">
        <f>212.91-211.02</f>
        <v>1.8899999999999864</v>
      </c>
      <c r="R197" s="54">
        <f t="shared" si="9"/>
        <v>12738.6</v>
      </c>
      <c r="S197" s="55">
        <v>202307</v>
      </c>
      <c r="T197" s="56" t="s">
        <v>1199</v>
      </c>
      <c r="U197" s="56"/>
      <c r="V197" s="76">
        <v>211.01852417000001</v>
      </c>
      <c r="W197" s="69">
        <v>214.8</v>
      </c>
      <c r="X197" s="157"/>
      <c r="Y197" s="157"/>
      <c r="Z197" s="164"/>
      <c r="AA197" s="165"/>
      <c r="AB197" s="165"/>
      <c r="AC197" s="165"/>
      <c r="AD197" s="9"/>
    </row>
    <row r="198" spans="1:32" s="12" customFormat="1" ht="15" customHeight="1">
      <c r="A198" s="25" t="s">
        <v>191</v>
      </c>
      <c r="B198" s="26" t="s">
        <v>137</v>
      </c>
      <c r="C198" s="27" t="s">
        <v>302</v>
      </c>
      <c r="D198" s="26" t="s">
        <v>303</v>
      </c>
      <c r="E198" s="25" t="s">
        <v>701</v>
      </c>
      <c r="F198" s="25" t="s">
        <v>702</v>
      </c>
      <c r="G198" s="25" t="s">
        <v>35</v>
      </c>
      <c r="H198" s="32" t="s">
        <v>703</v>
      </c>
      <c r="I198" s="32" t="e">
        <f>VLOOKUP(H198,'合同高级查询数据-8月返'!A:A,1,FALSE)</f>
        <v>#N/A</v>
      </c>
      <c r="J198" s="35" t="s">
        <v>37</v>
      </c>
      <c r="K198" s="32" t="s">
        <v>704</v>
      </c>
      <c r="L198" s="32" t="s">
        <v>704</v>
      </c>
      <c r="M198" s="25"/>
      <c r="N198" s="42" t="s">
        <v>705</v>
      </c>
      <c r="O198" s="25" t="s">
        <v>706</v>
      </c>
      <c r="P198" s="43">
        <v>6740</v>
      </c>
      <c r="Q198" s="57">
        <f>74.93-72.34</f>
        <v>2.5900000000000034</v>
      </c>
      <c r="R198" s="54">
        <f t="shared" si="9"/>
        <v>17456.599999999999</v>
      </c>
      <c r="S198" s="55">
        <v>202307</v>
      </c>
      <c r="T198" s="56" t="s">
        <v>1200</v>
      </c>
      <c r="U198" s="56"/>
      <c r="V198" s="76">
        <v>72.339485167999996</v>
      </c>
      <c r="W198" s="76">
        <v>77.52</v>
      </c>
      <c r="X198" s="157"/>
      <c r="Y198" s="157"/>
      <c r="Z198" s="164"/>
      <c r="AA198" s="165"/>
      <c r="AB198" s="165"/>
      <c r="AC198" s="165"/>
      <c r="AD198" s="9"/>
    </row>
    <row r="199" spans="1:32" s="12" customFormat="1" ht="15" customHeight="1">
      <c r="A199" s="25" t="s">
        <v>191</v>
      </c>
      <c r="B199" s="26" t="s">
        <v>137</v>
      </c>
      <c r="C199" s="27" t="s">
        <v>302</v>
      </c>
      <c r="D199" s="26" t="s">
        <v>303</v>
      </c>
      <c r="E199" s="25" t="s">
        <v>701</v>
      </c>
      <c r="F199" s="25" t="s">
        <v>702</v>
      </c>
      <c r="G199" s="25" t="s">
        <v>35</v>
      </c>
      <c r="H199" s="32" t="s">
        <v>703</v>
      </c>
      <c r="I199" s="32" t="e">
        <f>VLOOKUP(H199,'合同高级查询数据-8月返'!A:A,1,FALSE)</f>
        <v>#N/A</v>
      </c>
      <c r="J199" s="35" t="s">
        <v>37</v>
      </c>
      <c r="K199" s="25" t="s">
        <v>714</v>
      </c>
      <c r="L199" s="32" t="s">
        <v>715</v>
      </c>
      <c r="M199" s="25"/>
      <c r="N199" s="42">
        <v>44228</v>
      </c>
      <c r="O199" s="25" t="s">
        <v>319</v>
      </c>
      <c r="P199" s="43">
        <v>6740</v>
      </c>
      <c r="Q199" s="57">
        <f>83.56-81.11</f>
        <v>2.4500000000000028</v>
      </c>
      <c r="R199" s="54">
        <f t="shared" si="9"/>
        <v>16513</v>
      </c>
      <c r="S199" s="55">
        <v>202307</v>
      </c>
      <c r="T199" s="56" t="s">
        <v>1201</v>
      </c>
      <c r="U199" s="56"/>
      <c r="V199" s="76">
        <v>81.109947204999997</v>
      </c>
      <c r="W199" s="69">
        <v>86</v>
      </c>
      <c r="X199" s="157"/>
      <c r="Y199" s="157"/>
      <c r="Z199" s="164"/>
      <c r="AA199" s="165"/>
      <c r="AB199" s="165"/>
      <c r="AC199" s="165"/>
      <c r="AD199" s="9"/>
    </row>
    <row r="200" spans="1:32" s="12" customFormat="1" ht="15" customHeight="1">
      <c r="A200" s="25" t="s">
        <v>191</v>
      </c>
      <c r="B200" s="26" t="s">
        <v>137</v>
      </c>
      <c r="C200" s="27" t="s">
        <v>302</v>
      </c>
      <c r="D200" s="26" t="s">
        <v>303</v>
      </c>
      <c r="E200" s="25" t="s">
        <v>701</v>
      </c>
      <c r="F200" s="25" t="s">
        <v>702</v>
      </c>
      <c r="G200" s="25" t="s">
        <v>35</v>
      </c>
      <c r="H200" s="32" t="s">
        <v>709</v>
      </c>
      <c r="I200" s="32" t="e">
        <f>VLOOKUP(H200,'合同高级查询数据-8月返'!A:A,1,FALSE)</f>
        <v>#N/A</v>
      </c>
      <c r="J200" s="35" t="s">
        <v>37</v>
      </c>
      <c r="K200" s="32" t="s">
        <v>710</v>
      </c>
      <c r="L200" s="32" t="s">
        <v>710</v>
      </c>
      <c r="M200" s="25"/>
      <c r="N200" s="42">
        <v>45121</v>
      </c>
      <c r="O200" s="25" t="s">
        <v>711</v>
      </c>
      <c r="P200" s="43">
        <v>6740</v>
      </c>
      <c r="Q200" s="57">
        <f>62.85-60.75</f>
        <v>2.1000000000000014</v>
      </c>
      <c r="R200" s="54">
        <f t="shared" si="9"/>
        <v>14154</v>
      </c>
      <c r="S200" s="55">
        <v>202307</v>
      </c>
      <c r="T200" s="56" t="s">
        <v>1202</v>
      </c>
      <c r="U200" s="56"/>
      <c r="V200" s="76">
        <v>60.747436522999998</v>
      </c>
      <c r="W200" s="69">
        <v>64.94</v>
      </c>
      <c r="X200" s="157"/>
      <c r="Y200" s="157"/>
      <c r="Z200" s="164"/>
      <c r="AA200" s="165"/>
      <c r="AB200" s="165"/>
      <c r="AC200" s="165"/>
      <c r="AD200" s="9"/>
    </row>
    <row r="201" spans="1:32" s="12" customFormat="1" ht="15" customHeight="1">
      <c r="A201" s="26" t="s">
        <v>191</v>
      </c>
      <c r="B201" s="27" t="s">
        <v>137</v>
      </c>
      <c r="C201" s="26" t="s">
        <v>302</v>
      </c>
      <c r="D201" s="26" t="s">
        <v>303</v>
      </c>
      <c r="E201" s="26" t="s">
        <v>727</v>
      </c>
      <c r="F201" s="26" t="s">
        <v>728</v>
      </c>
      <c r="G201" s="96" t="s">
        <v>35</v>
      </c>
      <c r="H201" s="32" t="s">
        <v>729</v>
      </c>
      <c r="I201" s="32" t="e">
        <f>VLOOKUP(H201,'合同高级查询数据-8月返'!A:A,1,FALSE)</f>
        <v>#N/A</v>
      </c>
      <c r="J201" s="97" t="s">
        <v>37</v>
      </c>
      <c r="K201" s="97" t="s">
        <v>730</v>
      </c>
      <c r="L201" s="32" t="s">
        <v>731</v>
      </c>
      <c r="M201" s="49" t="s">
        <v>732</v>
      </c>
      <c r="N201" s="102">
        <v>45022</v>
      </c>
      <c r="O201" s="103" t="s">
        <v>319</v>
      </c>
      <c r="P201" s="171">
        <v>6740</v>
      </c>
      <c r="Q201" s="171">
        <f>80.87-80.3</f>
        <v>0.57000000000000739</v>
      </c>
      <c r="R201" s="63">
        <f t="shared" ref="R201:R205" si="10">ROUND(P201*Q201,2)</f>
        <v>3841.8</v>
      </c>
      <c r="S201" s="55">
        <v>202307</v>
      </c>
      <c r="T201" s="112" t="s">
        <v>1203</v>
      </c>
      <c r="U201" s="112"/>
      <c r="V201" s="76">
        <v>80.304496764999996</v>
      </c>
      <c r="W201" s="79">
        <v>81.44</v>
      </c>
      <c r="X201" s="157"/>
      <c r="Y201" s="157"/>
      <c r="Z201" s="164"/>
      <c r="AA201" s="165"/>
      <c r="AB201" s="165"/>
      <c r="AC201" s="165"/>
      <c r="AD201" s="9"/>
    </row>
    <row r="202" spans="1:32" s="12" customFormat="1" ht="15" customHeight="1">
      <c r="A202" s="92" t="s">
        <v>191</v>
      </c>
      <c r="B202" s="26" t="s">
        <v>137</v>
      </c>
      <c r="C202" s="93" t="s">
        <v>751</v>
      </c>
      <c r="D202" s="27" t="s">
        <v>139</v>
      </c>
      <c r="E202" s="92" t="s">
        <v>921</v>
      </c>
      <c r="F202" s="92" t="s">
        <v>922</v>
      </c>
      <c r="G202" s="32" t="s">
        <v>35</v>
      </c>
      <c r="H202" s="32" t="s">
        <v>923</v>
      </c>
      <c r="I202" s="32" t="e">
        <f>VLOOKUP(H202,'合同高级查询数据-8月返'!A:A,1,FALSE)</f>
        <v>#N/A</v>
      </c>
      <c r="J202" s="35" t="s">
        <v>37</v>
      </c>
      <c r="K202" s="92" t="s">
        <v>928</v>
      </c>
      <c r="L202" s="98" t="s">
        <v>928</v>
      </c>
      <c r="M202" s="49" t="s">
        <v>929</v>
      </c>
      <c r="N202" s="105" t="s">
        <v>930</v>
      </c>
      <c r="O202" s="105" t="s">
        <v>931</v>
      </c>
      <c r="P202" s="106">
        <v>6740</v>
      </c>
      <c r="Q202" s="113">
        <f>32.37-32.35</f>
        <v>1.9999999999996021E-2</v>
      </c>
      <c r="R202" s="63">
        <f t="shared" si="10"/>
        <v>134.80000000000001</v>
      </c>
      <c r="S202" s="55">
        <v>202307</v>
      </c>
      <c r="T202" s="114" t="s">
        <v>1204</v>
      </c>
      <c r="U202" s="114"/>
      <c r="V202" s="76">
        <v>32.350505828999999</v>
      </c>
      <c r="W202" s="93">
        <v>32.85</v>
      </c>
      <c r="X202" s="157"/>
      <c r="Y202" s="157"/>
      <c r="Z202" s="164"/>
      <c r="AA202" s="165"/>
      <c r="AB202" s="165"/>
      <c r="AC202" s="165"/>
      <c r="AD202" s="9"/>
    </row>
    <row r="203" spans="1:32" s="11" customFormat="1" ht="15" customHeight="1">
      <c r="A203" s="94" t="s">
        <v>191</v>
      </c>
      <c r="B203" s="29" t="s">
        <v>137</v>
      </c>
      <c r="C203" s="95" t="s">
        <v>751</v>
      </c>
      <c r="D203" s="30" t="s">
        <v>139</v>
      </c>
      <c r="E203" s="94" t="s">
        <v>966</v>
      </c>
      <c r="F203" s="94" t="s">
        <v>967</v>
      </c>
      <c r="G203" s="33" t="s">
        <v>35</v>
      </c>
      <c r="H203" s="33" t="s">
        <v>968</v>
      </c>
      <c r="I203" s="33" t="e">
        <f>VLOOKUP(H203,'合同高级查询数据-8月返'!A:A,1,FALSE)</f>
        <v>#N/A</v>
      </c>
      <c r="J203" s="38" t="s">
        <v>37</v>
      </c>
      <c r="K203" s="94" t="s">
        <v>969</v>
      </c>
      <c r="L203" s="99" t="s">
        <v>970</v>
      </c>
      <c r="M203" s="107" t="s">
        <v>971</v>
      </c>
      <c r="N203" s="108">
        <v>44816</v>
      </c>
      <c r="O203" s="108" t="s">
        <v>319</v>
      </c>
      <c r="P203" s="109">
        <v>6740</v>
      </c>
      <c r="Q203" s="115">
        <f>114.37-113.25</f>
        <v>1.1200000000000045</v>
      </c>
      <c r="R203" s="116">
        <f t="shared" si="10"/>
        <v>7548.8</v>
      </c>
      <c r="S203" s="59">
        <v>202307</v>
      </c>
      <c r="T203" s="117" t="s">
        <v>1205</v>
      </c>
      <c r="U203" s="117"/>
      <c r="V203" s="77">
        <v>113.251756943</v>
      </c>
      <c r="W203" s="77">
        <v>115.48</v>
      </c>
      <c r="X203" s="156">
        <v>44805</v>
      </c>
      <c r="Y203" s="156">
        <v>45170</v>
      </c>
      <c r="Z203" s="162"/>
      <c r="AA203" s="163"/>
      <c r="AB203" s="163"/>
      <c r="AC203" s="163"/>
      <c r="AD203" s="10"/>
    </row>
    <row r="204" spans="1:32" s="12" customFormat="1" ht="15" customHeight="1">
      <c r="A204" s="92" t="s">
        <v>191</v>
      </c>
      <c r="B204" s="26" t="s">
        <v>137</v>
      </c>
      <c r="C204" s="93" t="s">
        <v>751</v>
      </c>
      <c r="D204" s="27" t="s">
        <v>139</v>
      </c>
      <c r="E204" s="92" t="s">
        <v>974</v>
      </c>
      <c r="F204" s="92" t="s">
        <v>975</v>
      </c>
      <c r="G204" s="32" t="s">
        <v>35</v>
      </c>
      <c r="H204" s="32" t="s">
        <v>976</v>
      </c>
      <c r="I204" s="32" t="e">
        <f>VLOOKUP(H204,'合同高级查询数据-8月返'!A:A,1,FALSE)</f>
        <v>#N/A</v>
      </c>
      <c r="J204" s="35" t="s">
        <v>37</v>
      </c>
      <c r="K204" s="92" t="s">
        <v>977</v>
      </c>
      <c r="L204" s="98" t="s">
        <v>977</v>
      </c>
      <c r="M204" s="49" t="s">
        <v>978</v>
      </c>
      <c r="N204" s="105" t="s">
        <v>979</v>
      </c>
      <c r="O204" s="105" t="s">
        <v>980</v>
      </c>
      <c r="P204" s="106">
        <v>6740</v>
      </c>
      <c r="Q204" s="113">
        <f>48.78-48.38</f>
        <v>0.39999999999999858</v>
      </c>
      <c r="R204" s="63">
        <f t="shared" si="10"/>
        <v>2696</v>
      </c>
      <c r="S204" s="55">
        <v>202307</v>
      </c>
      <c r="T204" s="114" t="s">
        <v>1206</v>
      </c>
      <c r="U204" s="114"/>
      <c r="V204" s="76">
        <v>48.380580901999998</v>
      </c>
      <c r="W204" s="93">
        <v>49.17</v>
      </c>
      <c r="X204" s="157"/>
      <c r="Y204" s="157"/>
      <c r="Z204" s="164"/>
      <c r="AA204" s="165"/>
      <c r="AB204" s="165"/>
      <c r="AC204" s="165"/>
      <c r="AD204" s="9"/>
    </row>
    <row r="205" spans="1:32" s="9" customFormat="1" ht="15" customHeight="1">
      <c r="A205" s="25" t="s">
        <v>136</v>
      </c>
      <c r="B205" s="26" t="s">
        <v>137</v>
      </c>
      <c r="C205" s="27" t="s">
        <v>302</v>
      </c>
      <c r="D205" s="26" t="s">
        <v>303</v>
      </c>
      <c r="E205" s="25" t="s">
        <v>503</v>
      </c>
      <c r="F205" s="25" t="s">
        <v>504</v>
      </c>
      <c r="G205" s="25" t="s">
        <v>35</v>
      </c>
      <c r="H205" s="32" t="s">
        <v>1207</v>
      </c>
      <c r="I205" s="32" t="e">
        <f>VLOOKUP(H205,'合同高级查询数据-8月返'!A:A,1,FALSE)</f>
        <v>#N/A</v>
      </c>
      <c r="J205" s="35" t="s">
        <v>37</v>
      </c>
      <c r="K205" s="128" t="s">
        <v>1099</v>
      </c>
      <c r="L205" s="128" t="s">
        <v>1208</v>
      </c>
      <c r="M205" s="49"/>
      <c r="N205" s="134">
        <v>45139</v>
      </c>
      <c r="O205" s="25"/>
      <c r="P205" s="43">
        <v>4784</v>
      </c>
      <c r="Q205" s="57">
        <v>571.52</v>
      </c>
      <c r="R205" s="63">
        <f t="shared" si="10"/>
        <v>2734151.6800000002</v>
      </c>
      <c r="S205" s="55">
        <v>202308</v>
      </c>
      <c r="T205" s="56" t="s">
        <v>1209</v>
      </c>
      <c r="U205" s="56"/>
      <c r="V205" s="68">
        <v>571.51989746100003</v>
      </c>
      <c r="W205" s="69">
        <v>571.02481999999998</v>
      </c>
      <c r="X205" s="70"/>
      <c r="Y205" s="70"/>
      <c r="Z205" s="25" t="s">
        <v>1210</v>
      </c>
      <c r="AA205" s="84">
        <v>0</v>
      </c>
      <c r="AB205" s="84"/>
      <c r="AC205" s="84">
        <f>AA205*AB205</f>
        <v>0</v>
      </c>
      <c r="AD205" s="197"/>
      <c r="AF205" s="89"/>
    </row>
    <row r="206" spans="1:32" s="10" customFormat="1" ht="15" customHeight="1">
      <c r="A206" s="30" t="s">
        <v>184</v>
      </c>
      <c r="B206" s="30" t="s">
        <v>1211</v>
      </c>
      <c r="C206" s="30" t="s">
        <v>1212</v>
      </c>
      <c r="D206" s="28" t="s">
        <v>1213</v>
      </c>
      <c r="E206" s="30" t="s">
        <v>1214</v>
      </c>
      <c r="F206" s="30" t="s">
        <v>1215</v>
      </c>
      <c r="G206" s="30" t="s">
        <v>35</v>
      </c>
      <c r="H206" s="33" t="s">
        <v>1216</v>
      </c>
      <c r="I206" s="33" t="e">
        <f>VLOOKUP(H206,'合同高级查询数据-8月返'!A:A,1,FALSE)</f>
        <v>#N/A</v>
      </c>
      <c r="J206" s="167" t="s">
        <v>325</v>
      </c>
      <c r="K206" s="30" t="s">
        <v>1217</v>
      </c>
      <c r="L206" s="168" t="s">
        <v>1218</v>
      </c>
      <c r="M206" s="107" t="s">
        <v>1219</v>
      </c>
      <c r="N206" s="172" t="s">
        <v>1220</v>
      </c>
      <c r="O206" s="30" t="s">
        <v>840</v>
      </c>
      <c r="P206" s="173">
        <v>7083</v>
      </c>
      <c r="Q206" s="116">
        <v>0</v>
      </c>
      <c r="R206" s="58">
        <f t="shared" ref="R206:R210" si="11">ROUND(P206*Q206,2)</f>
        <v>0</v>
      </c>
      <c r="S206" s="59">
        <v>202308</v>
      </c>
      <c r="T206" s="184" t="s">
        <v>1221</v>
      </c>
      <c r="U206" s="175"/>
      <c r="V206" s="176">
        <v>0</v>
      </c>
      <c r="W206" s="175"/>
      <c r="X206" s="187">
        <v>44986</v>
      </c>
      <c r="Y206" s="187">
        <v>45351</v>
      </c>
      <c r="Z206" s="176">
        <v>0</v>
      </c>
      <c r="AA206" s="193">
        <v>0</v>
      </c>
      <c r="AB206" s="176">
        <v>0</v>
      </c>
      <c r="AC206" s="176">
        <f>AA206*AB206</f>
        <v>0</v>
      </c>
    </row>
    <row r="207" spans="1:32" s="10" customFormat="1" ht="15" customHeight="1">
      <c r="A207" s="30" t="s">
        <v>184</v>
      </c>
      <c r="B207" s="30" t="s">
        <v>1211</v>
      </c>
      <c r="C207" s="30" t="s">
        <v>1212</v>
      </c>
      <c r="D207" s="28" t="s">
        <v>1213</v>
      </c>
      <c r="E207" s="30" t="s">
        <v>1214</v>
      </c>
      <c r="F207" s="30" t="s">
        <v>1215</v>
      </c>
      <c r="G207" s="30" t="s">
        <v>35</v>
      </c>
      <c r="H207" s="33" t="s">
        <v>1216</v>
      </c>
      <c r="I207" s="33" t="e">
        <f>VLOOKUP(H207,'合同高级查询数据-8月返'!A:A,1,FALSE)</f>
        <v>#N/A</v>
      </c>
      <c r="J207" s="167" t="s">
        <v>325</v>
      </c>
      <c r="K207" s="30" t="s">
        <v>1222</v>
      </c>
      <c r="L207" s="168" t="s">
        <v>1223</v>
      </c>
      <c r="M207" s="107" t="s">
        <v>1224</v>
      </c>
      <c r="N207" s="172" t="s">
        <v>1225</v>
      </c>
      <c r="O207" s="30" t="s">
        <v>840</v>
      </c>
      <c r="P207" s="173">
        <v>7083</v>
      </c>
      <c r="Q207" s="116">
        <v>0</v>
      </c>
      <c r="R207" s="58">
        <f t="shared" si="11"/>
        <v>0</v>
      </c>
      <c r="S207" s="59">
        <v>202308</v>
      </c>
      <c r="T207" s="184" t="s">
        <v>1226</v>
      </c>
      <c r="U207" s="183"/>
      <c r="V207" s="176">
        <v>0</v>
      </c>
      <c r="W207" s="175"/>
      <c r="X207" s="187">
        <v>44986</v>
      </c>
      <c r="Y207" s="187">
        <v>45351</v>
      </c>
      <c r="Z207" s="176">
        <v>0</v>
      </c>
      <c r="AA207" s="193">
        <v>0</v>
      </c>
      <c r="AB207" s="176">
        <v>0</v>
      </c>
      <c r="AC207" s="176">
        <f>AA207*AB207</f>
        <v>0</v>
      </c>
    </row>
    <row r="208" spans="1:32" s="10" customFormat="1" ht="15" customHeight="1">
      <c r="A208" s="30" t="s">
        <v>184</v>
      </c>
      <c r="B208" s="30" t="s">
        <v>1211</v>
      </c>
      <c r="C208" s="30" t="s">
        <v>1212</v>
      </c>
      <c r="D208" s="28" t="s">
        <v>1213</v>
      </c>
      <c r="E208" s="30" t="s">
        <v>1214</v>
      </c>
      <c r="F208" s="30" t="s">
        <v>1215</v>
      </c>
      <c r="G208" s="30" t="s">
        <v>35</v>
      </c>
      <c r="H208" s="33" t="s">
        <v>1216</v>
      </c>
      <c r="I208" s="33" t="e">
        <f>VLOOKUP(H208,'合同高级查询数据-8月返'!A:A,1,FALSE)</f>
        <v>#N/A</v>
      </c>
      <c r="J208" s="167" t="s">
        <v>37</v>
      </c>
      <c r="K208" s="30" t="s">
        <v>1227</v>
      </c>
      <c r="L208" s="168" t="s">
        <v>1228</v>
      </c>
      <c r="M208" s="107" t="s">
        <v>1229</v>
      </c>
      <c r="N208" s="172" t="s">
        <v>1230</v>
      </c>
      <c r="O208" s="30" t="s">
        <v>1231</v>
      </c>
      <c r="P208" s="173">
        <v>7083</v>
      </c>
      <c r="Q208" s="116">
        <v>59.48</v>
      </c>
      <c r="R208" s="58">
        <f t="shared" si="11"/>
        <v>421296.84</v>
      </c>
      <c r="S208" s="59">
        <v>202308</v>
      </c>
      <c r="T208" s="184" t="s">
        <v>1232</v>
      </c>
      <c r="U208" s="176"/>
      <c r="V208" s="176">
        <v>59.483142852999997</v>
      </c>
      <c r="W208" s="77"/>
      <c r="X208" s="187">
        <v>44986</v>
      </c>
      <c r="Y208" s="187">
        <v>45351</v>
      </c>
      <c r="Z208" s="28" t="s">
        <v>1233</v>
      </c>
      <c r="AA208" s="194">
        <v>0.3</v>
      </c>
      <c r="AB208" s="77">
        <v>180</v>
      </c>
      <c r="AC208" s="176">
        <f>AA208*AB208</f>
        <v>54</v>
      </c>
    </row>
    <row r="209" spans="1:29" s="10" customFormat="1" ht="15" customHeight="1">
      <c r="A209" s="30" t="s">
        <v>184</v>
      </c>
      <c r="B209" s="30" t="s">
        <v>1211</v>
      </c>
      <c r="C209" s="30" t="s">
        <v>1212</v>
      </c>
      <c r="D209" s="28" t="s">
        <v>1213</v>
      </c>
      <c r="E209" s="30" t="s">
        <v>1214</v>
      </c>
      <c r="F209" s="30" t="s">
        <v>1215</v>
      </c>
      <c r="G209" s="30" t="s">
        <v>35</v>
      </c>
      <c r="H209" s="33" t="s">
        <v>1216</v>
      </c>
      <c r="I209" s="33" t="e">
        <f>VLOOKUP(H209,'合同高级查询数据-8月返'!A:A,1,FALSE)</f>
        <v>#N/A</v>
      </c>
      <c r="J209" s="167" t="s">
        <v>37</v>
      </c>
      <c r="K209" s="30" t="s">
        <v>1234</v>
      </c>
      <c r="L209" s="168" t="s">
        <v>1235</v>
      </c>
      <c r="M209" s="107" t="s">
        <v>1236</v>
      </c>
      <c r="N209" s="108" t="s">
        <v>1237</v>
      </c>
      <c r="O209" s="30" t="s">
        <v>1238</v>
      </c>
      <c r="P209" s="173">
        <v>7333</v>
      </c>
      <c r="Q209" s="116">
        <v>95.12</v>
      </c>
      <c r="R209" s="58">
        <f t="shared" si="11"/>
        <v>697514.96</v>
      </c>
      <c r="S209" s="59">
        <v>202308</v>
      </c>
      <c r="T209" s="184" t="s">
        <v>1239</v>
      </c>
      <c r="U209" s="176"/>
      <c r="V209" s="176">
        <v>95.122581482000001</v>
      </c>
      <c r="W209" s="176"/>
      <c r="X209" s="187">
        <v>44986</v>
      </c>
      <c r="Y209" s="187">
        <v>45351</v>
      </c>
      <c r="Z209" s="28" t="s">
        <v>1240</v>
      </c>
      <c r="AA209" s="194">
        <v>0.3</v>
      </c>
      <c r="AB209" s="77">
        <v>280</v>
      </c>
      <c r="AC209" s="176">
        <f>AA209*AB209</f>
        <v>84</v>
      </c>
    </row>
    <row r="210" spans="1:29" s="10" customFormat="1" ht="15" customHeight="1">
      <c r="A210" s="30" t="s">
        <v>184</v>
      </c>
      <c r="B210" s="30" t="s">
        <v>1211</v>
      </c>
      <c r="C210" s="30" t="s">
        <v>1212</v>
      </c>
      <c r="D210" s="28" t="s">
        <v>1213</v>
      </c>
      <c r="E210" s="30" t="s">
        <v>1214</v>
      </c>
      <c r="F210" s="30" t="s">
        <v>1215</v>
      </c>
      <c r="G210" s="30" t="s">
        <v>35</v>
      </c>
      <c r="H210" s="33" t="s">
        <v>1216</v>
      </c>
      <c r="I210" s="33" t="e">
        <f>VLOOKUP(H210,'合同高级查询数据-8月返'!A:A,1,FALSE)</f>
        <v>#N/A</v>
      </c>
      <c r="J210" s="167" t="s">
        <v>37</v>
      </c>
      <c r="K210" s="30" t="s">
        <v>1227</v>
      </c>
      <c r="L210" s="168" t="s">
        <v>1228</v>
      </c>
      <c r="M210" s="107" t="s">
        <v>1229</v>
      </c>
      <c r="N210" s="172" t="s">
        <v>1230</v>
      </c>
      <c r="O210" s="30" t="s">
        <v>1231</v>
      </c>
      <c r="P210" s="173">
        <v>7083</v>
      </c>
      <c r="Q210" s="116">
        <v>0.56999999999999995</v>
      </c>
      <c r="R210" s="58">
        <f t="shared" si="11"/>
        <v>4037.31</v>
      </c>
      <c r="S210" s="59">
        <v>202307</v>
      </c>
      <c r="T210" s="184" t="s">
        <v>1241</v>
      </c>
      <c r="U210" s="176"/>
      <c r="V210" s="176"/>
      <c r="W210" s="176"/>
      <c r="X210" s="187"/>
      <c r="Y210" s="187"/>
      <c r="Z210" s="28"/>
      <c r="AA210" s="194"/>
      <c r="AB210" s="77"/>
      <c r="AC210" s="77"/>
    </row>
    <row r="211" spans="1:29" s="10" customFormat="1" ht="15" customHeight="1">
      <c r="A211" s="30" t="s">
        <v>184</v>
      </c>
      <c r="B211" s="30" t="s">
        <v>1211</v>
      </c>
      <c r="C211" s="30" t="s">
        <v>1242</v>
      </c>
      <c r="D211" s="28" t="s">
        <v>1213</v>
      </c>
      <c r="E211" s="30" t="s">
        <v>1243</v>
      </c>
      <c r="F211" s="30" t="s">
        <v>1244</v>
      </c>
      <c r="G211" s="30" t="s">
        <v>35</v>
      </c>
      <c r="H211" s="33" t="s">
        <v>1245</v>
      </c>
      <c r="I211" s="33" t="e">
        <f>VLOOKUP(H211,'合同高级查询数据-8月返'!A:A,1,FALSE)</f>
        <v>#N/A</v>
      </c>
      <c r="J211" s="167" t="s">
        <v>37</v>
      </c>
      <c r="K211" s="30" t="s">
        <v>1246</v>
      </c>
      <c r="L211" s="168" t="s">
        <v>1247</v>
      </c>
      <c r="M211" s="107" t="s">
        <v>1248</v>
      </c>
      <c r="N211" s="172" t="s">
        <v>1249</v>
      </c>
      <c r="O211" s="33" t="s">
        <v>1250</v>
      </c>
      <c r="P211" s="173">
        <v>9500</v>
      </c>
      <c r="Q211" s="116">
        <v>21.58</v>
      </c>
      <c r="R211" s="58">
        <f t="shared" ref="R211:R261" si="12">ROUND(P211*Q211,2)</f>
        <v>205010</v>
      </c>
      <c r="S211" s="59">
        <v>202308</v>
      </c>
      <c r="T211" s="184" t="s">
        <v>1251</v>
      </c>
      <c r="U211" s="176"/>
      <c r="V211" s="176">
        <v>21.584090270000001</v>
      </c>
      <c r="W211" s="77"/>
      <c r="X211" s="74">
        <v>44927</v>
      </c>
      <c r="Y211" s="74">
        <v>45291</v>
      </c>
      <c r="Z211" s="28" t="s">
        <v>1252</v>
      </c>
      <c r="AA211" s="194">
        <v>0.3</v>
      </c>
      <c r="AB211" s="77">
        <v>60</v>
      </c>
      <c r="AC211" s="176">
        <f t="shared" ref="AC211:AC232" si="13">AA211*AB211</f>
        <v>18</v>
      </c>
    </row>
    <row r="212" spans="1:29" s="10" customFormat="1" ht="15" customHeight="1">
      <c r="A212" s="30" t="s">
        <v>184</v>
      </c>
      <c r="B212" s="30" t="s">
        <v>1211</v>
      </c>
      <c r="C212" s="30" t="s">
        <v>1242</v>
      </c>
      <c r="D212" s="28" t="s">
        <v>1213</v>
      </c>
      <c r="E212" s="30" t="s">
        <v>1243</v>
      </c>
      <c r="F212" s="30" t="s">
        <v>1244</v>
      </c>
      <c r="G212" s="30" t="s">
        <v>35</v>
      </c>
      <c r="H212" s="33" t="s">
        <v>1245</v>
      </c>
      <c r="I212" s="33" t="e">
        <f>VLOOKUP(H212,'合同高级查询数据-8月返'!A:A,1,FALSE)</f>
        <v>#N/A</v>
      </c>
      <c r="J212" s="167" t="s">
        <v>37</v>
      </c>
      <c r="K212" s="30" t="s">
        <v>1253</v>
      </c>
      <c r="L212" s="168" t="s">
        <v>1254</v>
      </c>
      <c r="M212" s="107" t="s">
        <v>1255</v>
      </c>
      <c r="N212" s="172" t="s">
        <v>1256</v>
      </c>
      <c r="O212" s="167" t="s">
        <v>1257</v>
      </c>
      <c r="P212" s="173">
        <v>9500</v>
      </c>
      <c r="Q212" s="116">
        <v>0</v>
      </c>
      <c r="R212" s="58">
        <f t="shared" si="12"/>
        <v>0</v>
      </c>
      <c r="S212" s="59">
        <v>202308</v>
      </c>
      <c r="T212" s="184" t="s">
        <v>1258</v>
      </c>
      <c r="U212" s="176"/>
      <c r="V212" s="176">
        <v>0</v>
      </c>
      <c r="W212" s="77"/>
      <c r="X212" s="74">
        <v>44927</v>
      </c>
      <c r="Y212" s="74">
        <v>45291</v>
      </c>
      <c r="Z212" s="176">
        <v>0</v>
      </c>
      <c r="AA212" s="193">
        <v>0</v>
      </c>
      <c r="AB212" s="176">
        <v>0</v>
      </c>
      <c r="AC212" s="176">
        <f t="shared" si="13"/>
        <v>0</v>
      </c>
    </row>
    <row r="213" spans="1:29" s="10" customFormat="1" ht="15" customHeight="1">
      <c r="A213" s="30" t="s">
        <v>184</v>
      </c>
      <c r="B213" s="30" t="s">
        <v>1211</v>
      </c>
      <c r="C213" s="30" t="s">
        <v>1242</v>
      </c>
      <c r="D213" s="28" t="s">
        <v>1213</v>
      </c>
      <c r="E213" s="30" t="s">
        <v>1243</v>
      </c>
      <c r="F213" s="30" t="s">
        <v>1244</v>
      </c>
      <c r="G213" s="30" t="s">
        <v>35</v>
      </c>
      <c r="H213" s="33" t="s">
        <v>1245</v>
      </c>
      <c r="I213" s="33" t="e">
        <f>VLOOKUP(H213,'合同高级查询数据-8月返'!A:A,1,FALSE)</f>
        <v>#N/A</v>
      </c>
      <c r="J213" s="167" t="s">
        <v>37</v>
      </c>
      <c r="K213" s="30" t="s">
        <v>1259</v>
      </c>
      <c r="L213" s="168" t="s">
        <v>1260</v>
      </c>
      <c r="M213" s="107" t="s">
        <v>1261</v>
      </c>
      <c r="N213" s="172" t="s">
        <v>1262</v>
      </c>
      <c r="O213" s="136" t="s">
        <v>1263</v>
      </c>
      <c r="P213" s="173">
        <v>9500</v>
      </c>
      <c r="Q213" s="116">
        <v>0</v>
      </c>
      <c r="R213" s="58">
        <f t="shared" si="12"/>
        <v>0</v>
      </c>
      <c r="S213" s="59">
        <v>202308</v>
      </c>
      <c r="T213" s="184" t="s">
        <v>1264</v>
      </c>
      <c r="U213" s="176"/>
      <c r="V213" s="176">
        <v>0</v>
      </c>
      <c r="W213" s="77"/>
      <c r="X213" s="74">
        <v>44927</v>
      </c>
      <c r="Y213" s="74">
        <v>45291</v>
      </c>
      <c r="Z213" s="176">
        <v>0</v>
      </c>
      <c r="AA213" s="193">
        <v>0</v>
      </c>
      <c r="AB213" s="176">
        <v>0</v>
      </c>
      <c r="AC213" s="176">
        <f t="shared" si="13"/>
        <v>0</v>
      </c>
    </row>
    <row r="214" spans="1:29" s="10" customFormat="1" ht="15" customHeight="1">
      <c r="A214" s="30" t="s">
        <v>184</v>
      </c>
      <c r="B214" s="30" t="s">
        <v>1211</v>
      </c>
      <c r="C214" s="30" t="s">
        <v>1242</v>
      </c>
      <c r="D214" s="28" t="s">
        <v>1213</v>
      </c>
      <c r="E214" s="30" t="s">
        <v>1243</v>
      </c>
      <c r="F214" s="30" t="s">
        <v>1244</v>
      </c>
      <c r="G214" s="30" t="s">
        <v>35</v>
      </c>
      <c r="H214" s="33" t="s">
        <v>1245</v>
      </c>
      <c r="I214" s="33" t="e">
        <f>VLOOKUP(H214,'合同高级查询数据-8月返'!A:A,1,FALSE)</f>
        <v>#N/A</v>
      </c>
      <c r="J214" s="167" t="s">
        <v>37</v>
      </c>
      <c r="K214" s="30" t="s">
        <v>1265</v>
      </c>
      <c r="L214" s="168" t="s">
        <v>1266</v>
      </c>
      <c r="M214" s="107" t="s">
        <v>1267</v>
      </c>
      <c r="N214" s="172" t="s">
        <v>1268</v>
      </c>
      <c r="O214" s="33" t="s">
        <v>1269</v>
      </c>
      <c r="P214" s="173">
        <v>9500</v>
      </c>
      <c r="Q214" s="116">
        <v>0</v>
      </c>
      <c r="R214" s="58">
        <f t="shared" si="12"/>
        <v>0</v>
      </c>
      <c r="S214" s="59">
        <v>202308</v>
      </c>
      <c r="T214" s="184" t="s">
        <v>1270</v>
      </c>
      <c r="U214" s="176"/>
      <c r="V214" s="176">
        <v>0</v>
      </c>
      <c r="W214" s="77"/>
      <c r="X214" s="74">
        <v>44927</v>
      </c>
      <c r="Y214" s="74">
        <v>45291</v>
      </c>
      <c r="Z214" s="176">
        <v>0</v>
      </c>
      <c r="AA214" s="193">
        <v>0</v>
      </c>
      <c r="AB214" s="176">
        <v>0</v>
      </c>
      <c r="AC214" s="176">
        <f t="shared" si="13"/>
        <v>0</v>
      </c>
    </row>
    <row r="215" spans="1:29" s="10" customFormat="1" ht="15" customHeight="1">
      <c r="A215" s="30" t="s">
        <v>184</v>
      </c>
      <c r="B215" s="30" t="s">
        <v>1211</v>
      </c>
      <c r="C215" s="30" t="s">
        <v>1242</v>
      </c>
      <c r="D215" s="28" t="s">
        <v>1213</v>
      </c>
      <c r="E215" s="30" t="s">
        <v>1243</v>
      </c>
      <c r="F215" s="30" t="s">
        <v>1244</v>
      </c>
      <c r="G215" s="30" t="s">
        <v>35</v>
      </c>
      <c r="H215" s="33" t="s">
        <v>1245</v>
      </c>
      <c r="I215" s="33" t="e">
        <f>VLOOKUP(H215,'合同高级查询数据-8月返'!A:A,1,FALSE)</f>
        <v>#N/A</v>
      </c>
      <c r="J215" s="167" t="s">
        <v>325</v>
      </c>
      <c r="K215" s="30" t="s">
        <v>1271</v>
      </c>
      <c r="L215" s="168" t="s">
        <v>1272</v>
      </c>
      <c r="M215" s="107" t="s">
        <v>1273</v>
      </c>
      <c r="N215" s="174">
        <v>40349</v>
      </c>
      <c r="O215" s="33" t="s">
        <v>146</v>
      </c>
      <c r="P215" s="173">
        <v>9500</v>
      </c>
      <c r="Q215" s="116">
        <v>1.92</v>
      </c>
      <c r="R215" s="58">
        <f t="shared" si="12"/>
        <v>18240</v>
      </c>
      <c r="S215" s="59">
        <v>202308</v>
      </c>
      <c r="T215" s="184" t="s">
        <v>1274</v>
      </c>
      <c r="U215" s="176"/>
      <c r="V215" s="176">
        <v>1.92420992</v>
      </c>
      <c r="W215" s="77"/>
      <c r="X215" s="74">
        <v>44927</v>
      </c>
      <c r="Y215" s="74">
        <v>45291</v>
      </c>
      <c r="Z215" s="28" t="s">
        <v>1275</v>
      </c>
      <c r="AA215" s="194">
        <v>0</v>
      </c>
      <c r="AB215" s="77">
        <v>20</v>
      </c>
      <c r="AC215" s="176">
        <f t="shared" si="13"/>
        <v>0</v>
      </c>
    </row>
    <row r="216" spans="1:29" s="10" customFormat="1" ht="15" customHeight="1">
      <c r="A216" s="30" t="s">
        <v>184</v>
      </c>
      <c r="B216" s="30" t="s">
        <v>1211</v>
      </c>
      <c r="C216" s="30" t="s">
        <v>1242</v>
      </c>
      <c r="D216" s="28" t="s">
        <v>1213</v>
      </c>
      <c r="E216" s="30" t="s">
        <v>1243</v>
      </c>
      <c r="F216" s="30" t="s">
        <v>1244</v>
      </c>
      <c r="G216" s="30" t="s">
        <v>35</v>
      </c>
      <c r="H216" s="33" t="s">
        <v>1245</v>
      </c>
      <c r="I216" s="33" t="e">
        <f>VLOOKUP(H216,'合同高级查询数据-8月返'!A:A,1,FALSE)</f>
        <v>#N/A</v>
      </c>
      <c r="J216" s="167" t="s">
        <v>325</v>
      </c>
      <c r="K216" s="30" t="s">
        <v>1276</v>
      </c>
      <c r="L216" s="168" t="s">
        <v>1277</v>
      </c>
      <c r="M216" s="107" t="s">
        <v>1278</v>
      </c>
      <c r="N216" s="172" t="s">
        <v>1279</v>
      </c>
      <c r="O216" s="33" t="s">
        <v>840</v>
      </c>
      <c r="P216" s="173">
        <v>9500</v>
      </c>
      <c r="Q216" s="116">
        <v>0</v>
      </c>
      <c r="R216" s="58">
        <f t="shared" si="12"/>
        <v>0</v>
      </c>
      <c r="S216" s="59">
        <v>202308</v>
      </c>
      <c r="T216" s="184" t="s">
        <v>1280</v>
      </c>
      <c r="U216" s="176"/>
      <c r="V216" s="176">
        <v>0</v>
      </c>
      <c r="W216" s="77"/>
      <c r="X216" s="74">
        <v>44927</v>
      </c>
      <c r="Y216" s="74">
        <v>45291</v>
      </c>
      <c r="Z216" s="176">
        <v>0</v>
      </c>
      <c r="AA216" s="193">
        <v>0</v>
      </c>
      <c r="AB216" s="176">
        <v>0</v>
      </c>
      <c r="AC216" s="176">
        <f t="shared" si="13"/>
        <v>0</v>
      </c>
    </row>
    <row r="217" spans="1:29" s="10" customFormat="1" ht="15" customHeight="1">
      <c r="A217" s="30" t="s">
        <v>184</v>
      </c>
      <c r="B217" s="30" t="s">
        <v>1211</v>
      </c>
      <c r="C217" s="30" t="s">
        <v>1242</v>
      </c>
      <c r="D217" s="28" t="s">
        <v>1213</v>
      </c>
      <c r="E217" s="30" t="s">
        <v>1243</v>
      </c>
      <c r="F217" s="30" t="s">
        <v>1244</v>
      </c>
      <c r="G217" s="30" t="s">
        <v>35</v>
      </c>
      <c r="H217" s="33" t="s">
        <v>1245</v>
      </c>
      <c r="I217" s="33" t="e">
        <f>VLOOKUP(H217,'合同高级查询数据-8月返'!A:A,1,FALSE)</f>
        <v>#N/A</v>
      </c>
      <c r="J217" s="167" t="s">
        <v>325</v>
      </c>
      <c r="K217" s="30" t="s">
        <v>1276</v>
      </c>
      <c r="L217" s="168" t="s">
        <v>1277</v>
      </c>
      <c r="M217" s="107" t="s">
        <v>1281</v>
      </c>
      <c r="N217" s="172" t="s">
        <v>1282</v>
      </c>
      <c r="O217" s="33" t="s">
        <v>840</v>
      </c>
      <c r="P217" s="173">
        <v>9500</v>
      </c>
      <c r="Q217" s="116">
        <v>0</v>
      </c>
      <c r="R217" s="58">
        <f t="shared" si="12"/>
        <v>0</v>
      </c>
      <c r="S217" s="59">
        <v>202308</v>
      </c>
      <c r="T217" s="184" t="s">
        <v>1283</v>
      </c>
      <c r="U217" s="176"/>
      <c r="V217" s="176">
        <v>0</v>
      </c>
      <c r="W217" s="77"/>
      <c r="X217" s="74">
        <v>44927</v>
      </c>
      <c r="Y217" s="74">
        <v>45291</v>
      </c>
      <c r="Z217" s="176">
        <v>0</v>
      </c>
      <c r="AA217" s="193">
        <v>0</v>
      </c>
      <c r="AB217" s="176">
        <v>0</v>
      </c>
      <c r="AC217" s="176">
        <f t="shared" si="13"/>
        <v>0</v>
      </c>
    </row>
    <row r="218" spans="1:29" s="10" customFormat="1" ht="15" customHeight="1">
      <c r="A218" s="30" t="s">
        <v>184</v>
      </c>
      <c r="B218" s="30" t="s">
        <v>1211</v>
      </c>
      <c r="C218" s="30" t="s">
        <v>1242</v>
      </c>
      <c r="D218" s="28" t="s">
        <v>1213</v>
      </c>
      <c r="E218" s="30" t="s">
        <v>1243</v>
      </c>
      <c r="F218" s="30" t="s">
        <v>1244</v>
      </c>
      <c r="G218" s="30" t="s">
        <v>35</v>
      </c>
      <c r="H218" s="33" t="s">
        <v>1245</v>
      </c>
      <c r="I218" s="33" t="e">
        <f>VLOOKUP(H218,'合同高级查询数据-8月返'!A:A,1,FALSE)</f>
        <v>#N/A</v>
      </c>
      <c r="J218" s="167" t="s">
        <v>37</v>
      </c>
      <c r="K218" s="30" t="s">
        <v>1284</v>
      </c>
      <c r="L218" s="168" t="s">
        <v>1284</v>
      </c>
      <c r="M218" s="175" t="s">
        <v>1285</v>
      </c>
      <c r="N218" s="172"/>
      <c r="O218" s="176">
        <v>0</v>
      </c>
      <c r="P218" s="173">
        <v>9500</v>
      </c>
      <c r="Q218" s="116">
        <v>0</v>
      </c>
      <c r="R218" s="58">
        <f t="shared" si="12"/>
        <v>0</v>
      </c>
      <c r="S218" s="59">
        <v>202308</v>
      </c>
      <c r="T218" s="184" t="s">
        <v>1286</v>
      </c>
      <c r="U218" s="176"/>
      <c r="V218" s="176">
        <v>0</v>
      </c>
      <c r="W218" s="77"/>
      <c r="X218" s="74">
        <v>44927</v>
      </c>
      <c r="Y218" s="74">
        <v>45291</v>
      </c>
      <c r="Z218" s="176">
        <v>0</v>
      </c>
      <c r="AA218" s="193">
        <v>0</v>
      </c>
      <c r="AB218" s="176">
        <v>0</v>
      </c>
      <c r="AC218" s="176">
        <f t="shared" si="13"/>
        <v>0</v>
      </c>
    </row>
    <row r="219" spans="1:29" s="10" customFormat="1" ht="15" customHeight="1">
      <c r="A219" s="30" t="s">
        <v>184</v>
      </c>
      <c r="B219" s="30" t="s">
        <v>1211</v>
      </c>
      <c r="C219" s="30" t="s">
        <v>1242</v>
      </c>
      <c r="D219" s="28" t="s">
        <v>1213</v>
      </c>
      <c r="E219" s="30" t="s">
        <v>1243</v>
      </c>
      <c r="F219" s="30" t="s">
        <v>1244</v>
      </c>
      <c r="G219" s="30" t="s">
        <v>35</v>
      </c>
      <c r="H219" s="33" t="s">
        <v>1245</v>
      </c>
      <c r="I219" s="33" t="e">
        <f>VLOOKUP(H219,'合同高级查询数据-8月返'!A:A,1,FALSE)</f>
        <v>#N/A</v>
      </c>
      <c r="J219" s="167" t="s">
        <v>37</v>
      </c>
      <c r="K219" s="30" t="s">
        <v>1287</v>
      </c>
      <c r="L219" s="168" t="s">
        <v>1287</v>
      </c>
      <c r="M219" s="107" t="s">
        <v>1288</v>
      </c>
      <c r="N219" s="172" t="s">
        <v>1289</v>
      </c>
      <c r="O219" s="33" t="s">
        <v>1290</v>
      </c>
      <c r="P219" s="173">
        <v>9500</v>
      </c>
      <c r="Q219" s="116">
        <v>13.9</v>
      </c>
      <c r="R219" s="58">
        <f t="shared" si="12"/>
        <v>132050</v>
      </c>
      <c r="S219" s="59">
        <v>202308</v>
      </c>
      <c r="T219" s="184" t="s">
        <v>1291</v>
      </c>
      <c r="U219" s="176"/>
      <c r="V219" s="176">
        <v>13.901067695</v>
      </c>
      <c r="W219" s="77"/>
      <c r="X219" s="74">
        <v>44927</v>
      </c>
      <c r="Y219" s="74">
        <v>45291</v>
      </c>
      <c r="Z219" s="28" t="s">
        <v>1292</v>
      </c>
      <c r="AA219" s="194">
        <v>0.3</v>
      </c>
      <c r="AB219" s="77">
        <v>40</v>
      </c>
      <c r="AC219" s="176">
        <f t="shared" si="13"/>
        <v>12</v>
      </c>
    </row>
    <row r="220" spans="1:29" s="10" customFormat="1" ht="15" customHeight="1">
      <c r="A220" s="30" t="s">
        <v>184</v>
      </c>
      <c r="B220" s="30" t="s">
        <v>1211</v>
      </c>
      <c r="C220" s="30" t="s">
        <v>1242</v>
      </c>
      <c r="D220" s="28" t="s">
        <v>1213</v>
      </c>
      <c r="E220" s="30" t="s">
        <v>1243</v>
      </c>
      <c r="F220" s="30" t="s">
        <v>1244</v>
      </c>
      <c r="G220" s="30" t="s">
        <v>35</v>
      </c>
      <c r="H220" s="33" t="s">
        <v>1245</v>
      </c>
      <c r="I220" s="33" t="e">
        <f>VLOOKUP(H220,'合同高级查询数据-8月返'!A:A,1,FALSE)</f>
        <v>#N/A</v>
      </c>
      <c r="J220" s="167" t="s">
        <v>1293</v>
      </c>
      <c r="K220" s="168"/>
      <c r="L220" s="168" t="s">
        <v>1294</v>
      </c>
      <c r="M220" s="107" t="s">
        <v>1295</v>
      </c>
      <c r="N220" s="177" t="s">
        <v>1296</v>
      </c>
      <c r="O220" s="167" t="s">
        <v>853</v>
      </c>
      <c r="P220" s="173">
        <v>9500</v>
      </c>
      <c r="Q220" s="116">
        <v>118.23</v>
      </c>
      <c r="R220" s="58">
        <f t="shared" si="12"/>
        <v>1123185</v>
      </c>
      <c r="S220" s="59">
        <v>202308</v>
      </c>
      <c r="T220" s="184" t="s">
        <v>1297</v>
      </c>
      <c r="U220" s="176"/>
      <c r="V220" s="176">
        <v>118.22681848000001</v>
      </c>
      <c r="W220" s="176"/>
      <c r="X220" s="74">
        <v>44927</v>
      </c>
      <c r="Y220" s="74">
        <v>45291</v>
      </c>
      <c r="Z220" s="28" t="s">
        <v>1298</v>
      </c>
      <c r="AA220" s="194">
        <v>0.3</v>
      </c>
      <c r="AB220" s="77">
        <v>200</v>
      </c>
      <c r="AC220" s="176">
        <f t="shared" si="13"/>
        <v>60</v>
      </c>
    </row>
    <row r="221" spans="1:29" s="9" customFormat="1" ht="15" customHeight="1">
      <c r="A221" s="27" t="s">
        <v>184</v>
      </c>
      <c r="B221" s="27" t="s">
        <v>1211</v>
      </c>
      <c r="C221" s="27" t="s">
        <v>1242</v>
      </c>
      <c r="D221" s="25" t="s">
        <v>1213</v>
      </c>
      <c r="E221" s="27" t="s">
        <v>1243</v>
      </c>
      <c r="F221" s="27" t="s">
        <v>1244</v>
      </c>
      <c r="G221" s="27" t="s">
        <v>35</v>
      </c>
      <c r="H221" s="32" t="s">
        <v>1299</v>
      </c>
      <c r="I221" s="32" t="e">
        <f>VLOOKUP(H221,'合同高级查询数据-8月返'!A:A,1,FALSE)</f>
        <v>#N/A</v>
      </c>
      <c r="J221" s="169" t="s">
        <v>76</v>
      </c>
      <c r="K221" s="27" t="s">
        <v>1300</v>
      </c>
      <c r="L221" s="170" t="s">
        <v>1300</v>
      </c>
      <c r="M221" s="49" t="s">
        <v>1295</v>
      </c>
      <c r="N221" s="178" t="s">
        <v>1301</v>
      </c>
      <c r="O221" s="179" t="s">
        <v>1302</v>
      </c>
      <c r="P221" s="180">
        <v>180000</v>
      </c>
      <c r="Q221" s="63">
        <v>6.1</v>
      </c>
      <c r="R221" s="54">
        <f t="shared" si="12"/>
        <v>1098000</v>
      </c>
      <c r="S221" s="55">
        <v>202308</v>
      </c>
      <c r="T221" s="185" t="s">
        <v>1303</v>
      </c>
      <c r="U221" s="188"/>
      <c r="V221" s="188">
        <v>6.0866982539999999</v>
      </c>
      <c r="W221" s="76"/>
      <c r="X221" s="70"/>
      <c r="Y221" s="70"/>
      <c r="Z221" s="25" t="s">
        <v>1304</v>
      </c>
      <c r="AA221" s="195">
        <v>0</v>
      </c>
      <c r="AB221" s="76">
        <v>40</v>
      </c>
      <c r="AC221" s="188">
        <f t="shared" si="13"/>
        <v>0</v>
      </c>
    </row>
    <row r="222" spans="1:29" s="10" customFormat="1" ht="15" customHeight="1">
      <c r="A222" s="30" t="s">
        <v>184</v>
      </c>
      <c r="B222" s="30" t="s">
        <v>1211</v>
      </c>
      <c r="C222" s="30" t="s">
        <v>1242</v>
      </c>
      <c r="D222" s="28" t="s">
        <v>1213</v>
      </c>
      <c r="E222" s="30" t="s">
        <v>1243</v>
      </c>
      <c r="F222" s="30" t="s">
        <v>1244</v>
      </c>
      <c r="G222" s="30" t="s">
        <v>35</v>
      </c>
      <c r="H222" s="33" t="s">
        <v>1305</v>
      </c>
      <c r="I222" s="33" t="e">
        <f>VLOOKUP(H222,'合同高级查询数据-8月返'!A:A,1,FALSE)</f>
        <v>#N/A</v>
      </c>
      <c r="J222" s="167" t="s">
        <v>1293</v>
      </c>
      <c r="K222" s="30" t="s">
        <v>1306</v>
      </c>
      <c r="L222" s="168" t="s">
        <v>1306</v>
      </c>
      <c r="M222" s="107" t="s">
        <v>1295</v>
      </c>
      <c r="N222" s="172" t="s">
        <v>1307</v>
      </c>
      <c r="O222" s="136" t="s">
        <v>1308</v>
      </c>
      <c r="P222" s="173">
        <v>30000</v>
      </c>
      <c r="Q222" s="116">
        <v>61.02</v>
      </c>
      <c r="R222" s="58">
        <f t="shared" si="12"/>
        <v>1830600</v>
      </c>
      <c r="S222" s="59">
        <v>202308</v>
      </c>
      <c r="T222" s="184" t="s">
        <v>1309</v>
      </c>
      <c r="U222" s="176"/>
      <c r="V222" s="176">
        <v>61.017513929000003</v>
      </c>
      <c r="W222" s="189"/>
      <c r="X222" s="187">
        <v>44927</v>
      </c>
      <c r="Y222" s="187">
        <v>45291</v>
      </c>
      <c r="Z222" s="28" t="s">
        <v>1295</v>
      </c>
      <c r="AA222" s="194">
        <v>0.1</v>
      </c>
      <c r="AB222" s="77">
        <v>300</v>
      </c>
      <c r="AC222" s="176">
        <f t="shared" si="13"/>
        <v>30</v>
      </c>
    </row>
    <row r="223" spans="1:29" s="9" customFormat="1" ht="15" customHeight="1">
      <c r="A223" s="27" t="s">
        <v>184</v>
      </c>
      <c r="B223" s="27" t="s">
        <v>1211</v>
      </c>
      <c r="C223" s="27" t="s">
        <v>1310</v>
      </c>
      <c r="D223" s="25" t="s">
        <v>1213</v>
      </c>
      <c r="E223" s="27" t="s">
        <v>1311</v>
      </c>
      <c r="F223" s="27" t="s">
        <v>1312</v>
      </c>
      <c r="G223" s="27" t="s">
        <v>35</v>
      </c>
      <c r="H223" s="32" t="s">
        <v>1313</v>
      </c>
      <c r="I223" s="32" t="e">
        <f>VLOOKUP(H223,'合同高级查询数据-8月返'!A:A,1,FALSE)</f>
        <v>#N/A</v>
      </c>
      <c r="J223" s="169" t="s">
        <v>37</v>
      </c>
      <c r="K223" s="27" t="s">
        <v>1314</v>
      </c>
      <c r="L223" s="170" t="s">
        <v>1315</v>
      </c>
      <c r="M223" s="49" t="s">
        <v>1316</v>
      </c>
      <c r="N223" s="178" t="s">
        <v>1317</v>
      </c>
      <c r="O223" s="179" t="s">
        <v>1318</v>
      </c>
      <c r="P223" s="180">
        <v>9500</v>
      </c>
      <c r="Q223" s="63">
        <v>7.3</v>
      </c>
      <c r="R223" s="54">
        <f t="shared" si="12"/>
        <v>69350</v>
      </c>
      <c r="S223" s="55">
        <v>202308</v>
      </c>
      <c r="T223" s="186" t="s">
        <v>1319</v>
      </c>
      <c r="U223" s="188"/>
      <c r="V223" s="188">
        <v>7.2467122079999999</v>
      </c>
      <c r="W223" s="76"/>
      <c r="X223" s="42"/>
      <c r="Y223" s="42"/>
      <c r="Z223" s="25" t="s">
        <v>1320</v>
      </c>
      <c r="AA223" s="195">
        <v>0.3</v>
      </c>
      <c r="AB223" s="76">
        <v>20</v>
      </c>
      <c r="AC223" s="188">
        <f t="shared" si="13"/>
        <v>6</v>
      </c>
    </row>
    <row r="224" spans="1:29" s="9" customFormat="1" ht="15" customHeight="1">
      <c r="A224" s="27" t="s">
        <v>184</v>
      </c>
      <c r="B224" s="27" t="s">
        <v>1211</v>
      </c>
      <c r="C224" s="27" t="s">
        <v>1321</v>
      </c>
      <c r="D224" s="25" t="s">
        <v>1213</v>
      </c>
      <c r="E224" s="27" t="s">
        <v>1322</v>
      </c>
      <c r="F224" s="27" t="s">
        <v>1323</v>
      </c>
      <c r="G224" s="27" t="s">
        <v>35</v>
      </c>
      <c r="H224" s="32" t="s">
        <v>1324</v>
      </c>
      <c r="I224" s="32" t="e">
        <f>VLOOKUP(H224,'合同高级查询数据-8月返'!A:A,1,FALSE)</f>
        <v>#N/A</v>
      </c>
      <c r="J224" s="169" t="s">
        <v>37</v>
      </c>
      <c r="K224" s="27" t="s">
        <v>1325</v>
      </c>
      <c r="L224" s="170" t="s">
        <v>1326</v>
      </c>
      <c r="M224" s="181" t="s">
        <v>1327</v>
      </c>
      <c r="N224" s="178" t="s">
        <v>1328</v>
      </c>
      <c r="O224" s="27" t="s">
        <v>1329</v>
      </c>
      <c r="P224" s="180">
        <v>9500</v>
      </c>
      <c r="Q224" s="63">
        <v>0</v>
      </c>
      <c r="R224" s="54">
        <f t="shared" si="12"/>
        <v>0</v>
      </c>
      <c r="S224" s="55">
        <v>202308</v>
      </c>
      <c r="T224" s="185" t="s">
        <v>1330</v>
      </c>
      <c r="U224" s="190"/>
      <c r="V224" s="188">
        <v>0</v>
      </c>
      <c r="W224" s="188"/>
      <c r="X224" s="70"/>
      <c r="Y224" s="70"/>
      <c r="Z224" s="188">
        <v>0</v>
      </c>
      <c r="AA224" s="196">
        <v>0</v>
      </c>
      <c r="AB224" s="188">
        <v>0</v>
      </c>
      <c r="AC224" s="188">
        <f t="shared" si="13"/>
        <v>0</v>
      </c>
    </row>
    <row r="225" spans="1:29" s="9" customFormat="1" ht="15" customHeight="1">
      <c r="A225" s="27" t="s">
        <v>184</v>
      </c>
      <c r="B225" s="27" t="s">
        <v>1211</v>
      </c>
      <c r="C225" s="27" t="s">
        <v>1321</v>
      </c>
      <c r="D225" s="25" t="s">
        <v>1213</v>
      </c>
      <c r="E225" s="27" t="s">
        <v>1322</v>
      </c>
      <c r="F225" s="27" t="s">
        <v>1323</v>
      </c>
      <c r="G225" s="27" t="s">
        <v>35</v>
      </c>
      <c r="H225" s="32" t="s">
        <v>1324</v>
      </c>
      <c r="I225" s="32" t="e">
        <f>VLOOKUP(H225,'合同高级查询数据-8月返'!A:A,1,FALSE)</f>
        <v>#N/A</v>
      </c>
      <c r="J225" s="169" t="s">
        <v>37</v>
      </c>
      <c r="K225" s="27" t="s">
        <v>1331</v>
      </c>
      <c r="L225" s="170" t="s">
        <v>1332</v>
      </c>
      <c r="M225" s="49" t="s">
        <v>1333</v>
      </c>
      <c r="N225" s="178" t="s">
        <v>1334</v>
      </c>
      <c r="O225" s="27" t="s">
        <v>1335</v>
      </c>
      <c r="P225" s="180">
        <v>9500</v>
      </c>
      <c r="Q225" s="63">
        <v>62.6</v>
      </c>
      <c r="R225" s="54">
        <f t="shared" si="12"/>
        <v>594700</v>
      </c>
      <c r="S225" s="55">
        <v>202308</v>
      </c>
      <c r="T225" s="185" t="s">
        <v>1336</v>
      </c>
      <c r="U225" s="188"/>
      <c r="V225" s="188">
        <v>62.546951294000003</v>
      </c>
      <c r="W225" s="188"/>
      <c r="X225" s="70"/>
      <c r="Y225" s="70"/>
      <c r="Z225" s="25" t="s">
        <v>1337</v>
      </c>
      <c r="AA225" s="195">
        <v>0.3</v>
      </c>
      <c r="AB225" s="76">
        <v>200</v>
      </c>
      <c r="AC225" s="188">
        <f t="shared" si="13"/>
        <v>60</v>
      </c>
    </row>
    <row r="226" spans="1:29" s="9" customFormat="1" ht="15" customHeight="1">
      <c r="A226" s="27" t="s">
        <v>184</v>
      </c>
      <c r="B226" s="27" t="s">
        <v>1211</v>
      </c>
      <c r="C226" s="27" t="s">
        <v>1321</v>
      </c>
      <c r="D226" s="25" t="s">
        <v>1213</v>
      </c>
      <c r="E226" s="27" t="s">
        <v>1322</v>
      </c>
      <c r="F226" s="27" t="s">
        <v>1323</v>
      </c>
      <c r="G226" s="27" t="s">
        <v>35</v>
      </c>
      <c r="H226" s="32" t="s">
        <v>1324</v>
      </c>
      <c r="I226" s="32" t="e">
        <f>VLOOKUP(H226,'合同高级查询数据-8月返'!A:A,1,FALSE)</f>
        <v>#N/A</v>
      </c>
      <c r="J226" s="169" t="s">
        <v>37</v>
      </c>
      <c r="K226" s="27" t="s">
        <v>1338</v>
      </c>
      <c r="L226" s="170" t="s">
        <v>1339</v>
      </c>
      <c r="M226" s="49" t="s">
        <v>1333</v>
      </c>
      <c r="N226" s="178" t="s">
        <v>1340</v>
      </c>
      <c r="O226" s="27" t="s">
        <v>1341</v>
      </c>
      <c r="P226" s="180">
        <v>9500</v>
      </c>
      <c r="Q226" s="63">
        <v>0</v>
      </c>
      <c r="R226" s="54">
        <f t="shared" si="12"/>
        <v>0</v>
      </c>
      <c r="S226" s="55">
        <v>202308</v>
      </c>
      <c r="T226" s="185" t="s">
        <v>1342</v>
      </c>
      <c r="U226" s="188"/>
      <c r="V226" s="188">
        <v>0</v>
      </c>
      <c r="W226" s="188"/>
      <c r="X226" s="70"/>
      <c r="Y226" s="70"/>
      <c r="Z226" s="188">
        <v>0</v>
      </c>
      <c r="AA226" s="196">
        <v>0</v>
      </c>
      <c r="AB226" s="188">
        <v>0</v>
      </c>
      <c r="AC226" s="188">
        <f t="shared" si="13"/>
        <v>0</v>
      </c>
    </row>
    <row r="227" spans="1:29" s="9" customFormat="1" ht="15" customHeight="1">
      <c r="A227" s="27" t="s">
        <v>184</v>
      </c>
      <c r="B227" s="27" t="s">
        <v>1211</v>
      </c>
      <c r="C227" s="27" t="s">
        <v>1321</v>
      </c>
      <c r="D227" s="25" t="s">
        <v>1213</v>
      </c>
      <c r="E227" s="27" t="s">
        <v>1322</v>
      </c>
      <c r="F227" s="27" t="s">
        <v>1323</v>
      </c>
      <c r="G227" s="27" t="s">
        <v>35</v>
      </c>
      <c r="H227" s="32" t="s">
        <v>1324</v>
      </c>
      <c r="I227" s="32" t="e">
        <f>VLOOKUP(H227,'合同高级查询数据-8月返'!A:A,1,FALSE)</f>
        <v>#N/A</v>
      </c>
      <c r="J227" s="169" t="s">
        <v>37</v>
      </c>
      <c r="K227" s="27" t="s">
        <v>1343</v>
      </c>
      <c r="L227" s="170" t="s">
        <v>1344</v>
      </c>
      <c r="M227" s="181" t="s">
        <v>1327</v>
      </c>
      <c r="N227" s="178" t="s">
        <v>1345</v>
      </c>
      <c r="O227" s="27" t="s">
        <v>1346</v>
      </c>
      <c r="P227" s="180">
        <v>9500</v>
      </c>
      <c r="Q227" s="63">
        <v>63.2</v>
      </c>
      <c r="R227" s="54">
        <f t="shared" si="12"/>
        <v>600400</v>
      </c>
      <c r="S227" s="55">
        <v>202308</v>
      </c>
      <c r="T227" s="185" t="s">
        <v>1347</v>
      </c>
      <c r="U227" s="188"/>
      <c r="V227" s="188">
        <v>63.171169280999997</v>
      </c>
      <c r="W227" s="188"/>
      <c r="X227" s="70"/>
      <c r="Y227" s="70"/>
      <c r="Z227" s="188" t="s">
        <v>1348</v>
      </c>
      <c r="AA227" s="196">
        <v>0.3</v>
      </c>
      <c r="AB227" s="188">
        <v>200</v>
      </c>
      <c r="AC227" s="188">
        <f t="shared" si="13"/>
        <v>60</v>
      </c>
    </row>
    <row r="228" spans="1:29" s="9" customFormat="1" ht="15" customHeight="1">
      <c r="A228" s="27" t="s">
        <v>184</v>
      </c>
      <c r="B228" s="27" t="s">
        <v>1211</v>
      </c>
      <c r="C228" s="27" t="s">
        <v>1321</v>
      </c>
      <c r="D228" s="25" t="s">
        <v>1213</v>
      </c>
      <c r="E228" s="27" t="s">
        <v>1322</v>
      </c>
      <c r="F228" s="27" t="s">
        <v>1323</v>
      </c>
      <c r="G228" s="27" t="s">
        <v>35</v>
      </c>
      <c r="H228" s="32" t="s">
        <v>1324</v>
      </c>
      <c r="I228" s="32" t="e">
        <f>VLOOKUP(H228,'合同高级查询数据-8月返'!A:A,1,FALSE)</f>
        <v>#N/A</v>
      </c>
      <c r="J228" s="169" t="s">
        <v>37</v>
      </c>
      <c r="K228" s="27" t="s">
        <v>1349</v>
      </c>
      <c r="L228" s="170" t="s">
        <v>1349</v>
      </c>
      <c r="M228" s="181" t="s">
        <v>1350</v>
      </c>
      <c r="N228" s="178" t="s">
        <v>1351</v>
      </c>
      <c r="O228" s="27" t="s">
        <v>818</v>
      </c>
      <c r="P228" s="180">
        <v>9500</v>
      </c>
      <c r="Q228" s="63">
        <v>0</v>
      </c>
      <c r="R228" s="54">
        <f t="shared" si="12"/>
        <v>0</v>
      </c>
      <c r="S228" s="55">
        <v>202308</v>
      </c>
      <c r="T228" s="185" t="s">
        <v>1352</v>
      </c>
      <c r="U228" s="188"/>
      <c r="V228" s="188">
        <v>0</v>
      </c>
      <c r="W228" s="188"/>
      <c r="X228" s="70"/>
      <c r="Y228" s="70"/>
      <c r="Z228" s="188">
        <v>0</v>
      </c>
      <c r="AA228" s="196">
        <v>0</v>
      </c>
      <c r="AB228" s="188">
        <v>0</v>
      </c>
      <c r="AC228" s="188">
        <f t="shared" si="13"/>
        <v>0</v>
      </c>
    </row>
    <row r="229" spans="1:29" s="9" customFormat="1" ht="15" customHeight="1">
      <c r="A229" s="27" t="s">
        <v>184</v>
      </c>
      <c r="B229" s="27" t="s">
        <v>1211</v>
      </c>
      <c r="C229" s="27" t="s">
        <v>1321</v>
      </c>
      <c r="D229" s="25" t="s">
        <v>1213</v>
      </c>
      <c r="E229" s="27" t="s">
        <v>1322</v>
      </c>
      <c r="F229" s="27" t="s">
        <v>1323</v>
      </c>
      <c r="G229" s="27" t="s">
        <v>35</v>
      </c>
      <c r="H229" s="32" t="s">
        <v>1324</v>
      </c>
      <c r="I229" s="32" t="e">
        <f>VLOOKUP(H229,'合同高级查询数据-8月返'!A:A,1,FALSE)</f>
        <v>#N/A</v>
      </c>
      <c r="J229" s="169" t="s">
        <v>37</v>
      </c>
      <c r="K229" s="27" t="s">
        <v>1353</v>
      </c>
      <c r="L229" s="170" t="s">
        <v>1353</v>
      </c>
      <c r="M229" s="181" t="s">
        <v>1354</v>
      </c>
      <c r="N229" s="178" t="s">
        <v>1351</v>
      </c>
      <c r="O229" s="27" t="s">
        <v>1355</v>
      </c>
      <c r="P229" s="180">
        <v>9500</v>
      </c>
      <c r="Q229" s="63">
        <v>0</v>
      </c>
      <c r="R229" s="54">
        <f t="shared" si="12"/>
        <v>0</v>
      </c>
      <c r="S229" s="55">
        <v>202308</v>
      </c>
      <c r="T229" s="185" t="s">
        <v>1356</v>
      </c>
      <c r="U229" s="188"/>
      <c r="V229" s="188">
        <v>0</v>
      </c>
      <c r="W229" s="188"/>
      <c r="X229" s="70"/>
      <c r="Y229" s="70"/>
      <c r="Z229" s="188">
        <v>0</v>
      </c>
      <c r="AA229" s="196">
        <v>0</v>
      </c>
      <c r="AB229" s="188">
        <v>0</v>
      </c>
      <c r="AC229" s="188">
        <f t="shared" si="13"/>
        <v>0</v>
      </c>
    </row>
    <row r="230" spans="1:29" s="9" customFormat="1" ht="15" customHeight="1">
      <c r="A230" s="27" t="s">
        <v>184</v>
      </c>
      <c r="B230" s="27" t="s">
        <v>1211</v>
      </c>
      <c r="C230" s="27" t="s">
        <v>1321</v>
      </c>
      <c r="D230" s="25" t="s">
        <v>1213</v>
      </c>
      <c r="E230" s="27" t="s">
        <v>1322</v>
      </c>
      <c r="F230" s="27" t="s">
        <v>1323</v>
      </c>
      <c r="G230" s="27" t="s">
        <v>35</v>
      </c>
      <c r="H230" s="32" t="s">
        <v>1324</v>
      </c>
      <c r="I230" s="32" t="e">
        <f>VLOOKUP(H230,'合同高级查询数据-8月返'!A:A,1,FALSE)</f>
        <v>#N/A</v>
      </c>
      <c r="J230" s="169" t="s">
        <v>37</v>
      </c>
      <c r="K230" s="27" t="s">
        <v>1357</v>
      </c>
      <c r="L230" s="170" t="s">
        <v>1357</v>
      </c>
      <c r="M230" s="49" t="s">
        <v>1358</v>
      </c>
      <c r="N230" s="178">
        <v>43735</v>
      </c>
      <c r="O230" s="27" t="s">
        <v>355</v>
      </c>
      <c r="P230" s="180">
        <v>9500</v>
      </c>
      <c r="Q230" s="63">
        <v>126.3</v>
      </c>
      <c r="R230" s="54">
        <f t="shared" si="12"/>
        <v>1199850</v>
      </c>
      <c r="S230" s="55">
        <v>202308</v>
      </c>
      <c r="T230" s="185" t="s">
        <v>1359</v>
      </c>
      <c r="U230" s="188"/>
      <c r="V230" s="188">
        <v>126.221031189</v>
      </c>
      <c r="W230" s="188"/>
      <c r="X230" s="70"/>
      <c r="Y230" s="70"/>
      <c r="Z230" s="25" t="s">
        <v>1360</v>
      </c>
      <c r="AA230" s="195">
        <v>0.3</v>
      </c>
      <c r="AB230" s="76">
        <v>400</v>
      </c>
      <c r="AC230" s="188">
        <f t="shared" si="13"/>
        <v>120</v>
      </c>
    </row>
    <row r="231" spans="1:29" s="9" customFormat="1" ht="15" customHeight="1">
      <c r="A231" s="27" t="s">
        <v>184</v>
      </c>
      <c r="B231" s="27" t="s">
        <v>1211</v>
      </c>
      <c r="C231" s="27" t="s">
        <v>1321</v>
      </c>
      <c r="D231" s="25" t="s">
        <v>1213</v>
      </c>
      <c r="E231" s="27" t="s">
        <v>1322</v>
      </c>
      <c r="F231" s="27" t="s">
        <v>1323</v>
      </c>
      <c r="G231" s="27" t="s">
        <v>35</v>
      </c>
      <c r="H231" s="32" t="s">
        <v>1324</v>
      </c>
      <c r="I231" s="32" t="e">
        <f>VLOOKUP(H231,'合同高级查询数据-8月返'!A:A,1,FALSE)</f>
        <v>#N/A</v>
      </c>
      <c r="J231" s="169" t="s">
        <v>37</v>
      </c>
      <c r="K231" s="170" t="s">
        <v>1361</v>
      </c>
      <c r="L231" s="170" t="s">
        <v>1362</v>
      </c>
      <c r="M231" s="49" t="s">
        <v>1363</v>
      </c>
      <c r="N231" s="178" t="s">
        <v>1364</v>
      </c>
      <c r="O231" s="179" t="s">
        <v>1365</v>
      </c>
      <c r="P231" s="180">
        <v>9500</v>
      </c>
      <c r="Q231" s="63">
        <v>7</v>
      </c>
      <c r="R231" s="54">
        <f t="shared" si="12"/>
        <v>66500</v>
      </c>
      <c r="S231" s="55">
        <v>202308</v>
      </c>
      <c r="T231" s="186" t="s">
        <v>1366</v>
      </c>
      <c r="U231" s="188"/>
      <c r="V231" s="188">
        <v>6.981293483</v>
      </c>
      <c r="W231" s="191"/>
      <c r="X231" s="191"/>
      <c r="Y231" s="70"/>
      <c r="Z231" s="25" t="s">
        <v>1367</v>
      </c>
      <c r="AA231" s="195">
        <v>0.3</v>
      </c>
      <c r="AB231" s="76">
        <v>20</v>
      </c>
      <c r="AC231" s="188">
        <f t="shared" si="13"/>
        <v>6</v>
      </c>
    </row>
    <row r="232" spans="1:29" s="9" customFormat="1" ht="15" customHeight="1">
      <c r="A232" s="27" t="s">
        <v>184</v>
      </c>
      <c r="B232" s="27" t="s">
        <v>1211</v>
      </c>
      <c r="C232" s="27" t="s">
        <v>1321</v>
      </c>
      <c r="D232" s="25" t="s">
        <v>1213</v>
      </c>
      <c r="E232" s="27" t="s">
        <v>1322</v>
      </c>
      <c r="F232" s="27" t="s">
        <v>1323</v>
      </c>
      <c r="G232" s="27" t="s">
        <v>35</v>
      </c>
      <c r="H232" s="32" t="s">
        <v>1368</v>
      </c>
      <c r="I232" s="32" t="e">
        <f>VLOOKUP(H232,'合同高级查询数据-8月返'!A:A,1,FALSE)</f>
        <v>#N/A</v>
      </c>
      <c r="J232" s="169" t="s">
        <v>37</v>
      </c>
      <c r="K232" s="170" t="s">
        <v>1361</v>
      </c>
      <c r="L232" s="170" t="s">
        <v>1369</v>
      </c>
      <c r="M232" s="49" t="s">
        <v>1370</v>
      </c>
      <c r="N232" s="178" t="s">
        <v>1371</v>
      </c>
      <c r="O232" s="179" t="s">
        <v>1372</v>
      </c>
      <c r="P232" s="180">
        <v>9500</v>
      </c>
      <c r="Q232" s="63">
        <v>0</v>
      </c>
      <c r="R232" s="54">
        <f t="shared" si="12"/>
        <v>0</v>
      </c>
      <c r="S232" s="55">
        <v>202308</v>
      </c>
      <c r="T232" s="186" t="s">
        <v>1373</v>
      </c>
      <c r="U232" s="188"/>
      <c r="V232" s="188">
        <v>0</v>
      </c>
      <c r="W232" s="191"/>
      <c r="X232" s="191"/>
      <c r="Y232" s="70"/>
      <c r="Z232" s="188">
        <v>0</v>
      </c>
      <c r="AA232" s="196">
        <v>0</v>
      </c>
      <c r="AB232" s="188">
        <v>0</v>
      </c>
      <c r="AC232" s="188">
        <f t="shared" si="13"/>
        <v>0</v>
      </c>
    </row>
    <row r="233" spans="1:29" s="9" customFormat="1" ht="15" customHeight="1">
      <c r="A233" s="27" t="s">
        <v>184</v>
      </c>
      <c r="B233" s="27" t="s">
        <v>1211</v>
      </c>
      <c r="C233" s="27" t="s">
        <v>1321</v>
      </c>
      <c r="D233" s="25" t="s">
        <v>1213</v>
      </c>
      <c r="E233" s="27" t="s">
        <v>1322</v>
      </c>
      <c r="F233" s="27" t="s">
        <v>1323</v>
      </c>
      <c r="G233" s="27" t="s">
        <v>35</v>
      </c>
      <c r="H233" s="32" t="s">
        <v>1368</v>
      </c>
      <c r="I233" s="32" t="e">
        <f>VLOOKUP(H233,'合同高级查询数据-8月返'!A:A,1,FALSE)</f>
        <v>#N/A</v>
      </c>
      <c r="J233" s="169" t="s">
        <v>1293</v>
      </c>
      <c r="K233" s="170" t="s">
        <v>1361</v>
      </c>
      <c r="L233" s="170" t="s">
        <v>1374</v>
      </c>
      <c r="M233" s="49" t="s">
        <v>1375</v>
      </c>
      <c r="N233" s="178" t="s">
        <v>1371</v>
      </c>
      <c r="O233" s="179" t="s">
        <v>1372</v>
      </c>
      <c r="P233" s="180">
        <v>9500</v>
      </c>
      <c r="Q233" s="63">
        <v>86.4</v>
      </c>
      <c r="R233" s="54">
        <f t="shared" si="12"/>
        <v>820800</v>
      </c>
      <c r="S233" s="55">
        <v>202308</v>
      </c>
      <c r="T233" s="186" t="s">
        <v>1376</v>
      </c>
      <c r="U233" s="188"/>
      <c r="V233" s="188">
        <v>86.395860047851997</v>
      </c>
      <c r="W233" s="191"/>
      <c r="X233" s="191"/>
      <c r="Y233" s="70"/>
      <c r="Z233" s="188" t="s">
        <v>1377</v>
      </c>
      <c r="AA233" s="196">
        <v>0.3</v>
      </c>
      <c r="AB233" s="188">
        <v>280</v>
      </c>
      <c r="AC233" s="188">
        <f t="shared" ref="AC233:AC261" si="14">AA233*AB233</f>
        <v>84</v>
      </c>
    </row>
    <row r="234" spans="1:29" s="9" customFormat="1" ht="15" customHeight="1">
      <c r="A234" s="27" t="s">
        <v>184</v>
      </c>
      <c r="B234" s="27" t="s">
        <v>1211</v>
      </c>
      <c r="C234" s="27" t="s">
        <v>1321</v>
      </c>
      <c r="D234" s="25" t="s">
        <v>1213</v>
      </c>
      <c r="E234" s="27" t="s">
        <v>1322</v>
      </c>
      <c r="F234" s="27" t="s">
        <v>1323</v>
      </c>
      <c r="G234" s="27" t="s">
        <v>35</v>
      </c>
      <c r="H234" s="32" t="s">
        <v>1378</v>
      </c>
      <c r="I234" s="32" t="e">
        <f>VLOOKUP(H234,'合同高级查询数据-8月返'!A:A,1,FALSE)</f>
        <v>#N/A</v>
      </c>
      <c r="J234" s="169" t="s">
        <v>37</v>
      </c>
      <c r="K234" s="170" t="s">
        <v>1361</v>
      </c>
      <c r="L234" s="170" t="s">
        <v>1379</v>
      </c>
      <c r="M234" s="49" t="s">
        <v>1380</v>
      </c>
      <c r="N234" s="178">
        <v>45108</v>
      </c>
      <c r="O234" s="179" t="s">
        <v>319</v>
      </c>
      <c r="P234" s="180">
        <v>9500</v>
      </c>
      <c r="Q234" s="63">
        <v>64.599999999999994</v>
      </c>
      <c r="R234" s="54">
        <f t="shared" si="12"/>
        <v>613700</v>
      </c>
      <c r="S234" s="55">
        <v>202308</v>
      </c>
      <c r="T234" s="186" t="s">
        <v>1381</v>
      </c>
      <c r="U234" s="188"/>
      <c r="V234" s="188">
        <v>64.576194763000004</v>
      </c>
      <c r="W234" s="191"/>
      <c r="X234" s="191"/>
      <c r="Y234" s="70"/>
      <c r="Z234" s="25" t="s">
        <v>1382</v>
      </c>
      <c r="AA234" s="195">
        <v>0.3</v>
      </c>
      <c r="AB234" s="76">
        <v>200</v>
      </c>
      <c r="AC234" s="76">
        <f t="shared" si="14"/>
        <v>60</v>
      </c>
    </row>
    <row r="235" spans="1:29" s="9" customFormat="1" ht="15" customHeight="1">
      <c r="A235" s="27" t="s">
        <v>184</v>
      </c>
      <c r="B235" s="27" t="s">
        <v>1211</v>
      </c>
      <c r="C235" s="27" t="s">
        <v>1383</v>
      </c>
      <c r="D235" s="25" t="s">
        <v>1213</v>
      </c>
      <c r="E235" s="27" t="s">
        <v>1384</v>
      </c>
      <c r="F235" s="27" t="s">
        <v>1385</v>
      </c>
      <c r="G235" s="27" t="s">
        <v>35</v>
      </c>
      <c r="H235" s="32" t="s">
        <v>1386</v>
      </c>
      <c r="I235" s="32" t="e">
        <f>VLOOKUP(H235,'合同高级查询数据-8月返'!A:A,1,FALSE)</f>
        <v>#N/A</v>
      </c>
      <c r="J235" s="169" t="s">
        <v>37</v>
      </c>
      <c r="K235" s="27" t="s">
        <v>1387</v>
      </c>
      <c r="L235" s="27" t="s">
        <v>1387</v>
      </c>
      <c r="M235" s="181"/>
      <c r="N235" s="178" t="s">
        <v>1388</v>
      </c>
      <c r="O235" s="179" t="s">
        <v>1389</v>
      </c>
      <c r="P235" s="180">
        <v>9500</v>
      </c>
      <c r="Q235" s="63">
        <v>0</v>
      </c>
      <c r="R235" s="54">
        <f t="shared" si="12"/>
        <v>0</v>
      </c>
      <c r="S235" s="55">
        <v>202308</v>
      </c>
      <c r="T235" s="185" t="s">
        <v>1390</v>
      </c>
      <c r="U235" s="188"/>
      <c r="V235" s="188">
        <v>0</v>
      </c>
      <c r="W235" s="76"/>
      <c r="X235" s="192"/>
      <c r="Y235" s="192"/>
      <c r="Z235" s="188">
        <v>0</v>
      </c>
      <c r="AA235" s="196">
        <v>0</v>
      </c>
      <c r="AB235" s="188">
        <v>0</v>
      </c>
      <c r="AC235" s="188">
        <f t="shared" si="14"/>
        <v>0</v>
      </c>
    </row>
    <row r="236" spans="1:29" s="9" customFormat="1" ht="15" customHeight="1">
      <c r="A236" s="27" t="s">
        <v>184</v>
      </c>
      <c r="B236" s="27" t="s">
        <v>1211</v>
      </c>
      <c r="C236" s="27" t="s">
        <v>1383</v>
      </c>
      <c r="D236" s="25" t="s">
        <v>1213</v>
      </c>
      <c r="E236" s="27" t="s">
        <v>1384</v>
      </c>
      <c r="F236" s="27" t="s">
        <v>1385</v>
      </c>
      <c r="G236" s="27" t="s">
        <v>35</v>
      </c>
      <c r="H236" s="32" t="s">
        <v>1386</v>
      </c>
      <c r="I236" s="32" t="e">
        <f>VLOOKUP(H236,'合同高级查询数据-8月返'!A:A,1,FALSE)</f>
        <v>#N/A</v>
      </c>
      <c r="J236" s="169" t="s">
        <v>325</v>
      </c>
      <c r="K236" s="27" t="s">
        <v>1391</v>
      </c>
      <c r="L236" s="27" t="s">
        <v>1391</v>
      </c>
      <c r="M236" s="181" t="s">
        <v>1392</v>
      </c>
      <c r="N236" s="178" t="s">
        <v>1393</v>
      </c>
      <c r="O236" s="179" t="s">
        <v>426</v>
      </c>
      <c r="P236" s="180">
        <v>9500</v>
      </c>
      <c r="Q236" s="63">
        <v>2.2000000000000002</v>
      </c>
      <c r="R236" s="54">
        <f t="shared" si="12"/>
        <v>20900</v>
      </c>
      <c r="S236" s="55">
        <v>202308</v>
      </c>
      <c r="T236" s="185" t="s">
        <v>1394</v>
      </c>
      <c r="U236" s="188"/>
      <c r="V236" s="188">
        <v>1.07</v>
      </c>
      <c r="W236" s="76"/>
      <c r="X236" s="192"/>
      <c r="Y236" s="192"/>
      <c r="Z236" s="25" t="s">
        <v>1395</v>
      </c>
      <c r="AA236" s="195">
        <v>0.3</v>
      </c>
      <c r="AB236" s="76">
        <v>10</v>
      </c>
      <c r="AC236" s="188">
        <f t="shared" si="14"/>
        <v>3</v>
      </c>
    </row>
    <row r="237" spans="1:29" s="9" customFormat="1" ht="15" customHeight="1">
      <c r="A237" s="27" t="s">
        <v>184</v>
      </c>
      <c r="B237" s="27" t="s">
        <v>1211</v>
      </c>
      <c r="C237" s="27" t="s">
        <v>1383</v>
      </c>
      <c r="D237" s="25" t="s">
        <v>1213</v>
      </c>
      <c r="E237" s="27" t="s">
        <v>1384</v>
      </c>
      <c r="F237" s="27" t="s">
        <v>1385</v>
      </c>
      <c r="G237" s="27" t="s">
        <v>35</v>
      </c>
      <c r="H237" s="32" t="s">
        <v>1386</v>
      </c>
      <c r="I237" s="32" t="e">
        <f>VLOOKUP(H237,'合同高级查询数据-8月返'!A:A,1,FALSE)</f>
        <v>#N/A</v>
      </c>
      <c r="J237" s="169" t="s">
        <v>37</v>
      </c>
      <c r="K237" s="27" t="s">
        <v>1383</v>
      </c>
      <c r="L237" s="170" t="s">
        <v>1396</v>
      </c>
      <c r="M237" s="49" t="s">
        <v>1397</v>
      </c>
      <c r="N237" s="105">
        <v>45017</v>
      </c>
      <c r="O237" s="179" t="s">
        <v>146</v>
      </c>
      <c r="P237" s="180">
        <v>9500</v>
      </c>
      <c r="Q237" s="63">
        <v>6.8</v>
      </c>
      <c r="R237" s="54">
        <f t="shared" si="12"/>
        <v>64600</v>
      </c>
      <c r="S237" s="55">
        <v>202308</v>
      </c>
      <c r="T237" s="185" t="s">
        <v>1398</v>
      </c>
      <c r="U237" s="188"/>
      <c r="V237" s="188">
        <v>6.7272925380000004</v>
      </c>
      <c r="W237" s="188"/>
      <c r="X237" s="192"/>
      <c r="Y237" s="192"/>
      <c r="Z237" s="25" t="s">
        <v>1399</v>
      </c>
      <c r="AA237" s="195">
        <v>0.3</v>
      </c>
      <c r="AB237" s="76">
        <v>20</v>
      </c>
      <c r="AC237" s="76">
        <f t="shared" si="14"/>
        <v>6</v>
      </c>
    </row>
    <row r="238" spans="1:29" s="10" customFormat="1" ht="15" customHeight="1">
      <c r="A238" s="30" t="s">
        <v>136</v>
      </c>
      <c r="B238" s="30" t="s">
        <v>1211</v>
      </c>
      <c r="C238" s="30" t="s">
        <v>1212</v>
      </c>
      <c r="D238" s="28" t="s">
        <v>1213</v>
      </c>
      <c r="E238" s="30" t="s">
        <v>1400</v>
      </c>
      <c r="F238" s="30" t="s">
        <v>1401</v>
      </c>
      <c r="G238" s="30" t="s">
        <v>35</v>
      </c>
      <c r="H238" s="33" t="s">
        <v>1402</v>
      </c>
      <c r="I238" s="33" t="e">
        <f>VLOOKUP(H238,'合同高级查询数据-8月返'!A:A,1,FALSE)</f>
        <v>#N/A</v>
      </c>
      <c r="J238" s="167" t="s">
        <v>37</v>
      </c>
      <c r="K238" s="30" t="s">
        <v>1222</v>
      </c>
      <c r="L238" s="168" t="s">
        <v>1403</v>
      </c>
      <c r="M238" s="175" t="s">
        <v>1404</v>
      </c>
      <c r="N238" s="108" t="s">
        <v>1405</v>
      </c>
      <c r="O238" s="108" t="s">
        <v>1406</v>
      </c>
      <c r="P238" s="173">
        <v>6666.67</v>
      </c>
      <c r="Q238" s="116">
        <v>31.4</v>
      </c>
      <c r="R238" s="58">
        <f t="shared" si="12"/>
        <v>209333.44</v>
      </c>
      <c r="S238" s="59">
        <v>202308</v>
      </c>
      <c r="T238" s="184" t="s">
        <v>1407</v>
      </c>
      <c r="U238" s="176"/>
      <c r="V238" s="176">
        <v>31.391854934000001</v>
      </c>
      <c r="W238" s="77">
        <v>31.51</v>
      </c>
      <c r="X238" s="74">
        <v>44927</v>
      </c>
      <c r="Y238" s="74">
        <v>45291</v>
      </c>
      <c r="Z238" s="28" t="s">
        <v>1408</v>
      </c>
      <c r="AA238" s="194">
        <v>0.3</v>
      </c>
      <c r="AB238" s="77">
        <v>80</v>
      </c>
      <c r="AC238" s="176">
        <f t="shared" si="14"/>
        <v>24</v>
      </c>
    </row>
    <row r="239" spans="1:29" s="10" customFormat="1" ht="15" customHeight="1">
      <c r="A239" s="30" t="s">
        <v>136</v>
      </c>
      <c r="B239" s="30" t="s">
        <v>1211</v>
      </c>
      <c r="C239" s="30" t="s">
        <v>1321</v>
      </c>
      <c r="D239" s="28" t="s">
        <v>1213</v>
      </c>
      <c r="E239" s="30" t="s">
        <v>1409</v>
      </c>
      <c r="F239" s="30" t="s">
        <v>1410</v>
      </c>
      <c r="G239" s="30" t="s">
        <v>35</v>
      </c>
      <c r="H239" s="33" t="s">
        <v>1411</v>
      </c>
      <c r="I239" s="33" t="e">
        <f>VLOOKUP(H239,'合同高级查询数据-8月返'!A:A,1,FALSE)</f>
        <v>#N/A</v>
      </c>
      <c r="J239" s="167" t="s">
        <v>37</v>
      </c>
      <c r="K239" s="30" t="s">
        <v>1361</v>
      </c>
      <c r="L239" s="168" t="s">
        <v>1410</v>
      </c>
      <c r="M239" s="175" t="s">
        <v>1412</v>
      </c>
      <c r="N239" s="108" t="s">
        <v>1413</v>
      </c>
      <c r="O239" s="108" t="s">
        <v>1414</v>
      </c>
      <c r="P239" s="173">
        <v>9000</v>
      </c>
      <c r="Q239" s="116">
        <v>3.3</v>
      </c>
      <c r="R239" s="58">
        <f t="shared" si="12"/>
        <v>29700</v>
      </c>
      <c r="S239" s="59">
        <v>202308</v>
      </c>
      <c r="T239" s="184" t="s">
        <v>1415</v>
      </c>
      <c r="U239" s="176"/>
      <c r="V239" s="176">
        <v>3.2031483120000002</v>
      </c>
      <c r="W239" s="77">
        <v>3.4</v>
      </c>
      <c r="X239" s="74">
        <v>43831</v>
      </c>
      <c r="Y239" s="74">
        <v>45291</v>
      </c>
      <c r="Z239" s="28" t="s">
        <v>1416</v>
      </c>
      <c r="AA239" s="194">
        <v>0.3</v>
      </c>
      <c r="AB239" s="77">
        <v>10</v>
      </c>
      <c r="AC239" s="176">
        <f t="shared" si="14"/>
        <v>3</v>
      </c>
    </row>
    <row r="240" spans="1:29" s="9" customFormat="1" ht="15" customHeight="1">
      <c r="A240" s="27" t="s">
        <v>136</v>
      </c>
      <c r="B240" s="27" t="s">
        <v>1211</v>
      </c>
      <c r="C240" s="27" t="s">
        <v>1321</v>
      </c>
      <c r="D240" s="25" t="s">
        <v>1213</v>
      </c>
      <c r="E240" s="27" t="s">
        <v>1409</v>
      </c>
      <c r="F240" s="27" t="s">
        <v>1410</v>
      </c>
      <c r="G240" s="27" t="s">
        <v>35</v>
      </c>
      <c r="H240" s="32" t="s">
        <v>1417</v>
      </c>
      <c r="I240" s="32" t="e">
        <f>VLOOKUP(H240,'合同高级查询数据-8月返'!A:A,1,FALSE)</f>
        <v>#N/A</v>
      </c>
      <c r="J240" s="169" t="s">
        <v>37</v>
      </c>
      <c r="K240" s="27" t="s">
        <v>1361</v>
      </c>
      <c r="L240" s="170" t="s">
        <v>1418</v>
      </c>
      <c r="M240" s="181" t="s">
        <v>1370</v>
      </c>
      <c r="N240" s="105" t="s">
        <v>1419</v>
      </c>
      <c r="O240" s="27" t="s">
        <v>1420</v>
      </c>
      <c r="P240" s="180">
        <v>9000</v>
      </c>
      <c r="Q240" s="63">
        <v>0</v>
      </c>
      <c r="R240" s="54">
        <f t="shared" si="12"/>
        <v>0</v>
      </c>
      <c r="S240" s="55">
        <v>202308</v>
      </c>
      <c r="T240" s="186" t="s">
        <v>1421</v>
      </c>
      <c r="U240" s="188"/>
      <c r="V240" s="188">
        <v>0</v>
      </c>
      <c r="W240" s="188"/>
      <c r="X240" s="70"/>
      <c r="Y240" s="70"/>
      <c r="Z240" s="188">
        <v>0</v>
      </c>
      <c r="AA240" s="196">
        <v>0</v>
      </c>
      <c r="AB240" s="188">
        <v>0</v>
      </c>
      <c r="AC240" s="188">
        <f t="shared" si="14"/>
        <v>0</v>
      </c>
    </row>
    <row r="241" spans="1:29" s="9" customFormat="1" ht="15" customHeight="1">
      <c r="A241" s="27" t="s">
        <v>136</v>
      </c>
      <c r="B241" s="27" t="s">
        <v>1211</v>
      </c>
      <c r="C241" s="27" t="s">
        <v>1321</v>
      </c>
      <c r="D241" s="25" t="s">
        <v>1213</v>
      </c>
      <c r="E241" s="27" t="s">
        <v>1409</v>
      </c>
      <c r="F241" s="27" t="s">
        <v>1410</v>
      </c>
      <c r="G241" s="27" t="s">
        <v>35</v>
      </c>
      <c r="H241" s="32" t="s">
        <v>1417</v>
      </c>
      <c r="I241" s="32" t="e">
        <f>VLOOKUP(H241,'合同高级查询数据-8月返'!A:A,1,FALSE)</f>
        <v>#N/A</v>
      </c>
      <c r="J241" s="169" t="s">
        <v>1293</v>
      </c>
      <c r="K241" s="27" t="s">
        <v>1361</v>
      </c>
      <c r="L241" s="170" t="s">
        <v>1422</v>
      </c>
      <c r="M241" s="181" t="s">
        <v>1375</v>
      </c>
      <c r="N241" s="105" t="s">
        <v>1419</v>
      </c>
      <c r="O241" s="27" t="s">
        <v>1420</v>
      </c>
      <c r="P241" s="180">
        <v>9000</v>
      </c>
      <c r="Q241" s="63">
        <v>55.1</v>
      </c>
      <c r="R241" s="54">
        <f t="shared" si="12"/>
        <v>495900</v>
      </c>
      <c r="S241" s="55">
        <v>202308</v>
      </c>
      <c r="T241" s="186" t="s">
        <v>1423</v>
      </c>
      <c r="U241" s="188"/>
      <c r="V241" s="188">
        <v>54.253028063999999</v>
      </c>
      <c r="W241" s="188">
        <v>55.9</v>
      </c>
      <c r="X241" s="70"/>
      <c r="Y241" s="70"/>
      <c r="Z241" s="188" t="s">
        <v>1424</v>
      </c>
      <c r="AA241" s="196">
        <v>0.3</v>
      </c>
      <c r="AB241" s="188">
        <v>180</v>
      </c>
      <c r="AC241" s="188">
        <f t="shared" si="14"/>
        <v>54</v>
      </c>
    </row>
    <row r="242" spans="1:29" s="9" customFormat="1" ht="15" customHeight="1">
      <c r="A242" s="27" t="s">
        <v>136</v>
      </c>
      <c r="B242" s="27" t="s">
        <v>1211</v>
      </c>
      <c r="C242" s="27" t="s">
        <v>1321</v>
      </c>
      <c r="D242" s="25" t="s">
        <v>1213</v>
      </c>
      <c r="E242" s="27" t="s">
        <v>1409</v>
      </c>
      <c r="F242" s="27" t="s">
        <v>1410</v>
      </c>
      <c r="G242" s="27" t="s">
        <v>35</v>
      </c>
      <c r="H242" s="32" t="s">
        <v>1425</v>
      </c>
      <c r="I242" s="32" t="e">
        <f>VLOOKUP(H242,'合同高级查询数据-8月返'!A:A,1,FALSE)</f>
        <v>#N/A</v>
      </c>
      <c r="J242" s="169" t="s">
        <v>76</v>
      </c>
      <c r="K242" s="27" t="s">
        <v>1361</v>
      </c>
      <c r="L242" s="170" t="s">
        <v>1426</v>
      </c>
      <c r="M242" s="181" t="s">
        <v>1375</v>
      </c>
      <c r="N242" s="105">
        <v>45080</v>
      </c>
      <c r="O242" s="27" t="s">
        <v>1427</v>
      </c>
      <c r="P242" s="180">
        <v>22900</v>
      </c>
      <c r="Q242" s="63">
        <v>1</v>
      </c>
      <c r="R242" s="54">
        <f t="shared" si="12"/>
        <v>22900</v>
      </c>
      <c r="S242" s="55">
        <v>202308</v>
      </c>
      <c r="T242" s="185" t="s">
        <v>1428</v>
      </c>
      <c r="U242" s="188"/>
      <c r="V242" s="188">
        <v>1.2465600000000001E-4</v>
      </c>
      <c r="W242" s="188"/>
      <c r="X242" s="70"/>
      <c r="Y242" s="70"/>
      <c r="Z242" s="25" t="s">
        <v>1429</v>
      </c>
      <c r="AA242" s="195">
        <v>1</v>
      </c>
      <c r="AB242" s="76">
        <v>0.1</v>
      </c>
      <c r="AC242" s="76">
        <f t="shared" si="14"/>
        <v>0.1</v>
      </c>
    </row>
    <row r="243" spans="1:29" s="10" customFormat="1" ht="15" customHeight="1">
      <c r="A243" s="30" t="s">
        <v>136</v>
      </c>
      <c r="B243" s="30" t="s">
        <v>1211</v>
      </c>
      <c r="C243" s="30" t="s">
        <v>1383</v>
      </c>
      <c r="D243" s="28" t="s">
        <v>1213</v>
      </c>
      <c r="E243" s="30" t="s">
        <v>1430</v>
      </c>
      <c r="F243" s="30" t="s">
        <v>1431</v>
      </c>
      <c r="G243" s="30" t="s">
        <v>35</v>
      </c>
      <c r="H243" s="33" t="s">
        <v>1432</v>
      </c>
      <c r="I243" s="33" t="e">
        <f>VLOOKUP(H243,'合同高级查询数据-8月返'!A:A,1,FALSE)</f>
        <v>#N/A</v>
      </c>
      <c r="J243" s="167" t="s">
        <v>37</v>
      </c>
      <c r="K243" s="168" t="s">
        <v>1383</v>
      </c>
      <c r="L243" s="168" t="s">
        <v>1433</v>
      </c>
      <c r="M243" s="107" t="s">
        <v>1434</v>
      </c>
      <c r="N243" s="108" t="s">
        <v>1435</v>
      </c>
      <c r="O243" s="108" t="s">
        <v>1436</v>
      </c>
      <c r="P243" s="173">
        <v>7916.67</v>
      </c>
      <c r="Q243" s="116">
        <v>0</v>
      </c>
      <c r="R243" s="58">
        <f t="shared" si="12"/>
        <v>0</v>
      </c>
      <c r="S243" s="59">
        <v>202308</v>
      </c>
      <c r="T243" s="184" t="s">
        <v>1437</v>
      </c>
      <c r="U243" s="176"/>
      <c r="V243" s="176">
        <v>0</v>
      </c>
      <c r="W243" s="77"/>
      <c r="X243" s="74">
        <v>44927</v>
      </c>
      <c r="Y243" s="74">
        <v>45291</v>
      </c>
      <c r="Z243" s="176">
        <v>0</v>
      </c>
      <c r="AA243" s="193">
        <v>0</v>
      </c>
      <c r="AB243" s="176">
        <v>0</v>
      </c>
      <c r="AC243" s="176">
        <f t="shared" si="14"/>
        <v>0</v>
      </c>
    </row>
    <row r="244" spans="1:29" s="10" customFormat="1" ht="15" customHeight="1">
      <c r="A244" s="30" t="s">
        <v>136</v>
      </c>
      <c r="B244" s="30" t="s">
        <v>1211</v>
      </c>
      <c r="C244" s="30" t="s">
        <v>1383</v>
      </c>
      <c r="D244" s="28" t="s">
        <v>1213</v>
      </c>
      <c r="E244" s="30" t="s">
        <v>1430</v>
      </c>
      <c r="F244" s="30" t="s">
        <v>1431</v>
      </c>
      <c r="G244" s="30" t="s">
        <v>35</v>
      </c>
      <c r="H244" s="33" t="s">
        <v>1432</v>
      </c>
      <c r="I244" s="33" t="e">
        <f>VLOOKUP(H244,'合同高级查询数据-8月返'!A:A,1,FALSE)</f>
        <v>#N/A</v>
      </c>
      <c r="J244" s="167" t="s">
        <v>37</v>
      </c>
      <c r="K244" s="168" t="s">
        <v>1438</v>
      </c>
      <c r="L244" s="168" t="s">
        <v>1439</v>
      </c>
      <c r="M244" s="107" t="s">
        <v>1434</v>
      </c>
      <c r="N244" s="108" t="s">
        <v>1440</v>
      </c>
      <c r="O244" s="108" t="s">
        <v>1441</v>
      </c>
      <c r="P244" s="173">
        <v>7916.67</v>
      </c>
      <c r="Q244" s="116">
        <v>12.1</v>
      </c>
      <c r="R244" s="58">
        <f t="shared" si="12"/>
        <v>95791.71</v>
      </c>
      <c r="S244" s="59">
        <v>202308</v>
      </c>
      <c r="T244" s="184" t="s">
        <v>1442</v>
      </c>
      <c r="U244" s="176"/>
      <c r="V244" s="176">
        <v>12.032771663</v>
      </c>
      <c r="W244" s="77"/>
      <c r="X244" s="74">
        <v>44927</v>
      </c>
      <c r="Y244" s="74">
        <v>45291</v>
      </c>
      <c r="Z244" s="28" t="s">
        <v>1443</v>
      </c>
      <c r="AA244" s="194">
        <v>0.3</v>
      </c>
      <c r="AB244" s="77">
        <v>40</v>
      </c>
      <c r="AC244" s="176">
        <f t="shared" si="14"/>
        <v>12</v>
      </c>
    </row>
    <row r="245" spans="1:29" s="10" customFormat="1" ht="15" customHeight="1">
      <c r="A245" s="30" t="s">
        <v>136</v>
      </c>
      <c r="B245" s="30" t="s">
        <v>1211</v>
      </c>
      <c r="C245" s="30" t="s">
        <v>1383</v>
      </c>
      <c r="D245" s="28" t="s">
        <v>1213</v>
      </c>
      <c r="E245" s="30" t="s">
        <v>1430</v>
      </c>
      <c r="F245" s="30" t="s">
        <v>1431</v>
      </c>
      <c r="G245" s="30" t="s">
        <v>35</v>
      </c>
      <c r="H245" s="33" t="s">
        <v>1432</v>
      </c>
      <c r="I245" s="33" t="e">
        <f>VLOOKUP(H245,'合同高级查询数据-8月返'!A:A,1,FALSE)</f>
        <v>#N/A</v>
      </c>
      <c r="J245" s="167" t="s">
        <v>325</v>
      </c>
      <c r="K245" s="30" t="s">
        <v>1444</v>
      </c>
      <c r="L245" s="168" t="s">
        <v>1445</v>
      </c>
      <c r="M245" s="175" t="s">
        <v>1446</v>
      </c>
      <c r="N245" s="110" t="s">
        <v>1447</v>
      </c>
      <c r="O245" s="108" t="s">
        <v>840</v>
      </c>
      <c r="P245" s="173">
        <v>7916.67</v>
      </c>
      <c r="Q245" s="116">
        <v>2.9</v>
      </c>
      <c r="R245" s="58">
        <f t="shared" si="12"/>
        <v>22958.34</v>
      </c>
      <c r="S245" s="59">
        <v>202308</v>
      </c>
      <c r="T245" s="184" t="s">
        <v>1448</v>
      </c>
      <c r="U245" s="176"/>
      <c r="V245" s="176">
        <v>0.78</v>
      </c>
      <c r="W245" s="77"/>
      <c r="X245" s="74">
        <v>44927</v>
      </c>
      <c r="Y245" s="74">
        <v>45291</v>
      </c>
      <c r="Z245" s="28" t="s">
        <v>1449</v>
      </c>
      <c r="AA245" s="194">
        <v>0.3</v>
      </c>
      <c r="AB245" s="77">
        <v>10</v>
      </c>
      <c r="AC245" s="176">
        <f t="shared" si="14"/>
        <v>3</v>
      </c>
    </row>
    <row r="246" spans="1:29" s="10" customFormat="1" ht="15" customHeight="1">
      <c r="A246" s="30" t="s">
        <v>136</v>
      </c>
      <c r="B246" s="30" t="s">
        <v>1211</v>
      </c>
      <c r="C246" s="30" t="s">
        <v>1242</v>
      </c>
      <c r="D246" s="28" t="s">
        <v>1213</v>
      </c>
      <c r="E246" s="30" t="s">
        <v>1450</v>
      </c>
      <c r="F246" s="30" t="s">
        <v>1451</v>
      </c>
      <c r="G246" s="30" t="s">
        <v>35</v>
      </c>
      <c r="H246" s="33" t="s">
        <v>1452</v>
      </c>
      <c r="I246" s="33" t="e">
        <f>VLOOKUP(H246,'合同高级查询数据-8月返'!A:A,1,FALSE)</f>
        <v>#N/A</v>
      </c>
      <c r="J246" s="167" t="s">
        <v>76</v>
      </c>
      <c r="K246" s="30" t="s">
        <v>1453</v>
      </c>
      <c r="L246" s="168" t="s">
        <v>1454</v>
      </c>
      <c r="M246" s="107" t="s">
        <v>1295</v>
      </c>
      <c r="N246" s="108"/>
      <c r="O246" s="108" t="s">
        <v>146</v>
      </c>
      <c r="P246" s="173">
        <v>175000</v>
      </c>
      <c r="Q246" s="116">
        <v>2</v>
      </c>
      <c r="R246" s="58">
        <f t="shared" si="12"/>
        <v>350000</v>
      </c>
      <c r="S246" s="59">
        <v>202308</v>
      </c>
      <c r="T246" s="184" t="s">
        <v>1455</v>
      </c>
      <c r="U246" s="176"/>
      <c r="V246" s="176">
        <v>0.69028004499999995</v>
      </c>
      <c r="W246" s="77"/>
      <c r="X246" s="74">
        <v>44440</v>
      </c>
      <c r="Y246" s="74">
        <v>45169</v>
      </c>
      <c r="Z246" s="28" t="s">
        <v>1456</v>
      </c>
      <c r="AA246" s="194">
        <v>0.1</v>
      </c>
      <c r="AB246" s="77">
        <v>20</v>
      </c>
      <c r="AC246" s="176">
        <f t="shared" si="14"/>
        <v>2</v>
      </c>
    </row>
    <row r="247" spans="1:29" s="10" customFormat="1" ht="15" customHeight="1">
      <c r="A247" s="30" t="s">
        <v>136</v>
      </c>
      <c r="B247" s="30" t="s">
        <v>1211</v>
      </c>
      <c r="C247" s="30" t="s">
        <v>1242</v>
      </c>
      <c r="D247" s="28" t="s">
        <v>1213</v>
      </c>
      <c r="E247" s="30" t="s">
        <v>1450</v>
      </c>
      <c r="F247" s="30" t="s">
        <v>1451</v>
      </c>
      <c r="G247" s="30" t="s">
        <v>35</v>
      </c>
      <c r="H247" s="33" t="s">
        <v>1457</v>
      </c>
      <c r="I247" s="33" t="e">
        <f>VLOOKUP(H247,'合同高级查询数据-8月返'!A:A,1,FALSE)</f>
        <v>#N/A</v>
      </c>
      <c r="J247" s="167" t="s">
        <v>325</v>
      </c>
      <c r="K247" s="30" t="s">
        <v>1458</v>
      </c>
      <c r="L247" s="168" t="s">
        <v>1459</v>
      </c>
      <c r="M247" s="107" t="s">
        <v>1460</v>
      </c>
      <c r="N247" s="110" t="s">
        <v>1461</v>
      </c>
      <c r="O247" s="108" t="s">
        <v>840</v>
      </c>
      <c r="P247" s="173">
        <v>10000</v>
      </c>
      <c r="Q247" s="116">
        <v>2.9</v>
      </c>
      <c r="R247" s="58">
        <f t="shared" si="12"/>
        <v>29000</v>
      </c>
      <c r="S247" s="59">
        <v>202308</v>
      </c>
      <c r="T247" s="184" t="s">
        <v>1462</v>
      </c>
      <c r="U247" s="176"/>
      <c r="V247" s="176">
        <v>0.82</v>
      </c>
      <c r="W247" s="77"/>
      <c r="X247" s="74">
        <v>44256</v>
      </c>
      <c r="Y247" s="74">
        <v>45350</v>
      </c>
      <c r="Z247" s="28" t="s">
        <v>1463</v>
      </c>
      <c r="AA247" s="194">
        <v>0.3</v>
      </c>
      <c r="AB247" s="77">
        <v>10</v>
      </c>
      <c r="AC247" s="176">
        <f t="shared" si="14"/>
        <v>3</v>
      </c>
    </row>
    <row r="248" spans="1:29" s="10" customFormat="1" ht="15" customHeight="1">
      <c r="A248" s="30" t="s">
        <v>136</v>
      </c>
      <c r="B248" s="30" t="s">
        <v>1211</v>
      </c>
      <c r="C248" s="30" t="s">
        <v>1242</v>
      </c>
      <c r="D248" s="28" t="s">
        <v>1213</v>
      </c>
      <c r="E248" s="30" t="s">
        <v>1450</v>
      </c>
      <c r="F248" s="30" t="s">
        <v>1464</v>
      </c>
      <c r="G248" s="30" t="s">
        <v>35</v>
      </c>
      <c r="H248" s="33" t="s">
        <v>1457</v>
      </c>
      <c r="I248" s="33" t="e">
        <f>VLOOKUP(H248,'合同高级查询数据-8月返'!A:A,1,FALSE)</f>
        <v>#N/A</v>
      </c>
      <c r="J248" s="167" t="s">
        <v>37</v>
      </c>
      <c r="K248" s="30" t="s">
        <v>1465</v>
      </c>
      <c r="L248" s="168" t="s">
        <v>1466</v>
      </c>
      <c r="M248" s="107" t="s">
        <v>1460</v>
      </c>
      <c r="N248" s="108" t="s">
        <v>1467</v>
      </c>
      <c r="O248" s="108" t="s">
        <v>1468</v>
      </c>
      <c r="P248" s="173">
        <v>10000</v>
      </c>
      <c r="Q248" s="116">
        <v>24.1</v>
      </c>
      <c r="R248" s="58">
        <f t="shared" si="12"/>
        <v>241000</v>
      </c>
      <c r="S248" s="59">
        <v>202308</v>
      </c>
      <c r="T248" s="184" t="s">
        <v>1469</v>
      </c>
      <c r="U248" s="176"/>
      <c r="V248" s="176">
        <v>24.069085464</v>
      </c>
      <c r="W248" s="77"/>
      <c r="X248" s="74">
        <v>44256</v>
      </c>
      <c r="Y248" s="74">
        <v>45350</v>
      </c>
      <c r="Z248" s="28" t="s">
        <v>1470</v>
      </c>
      <c r="AA248" s="194">
        <v>0.3</v>
      </c>
      <c r="AB248" s="77">
        <v>80</v>
      </c>
      <c r="AC248" s="176">
        <f t="shared" si="14"/>
        <v>24</v>
      </c>
    </row>
    <row r="249" spans="1:29" s="10" customFormat="1" ht="15" customHeight="1">
      <c r="A249" s="30" t="s">
        <v>136</v>
      </c>
      <c r="B249" s="30" t="s">
        <v>1211</v>
      </c>
      <c r="C249" s="30" t="s">
        <v>1242</v>
      </c>
      <c r="D249" s="28" t="s">
        <v>1213</v>
      </c>
      <c r="E249" s="30" t="s">
        <v>1450</v>
      </c>
      <c r="F249" s="30" t="s">
        <v>1464</v>
      </c>
      <c r="G249" s="30" t="s">
        <v>35</v>
      </c>
      <c r="H249" s="33" t="s">
        <v>1471</v>
      </c>
      <c r="I249" s="33" t="e">
        <f>VLOOKUP(H249,'合同高级查询数据-8月返'!A:A,1,FALSE)</f>
        <v>#N/A</v>
      </c>
      <c r="J249" s="167" t="s">
        <v>1293</v>
      </c>
      <c r="K249" s="30" t="s">
        <v>1472</v>
      </c>
      <c r="L249" s="168" t="s">
        <v>1473</v>
      </c>
      <c r="M249" s="107" t="s">
        <v>1474</v>
      </c>
      <c r="N249" s="108"/>
      <c r="O249" s="176">
        <v>0</v>
      </c>
      <c r="P249" s="173">
        <v>24000</v>
      </c>
      <c r="Q249" s="116">
        <v>0</v>
      </c>
      <c r="R249" s="58">
        <f t="shared" si="12"/>
        <v>0</v>
      </c>
      <c r="S249" s="59">
        <v>202308</v>
      </c>
      <c r="T249" s="184" t="s">
        <v>1475</v>
      </c>
      <c r="U249" s="176"/>
      <c r="V249" s="176">
        <v>0</v>
      </c>
      <c r="W249" s="77"/>
      <c r="X249" s="74">
        <v>44228</v>
      </c>
      <c r="Y249" s="108">
        <v>45322</v>
      </c>
      <c r="Z249" s="176">
        <v>0</v>
      </c>
      <c r="AA249" s="193">
        <v>0</v>
      </c>
      <c r="AB249" s="176">
        <v>0</v>
      </c>
      <c r="AC249" s="176">
        <f t="shared" si="14"/>
        <v>0</v>
      </c>
    </row>
    <row r="250" spans="1:29" s="10" customFormat="1" ht="15" customHeight="1">
      <c r="A250" s="30" t="s">
        <v>136</v>
      </c>
      <c r="B250" s="30" t="s">
        <v>1211</v>
      </c>
      <c r="C250" s="30" t="s">
        <v>1242</v>
      </c>
      <c r="D250" s="28" t="s">
        <v>1213</v>
      </c>
      <c r="E250" s="30" t="s">
        <v>1450</v>
      </c>
      <c r="F250" s="30" t="s">
        <v>1464</v>
      </c>
      <c r="G250" s="30" t="s">
        <v>35</v>
      </c>
      <c r="H250" s="33" t="s">
        <v>1471</v>
      </c>
      <c r="I250" s="33" t="e">
        <f>VLOOKUP(H250,'合同高级查询数据-8月返'!A:A,1,FALSE)</f>
        <v>#N/A</v>
      </c>
      <c r="J250" s="167" t="s">
        <v>1293</v>
      </c>
      <c r="K250" s="30" t="s">
        <v>1476</v>
      </c>
      <c r="L250" s="168" t="s">
        <v>1477</v>
      </c>
      <c r="M250" s="107" t="s">
        <v>1295</v>
      </c>
      <c r="N250" s="108"/>
      <c r="O250" s="182" t="s">
        <v>1478</v>
      </c>
      <c r="P250" s="173">
        <v>24000</v>
      </c>
      <c r="Q250" s="116">
        <v>25.2</v>
      </c>
      <c r="R250" s="58">
        <f t="shared" si="12"/>
        <v>604800</v>
      </c>
      <c r="S250" s="59">
        <v>202308</v>
      </c>
      <c r="T250" s="184" t="s">
        <v>1479</v>
      </c>
      <c r="U250" s="176"/>
      <c r="V250" s="176">
        <v>25.195437358</v>
      </c>
      <c r="W250" s="77"/>
      <c r="X250" s="74">
        <v>44228</v>
      </c>
      <c r="Y250" s="108">
        <v>45322</v>
      </c>
      <c r="Z250" s="28" t="s">
        <v>1480</v>
      </c>
      <c r="AA250" s="194">
        <v>0.1</v>
      </c>
      <c r="AB250" s="77">
        <v>180</v>
      </c>
      <c r="AC250" s="176">
        <f t="shared" si="14"/>
        <v>18</v>
      </c>
    </row>
    <row r="251" spans="1:29" s="10" customFormat="1" ht="15" customHeight="1">
      <c r="A251" s="28" t="s">
        <v>136</v>
      </c>
      <c r="B251" s="28" t="s">
        <v>1211</v>
      </c>
      <c r="C251" s="30" t="s">
        <v>1242</v>
      </c>
      <c r="D251" s="28" t="s">
        <v>1213</v>
      </c>
      <c r="E251" s="28" t="s">
        <v>1450</v>
      </c>
      <c r="F251" s="28" t="s">
        <v>1464</v>
      </c>
      <c r="G251" s="30" t="s">
        <v>35</v>
      </c>
      <c r="H251" s="33" t="s">
        <v>1457</v>
      </c>
      <c r="I251" s="33" t="e">
        <f>VLOOKUP(H251,'合同高级查询数据-8月返'!A:A,1,FALSE)</f>
        <v>#N/A</v>
      </c>
      <c r="J251" s="167" t="s">
        <v>1293</v>
      </c>
      <c r="K251" s="28"/>
      <c r="L251" s="28" t="s">
        <v>1481</v>
      </c>
      <c r="M251" s="107" t="s">
        <v>1482</v>
      </c>
      <c r="N251" s="74">
        <v>44508</v>
      </c>
      <c r="O251" s="28" t="s">
        <v>447</v>
      </c>
      <c r="P251" s="183">
        <v>10000</v>
      </c>
      <c r="Q251" s="116">
        <v>44.7</v>
      </c>
      <c r="R251" s="58">
        <f t="shared" si="12"/>
        <v>447000</v>
      </c>
      <c r="S251" s="59">
        <v>202308</v>
      </c>
      <c r="T251" s="184" t="s">
        <v>1483</v>
      </c>
      <c r="U251" s="176"/>
      <c r="V251" s="176">
        <v>44.037532521000003</v>
      </c>
      <c r="W251" s="176">
        <v>45.2</v>
      </c>
      <c r="X251" s="74">
        <v>44256</v>
      </c>
      <c r="Y251" s="74">
        <v>45350</v>
      </c>
      <c r="Z251" s="28" t="s">
        <v>1484</v>
      </c>
      <c r="AA251" s="194">
        <v>0.3</v>
      </c>
      <c r="AB251" s="77">
        <v>100</v>
      </c>
      <c r="AC251" s="176">
        <f t="shared" si="14"/>
        <v>30</v>
      </c>
    </row>
    <row r="252" spans="1:29" s="10" customFormat="1" ht="15" customHeight="1">
      <c r="A252" s="28" t="s">
        <v>136</v>
      </c>
      <c r="B252" s="28" t="s">
        <v>1211</v>
      </c>
      <c r="C252" s="30" t="s">
        <v>1242</v>
      </c>
      <c r="D252" s="28" t="s">
        <v>1213</v>
      </c>
      <c r="E252" s="28" t="s">
        <v>1450</v>
      </c>
      <c r="F252" s="28" t="s">
        <v>1464</v>
      </c>
      <c r="G252" s="28" t="s">
        <v>35</v>
      </c>
      <c r="H252" s="28" t="s">
        <v>1485</v>
      </c>
      <c r="I252" s="33" t="e">
        <f>VLOOKUP(H252,'合同高级查询数据-8月返'!A:A,1,FALSE)</f>
        <v>#N/A</v>
      </c>
      <c r="J252" s="167" t="s">
        <v>37</v>
      </c>
      <c r="K252" s="28" t="s">
        <v>1486</v>
      </c>
      <c r="L252" s="28" t="s">
        <v>1487</v>
      </c>
      <c r="M252" s="28" t="s">
        <v>1488</v>
      </c>
      <c r="N252" s="74" t="s">
        <v>1489</v>
      </c>
      <c r="O252" s="28" t="s">
        <v>1490</v>
      </c>
      <c r="P252" s="183">
        <v>10000</v>
      </c>
      <c r="Q252" s="116">
        <v>0</v>
      </c>
      <c r="R252" s="58">
        <f t="shared" si="12"/>
        <v>0</v>
      </c>
      <c r="S252" s="59">
        <v>202308</v>
      </c>
      <c r="T252" s="184" t="s">
        <v>1491</v>
      </c>
      <c r="U252" s="176"/>
      <c r="V252" s="176">
        <v>0</v>
      </c>
      <c r="W252" s="176"/>
      <c r="X252" s="74">
        <v>44743</v>
      </c>
      <c r="Y252" s="74">
        <v>45473</v>
      </c>
      <c r="Z252" s="176">
        <v>0</v>
      </c>
      <c r="AA252" s="193">
        <v>0</v>
      </c>
      <c r="AB252" s="176">
        <v>0</v>
      </c>
      <c r="AC252" s="176">
        <f t="shared" si="14"/>
        <v>0</v>
      </c>
    </row>
    <row r="253" spans="1:29" s="10" customFormat="1" ht="15" customHeight="1">
      <c r="A253" s="28" t="s">
        <v>136</v>
      </c>
      <c r="B253" s="28" t="s">
        <v>1211</v>
      </c>
      <c r="C253" s="30" t="s">
        <v>1242</v>
      </c>
      <c r="D253" s="28" t="s">
        <v>1213</v>
      </c>
      <c r="E253" s="28" t="s">
        <v>1450</v>
      </c>
      <c r="F253" s="28" t="s">
        <v>1464</v>
      </c>
      <c r="G253" s="28" t="s">
        <v>35</v>
      </c>
      <c r="H253" s="28" t="s">
        <v>1485</v>
      </c>
      <c r="I253" s="33" t="e">
        <f>VLOOKUP(H253,'合同高级查询数据-8月返'!A:A,1,FALSE)</f>
        <v>#N/A</v>
      </c>
      <c r="J253" s="167" t="s">
        <v>37</v>
      </c>
      <c r="K253" s="28" t="s">
        <v>1492</v>
      </c>
      <c r="L253" s="28" t="s">
        <v>1493</v>
      </c>
      <c r="M253" s="28" t="s">
        <v>1494</v>
      </c>
      <c r="N253" s="74" t="s">
        <v>1495</v>
      </c>
      <c r="O253" s="28" t="s">
        <v>853</v>
      </c>
      <c r="P253" s="183">
        <v>10000</v>
      </c>
      <c r="Q253" s="116">
        <v>67.08</v>
      </c>
      <c r="R253" s="58">
        <f t="shared" si="12"/>
        <v>670800</v>
      </c>
      <c r="S253" s="59">
        <v>202308</v>
      </c>
      <c r="T253" s="184" t="s">
        <v>1496</v>
      </c>
      <c r="U253" s="176"/>
      <c r="V253" s="176">
        <v>67.076762005000006</v>
      </c>
      <c r="W253" s="176"/>
      <c r="X253" s="74">
        <v>44743</v>
      </c>
      <c r="Y253" s="74">
        <v>45473</v>
      </c>
      <c r="Z253" s="28" t="s">
        <v>1497</v>
      </c>
      <c r="AA253" s="194">
        <v>0.3</v>
      </c>
      <c r="AB253" s="77">
        <v>200</v>
      </c>
      <c r="AC253" s="176">
        <f t="shared" si="14"/>
        <v>60</v>
      </c>
    </row>
    <row r="254" spans="1:29" s="10" customFormat="1" ht="15" customHeight="1">
      <c r="A254" s="28" t="s">
        <v>136</v>
      </c>
      <c r="B254" s="28" t="s">
        <v>1211</v>
      </c>
      <c r="C254" s="30" t="s">
        <v>1242</v>
      </c>
      <c r="D254" s="28" t="s">
        <v>1213</v>
      </c>
      <c r="E254" s="28" t="s">
        <v>1450</v>
      </c>
      <c r="F254" s="28" t="s">
        <v>1464</v>
      </c>
      <c r="G254" s="28" t="s">
        <v>35</v>
      </c>
      <c r="H254" s="28" t="s">
        <v>1485</v>
      </c>
      <c r="I254" s="33" t="e">
        <f>VLOOKUP(H254,'合同高级查询数据-8月返'!A:A,1,FALSE)</f>
        <v>#N/A</v>
      </c>
      <c r="J254" s="167" t="s">
        <v>37</v>
      </c>
      <c r="K254" s="28" t="s">
        <v>1486</v>
      </c>
      <c r="L254" s="28" t="s">
        <v>1498</v>
      </c>
      <c r="M254" s="28" t="s">
        <v>1499</v>
      </c>
      <c r="N254" s="74">
        <v>44986</v>
      </c>
      <c r="O254" s="28" t="s">
        <v>319</v>
      </c>
      <c r="P254" s="183">
        <v>10000</v>
      </c>
      <c r="Q254" s="116">
        <v>134.80000000000001</v>
      </c>
      <c r="R254" s="58">
        <f t="shared" si="12"/>
        <v>1348000</v>
      </c>
      <c r="S254" s="59">
        <v>202308</v>
      </c>
      <c r="T254" s="184" t="s">
        <v>1500</v>
      </c>
      <c r="U254" s="176"/>
      <c r="V254" s="176">
        <v>134.80217287400001</v>
      </c>
      <c r="W254" s="176"/>
      <c r="X254" s="74">
        <v>44743</v>
      </c>
      <c r="Y254" s="74">
        <v>45473</v>
      </c>
      <c r="Z254" s="28" t="s">
        <v>1501</v>
      </c>
      <c r="AA254" s="194">
        <v>0.3</v>
      </c>
      <c r="AB254" s="77">
        <v>200</v>
      </c>
      <c r="AC254" s="77">
        <f t="shared" si="14"/>
        <v>60</v>
      </c>
    </row>
    <row r="255" spans="1:29" s="10" customFormat="1" ht="15" customHeight="1">
      <c r="A255" s="30" t="s">
        <v>136</v>
      </c>
      <c r="B255" s="30" t="s">
        <v>1211</v>
      </c>
      <c r="C255" s="30" t="s">
        <v>1310</v>
      </c>
      <c r="D255" s="28" t="s">
        <v>1213</v>
      </c>
      <c r="E255" s="30" t="s">
        <v>1502</v>
      </c>
      <c r="F255" s="30" t="s">
        <v>1503</v>
      </c>
      <c r="G255" s="30" t="s">
        <v>35</v>
      </c>
      <c r="H255" s="33" t="s">
        <v>1504</v>
      </c>
      <c r="I255" s="33" t="e">
        <f>VLOOKUP(H255,'合同高级查询数据-8月返'!A:A,1,FALSE)</f>
        <v>#N/A</v>
      </c>
      <c r="J255" s="167" t="s">
        <v>37</v>
      </c>
      <c r="K255" s="30" t="s">
        <v>1505</v>
      </c>
      <c r="L255" s="168" t="s">
        <v>1506</v>
      </c>
      <c r="M255" s="175" t="s">
        <v>1507</v>
      </c>
      <c r="N255" s="74">
        <v>44105</v>
      </c>
      <c r="O255" s="30" t="s">
        <v>146</v>
      </c>
      <c r="P255" s="173">
        <v>9000</v>
      </c>
      <c r="Q255" s="116">
        <v>6</v>
      </c>
      <c r="R255" s="58">
        <f t="shared" si="12"/>
        <v>54000</v>
      </c>
      <c r="S255" s="59">
        <v>202308</v>
      </c>
      <c r="T255" s="184" t="s">
        <v>1508</v>
      </c>
      <c r="U255" s="176"/>
      <c r="V255" s="176">
        <v>5.9365643779999999</v>
      </c>
      <c r="W255" s="175"/>
      <c r="X255" s="74">
        <v>44835</v>
      </c>
      <c r="Y255" s="108">
        <v>45199</v>
      </c>
      <c r="Z255" s="28" t="s">
        <v>1509</v>
      </c>
      <c r="AA255" s="194">
        <v>0.3</v>
      </c>
      <c r="AB255" s="77">
        <v>20</v>
      </c>
      <c r="AC255" s="176">
        <f t="shared" si="14"/>
        <v>6</v>
      </c>
    </row>
    <row r="256" spans="1:29" s="9" customFormat="1" ht="15" customHeight="1">
      <c r="A256" s="27" t="s">
        <v>136</v>
      </c>
      <c r="B256" s="27" t="s">
        <v>1211</v>
      </c>
      <c r="C256" s="27" t="s">
        <v>1310</v>
      </c>
      <c r="D256" s="25" t="s">
        <v>1213</v>
      </c>
      <c r="E256" s="27" t="s">
        <v>1502</v>
      </c>
      <c r="F256" s="27" t="s">
        <v>1503</v>
      </c>
      <c r="G256" s="27" t="s">
        <v>35</v>
      </c>
      <c r="H256" s="32" t="s">
        <v>1510</v>
      </c>
      <c r="I256" s="32" t="e">
        <f>VLOOKUP(H256,'合同高级查询数据-8月返'!A:A,1,FALSE)</f>
        <v>#N/A</v>
      </c>
      <c r="J256" s="169" t="s">
        <v>37</v>
      </c>
      <c r="K256" s="27" t="s">
        <v>1505</v>
      </c>
      <c r="L256" s="170" t="s">
        <v>1511</v>
      </c>
      <c r="M256" s="181" t="s">
        <v>1507</v>
      </c>
      <c r="N256" s="70">
        <v>45141</v>
      </c>
      <c r="O256" s="27" t="s">
        <v>319</v>
      </c>
      <c r="P256" s="180">
        <v>9000</v>
      </c>
      <c r="Q256" s="63">
        <v>56.2</v>
      </c>
      <c r="R256" s="54">
        <f t="shared" si="12"/>
        <v>505800</v>
      </c>
      <c r="S256" s="55">
        <v>202308</v>
      </c>
      <c r="T256" s="185" t="s">
        <v>1512</v>
      </c>
      <c r="U256" s="188"/>
      <c r="V256" s="188">
        <v>49.324311256000001</v>
      </c>
      <c r="W256" s="188"/>
      <c r="X256" s="70"/>
      <c r="Y256" s="105"/>
      <c r="Z256" s="25" t="s">
        <v>1513</v>
      </c>
      <c r="AA256" s="195">
        <v>0.3</v>
      </c>
      <c r="AB256" s="76">
        <v>200</v>
      </c>
      <c r="AC256" s="76">
        <f t="shared" si="14"/>
        <v>60</v>
      </c>
    </row>
    <row r="257" spans="1:29" s="10" customFormat="1" ht="15" customHeight="1">
      <c r="A257" s="30" t="s">
        <v>136</v>
      </c>
      <c r="B257" s="30" t="s">
        <v>1211</v>
      </c>
      <c r="C257" s="28" t="s">
        <v>1321</v>
      </c>
      <c r="D257" s="28" t="s">
        <v>1213</v>
      </c>
      <c r="E257" s="30" t="s">
        <v>1514</v>
      </c>
      <c r="F257" s="30" t="s">
        <v>1515</v>
      </c>
      <c r="G257" s="30" t="s">
        <v>35</v>
      </c>
      <c r="H257" s="33" t="s">
        <v>1516</v>
      </c>
      <c r="I257" s="33" t="e">
        <f>VLOOKUP(H257,'合同高级查询数据-8月返'!A:A,1,FALSE)</f>
        <v>#N/A</v>
      </c>
      <c r="J257" s="167" t="s">
        <v>37</v>
      </c>
      <c r="K257" s="30" t="s">
        <v>1517</v>
      </c>
      <c r="L257" s="168" t="s">
        <v>1518</v>
      </c>
      <c r="M257" s="107" t="s">
        <v>1519</v>
      </c>
      <c r="N257" s="74" t="s">
        <v>1520</v>
      </c>
      <c r="O257" s="30" t="s">
        <v>1436</v>
      </c>
      <c r="P257" s="173">
        <v>7500</v>
      </c>
      <c r="Q257" s="116">
        <v>0</v>
      </c>
      <c r="R257" s="58">
        <f t="shared" si="12"/>
        <v>0</v>
      </c>
      <c r="S257" s="59">
        <v>202308</v>
      </c>
      <c r="T257" s="184" t="s">
        <v>1521</v>
      </c>
      <c r="U257" s="176"/>
      <c r="V257" s="176">
        <v>0</v>
      </c>
      <c r="W257" s="77"/>
      <c r="X257" s="74">
        <v>43831</v>
      </c>
      <c r="Y257" s="74">
        <v>44439</v>
      </c>
      <c r="Z257" s="176">
        <v>0</v>
      </c>
      <c r="AA257" s="193">
        <v>0</v>
      </c>
      <c r="AB257" s="176">
        <v>0</v>
      </c>
      <c r="AC257" s="176">
        <f t="shared" si="14"/>
        <v>0</v>
      </c>
    </row>
    <row r="258" spans="1:29" s="10" customFormat="1" ht="15" customHeight="1">
      <c r="A258" s="30" t="s">
        <v>136</v>
      </c>
      <c r="B258" s="30" t="s">
        <v>1211</v>
      </c>
      <c r="C258" s="30" t="s">
        <v>1212</v>
      </c>
      <c r="D258" s="28" t="s">
        <v>1213</v>
      </c>
      <c r="E258" s="30" t="s">
        <v>1522</v>
      </c>
      <c r="F258" s="30" t="s">
        <v>1523</v>
      </c>
      <c r="G258" s="30" t="s">
        <v>35</v>
      </c>
      <c r="H258" s="33" t="s">
        <v>1524</v>
      </c>
      <c r="I258" s="33" t="e">
        <f>VLOOKUP(H258,'合同高级查询数据-8月返'!A:A,1,FALSE)</f>
        <v>#N/A</v>
      </c>
      <c r="J258" s="167" t="s">
        <v>37</v>
      </c>
      <c r="K258" s="30" t="s">
        <v>1234</v>
      </c>
      <c r="L258" s="168" t="s">
        <v>1525</v>
      </c>
      <c r="M258" s="175" t="s">
        <v>1236</v>
      </c>
      <c r="N258" s="74">
        <v>44810</v>
      </c>
      <c r="O258" s="28" t="s">
        <v>174</v>
      </c>
      <c r="P258" s="173">
        <v>7083</v>
      </c>
      <c r="Q258" s="116">
        <v>57.8</v>
      </c>
      <c r="R258" s="58">
        <f t="shared" si="12"/>
        <v>409397.4</v>
      </c>
      <c r="S258" s="59">
        <v>202308</v>
      </c>
      <c r="T258" s="184" t="s">
        <v>1526</v>
      </c>
      <c r="U258" s="176"/>
      <c r="V258" s="176">
        <v>57.786952513999999</v>
      </c>
      <c r="W258" s="223"/>
      <c r="X258" s="187">
        <v>44805</v>
      </c>
      <c r="Y258" s="187">
        <v>45169</v>
      </c>
      <c r="Z258" s="28" t="s">
        <v>1527</v>
      </c>
      <c r="AA258" s="194">
        <v>0.3</v>
      </c>
      <c r="AB258" s="77">
        <v>180</v>
      </c>
      <c r="AC258" s="176">
        <f t="shared" si="14"/>
        <v>54</v>
      </c>
    </row>
    <row r="259" spans="1:29" s="9" customFormat="1" ht="15" customHeight="1">
      <c r="A259" s="27" t="s">
        <v>191</v>
      </c>
      <c r="B259" s="27" t="s">
        <v>1211</v>
      </c>
      <c r="C259" s="27" t="s">
        <v>1242</v>
      </c>
      <c r="D259" s="25" t="s">
        <v>1213</v>
      </c>
      <c r="E259" s="27" t="s">
        <v>1528</v>
      </c>
      <c r="F259" s="27" t="s">
        <v>1529</v>
      </c>
      <c r="G259" s="27" t="s">
        <v>35</v>
      </c>
      <c r="H259" s="32" t="s">
        <v>1530</v>
      </c>
      <c r="I259" s="32" t="e">
        <f>VLOOKUP(H259,'合同高级查询数据-8月返'!A:A,1,FALSE)</f>
        <v>#N/A</v>
      </c>
      <c r="J259" s="169" t="s">
        <v>37</v>
      </c>
      <c r="K259" s="27" t="s">
        <v>1458</v>
      </c>
      <c r="L259" s="170" t="s">
        <v>1531</v>
      </c>
      <c r="M259" s="181" t="s">
        <v>1532</v>
      </c>
      <c r="N259" s="70" t="s">
        <v>1533</v>
      </c>
      <c r="O259" s="25" t="s">
        <v>1534</v>
      </c>
      <c r="P259" s="180">
        <v>6740</v>
      </c>
      <c r="Q259" s="63">
        <v>9.0299999999999994</v>
      </c>
      <c r="R259" s="54">
        <f t="shared" si="12"/>
        <v>60862.2</v>
      </c>
      <c r="S259" s="55">
        <v>202308</v>
      </c>
      <c r="T259" s="185" t="s">
        <v>1535</v>
      </c>
      <c r="U259" s="188"/>
      <c r="V259" s="188">
        <v>9.0281599040000007</v>
      </c>
      <c r="W259" s="76"/>
      <c r="X259" s="192"/>
      <c r="Y259" s="192"/>
      <c r="Z259" s="230" t="s">
        <v>1536</v>
      </c>
      <c r="AA259" s="195">
        <v>0.4</v>
      </c>
      <c r="AB259" s="76">
        <v>20</v>
      </c>
      <c r="AC259" s="188">
        <f t="shared" si="14"/>
        <v>8</v>
      </c>
    </row>
    <row r="260" spans="1:29" s="9" customFormat="1" ht="15" customHeight="1">
      <c r="A260" s="27" t="s">
        <v>191</v>
      </c>
      <c r="B260" s="27" t="s">
        <v>1211</v>
      </c>
      <c r="C260" s="27" t="s">
        <v>1242</v>
      </c>
      <c r="D260" s="25" t="s">
        <v>1213</v>
      </c>
      <c r="E260" s="27" t="s">
        <v>1528</v>
      </c>
      <c r="F260" s="27" t="s">
        <v>1537</v>
      </c>
      <c r="G260" s="27" t="s">
        <v>35</v>
      </c>
      <c r="H260" s="32" t="s">
        <v>1530</v>
      </c>
      <c r="I260" s="32" t="e">
        <f>VLOOKUP(H260,'合同高级查询数据-8月返'!A:A,1,FALSE)</f>
        <v>#N/A</v>
      </c>
      <c r="J260" s="169" t="s">
        <v>325</v>
      </c>
      <c r="K260" s="27" t="s">
        <v>1458</v>
      </c>
      <c r="L260" s="170" t="s">
        <v>1537</v>
      </c>
      <c r="M260" s="181" t="s">
        <v>1538</v>
      </c>
      <c r="N260" s="205" t="s">
        <v>1539</v>
      </c>
      <c r="O260" s="25" t="s">
        <v>1540</v>
      </c>
      <c r="P260" s="180">
        <v>6740</v>
      </c>
      <c r="Q260" s="63">
        <v>2.97</v>
      </c>
      <c r="R260" s="54">
        <f t="shared" si="12"/>
        <v>20017.8</v>
      </c>
      <c r="S260" s="55">
        <v>202308</v>
      </c>
      <c r="T260" s="185" t="s">
        <v>1541</v>
      </c>
      <c r="U260" s="188"/>
      <c r="V260" s="188">
        <v>1.2672097280000001</v>
      </c>
      <c r="W260" s="76"/>
      <c r="X260" s="192"/>
      <c r="Y260" s="192"/>
      <c r="Z260" s="230" t="s">
        <v>1542</v>
      </c>
      <c r="AA260" s="195">
        <v>0.4</v>
      </c>
      <c r="AB260" s="76">
        <v>10</v>
      </c>
      <c r="AC260" s="188">
        <f t="shared" si="14"/>
        <v>4</v>
      </c>
    </row>
    <row r="261" spans="1:29" s="10" customFormat="1" ht="15" customHeight="1">
      <c r="A261" s="30" t="s">
        <v>191</v>
      </c>
      <c r="B261" s="30" t="s">
        <v>1211</v>
      </c>
      <c r="C261" s="30" t="s">
        <v>1242</v>
      </c>
      <c r="D261" s="28" t="s">
        <v>1213</v>
      </c>
      <c r="E261" s="30" t="s">
        <v>1528</v>
      </c>
      <c r="F261" s="30" t="s">
        <v>1529</v>
      </c>
      <c r="G261" s="30" t="s">
        <v>35</v>
      </c>
      <c r="H261" s="33" t="s">
        <v>1543</v>
      </c>
      <c r="I261" s="33" t="e">
        <f>VLOOKUP(H261,'合同高级查询数据-8月返'!A:A,1,FALSE)</f>
        <v>#N/A</v>
      </c>
      <c r="J261" s="167" t="s">
        <v>1293</v>
      </c>
      <c r="K261" s="30" t="s">
        <v>1544</v>
      </c>
      <c r="L261" s="168" t="s">
        <v>1545</v>
      </c>
      <c r="M261" s="175" t="s">
        <v>1546</v>
      </c>
      <c r="N261" s="74" t="s">
        <v>1547</v>
      </c>
      <c r="O261" s="28" t="s">
        <v>362</v>
      </c>
      <c r="P261" s="173">
        <v>20000</v>
      </c>
      <c r="Q261" s="116">
        <v>0</v>
      </c>
      <c r="R261" s="58">
        <f t="shared" si="12"/>
        <v>0</v>
      </c>
      <c r="S261" s="59">
        <v>202308</v>
      </c>
      <c r="T261" s="184" t="s">
        <v>1548</v>
      </c>
      <c r="U261" s="176"/>
      <c r="V261" s="176">
        <v>0</v>
      </c>
      <c r="W261" s="77"/>
      <c r="X261" s="74">
        <v>43190</v>
      </c>
      <c r="Y261" s="108">
        <v>45382</v>
      </c>
      <c r="Z261" s="28" t="s">
        <v>1549</v>
      </c>
      <c r="AA261" s="194">
        <v>0</v>
      </c>
      <c r="AB261" s="77">
        <v>400</v>
      </c>
      <c r="AC261" s="176">
        <f t="shared" si="14"/>
        <v>0</v>
      </c>
    </row>
    <row r="262" spans="1:29" s="10" customFormat="1" ht="15" customHeight="1">
      <c r="A262" s="30" t="s">
        <v>191</v>
      </c>
      <c r="B262" s="30" t="s">
        <v>1211</v>
      </c>
      <c r="C262" s="30" t="s">
        <v>1242</v>
      </c>
      <c r="D262" s="28" t="s">
        <v>1213</v>
      </c>
      <c r="E262" s="30" t="s">
        <v>1528</v>
      </c>
      <c r="F262" s="30" t="s">
        <v>1529</v>
      </c>
      <c r="G262" s="30" t="s">
        <v>35</v>
      </c>
      <c r="H262" s="33" t="s">
        <v>1543</v>
      </c>
      <c r="I262" s="33" t="e">
        <f>VLOOKUP(H262,'合同高级查询数据-8月返'!A:A,1,FALSE)</f>
        <v>#N/A</v>
      </c>
      <c r="J262" s="167" t="s">
        <v>1293</v>
      </c>
      <c r="K262" s="30" t="s">
        <v>1458</v>
      </c>
      <c r="L262" s="168" t="s">
        <v>1529</v>
      </c>
      <c r="M262" s="107" t="s">
        <v>1550</v>
      </c>
      <c r="N262" s="74">
        <v>42248</v>
      </c>
      <c r="O262" s="28" t="s">
        <v>621</v>
      </c>
      <c r="P262" s="173">
        <v>20000</v>
      </c>
      <c r="Q262" s="116">
        <v>107</v>
      </c>
      <c r="R262" s="58">
        <f>ROUND(P262*(Q262-4),2)</f>
        <v>2060000</v>
      </c>
      <c r="S262" s="59">
        <v>202308</v>
      </c>
      <c r="T262" s="184" t="s">
        <v>1551</v>
      </c>
      <c r="U262" s="176"/>
      <c r="V262" s="176">
        <v>106.43159959499999</v>
      </c>
      <c r="W262" s="77"/>
      <c r="X262" s="74">
        <v>43190</v>
      </c>
      <c r="Y262" s="108">
        <v>45382</v>
      </c>
      <c r="Z262" s="28" t="s">
        <v>1550</v>
      </c>
      <c r="AA262" s="194" t="s">
        <v>1552</v>
      </c>
      <c r="AB262" s="77">
        <v>220</v>
      </c>
      <c r="AC262" s="77">
        <v>80</v>
      </c>
    </row>
    <row r="263" spans="1:29" s="9" customFormat="1" ht="15" customHeight="1">
      <c r="A263" s="27" t="s">
        <v>191</v>
      </c>
      <c r="B263" s="27" t="s">
        <v>1211</v>
      </c>
      <c r="C263" s="27" t="s">
        <v>1242</v>
      </c>
      <c r="D263" s="25" t="s">
        <v>1213</v>
      </c>
      <c r="E263" s="27" t="s">
        <v>1528</v>
      </c>
      <c r="F263" s="27" t="s">
        <v>1529</v>
      </c>
      <c r="G263" s="27" t="s">
        <v>35</v>
      </c>
      <c r="H263" s="32" t="s">
        <v>1530</v>
      </c>
      <c r="I263" s="32" t="e">
        <f>VLOOKUP(H263,'合同高级查询数据-8月返'!A:A,1,FALSE)</f>
        <v>#N/A</v>
      </c>
      <c r="J263" s="169" t="s">
        <v>76</v>
      </c>
      <c r="K263" s="27" t="s">
        <v>1553</v>
      </c>
      <c r="L263" s="170" t="s">
        <v>1554</v>
      </c>
      <c r="M263" s="181" t="s">
        <v>1295</v>
      </c>
      <c r="N263" s="70" t="s">
        <v>1555</v>
      </c>
      <c r="O263" s="25" t="s">
        <v>1556</v>
      </c>
      <c r="P263" s="180">
        <v>150000</v>
      </c>
      <c r="Q263" s="63">
        <v>4</v>
      </c>
      <c r="R263" s="54">
        <f t="shared" ref="R263:R266" si="15">ROUND(P263*Q263,2)</f>
        <v>600000</v>
      </c>
      <c r="S263" s="55">
        <v>202308</v>
      </c>
      <c r="T263" s="185" t="s">
        <v>1557</v>
      </c>
      <c r="U263" s="188"/>
      <c r="V263" s="188">
        <v>3.5381617969999999</v>
      </c>
      <c r="W263" s="76"/>
      <c r="X263" s="192"/>
      <c r="Y263" s="192"/>
      <c r="Z263" s="25" t="s">
        <v>1558</v>
      </c>
      <c r="AA263" s="195">
        <v>0.2</v>
      </c>
      <c r="AB263" s="76">
        <v>20</v>
      </c>
      <c r="AC263" s="76">
        <f>AA263*AB263</f>
        <v>4</v>
      </c>
    </row>
    <row r="264" spans="1:29" s="9" customFormat="1" ht="15" customHeight="1">
      <c r="A264" s="27" t="s">
        <v>191</v>
      </c>
      <c r="B264" s="27" t="s">
        <v>1211</v>
      </c>
      <c r="C264" s="27" t="s">
        <v>1242</v>
      </c>
      <c r="D264" s="25" t="s">
        <v>1213</v>
      </c>
      <c r="E264" s="27" t="s">
        <v>1528</v>
      </c>
      <c r="F264" s="27" t="s">
        <v>1529</v>
      </c>
      <c r="G264" s="169" t="s">
        <v>35</v>
      </c>
      <c r="H264" s="32" t="s">
        <v>1530</v>
      </c>
      <c r="I264" s="32" t="e">
        <f>VLOOKUP(H264,'合同高级查询数据-8月返'!A:A,1,FALSE)</f>
        <v>#N/A</v>
      </c>
      <c r="J264" s="169" t="s">
        <v>1293</v>
      </c>
      <c r="K264" s="25" t="s">
        <v>1458</v>
      </c>
      <c r="L264" s="170" t="s">
        <v>1559</v>
      </c>
      <c r="M264" s="181" t="s">
        <v>1546</v>
      </c>
      <c r="N264" s="70">
        <v>44959</v>
      </c>
      <c r="O264" s="25" t="s">
        <v>447</v>
      </c>
      <c r="P264" s="180">
        <v>6740</v>
      </c>
      <c r="Q264" s="63">
        <v>40</v>
      </c>
      <c r="R264" s="54">
        <f t="shared" si="15"/>
        <v>269600</v>
      </c>
      <c r="S264" s="55">
        <v>202308</v>
      </c>
      <c r="T264" s="185" t="s">
        <v>1560</v>
      </c>
      <c r="U264" s="188"/>
      <c r="V264" s="188">
        <v>26.397442813000001</v>
      </c>
      <c r="W264" s="188"/>
      <c r="X264" s="192"/>
      <c r="Y264" s="192"/>
      <c r="Z264" s="25" t="s">
        <v>1561</v>
      </c>
      <c r="AA264" s="195">
        <v>0.4</v>
      </c>
      <c r="AB264" s="76">
        <v>100</v>
      </c>
      <c r="AC264" s="76">
        <f>AA264*AB264</f>
        <v>40</v>
      </c>
    </row>
    <row r="265" spans="1:29" s="9" customFormat="1" ht="15" customHeight="1">
      <c r="A265" s="27" t="s">
        <v>191</v>
      </c>
      <c r="B265" s="27" t="s">
        <v>1211</v>
      </c>
      <c r="C265" s="27" t="s">
        <v>1242</v>
      </c>
      <c r="D265" s="25" t="s">
        <v>1213</v>
      </c>
      <c r="E265" s="27" t="s">
        <v>1528</v>
      </c>
      <c r="F265" s="27" t="s">
        <v>1529</v>
      </c>
      <c r="G265" s="169" t="s">
        <v>35</v>
      </c>
      <c r="H265" s="32" t="s">
        <v>1562</v>
      </c>
      <c r="I265" s="32" t="e">
        <f>VLOOKUP(H265,'合同高级查询数据-8月返'!A:A,1,FALSE)</f>
        <v>#N/A</v>
      </c>
      <c r="J265" s="169" t="s">
        <v>37</v>
      </c>
      <c r="K265" s="25" t="s">
        <v>1458</v>
      </c>
      <c r="L265" s="170" t="s">
        <v>1563</v>
      </c>
      <c r="M265" s="181" t="s">
        <v>1564</v>
      </c>
      <c r="N265" s="70">
        <v>45108</v>
      </c>
      <c r="O265" s="25" t="s">
        <v>319</v>
      </c>
      <c r="P265" s="206">
        <v>6740</v>
      </c>
      <c r="Q265" s="63">
        <v>110.28</v>
      </c>
      <c r="R265" s="54">
        <f t="shared" si="15"/>
        <v>743287.2</v>
      </c>
      <c r="S265" s="55">
        <v>202308</v>
      </c>
      <c r="T265" s="185" t="s">
        <v>1565</v>
      </c>
      <c r="U265" s="188"/>
      <c r="V265" s="188">
        <v>110.28446060100001</v>
      </c>
      <c r="W265" s="188"/>
      <c r="X265" s="192"/>
      <c r="Y265" s="192"/>
      <c r="Z265" s="25" t="s">
        <v>1566</v>
      </c>
      <c r="AA265" s="195">
        <v>0.4</v>
      </c>
      <c r="AB265" s="76">
        <v>200</v>
      </c>
      <c r="AC265" s="76">
        <f>AA265*AB265</f>
        <v>80</v>
      </c>
    </row>
    <row r="266" spans="1:29" s="9" customFormat="1" ht="15" customHeight="1">
      <c r="A266" s="27" t="s">
        <v>191</v>
      </c>
      <c r="B266" s="27" t="s">
        <v>1211</v>
      </c>
      <c r="C266" s="27" t="s">
        <v>1242</v>
      </c>
      <c r="D266" s="25" t="s">
        <v>1213</v>
      </c>
      <c r="E266" s="27" t="s">
        <v>1528</v>
      </c>
      <c r="F266" s="27" t="s">
        <v>1529</v>
      </c>
      <c r="G266" s="169" t="s">
        <v>35</v>
      </c>
      <c r="H266" s="32" t="s">
        <v>1567</v>
      </c>
      <c r="I266" s="32" t="e">
        <f>VLOOKUP(H266,'合同高级查询数据-8月返'!A:A,1,FALSE)</f>
        <v>#N/A</v>
      </c>
      <c r="J266" s="169" t="s">
        <v>37</v>
      </c>
      <c r="K266" s="25" t="s">
        <v>1458</v>
      </c>
      <c r="L266" s="170" t="s">
        <v>1568</v>
      </c>
      <c r="M266" s="181" t="s">
        <v>1564</v>
      </c>
      <c r="N266" s="70">
        <v>45139</v>
      </c>
      <c r="O266" s="25" t="s">
        <v>1569</v>
      </c>
      <c r="P266" s="206">
        <v>6740</v>
      </c>
      <c r="Q266" s="63">
        <v>89.43</v>
      </c>
      <c r="R266" s="54">
        <f t="shared" si="15"/>
        <v>602758.19999999995</v>
      </c>
      <c r="S266" s="55">
        <v>202308</v>
      </c>
      <c r="T266" s="185" t="s">
        <v>1570</v>
      </c>
      <c r="U266" s="188"/>
      <c r="V266" s="188">
        <v>89.427243040999997</v>
      </c>
      <c r="W266" s="188"/>
      <c r="X266" s="192"/>
      <c r="Y266" s="192"/>
      <c r="Z266" s="25" t="s">
        <v>1571</v>
      </c>
      <c r="AA266" s="195">
        <v>0.4</v>
      </c>
      <c r="AB266" s="76">
        <v>160</v>
      </c>
      <c r="AC266" s="76">
        <f>AA266*AB266</f>
        <v>64</v>
      </c>
    </row>
    <row r="267" spans="1:29" s="9" customFormat="1" ht="15" customHeight="1">
      <c r="A267" s="27" t="s">
        <v>191</v>
      </c>
      <c r="B267" s="27" t="s">
        <v>1211</v>
      </c>
      <c r="C267" s="27" t="s">
        <v>1242</v>
      </c>
      <c r="D267" s="25" t="s">
        <v>1213</v>
      </c>
      <c r="E267" s="27" t="s">
        <v>1528</v>
      </c>
      <c r="F267" s="27" t="s">
        <v>1529</v>
      </c>
      <c r="G267" s="169" t="s">
        <v>35</v>
      </c>
      <c r="H267" s="32" t="s">
        <v>1562</v>
      </c>
      <c r="I267" s="32" t="e">
        <f>VLOOKUP(H267,'合同高级查询数据-8月返'!A:A,1,FALSE)</f>
        <v>#N/A</v>
      </c>
      <c r="J267" s="169" t="s">
        <v>37</v>
      </c>
      <c r="K267" s="25" t="s">
        <v>1458</v>
      </c>
      <c r="L267" s="170" t="s">
        <v>1563</v>
      </c>
      <c r="M267" s="181" t="s">
        <v>1564</v>
      </c>
      <c r="N267" s="70">
        <v>45108</v>
      </c>
      <c r="O267" s="25" t="s">
        <v>319</v>
      </c>
      <c r="P267" s="206">
        <v>6740</v>
      </c>
      <c r="Q267" s="63">
        <v>97.26</v>
      </c>
      <c r="R267" s="54">
        <f>ROUND((P267*Q267)-(4400*Q267),2)</f>
        <v>227588.4</v>
      </c>
      <c r="S267" s="55">
        <v>202307</v>
      </c>
      <c r="T267" s="185" t="s">
        <v>1572</v>
      </c>
      <c r="U267" s="188"/>
      <c r="V267" s="188"/>
      <c r="W267" s="188"/>
      <c r="X267" s="192"/>
      <c r="Y267" s="192"/>
      <c r="Z267" s="25"/>
      <c r="AA267" s="195"/>
      <c r="AB267" s="76"/>
      <c r="AC267" s="76"/>
    </row>
    <row r="268" spans="1:29" s="10" customFormat="1" ht="15" customHeight="1">
      <c r="A268" s="30" t="s">
        <v>191</v>
      </c>
      <c r="B268" s="30" t="s">
        <v>1211</v>
      </c>
      <c r="C268" s="30" t="s">
        <v>1242</v>
      </c>
      <c r="D268" s="28" t="s">
        <v>1213</v>
      </c>
      <c r="E268" s="30" t="s">
        <v>1528</v>
      </c>
      <c r="F268" s="30" t="s">
        <v>1529</v>
      </c>
      <c r="G268" s="30" t="s">
        <v>35</v>
      </c>
      <c r="H268" s="33" t="s">
        <v>1543</v>
      </c>
      <c r="I268" s="33" t="e">
        <f>VLOOKUP(H268,'合同高级查询数据-8月返'!A:A,1,FALSE)</f>
        <v>#N/A</v>
      </c>
      <c r="J268" s="167" t="s">
        <v>1293</v>
      </c>
      <c r="K268" s="30" t="s">
        <v>1458</v>
      </c>
      <c r="L268" s="168" t="s">
        <v>1529</v>
      </c>
      <c r="M268" s="107" t="s">
        <v>1550</v>
      </c>
      <c r="N268" s="74">
        <v>42248</v>
      </c>
      <c r="O268" s="28" t="s">
        <v>621</v>
      </c>
      <c r="P268" s="173">
        <v>20000</v>
      </c>
      <c r="Q268" s="116">
        <v>2</v>
      </c>
      <c r="R268" s="58">
        <f>ROUND(P268*Q268,2)</f>
        <v>40000</v>
      </c>
      <c r="S268" s="59">
        <v>202307</v>
      </c>
      <c r="T268" s="184" t="s">
        <v>1573</v>
      </c>
      <c r="U268" s="176"/>
      <c r="V268" s="176"/>
      <c r="W268" s="176"/>
      <c r="X268" s="187"/>
      <c r="Y268" s="187"/>
      <c r="Z268" s="28"/>
      <c r="AA268" s="194"/>
      <c r="AB268" s="77"/>
      <c r="AC268" s="77"/>
    </row>
    <row r="269" spans="1:29" s="9" customFormat="1" ht="15" customHeight="1">
      <c r="A269" s="27" t="s">
        <v>191</v>
      </c>
      <c r="B269" s="27" t="s">
        <v>1211</v>
      </c>
      <c r="C269" s="27" t="s">
        <v>1212</v>
      </c>
      <c r="D269" s="25" t="s">
        <v>1213</v>
      </c>
      <c r="E269" s="27" t="s">
        <v>1574</v>
      </c>
      <c r="F269" s="27" t="s">
        <v>1575</v>
      </c>
      <c r="G269" s="27" t="s">
        <v>35</v>
      </c>
      <c r="H269" s="32" t="s">
        <v>1576</v>
      </c>
      <c r="I269" s="32" t="e">
        <f>VLOOKUP(H269,'合同高级查询数据-8月返'!A:A,1,FALSE)</f>
        <v>#N/A</v>
      </c>
      <c r="J269" s="169" t="s">
        <v>37</v>
      </c>
      <c r="K269" s="27" t="s">
        <v>1577</v>
      </c>
      <c r="L269" s="170" t="s">
        <v>1578</v>
      </c>
      <c r="M269" s="49" t="s">
        <v>1579</v>
      </c>
      <c r="N269" s="105" t="s">
        <v>1580</v>
      </c>
      <c r="O269" s="34" t="s">
        <v>1581</v>
      </c>
      <c r="P269" s="180">
        <v>6740</v>
      </c>
      <c r="Q269" s="63">
        <v>203.74</v>
      </c>
      <c r="R269" s="54">
        <f t="shared" ref="R269:R276" si="16">ROUND(P269*Q269,2)</f>
        <v>1373207.6</v>
      </c>
      <c r="S269" s="55">
        <v>202308</v>
      </c>
      <c r="T269" s="185" t="s">
        <v>1582</v>
      </c>
      <c r="U269" s="188"/>
      <c r="V269" s="188">
        <v>203.73861694300001</v>
      </c>
      <c r="W269" s="76"/>
      <c r="X269" s="70"/>
      <c r="Y269" s="70"/>
      <c r="Z269" s="25" t="s">
        <v>1583</v>
      </c>
      <c r="AA269" s="195">
        <v>0.4</v>
      </c>
      <c r="AB269" s="76">
        <v>480</v>
      </c>
      <c r="AC269" s="188">
        <f t="shared" ref="AC269:AC274" si="17">AA269*AB269</f>
        <v>192</v>
      </c>
    </row>
    <row r="270" spans="1:29" s="9" customFormat="1" ht="15" customHeight="1">
      <c r="A270" s="27" t="s">
        <v>191</v>
      </c>
      <c r="B270" s="27" t="s">
        <v>1211</v>
      </c>
      <c r="C270" s="27" t="s">
        <v>1212</v>
      </c>
      <c r="D270" s="25" t="s">
        <v>1213</v>
      </c>
      <c r="E270" s="27" t="s">
        <v>1574</v>
      </c>
      <c r="F270" s="27" t="s">
        <v>1575</v>
      </c>
      <c r="G270" s="27" t="s">
        <v>35</v>
      </c>
      <c r="H270" s="32" t="s">
        <v>1576</v>
      </c>
      <c r="I270" s="32" t="e">
        <f>VLOOKUP(H270,'合同高级查询数据-8月返'!A:A,1,FALSE)</f>
        <v>#N/A</v>
      </c>
      <c r="J270" s="169" t="s">
        <v>37</v>
      </c>
      <c r="K270" s="27" t="s">
        <v>1584</v>
      </c>
      <c r="L270" s="170" t="s">
        <v>1585</v>
      </c>
      <c r="M270" s="49" t="s">
        <v>1579</v>
      </c>
      <c r="N270" s="105" t="s">
        <v>1586</v>
      </c>
      <c r="O270" s="34" t="s">
        <v>1587</v>
      </c>
      <c r="P270" s="180">
        <v>6740</v>
      </c>
      <c r="Q270" s="63">
        <v>0</v>
      </c>
      <c r="R270" s="54">
        <f t="shared" si="16"/>
        <v>0</v>
      </c>
      <c r="S270" s="55">
        <v>202308</v>
      </c>
      <c r="T270" s="185" t="s">
        <v>1588</v>
      </c>
      <c r="U270" s="188"/>
      <c r="V270" s="188">
        <v>0</v>
      </c>
      <c r="W270" s="76"/>
      <c r="X270" s="70"/>
      <c r="Y270" s="70"/>
      <c r="Z270" s="188">
        <v>0</v>
      </c>
      <c r="AA270" s="196">
        <v>0</v>
      </c>
      <c r="AB270" s="188">
        <v>0</v>
      </c>
      <c r="AC270" s="188">
        <f t="shared" si="17"/>
        <v>0</v>
      </c>
    </row>
    <row r="271" spans="1:29" s="9" customFormat="1" ht="15" customHeight="1">
      <c r="A271" s="27" t="s">
        <v>191</v>
      </c>
      <c r="B271" s="27" t="s">
        <v>1211</v>
      </c>
      <c r="C271" s="27" t="s">
        <v>1212</v>
      </c>
      <c r="D271" s="25" t="s">
        <v>1213</v>
      </c>
      <c r="E271" s="27" t="s">
        <v>1574</v>
      </c>
      <c r="F271" s="27" t="s">
        <v>1575</v>
      </c>
      <c r="G271" s="27" t="s">
        <v>35</v>
      </c>
      <c r="H271" s="32" t="s">
        <v>1576</v>
      </c>
      <c r="I271" s="32" t="e">
        <f>VLOOKUP(H271,'合同高级查询数据-8月返'!A:A,1,FALSE)</f>
        <v>#N/A</v>
      </c>
      <c r="J271" s="169" t="s">
        <v>37</v>
      </c>
      <c r="K271" s="27" t="s">
        <v>1589</v>
      </c>
      <c r="L271" s="170" t="s">
        <v>1590</v>
      </c>
      <c r="M271" s="49" t="s">
        <v>1591</v>
      </c>
      <c r="N271" s="105" t="s">
        <v>1592</v>
      </c>
      <c r="O271" s="34" t="s">
        <v>1593</v>
      </c>
      <c r="P271" s="180">
        <v>6740</v>
      </c>
      <c r="Q271" s="63">
        <v>17.420000000000002</v>
      </c>
      <c r="R271" s="54">
        <f t="shared" si="16"/>
        <v>117410.8</v>
      </c>
      <c r="S271" s="55">
        <v>202308</v>
      </c>
      <c r="T271" s="185" t="s">
        <v>1594</v>
      </c>
      <c r="U271" s="188"/>
      <c r="V271" s="188">
        <v>17.422851562999998</v>
      </c>
      <c r="W271" s="76"/>
      <c r="X271" s="70"/>
      <c r="Y271" s="70"/>
      <c r="Z271" s="230" t="s">
        <v>1595</v>
      </c>
      <c r="AA271" s="195">
        <v>0.4</v>
      </c>
      <c r="AB271" s="76">
        <v>40</v>
      </c>
      <c r="AC271" s="188">
        <f t="shared" si="17"/>
        <v>16</v>
      </c>
    </row>
    <row r="272" spans="1:29" s="9" customFormat="1" ht="15" customHeight="1">
      <c r="A272" s="27" t="s">
        <v>191</v>
      </c>
      <c r="B272" s="27" t="s">
        <v>1211</v>
      </c>
      <c r="C272" s="27" t="s">
        <v>1212</v>
      </c>
      <c r="D272" s="25" t="s">
        <v>1213</v>
      </c>
      <c r="E272" s="27" t="s">
        <v>1574</v>
      </c>
      <c r="F272" s="27" t="s">
        <v>1596</v>
      </c>
      <c r="G272" s="27" t="s">
        <v>35</v>
      </c>
      <c r="H272" s="32" t="s">
        <v>1576</v>
      </c>
      <c r="I272" s="32" t="e">
        <f>VLOOKUP(H272,'合同高级查询数据-8月返'!A:A,1,FALSE)</f>
        <v>#N/A</v>
      </c>
      <c r="J272" s="169" t="s">
        <v>37</v>
      </c>
      <c r="K272" s="27" t="s">
        <v>1227</v>
      </c>
      <c r="L272" s="170" t="s">
        <v>1596</v>
      </c>
      <c r="M272" s="49" t="s">
        <v>1597</v>
      </c>
      <c r="N272" s="178" t="s">
        <v>1598</v>
      </c>
      <c r="O272" s="27" t="s">
        <v>1599</v>
      </c>
      <c r="P272" s="180">
        <v>6740</v>
      </c>
      <c r="Q272" s="63">
        <v>0</v>
      </c>
      <c r="R272" s="54">
        <f t="shared" si="16"/>
        <v>0</v>
      </c>
      <c r="S272" s="55">
        <v>202308</v>
      </c>
      <c r="T272" s="185" t="s">
        <v>1600</v>
      </c>
      <c r="U272" s="188"/>
      <c r="V272" s="188">
        <v>0</v>
      </c>
      <c r="W272" s="76"/>
      <c r="X272" s="70"/>
      <c r="Y272" s="70"/>
      <c r="Z272" s="188">
        <v>0</v>
      </c>
      <c r="AA272" s="196">
        <v>0</v>
      </c>
      <c r="AB272" s="188">
        <v>0</v>
      </c>
      <c r="AC272" s="188">
        <f t="shared" si="17"/>
        <v>0</v>
      </c>
    </row>
    <row r="273" spans="1:29" s="9" customFormat="1" ht="15" customHeight="1">
      <c r="A273" s="27" t="s">
        <v>191</v>
      </c>
      <c r="B273" s="27" t="s">
        <v>1211</v>
      </c>
      <c r="C273" s="27" t="s">
        <v>1212</v>
      </c>
      <c r="D273" s="25" t="s">
        <v>1213</v>
      </c>
      <c r="E273" s="27" t="s">
        <v>1574</v>
      </c>
      <c r="F273" s="27" t="s">
        <v>1575</v>
      </c>
      <c r="G273" s="27" t="s">
        <v>35</v>
      </c>
      <c r="H273" s="32" t="s">
        <v>1576</v>
      </c>
      <c r="I273" s="32" t="e">
        <f>VLOOKUP(H273,'合同高级查询数据-8月返'!A:A,1,FALSE)</f>
        <v>#N/A</v>
      </c>
      <c r="J273" s="169" t="s">
        <v>37</v>
      </c>
      <c r="K273" s="27" t="s">
        <v>1234</v>
      </c>
      <c r="L273" s="170" t="s">
        <v>1601</v>
      </c>
      <c r="M273" s="49" t="s">
        <v>1236</v>
      </c>
      <c r="N273" s="178" t="s">
        <v>1237</v>
      </c>
      <c r="O273" s="27" t="s">
        <v>1602</v>
      </c>
      <c r="P273" s="180">
        <v>6740</v>
      </c>
      <c r="Q273" s="63">
        <v>107.17</v>
      </c>
      <c r="R273" s="54">
        <f t="shared" si="16"/>
        <v>722325.8</v>
      </c>
      <c r="S273" s="55">
        <v>202308</v>
      </c>
      <c r="T273" s="185" t="s">
        <v>1603</v>
      </c>
      <c r="U273" s="188"/>
      <c r="V273" s="188">
        <v>107.168998718</v>
      </c>
      <c r="W273" s="188"/>
      <c r="X273" s="70"/>
      <c r="Y273" s="70"/>
      <c r="Z273" s="25" t="s">
        <v>1604</v>
      </c>
      <c r="AA273" s="195">
        <v>0.4</v>
      </c>
      <c r="AB273" s="76">
        <v>260</v>
      </c>
      <c r="AC273" s="188">
        <f t="shared" si="17"/>
        <v>104</v>
      </c>
    </row>
    <row r="274" spans="1:29" s="9" customFormat="1" ht="15" customHeight="1">
      <c r="A274" s="27" t="s">
        <v>191</v>
      </c>
      <c r="B274" s="27" t="s">
        <v>1211</v>
      </c>
      <c r="C274" s="27" t="s">
        <v>1212</v>
      </c>
      <c r="D274" s="25" t="s">
        <v>1213</v>
      </c>
      <c r="E274" s="27" t="s">
        <v>1574</v>
      </c>
      <c r="F274" s="27" t="s">
        <v>1575</v>
      </c>
      <c r="G274" s="27" t="s">
        <v>35</v>
      </c>
      <c r="H274" s="32" t="s">
        <v>1605</v>
      </c>
      <c r="I274" s="32" t="e">
        <f>VLOOKUP(H274,'合同高级查询数据-8月返'!A:A,1,FALSE)</f>
        <v>#N/A</v>
      </c>
      <c r="J274" s="169" t="s">
        <v>37</v>
      </c>
      <c r="K274" s="27" t="s">
        <v>1234</v>
      </c>
      <c r="L274" s="170" t="s">
        <v>1606</v>
      </c>
      <c r="M274" s="49" t="s">
        <v>1607</v>
      </c>
      <c r="N274" s="178">
        <v>45108</v>
      </c>
      <c r="O274" s="27" t="s">
        <v>355</v>
      </c>
      <c r="P274" s="180">
        <v>6740</v>
      </c>
      <c r="Q274" s="63">
        <v>164.73</v>
      </c>
      <c r="R274" s="54">
        <f t="shared" si="16"/>
        <v>1110280.2</v>
      </c>
      <c r="S274" s="55">
        <v>202308</v>
      </c>
      <c r="T274" s="185" t="s">
        <v>1608</v>
      </c>
      <c r="U274" s="188"/>
      <c r="V274" s="188">
        <v>164.733</v>
      </c>
      <c r="W274" s="188"/>
      <c r="X274" s="70"/>
      <c r="Y274" s="70"/>
      <c r="Z274" s="25" t="s">
        <v>1609</v>
      </c>
      <c r="AA274" s="195">
        <v>0.4</v>
      </c>
      <c r="AB274" s="76">
        <v>400</v>
      </c>
      <c r="AC274" s="76">
        <f t="shared" si="17"/>
        <v>160</v>
      </c>
    </row>
    <row r="275" spans="1:29" s="9" customFormat="1" ht="15" customHeight="1">
      <c r="A275" s="27" t="s">
        <v>191</v>
      </c>
      <c r="B275" s="27" t="s">
        <v>1211</v>
      </c>
      <c r="C275" s="27" t="s">
        <v>1212</v>
      </c>
      <c r="D275" s="25" t="s">
        <v>1213</v>
      </c>
      <c r="E275" s="27" t="s">
        <v>1574</v>
      </c>
      <c r="F275" s="27" t="s">
        <v>1575</v>
      </c>
      <c r="G275" s="27" t="s">
        <v>35</v>
      </c>
      <c r="H275" s="32" t="s">
        <v>1576</v>
      </c>
      <c r="I275" s="32" t="e">
        <f>VLOOKUP(H275,'合同高级查询数据-8月返'!A:A,1,FALSE)</f>
        <v>#N/A</v>
      </c>
      <c r="J275" s="169" t="s">
        <v>37</v>
      </c>
      <c r="K275" s="27" t="s">
        <v>1577</v>
      </c>
      <c r="L275" s="170" t="s">
        <v>1578</v>
      </c>
      <c r="M275" s="49" t="s">
        <v>1579</v>
      </c>
      <c r="N275" s="105" t="s">
        <v>1580</v>
      </c>
      <c r="O275" s="34" t="s">
        <v>1581</v>
      </c>
      <c r="P275" s="180">
        <v>6740</v>
      </c>
      <c r="Q275" s="63">
        <v>1.33</v>
      </c>
      <c r="R275" s="54">
        <f t="shared" si="16"/>
        <v>8964.2000000000007</v>
      </c>
      <c r="S275" s="55">
        <v>202307</v>
      </c>
      <c r="T275" s="185" t="s">
        <v>1610</v>
      </c>
      <c r="U275" s="188"/>
      <c r="V275" s="188"/>
      <c r="W275" s="188"/>
      <c r="X275" s="70"/>
      <c r="Y275" s="70"/>
      <c r="Z275" s="25"/>
      <c r="AA275" s="195"/>
      <c r="AB275" s="76"/>
      <c r="AC275" s="76"/>
    </row>
    <row r="276" spans="1:29" s="9" customFormat="1" ht="15" customHeight="1">
      <c r="A276" s="27" t="s">
        <v>191</v>
      </c>
      <c r="B276" s="27" t="s">
        <v>1211</v>
      </c>
      <c r="C276" s="27" t="s">
        <v>1212</v>
      </c>
      <c r="D276" s="25" t="s">
        <v>1213</v>
      </c>
      <c r="E276" s="27" t="s">
        <v>1574</v>
      </c>
      <c r="F276" s="27" t="s">
        <v>1575</v>
      </c>
      <c r="G276" s="27" t="s">
        <v>35</v>
      </c>
      <c r="H276" s="32" t="s">
        <v>1605</v>
      </c>
      <c r="I276" s="32" t="e">
        <f>VLOOKUP(H276,'合同高级查询数据-8月返'!A:A,1,FALSE)</f>
        <v>#N/A</v>
      </c>
      <c r="J276" s="169" t="s">
        <v>37</v>
      </c>
      <c r="K276" s="27" t="s">
        <v>1234</v>
      </c>
      <c r="L276" s="170" t="s">
        <v>1606</v>
      </c>
      <c r="M276" s="49" t="s">
        <v>1607</v>
      </c>
      <c r="N276" s="178">
        <v>45108</v>
      </c>
      <c r="O276" s="27" t="s">
        <v>355</v>
      </c>
      <c r="P276" s="180">
        <v>6740</v>
      </c>
      <c r="Q276" s="63">
        <v>3.23</v>
      </c>
      <c r="R276" s="54">
        <f t="shared" si="16"/>
        <v>21770.2</v>
      </c>
      <c r="S276" s="55">
        <v>202307</v>
      </c>
      <c r="T276" s="185" t="s">
        <v>1611</v>
      </c>
      <c r="U276" s="188"/>
      <c r="V276" s="188"/>
      <c r="W276" s="188"/>
      <c r="X276" s="70"/>
      <c r="Y276" s="70"/>
      <c r="Z276" s="25"/>
      <c r="AA276" s="195"/>
      <c r="AB276" s="76"/>
      <c r="AC276" s="76"/>
    </row>
    <row r="277" spans="1:29" s="9" customFormat="1" ht="15" customHeight="1">
      <c r="A277" s="27" t="s">
        <v>191</v>
      </c>
      <c r="B277" s="27" t="s">
        <v>1211</v>
      </c>
      <c r="C277" s="27" t="s">
        <v>1383</v>
      </c>
      <c r="D277" s="25" t="s">
        <v>1213</v>
      </c>
      <c r="E277" s="27" t="s">
        <v>1612</v>
      </c>
      <c r="F277" s="27" t="s">
        <v>1613</v>
      </c>
      <c r="G277" s="27" t="s">
        <v>35</v>
      </c>
      <c r="H277" s="32" t="s">
        <v>1614</v>
      </c>
      <c r="I277" s="32" t="e">
        <f>VLOOKUP(H277,'合同高级查询数据-8月返'!A:A,1,FALSE)</f>
        <v>#N/A</v>
      </c>
      <c r="J277" s="169" t="s">
        <v>37</v>
      </c>
      <c r="K277" s="27" t="s">
        <v>1615</v>
      </c>
      <c r="L277" s="170" t="s">
        <v>1616</v>
      </c>
      <c r="M277" s="49" t="s">
        <v>1617</v>
      </c>
      <c r="N277" s="105" t="s">
        <v>1618</v>
      </c>
      <c r="O277" s="34" t="s">
        <v>1619</v>
      </c>
      <c r="P277" s="180">
        <v>6740</v>
      </c>
      <c r="Q277" s="63">
        <v>69.150000000000006</v>
      </c>
      <c r="R277" s="54">
        <f t="shared" ref="R277:R297" si="18">ROUND(P277*Q277,2)</f>
        <v>466071</v>
      </c>
      <c r="S277" s="55">
        <v>202308</v>
      </c>
      <c r="T277" s="185" t="s">
        <v>1620</v>
      </c>
      <c r="U277" s="188"/>
      <c r="V277" s="188">
        <v>69.148979186999995</v>
      </c>
      <c r="W277" s="76"/>
      <c r="X277" s="70"/>
      <c r="Y277" s="70"/>
      <c r="Z277" s="25" t="s">
        <v>1621</v>
      </c>
      <c r="AA277" s="195">
        <v>0.4</v>
      </c>
      <c r="AB277" s="188">
        <v>160</v>
      </c>
      <c r="AC277" s="188">
        <f t="shared" ref="AC277:AC280" si="19">AA277*AB277</f>
        <v>64</v>
      </c>
    </row>
    <row r="278" spans="1:29" s="9" customFormat="1" ht="15" customHeight="1">
      <c r="A278" s="27" t="s">
        <v>191</v>
      </c>
      <c r="B278" s="27" t="s">
        <v>1211</v>
      </c>
      <c r="C278" s="27" t="s">
        <v>1383</v>
      </c>
      <c r="D278" s="25" t="s">
        <v>1213</v>
      </c>
      <c r="E278" s="27" t="s">
        <v>1612</v>
      </c>
      <c r="F278" s="27" t="s">
        <v>1613</v>
      </c>
      <c r="G278" s="27" t="s">
        <v>35</v>
      </c>
      <c r="H278" s="32" t="s">
        <v>1614</v>
      </c>
      <c r="I278" s="32" t="e">
        <f>VLOOKUP(H278,'合同高级查询数据-8月返'!A:A,1,FALSE)</f>
        <v>#N/A</v>
      </c>
      <c r="J278" s="169" t="s">
        <v>37</v>
      </c>
      <c r="K278" s="27" t="s">
        <v>1383</v>
      </c>
      <c r="L278" s="170" t="s">
        <v>1622</v>
      </c>
      <c r="M278" s="49" t="s">
        <v>1623</v>
      </c>
      <c r="N278" s="105">
        <v>44927</v>
      </c>
      <c r="O278" s="34" t="s">
        <v>1569</v>
      </c>
      <c r="P278" s="180">
        <v>6740</v>
      </c>
      <c r="Q278" s="63">
        <v>68.78</v>
      </c>
      <c r="R278" s="54">
        <f t="shared" si="18"/>
        <v>463577.2</v>
      </c>
      <c r="S278" s="55">
        <v>202308</v>
      </c>
      <c r="T278" s="185"/>
      <c r="U278" s="188"/>
      <c r="V278" s="188">
        <v>68.781768799000005</v>
      </c>
      <c r="W278" s="76"/>
      <c r="X278" s="70"/>
      <c r="Y278" s="70"/>
      <c r="Z278" s="25" t="s">
        <v>1623</v>
      </c>
      <c r="AA278" s="195">
        <v>0.4</v>
      </c>
      <c r="AB278" s="76">
        <v>160</v>
      </c>
      <c r="AC278" s="188">
        <f t="shared" si="19"/>
        <v>64</v>
      </c>
    </row>
    <row r="279" spans="1:29" s="9" customFormat="1" ht="15" customHeight="1">
      <c r="A279" s="198" t="s">
        <v>191</v>
      </c>
      <c r="B279" s="198" t="s">
        <v>1211</v>
      </c>
      <c r="C279" s="198" t="s">
        <v>1383</v>
      </c>
      <c r="D279" s="25" t="s">
        <v>1213</v>
      </c>
      <c r="E279" s="198" t="s">
        <v>1612</v>
      </c>
      <c r="F279" s="198" t="s">
        <v>1613</v>
      </c>
      <c r="G279" s="198" t="s">
        <v>35</v>
      </c>
      <c r="H279" s="32" t="s">
        <v>1614</v>
      </c>
      <c r="I279" s="32" t="e">
        <f>VLOOKUP(H279,'合同高级查询数据-8月返'!A:A,1,FALSE)</f>
        <v>#N/A</v>
      </c>
      <c r="J279" s="169" t="s">
        <v>37</v>
      </c>
      <c r="K279" s="198" t="s">
        <v>1383</v>
      </c>
      <c r="L279" s="202" t="s">
        <v>1624</v>
      </c>
      <c r="M279" s="49" t="s">
        <v>1617</v>
      </c>
      <c r="N279" s="105" t="s">
        <v>1625</v>
      </c>
      <c r="O279" s="188" t="s">
        <v>1626</v>
      </c>
      <c r="P279" s="180">
        <v>6740</v>
      </c>
      <c r="Q279" s="63">
        <v>70.17</v>
      </c>
      <c r="R279" s="54">
        <f t="shared" si="18"/>
        <v>472945.8</v>
      </c>
      <c r="S279" s="55">
        <v>202308</v>
      </c>
      <c r="T279" s="185" t="s">
        <v>1627</v>
      </c>
      <c r="U279" s="188"/>
      <c r="V279" s="188">
        <v>70.167594910000005</v>
      </c>
      <c r="W279" s="76"/>
      <c r="X279" s="70"/>
      <c r="Y279" s="70"/>
      <c r="Z279" s="188" t="s">
        <v>1628</v>
      </c>
      <c r="AA279" s="195">
        <v>0.4</v>
      </c>
      <c r="AB279" s="188">
        <v>160</v>
      </c>
      <c r="AC279" s="188">
        <f t="shared" si="19"/>
        <v>64</v>
      </c>
    </row>
    <row r="280" spans="1:29" s="9" customFormat="1" ht="15" customHeight="1">
      <c r="A280" s="198" t="s">
        <v>191</v>
      </c>
      <c r="B280" s="198" t="s">
        <v>1211</v>
      </c>
      <c r="C280" s="198" t="s">
        <v>1383</v>
      </c>
      <c r="D280" s="25" t="s">
        <v>1213</v>
      </c>
      <c r="E280" s="198" t="s">
        <v>1612</v>
      </c>
      <c r="F280" s="198" t="s">
        <v>1613</v>
      </c>
      <c r="G280" s="198" t="s">
        <v>35</v>
      </c>
      <c r="H280" s="32" t="s">
        <v>1614</v>
      </c>
      <c r="I280" s="32" t="e">
        <f>VLOOKUP(H280,'合同高级查询数据-8月返'!A:A,1,FALSE)</f>
        <v>#N/A</v>
      </c>
      <c r="J280" s="169" t="s">
        <v>325</v>
      </c>
      <c r="K280" s="198" t="s">
        <v>1383</v>
      </c>
      <c r="L280" s="202" t="s">
        <v>1629</v>
      </c>
      <c r="M280" s="49" t="s">
        <v>1630</v>
      </c>
      <c r="N280" s="105">
        <v>44044</v>
      </c>
      <c r="O280" s="34" t="s">
        <v>146</v>
      </c>
      <c r="P280" s="180">
        <v>6740</v>
      </c>
      <c r="Q280" s="63">
        <v>2.4</v>
      </c>
      <c r="R280" s="54">
        <f t="shared" si="18"/>
        <v>16176</v>
      </c>
      <c r="S280" s="55">
        <v>202308</v>
      </c>
      <c r="T280" s="185" t="s">
        <v>1631</v>
      </c>
      <c r="U280" s="188"/>
      <c r="V280" s="188">
        <v>2.4</v>
      </c>
      <c r="W280" s="76"/>
      <c r="X280" s="70"/>
      <c r="Y280" s="70"/>
      <c r="Z280" s="25" t="s">
        <v>1630</v>
      </c>
      <c r="AA280" s="195">
        <v>0.4</v>
      </c>
      <c r="AB280" s="76">
        <v>20</v>
      </c>
      <c r="AC280" s="76">
        <f t="shared" si="19"/>
        <v>8</v>
      </c>
    </row>
    <row r="281" spans="1:29" s="10" customFormat="1" ht="15" customHeight="1">
      <c r="A281" s="30" t="s">
        <v>191</v>
      </c>
      <c r="B281" s="30" t="s">
        <v>1211</v>
      </c>
      <c r="C281" s="30" t="s">
        <v>1383</v>
      </c>
      <c r="D281" s="28" t="s">
        <v>1213</v>
      </c>
      <c r="E281" s="30" t="s">
        <v>1612</v>
      </c>
      <c r="F281" s="30" t="s">
        <v>1613</v>
      </c>
      <c r="G281" s="30" t="s">
        <v>35</v>
      </c>
      <c r="H281" s="33" t="s">
        <v>1632</v>
      </c>
      <c r="I281" s="33" t="e">
        <f>VLOOKUP(H281,'合同高级查询数据-8月返'!A:A,1,FALSE)</f>
        <v>#N/A</v>
      </c>
      <c r="J281" s="167" t="s">
        <v>37</v>
      </c>
      <c r="K281" s="30" t="s">
        <v>1615</v>
      </c>
      <c r="L281" s="168" t="s">
        <v>1616</v>
      </c>
      <c r="M281" s="107" t="s">
        <v>1617</v>
      </c>
      <c r="N281" s="108" t="s">
        <v>1618</v>
      </c>
      <c r="O281" s="182" t="s">
        <v>1619</v>
      </c>
      <c r="P281" s="173">
        <v>6740</v>
      </c>
      <c r="Q281" s="116">
        <v>0.45</v>
      </c>
      <c r="R281" s="58">
        <f t="shared" si="18"/>
        <v>3033</v>
      </c>
      <c r="S281" s="59">
        <v>202301</v>
      </c>
      <c r="T281" s="184" t="s">
        <v>1633</v>
      </c>
      <c r="U281" s="176"/>
      <c r="V281" s="176"/>
      <c r="W281" s="176"/>
      <c r="X281" s="74"/>
      <c r="Y281" s="74"/>
      <c r="Z281" s="28"/>
      <c r="AA281" s="194"/>
      <c r="AB281" s="77"/>
      <c r="AC281" s="77"/>
    </row>
    <row r="282" spans="1:29" s="10" customFormat="1" ht="15" customHeight="1">
      <c r="A282" s="30" t="s">
        <v>191</v>
      </c>
      <c r="B282" s="30" t="s">
        <v>1211</v>
      </c>
      <c r="C282" s="30" t="s">
        <v>1383</v>
      </c>
      <c r="D282" s="28" t="s">
        <v>1213</v>
      </c>
      <c r="E282" s="30" t="s">
        <v>1612</v>
      </c>
      <c r="F282" s="30" t="s">
        <v>1613</v>
      </c>
      <c r="G282" s="30" t="s">
        <v>35</v>
      </c>
      <c r="H282" s="33" t="s">
        <v>1632</v>
      </c>
      <c r="I282" s="33" t="e">
        <f>VLOOKUP(H282,'合同高级查询数据-8月返'!A:A,1,FALSE)</f>
        <v>#N/A</v>
      </c>
      <c r="J282" s="167" t="s">
        <v>37</v>
      </c>
      <c r="K282" s="30" t="s">
        <v>1615</v>
      </c>
      <c r="L282" s="168" t="s">
        <v>1616</v>
      </c>
      <c r="M282" s="107" t="s">
        <v>1617</v>
      </c>
      <c r="N282" s="108" t="s">
        <v>1618</v>
      </c>
      <c r="O282" s="182" t="s">
        <v>1619</v>
      </c>
      <c r="P282" s="173">
        <v>6740</v>
      </c>
      <c r="Q282" s="116">
        <v>0.47</v>
      </c>
      <c r="R282" s="58">
        <f t="shared" si="18"/>
        <v>3167.8</v>
      </c>
      <c r="S282" s="59">
        <v>202302</v>
      </c>
      <c r="T282" s="184" t="s">
        <v>1634</v>
      </c>
      <c r="U282" s="176"/>
      <c r="V282" s="176"/>
      <c r="W282" s="176"/>
      <c r="X282" s="74"/>
      <c r="Y282" s="74"/>
      <c r="Z282" s="28"/>
      <c r="AA282" s="194"/>
      <c r="AB282" s="77"/>
      <c r="AC282" s="77"/>
    </row>
    <row r="283" spans="1:29" s="10" customFormat="1" ht="15" customHeight="1">
      <c r="A283" s="30" t="s">
        <v>191</v>
      </c>
      <c r="B283" s="30" t="s">
        <v>1211</v>
      </c>
      <c r="C283" s="30" t="s">
        <v>1383</v>
      </c>
      <c r="D283" s="28" t="s">
        <v>1213</v>
      </c>
      <c r="E283" s="30" t="s">
        <v>1612</v>
      </c>
      <c r="F283" s="30" t="s">
        <v>1613</v>
      </c>
      <c r="G283" s="30" t="s">
        <v>35</v>
      </c>
      <c r="H283" s="33" t="s">
        <v>1632</v>
      </c>
      <c r="I283" s="33" t="e">
        <f>VLOOKUP(H283,'合同高级查询数据-8月返'!A:A,1,FALSE)</f>
        <v>#N/A</v>
      </c>
      <c r="J283" s="167" t="s">
        <v>37</v>
      </c>
      <c r="K283" s="30" t="s">
        <v>1615</v>
      </c>
      <c r="L283" s="168" t="s">
        <v>1616</v>
      </c>
      <c r="M283" s="107" t="s">
        <v>1617</v>
      </c>
      <c r="N283" s="108" t="s">
        <v>1618</v>
      </c>
      <c r="O283" s="182" t="s">
        <v>1619</v>
      </c>
      <c r="P283" s="173">
        <v>6740</v>
      </c>
      <c r="Q283" s="116">
        <v>0.89</v>
      </c>
      <c r="R283" s="58">
        <f t="shared" si="18"/>
        <v>5998.6</v>
      </c>
      <c r="S283" s="59">
        <v>202303</v>
      </c>
      <c r="T283" s="184" t="s">
        <v>1635</v>
      </c>
      <c r="U283" s="176"/>
      <c r="V283" s="176"/>
      <c r="W283" s="176"/>
      <c r="X283" s="74"/>
      <c r="Y283" s="74"/>
      <c r="Z283" s="28"/>
      <c r="AA283" s="194"/>
      <c r="AB283" s="77"/>
      <c r="AC283" s="77"/>
    </row>
    <row r="284" spans="1:29" s="10" customFormat="1" ht="15" customHeight="1">
      <c r="A284" s="30" t="s">
        <v>191</v>
      </c>
      <c r="B284" s="30" t="s">
        <v>1211</v>
      </c>
      <c r="C284" s="30" t="s">
        <v>1383</v>
      </c>
      <c r="D284" s="28" t="s">
        <v>1213</v>
      </c>
      <c r="E284" s="30" t="s">
        <v>1612</v>
      </c>
      <c r="F284" s="30" t="s">
        <v>1613</v>
      </c>
      <c r="G284" s="30" t="s">
        <v>35</v>
      </c>
      <c r="H284" s="33" t="s">
        <v>1632</v>
      </c>
      <c r="I284" s="33" t="e">
        <f>VLOOKUP(H284,'合同高级查询数据-8月返'!A:A,1,FALSE)</f>
        <v>#N/A</v>
      </c>
      <c r="J284" s="167" t="s">
        <v>37</v>
      </c>
      <c r="K284" s="30" t="s">
        <v>1615</v>
      </c>
      <c r="L284" s="168" t="s">
        <v>1616</v>
      </c>
      <c r="M284" s="107" t="s">
        <v>1617</v>
      </c>
      <c r="N284" s="108" t="s">
        <v>1618</v>
      </c>
      <c r="O284" s="182" t="s">
        <v>1619</v>
      </c>
      <c r="P284" s="173">
        <v>6740</v>
      </c>
      <c r="Q284" s="116">
        <v>0.43</v>
      </c>
      <c r="R284" s="58">
        <f t="shared" si="18"/>
        <v>2898.2</v>
      </c>
      <c r="S284" s="59">
        <v>202304</v>
      </c>
      <c r="T284" s="184" t="s">
        <v>1636</v>
      </c>
      <c r="U284" s="176"/>
      <c r="V284" s="176"/>
      <c r="W284" s="176"/>
      <c r="X284" s="74"/>
      <c r="Y284" s="74"/>
      <c r="Z284" s="28"/>
      <c r="AA284" s="194"/>
      <c r="AB284" s="77"/>
      <c r="AC284" s="77"/>
    </row>
    <row r="285" spans="1:29" s="10" customFormat="1" ht="15" customHeight="1">
      <c r="A285" s="199" t="s">
        <v>191</v>
      </c>
      <c r="B285" s="199" t="s">
        <v>1211</v>
      </c>
      <c r="C285" s="199" t="s">
        <v>1383</v>
      </c>
      <c r="D285" s="200" t="s">
        <v>1213</v>
      </c>
      <c r="E285" s="199" t="s">
        <v>1612</v>
      </c>
      <c r="F285" s="199" t="s">
        <v>1613</v>
      </c>
      <c r="G285" s="199" t="s">
        <v>35</v>
      </c>
      <c r="H285" s="33" t="s">
        <v>1632</v>
      </c>
      <c r="I285" s="33" t="e">
        <f>VLOOKUP(H285,'合同高级查询数据-8月返'!A:A,1,FALSE)</f>
        <v>#N/A</v>
      </c>
      <c r="J285" s="167" t="s">
        <v>37</v>
      </c>
      <c r="K285" s="199" t="s">
        <v>1615</v>
      </c>
      <c r="L285" s="203" t="s">
        <v>1616</v>
      </c>
      <c r="M285" s="107" t="s">
        <v>1617</v>
      </c>
      <c r="N285" s="108" t="s">
        <v>1618</v>
      </c>
      <c r="O285" s="182" t="s">
        <v>1619</v>
      </c>
      <c r="P285" s="207">
        <v>6740</v>
      </c>
      <c r="Q285" s="217">
        <v>0.42</v>
      </c>
      <c r="R285" s="218">
        <f t="shared" si="18"/>
        <v>2830.8</v>
      </c>
      <c r="S285" s="59">
        <v>202305</v>
      </c>
      <c r="T285" s="184" t="s">
        <v>1637</v>
      </c>
      <c r="U285" s="224"/>
      <c r="V285" s="224"/>
      <c r="W285" s="224"/>
      <c r="X285" s="74"/>
      <c r="Y285" s="74"/>
      <c r="Z285" s="28"/>
      <c r="AA285" s="194"/>
      <c r="AB285" s="227"/>
      <c r="AC285" s="227"/>
    </row>
    <row r="286" spans="1:29" s="10" customFormat="1" ht="15" customHeight="1">
      <c r="A286" s="30" t="s">
        <v>191</v>
      </c>
      <c r="B286" s="30" t="s">
        <v>1211</v>
      </c>
      <c r="C286" s="30" t="s">
        <v>1383</v>
      </c>
      <c r="D286" s="28" t="s">
        <v>1213</v>
      </c>
      <c r="E286" s="30" t="s">
        <v>1612</v>
      </c>
      <c r="F286" s="30" t="s">
        <v>1613</v>
      </c>
      <c r="G286" s="30" t="s">
        <v>35</v>
      </c>
      <c r="H286" s="33" t="s">
        <v>1632</v>
      </c>
      <c r="I286" s="33" t="e">
        <f>VLOOKUP(H286,'合同高级查询数据-8月返'!A:A,1,FALSE)</f>
        <v>#N/A</v>
      </c>
      <c r="J286" s="167" t="s">
        <v>37</v>
      </c>
      <c r="K286" s="30" t="s">
        <v>1615</v>
      </c>
      <c r="L286" s="168" t="s">
        <v>1616</v>
      </c>
      <c r="M286" s="107" t="s">
        <v>1617</v>
      </c>
      <c r="N286" s="108" t="s">
        <v>1618</v>
      </c>
      <c r="O286" s="182" t="s">
        <v>1619</v>
      </c>
      <c r="P286" s="207">
        <v>6740</v>
      </c>
      <c r="Q286" s="217">
        <v>0.49</v>
      </c>
      <c r="R286" s="218">
        <f t="shared" si="18"/>
        <v>3302.6</v>
      </c>
      <c r="S286" s="59">
        <v>202306</v>
      </c>
      <c r="T286" s="184" t="s">
        <v>1638</v>
      </c>
      <c r="U286" s="224"/>
      <c r="V286" s="224"/>
      <c r="W286" s="224"/>
      <c r="X286" s="74"/>
      <c r="Y286" s="74"/>
      <c r="Z286" s="28"/>
      <c r="AA286" s="194"/>
      <c r="AB286" s="227"/>
      <c r="AC286" s="227"/>
    </row>
    <row r="287" spans="1:29" s="9" customFormat="1" ht="15" customHeight="1">
      <c r="A287" s="27" t="s">
        <v>191</v>
      </c>
      <c r="B287" s="27" t="s">
        <v>1211</v>
      </c>
      <c r="C287" s="27" t="s">
        <v>1321</v>
      </c>
      <c r="D287" s="25" t="s">
        <v>1213</v>
      </c>
      <c r="E287" s="27" t="s">
        <v>1639</v>
      </c>
      <c r="F287" s="27" t="s">
        <v>1640</v>
      </c>
      <c r="G287" s="27" t="s">
        <v>35</v>
      </c>
      <c r="H287" s="32" t="s">
        <v>1641</v>
      </c>
      <c r="I287" s="32" t="e">
        <f>VLOOKUP(H287,'合同高级查询数据-8月返'!A:A,1,FALSE)</f>
        <v>#N/A</v>
      </c>
      <c r="J287" s="169" t="s">
        <v>37</v>
      </c>
      <c r="K287" s="27" t="s">
        <v>1642</v>
      </c>
      <c r="L287" s="170" t="s">
        <v>1643</v>
      </c>
      <c r="M287" s="49" t="s">
        <v>1644</v>
      </c>
      <c r="N287" s="105" t="s">
        <v>1645</v>
      </c>
      <c r="O287" s="34" t="s">
        <v>1646</v>
      </c>
      <c r="P287" s="208">
        <v>6740</v>
      </c>
      <c r="Q287" s="219">
        <v>61.33</v>
      </c>
      <c r="R287" s="220">
        <f t="shared" si="18"/>
        <v>413364.2</v>
      </c>
      <c r="S287" s="55">
        <v>202308</v>
      </c>
      <c r="T287" s="185" t="s">
        <v>1647</v>
      </c>
      <c r="U287" s="225"/>
      <c r="V287" s="225">
        <v>61.329669952000003</v>
      </c>
      <c r="W287" s="226"/>
      <c r="X287" s="70"/>
      <c r="Y287" s="192"/>
      <c r="Z287" s="25" t="s">
        <v>1648</v>
      </c>
      <c r="AA287" s="195">
        <v>0.4</v>
      </c>
      <c r="AB287" s="226">
        <v>140</v>
      </c>
      <c r="AC287" s="225">
        <f t="shared" ref="AC287:AC292" si="20">AA287*AB287</f>
        <v>56</v>
      </c>
    </row>
    <row r="288" spans="1:29" s="9" customFormat="1" ht="15" customHeight="1">
      <c r="A288" s="27" t="s">
        <v>191</v>
      </c>
      <c r="B288" s="27" t="s">
        <v>1211</v>
      </c>
      <c r="C288" s="27" t="s">
        <v>1321</v>
      </c>
      <c r="D288" s="25" t="s">
        <v>1213</v>
      </c>
      <c r="E288" s="27" t="s">
        <v>1639</v>
      </c>
      <c r="F288" s="27" t="s">
        <v>1640</v>
      </c>
      <c r="G288" s="27" t="s">
        <v>35</v>
      </c>
      <c r="H288" s="32" t="s">
        <v>1641</v>
      </c>
      <c r="I288" s="32" t="e">
        <f>VLOOKUP(H288,'合同高级查询数据-8月返'!A:A,1,FALSE)</f>
        <v>#N/A</v>
      </c>
      <c r="J288" s="169" t="s">
        <v>37</v>
      </c>
      <c r="K288" s="27" t="s">
        <v>1361</v>
      </c>
      <c r="L288" s="170" t="s">
        <v>1649</v>
      </c>
      <c r="M288" s="49" t="s">
        <v>1644</v>
      </c>
      <c r="N288" s="105">
        <v>44805</v>
      </c>
      <c r="O288" s="34" t="s">
        <v>161</v>
      </c>
      <c r="P288" s="208">
        <v>6740</v>
      </c>
      <c r="Q288" s="219">
        <v>100.56</v>
      </c>
      <c r="R288" s="220">
        <f t="shared" si="18"/>
        <v>677774.4</v>
      </c>
      <c r="S288" s="55">
        <v>202308</v>
      </c>
      <c r="T288" s="185" t="s">
        <v>1650</v>
      </c>
      <c r="U288" s="225"/>
      <c r="V288" s="225">
        <v>100.556236267</v>
      </c>
      <c r="W288" s="226"/>
      <c r="X288" s="70"/>
      <c r="Y288" s="192"/>
      <c r="Z288" s="25" t="s">
        <v>1651</v>
      </c>
      <c r="AA288" s="195">
        <v>0.4</v>
      </c>
      <c r="AB288" s="226">
        <v>240</v>
      </c>
      <c r="AC288" s="225">
        <f t="shared" si="20"/>
        <v>96</v>
      </c>
    </row>
    <row r="289" spans="1:29" s="9" customFormat="1" ht="15" customHeight="1">
      <c r="A289" s="27" t="s">
        <v>191</v>
      </c>
      <c r="B289" s="27" t="s">
        <v>1211</v>
      </c>
      <c r="C289" s="27" t="s">
        <v>1321</v>
      </c>
      <c r="D289" s="25" t="s">
        <v>1213</v>
      </c>
      <c r="E289" s="27" t="s">
        <v>1639</v>
      </c>
      <c r="F289" s="27" t="s">
        <v>1640</v>
      </c>
      <c r="G289" s="27" t="s">
        <v>35</v>
      </c>
      <c r="H289" s="32" t="s">
        <v>1641</v>
      </c>
      <c r="I289" s="32" t="e">
        <f>VLOOKUP(H289,'合同高级查询数据-8月返'!A:A,1,FALSE)</f>
        <v>#N/A</v>
      </c>
      <c r="J289" s="169" t="s">
        <v>37</v>
      </c>
      <c r="K289" s="27" t="s">
        <v>1361</v>
      </c>
      <c r="L289" s="170" t="s">
        <v>1652</v>
      </c>
      <c r="M289" s="49" t="s">
        <v>1653</v>
      </c>
      <c r="N289" s="105">
        <v>44805</v>
      </c>
      <c r="O289" s="34" t="s">
        <v>319</v>
      </c>
      <c r="P289" s="208">
        <v>6740</v>
      </c>
      <c r="Q289" s="219">
        <v>87.77</v>
      </c>
      <c r="R289" s="220">
        <f t="shared" si="18"/>
        <v>591569.80000000005</v>
      </c>
      <c r="S289" s="55">
        <v>202308</v>
      </c>
      <c r="T289" s="185" t="s">
        <v>1654</v>
      </c>
      <c r="U289" s="225"/>
      <c r="V289" s="225">
        <v>87.774497986</v>
      </c>
      <c r="W289" s="226"/>
      <c r="X289" s="70"/>
      <c r="Y289" s="192"/>
      <c r="Z289" s="25" t="s">
        <v>1655</v>
      </c>
      <c r="AA289" s="195">
        <v>0.4</v>
      </c>
      <c r="AB289" s="226">
        <v>200</v>
      </c>
      <c r="AC289" s="225">
        <f t="shared" si="20"/>
        <v>80</v>
      </c>
    </row>
    <row r="290" spans="1:29" s="9" customFormat="1" ht="15" customHeight="1">
      <c r="A290" s="27" t="s">
        <v>191</v>
      </c>
      <c r="B290" s="27" t="s">
        <v>1211</v>
      </c>
      <c r="C290" s="27" t="s">
        <v>1321</v>
      </c>
      <c r="D290" s="25" t="s">
        <v>1213</v>
      </c>
      <c r="E290" s="27" t="s">
        <v>1639</v>
      </c>
      <c r="F290" s="27" t="s">
        <v>1640</v>
      </c>
      <c r="G290" s="27" t="s">
        <v>35</v>
      </c>
      <c r="H290" s="32" t="s">
        <v>1641</v>
      </c>
      <c r="I290" s="32" t="e">
        <f>VLOOKUP(H290,'合同高级查询数据-8月返'!A:A,1,FALSE)</f>
        <v>#N/A</v>
      </c>
      <c r="J290" s="169" t="s">
        <v>37</v>
      </c>
      <c r="K290" s="27" t="s">
        <v>1361</v>
      </c>
      <c r="L290" s="170" t="s">
        <v>1656</v>
      </c>
      <c r="M290" s="49" t="s">
        <v>1657</v>
      </c>
      <c r="N290" s="105" t="s">
        <v>1658</v>
      </c>
      <c r="O290" s="27" t="s">
        <v>1365</v>
      </c>
      <c r="P290" s="208">
        <v>6740</v>
      </c>
      <c r="Q290" s="219">
        <v>8</v>
      </c>
      <c r="R290" s="220">
        <f t="shared" si="18"/>
        <v>53920</v>
      </c>
      <c r="S290" s="55">
        <v>202308</v>
      </c>
      <c r="T290" s="185" t="s">
        <v>1659</v>
      </c>
      <c r="U290" s="225"/>
      <c r="V290" s="225">
        <v>7.6855875229999997</v>
      </c>
      <c r="W290" s="225"/>
      <c r="X290" s="70"/>
      <c r="Y290" s="192"/>
      <c r="Z290" s="25" t="s">
        <v>1660</v>
      </c>
      <c r="AA290" s="195">
        <v>0.4</v>
      </c>
      <c r="AB290" s="226">
        <v>20</v>
      </c>
      <c r="AC290" s="225">
        <f t="shared" si="20"/>
        <v>8</v>
      </c>
    </row>
    <row r="291" spans="1:29" s="9" customFormat="1" ht="15" customHeight="1">
      <c r="A291" s="27" t="s">
        <v>191</v>
      </c>
      <c r="B291" s="27" t="s">
        <v>1211</v>
      </c>
      <c r="C291" s="27" t="s">
        <v>1321</v>
      </c>
      <c r="D291" s="25" t="s">
        <v>1213</v>
      </c>
      <c r="E291" s="27" t="s">
        <v>1639</v>
      </c>
      <c r="F291" s="27" t="s">
        <v>1640</v>
      </c>
      <c r="G291" s="27" t="s">
        <v>35</v>
      </c>
      <c r="H291" s="32" t="s">
        <v>1661</v>
      </c>
      <c r="I291" s="32" t="e">
        <f>VLOOKUP(H291,'合同高级查询数据-8月返'!A:A,1,FALSE)</f>
        <v>#N/A</v>
      </c>
      <c r="J291" s="169" t="s">
        <v>37</v>
      </c>
      <c r="K291" s="27" t="s">
        <v>1361</v>
      </c>
      <c r="L291" s="170" t="s">
        <v>1662</v>
      </c>
      <c r="M291" s="49" t="s">
        <v>1370</v>
      </c>
      <c r="N291" s="105" t="s">
        <v>1663</v>
      </c>
      <c r="O291" s="27" t="s">
        <v>1664</v>
      </c>
      <c r="P291" s="208">
        <v>6740</v>
      </c>
      <c r="Q291" s="219">
        <v>0</v>
      </c>
      <c r="R291" s="220">
        <f t="shared" si="18"/>
        <v>0</v>
      </c>
      <c r="S291" s="55">
        <v>202308</v>
      </c>
      <c r="T291" s="221" t="s">
        <v>1665</v>
      </c>
      <c r="U291" s="225"/>
      <c r="V291" s="225">
        <v>0</v>
      </c>
      <c r="W291" s="225"/>
      <c r="X291" s="70"/>
      <c r="Y291" s="70"/>
      <c r="Z291" s="225">
        <v>0</v>
      </c>
      <c r="AA291" s="196">
        <v>0</v>
      </c>
      <c r="AB291" s="225">
        <v>0</v>
      </c>
      <c r="AC291" s="225">
        <f t="shared" si="20"/>
        <v>0</v>
      </c>
    </row>
    <row r="292" spans="1:29" s="9" customFormat="1" ht="15" customHeight="1">
      <c r="A292" s="27" t="s">
        <v>191</v>
      </c>
      <c r="B292" s="27" t="s">
        <v>1211</v>
      </c>
      <c r="C292" s="27" t="s">
        <v>1321</v>
      </c>
      <c r="D292" s="25" t="s">
        <v>1213</v>
      </c>
      <c r="E292" s="27" t="s">
        <v>1639</v>
      </c>
      <c r="F292" s="27" t="s">
        <v>1640</v>
      </c>
      <c r="G292" s="27" t="s">
        <v>35</v>
      </c>
      <c r="H292" s="32" t="s">
        <v>1661</v>
      </c>
      <c r="I292" s="32" t="e">
        <f>VLOOKUP(H292,'合同高级查询数据-8月返'!A:A,1,FALSE)</f>
        <v>#N/A</v>
      </c>
      <c r="J292" s="169" t="s">
        <v>1293</v>
      </c>
      <c r="K292" s="27" t="s">
        <v>1361</v>
      </c>
      <c r="L292" s="170" t="s">
        <v>1666</v>
      </c>
      <c r="M292" s="49" t="s">
        <v>1375</v>
      </c>
      <c r="N292" s="105" t="s">
        <v>1663</v>
      </c>
      <c r="O292" s="27" t="s">
        <v>1664</v>
      </c>
      <c r="P292" s="208">
        <v>6740</v>
      </c>
      <c r="Q292" s="219">
        <v>83.07</v>
      </c>
      <c r="R292" s="220">
        <f t="shared" si="18"/>
        <v>559891.80000000005</v>
      </c>
      <c r="S292" s="55">
        <v>202308</v>
      </c>
      <c r="T292" s="221" t="s">
        <v>1667</v>
      </c>
      <c r="U292" s="225"/>
      <c r="V292" s="225">
        <v>83.067818551323995</v>
      </c>
      <c r="W292" s="225"/>
      <c r="X292" s="70"/>
      <c r="Y292" s="70"/>
      <c r="Z292" s="231" t="s">
        <v>1668</v>
      </c>
      <c r="AA292" s="196">
        <v>0.4</v>
      </c>
      <c r="AB292" s="225">
        <v>200</v>
      </c>
      <c r="AC292" s="225">
        <f t="shared" si="20"/>
        <v>80</v>
      </c>
    </row>
    <row r="293" spans="1:29" s="9" customFormat="1" ht="15" customHeight="1">
      <c r="A293" s="27" t="s">
        <v>191</v>
      </c>
      <c r="B293" s="27" t="s">
        <v>1211</v>
      </c>
      <c r="C293" s="27" t="s">
        <v>1321</v>
      </c>
      <c r="D293" s="25" t="s">
        <v>1213</v>
      </c>
      <c r="E293" s="27" t="s">
        <v>1639</v>
      </c>
      <c r="F293" s="27" t="s">
        <v>1640</v>
      </c>
      <c r="G293" s="27" t="s">
        <v>35</v>
      </c>
      <c r="H293" s="32" t="s">
        <v>1661</v>
      </c>
      <c r="I293" s="32" t="e">
        <f>VLOOKUP(H293,'合同高级查询数据-8月返'!A:A,1,FALSE)</f>
        <v>#N/A</v>
      </c>
      <c r="J293" s="169" t="s">
        <v>76</v>
      </c>
      <c r="K293" s="27" t="s">
        <v>1361</v>
      </c>
      <c r="L293" s="170" t="s">
        <v>1669</v>
      </c>
      <c r="M293" s="49" t="s">
        <v>1375</v>
      </c>
      <c r="N293" s="105">
        <v>45108</v>
      </c>
      <c r="O293" s="27" t="s">
        <v>1427</v>
      </c>
      <c r="P293" s="208">
        <v>12000</v>
      </c>
      <c r="Q293" s="219">
        <v>1</v>
      </c>
      <c r="R293" s="220">
        <f t="shared" si="18"/>
        <v>12000</v>
      </c>
      <c r="S293" s="55">
        <v>202308</v>
      </c>
      <c r="T293" s="185" t="s">
        <v>1670</v>
      </c>
      <c r="U293" s="225"/>
      <c r="V293" s="225">
        <v>1.0482999999999999E-5</v>
      </c>
      <c r="W293" s="225"/>
      <c r="X293" s="70"/>
      <c r="Y293" s="70"/>
      <c r="Z293" s="25" t="s">
        <v>1671</v>
      </c>
      <c r="AA293" s="195">
        <v>1</v>
      </c>
      <c r="AB293" s="226">
        <v>0.1</v>
      </c>
      <c r="AC293" s="226">
        <f>AB293*AA293</f>
        <v>0.1</v>
      </c>
    </row>
    <row r="294" spans="1:29" s="9" customFormat="1" ht="15" customHeight="1">
      <c r="A294" s="27" t="s">
        <v>191</v>
      </c>
      <c r="B294" s="27" t="s">
        <v>1211</v>
      </c>
      <c r="C294" s="27" t="s">
        <v>1321</v>
      </c>
      <c r="D294" s="25" t="s">
        <v>1213</v>
      </c>
      <c r="E294" s="27" t="s">
        <v>1639</v>
      </c>
      <c r="F294" s="27" t="s">
        <v>1640</v>
      </c>
      <c r="G294" s="27" t="s">
        <v>35</v>
      </c>
      <c r="H294" s="32" t="s">
        <v>1641</v>
      </c>
      <c r="I294" s="32" t="e">
        <f>VLOOKUP(H294,'合同高级查询数据-8月返'!A:A,1,FALSE)</f>
        <v>#N/A</v>
      </c>
      <c r="J294" s="169" t="s">
        <v>37</v>
      </c>
      <c r="K294" s="27" t="s">
        <v>1642</v>
      </c>
      <c r="L294" s="170" t="s">
        <v>1643</v>
      </c>
      <c r="M294" s="49" t="s">
        <v>1644</v>
      </c>
      <c r="N294" s="105" t="s">
        <v>1645</v>
      </c>
      <c r="O294" s="34" t="s">
        <v>1646</v>
      </c>
      <c r="P294" s="208">
        <v>6740</v>
      </c>
      <c r="Q294" s="219">
        <v>0.64</v>
      </c>
      <c r="R294" s="220">
        <f t="shared" si="18"/>
        <v>4313.6000000000004</v>
      </c>
      <c r="S294" s="55">
        <v>202307</v>
      </c>
      <c r="T294" s="185" t="s">
        <v>1672</v>
      </c>
      <c r="U294" s="225"/>
      <c r="V294" s="225"/>
      <c r="W294" s="225"/>
      <c r="X294" s="70"/>
      <c r="Y294" s="70"/>
      <c r="Z294" s="25"/>
      <c r="AA294" s="195"/>
      <c r="AB294" s="226"/>
      <c r="AC294" s="226"/>
    </row>
    <row r="295" spans="1:29" s="9" customFormat="1" ht="15" customHeight="1">
      <c r="A295" s="27" t="s">
        <v>191</v>
      </c>
      <c r="B295" s="27" t="s">
        <v>1211</v>
      </c>
      <c r="C295" s="27" t="s">
        <v>1321</v>
      </c>
      <c r="D295" s="25" t="s">
        <v>1213</v>
      </c>
      <c r="E295" s="27" t="s">
        <v>1639</v>
      </c>
      <c r="F295" s="27" t="s">
        <v>1640</v>
      </c>
      <c r="G295" s="27" t="s">
        <v>35</v>
      </c>
      <c r="H295" s="32" t="s">
        <v>1641</v>
      </c>
      <c r="I295" s="32" t="e">
        <f>VLOOKUP(H295,'合同高级查询数据-8月返'!A:A,1,FALSE)</f>
        <v>#N/A</v>
      </c>
      <c r="J295" s="169" t="s">
        <v>37</v>
      </c>
      <c r="K295" s="27" t="s">
        <v>1361</v>
      </c>
      <c r="L295" s="170" t="s">
        <v>1649</v>
      </c>
      <c r="M295" s="49" t="s">
        <v>1644</v>
      </c>
      <c r="N295" s="105">
        <v>44805</v>
      </c>
      <c r="O295" s="34" t="s">
        <v>161</v>
      </c>
      <c r="P295" s="208">
        <v>6740</v>
      </c>
      <c r="Q295" s="219">
        <v>1.06</v>
      </c>
      <c r="R295" s="220">
        <f t="shared" si="18"/>
        <v>7144.4</v>
      </c>
      <c r="S295" s="55">
        <v>202307</v>
      </c>
      <c r="T295" s="185" t="s">
        <v>1673</v>
      </c>
      <c r="U295" s="225"/>
      <c r="V295" s="225"/>
      <c r="W295" s="225"/>
      <c r="X295" s="70"/>
      <c r="Y295" s="70"/>
      <c r="Z295" s="25"/>
      <c r="AA295" s="195"/>
      <c r="AB295" s="226"/>
      <c r="AC295" s="226"/>
    </row>
    <row r="296" spans="1:29" s="9" customFormat="1" ht="15" customHeight="1">
      <c r="A296" s="27" t="s">
        <v>191</v>
      </c>
      <c r="B296" s="27" t="s">
        <v>1211</v>
      </c>
      <c r="C296" s="27" t="s">
        <v>1310</v>
      </c>
      <c r="D296" s="25" t="s">
        <v>1213</v>
      </c>
      <c r="E296" s="27" t="s">
        <v>1674</v>
      </c>
      <c r="F296" s="27" t="s">
        <v>1675</v>
      </c>
      <c r="G296" s="27" t="s">
        <v>35</v>
      </c>
      <c r="H296" s="32" t="s">
        <v>1676</v>
      </c>
      <c r="I296" s="32" t="e">
        <f>VLOOKUP(H296,'合同高级查询数据-8月返'!A:A,1,FALSE)</f>
        <v>#N/A</v>
      </c>
      <c r="J296" s="169" t="s">
        <v>37</v>
      </c>
      <c r="K296" s="27" t="s">
        <v>1505</v>
      </c>
      <c r="L296" s="170" t="s">
        <v>1675</v>
      </c>
      <c r="M296" s="49" t="s">
        <v>1677</v>
      </c>
      <c r="N296" s="70" t="s">
        <v>1678</v>
      </c>
      <c r="O296" s="25" t="s">
        <v>1679</v>
      </c>
      <c r="P296" s="208">
        <v>6740</v>
      </c>
      <c r="Q296" s="219">
        <v>45.96</v>
      </c>
      <c r="R296" s="220">
        <f t="shared" si="18"/>
        <v>309770.40000000002</v>
      </c>
      <c r="S296" s="55">
        <v>202308</v>
      </c>
      <c r="T296" s="185" t="s">
        <v>1680</v>
      </c>
      <c r="U296" s="225"/>
      <c r="V296" s="225">
        <v>45.959724426000001</v>
      </c>
      <c r="W296" s="226"/>
      <c r="X296" s="70"/>
      <c r="Y296" s="70"/>
      <c r="Z296" s="230" t="s">
        <v>1681</v>
      </c>
      <c r="AA296" s="195">
        <v>0.4</v>
      </c>
      <c r="AB296" s="226">
        <v>100</v>
      </c>
      <c r="AC296" s="225">
        <f>AA296*AB296</f>
        <v>40</v>
      </c>
    </row>
    <row r="297" spans="1:29" s="9" customFormat="1" ht="15" customHeight="1">
      <c r="A297" s="27" t="s">
        <v>191</v>
      </c>
      <c r="B297" s="27" t="s">
        <v>1211</v>
      </c>
      <c r="C297" s="27" t="s">
        <v>1310</v>
      </c>
      <c r="D297" s="25" t="s">
        <v>1213</v>
      </c>
      <c r="E297" s="27" t="s">
        <v>1674</v>
      </c>
      <c r="F297" s="27" t="s">
        <v>1675</v>
      </c>
      <c r="G297" s="27" t="s">
        <v>35</v>
      </c>
      <c r="H297" s="32" t="s">
        <v>1676</v>
      </c>
      <c r="I297" s="32" t="e">
        <f>VLOOKUP(H297,'合同高级查询数据-8月返'!A:A,1,FALSE)</f>
        <v>#N/A</v>
      </c>
      <c r="J297" s="169" t="s">
        <v>37</v>
      </c>
      <c r="K297" s="27" t="s">
        <v>1505</v>
      </c>
      <c r="L297" s="170" t="s">
        <v>1675</v>
      </c>
      <c r="M297" s="49" t="s">
        <v>1677</v>
      </c>
      <c r="N297" s="70" t="s">
        <v>1678</v>
      </c>
      <c r="O297" s="25" t="s">
        <v>1679</v>
      </c>
      <c r="P297" s="208">
        <v>6740</v>
      </c>
      <c r="Q297" s="219">
        <v>0.15</v>
      </c>
      <c r="R297" s="220">
        <f t="shared" si="18"/>
        <v>1011</v>
      </c>
      <c r="S297" s="55">
        <v>202307</v>
      </c>
      <c r="T297" s="185" t="s">
        <v>1682</v>
      </c>
      <c r="U297" s="225"/>
      <c r="V297" s="225"/>
      <c r="W297" s="225"/>
      <c r="X297" s="70"/>
      <c r="Y297" s="70"/>
      <c r="Z297" s="25"/>
      <c r="AA297" s="195"/>
      <c r="AB297" s="226"/>
      <c r="AC297" s="226"/>
    </row>
    <row r="298" spans="1:29" s="9" customFormat="1" ht="15" customHeight="1">
      <c r="A298" s="27" t="s">
        <v>191</v>
      </c>
      <c r="B298" s="27" t="s">
        <v>1211</v>
      </c>
      <c r="C298" s="27" t="s">
        <v>1242</v>
      </c>
      <c r="D298" s="25" t="s">
        <v>1213</v>
      </c>
      <c r="E298" s="27" t="s">
        <v>1683</v>
      </c>
      <c r="F298" s="27" t="s">
        <v>1684</v>
      </c>
      <c r="G298" s="27" t="s">
        <v>35</v>
      </c>
      <c r="H298" s="32" t="s">
        <v>1685</v>
      </c>
      <c r="I298" s="32" t="e">
        <f>VLOOKUP(H298,'合同高级查询数据-8月返'!A:A,1,FALSE)</f>
        <v>#N/A</v>
      </c>
      <c r="J298" s="169" t="s">
        <v>37</v>
      </c>
      <c r="K298" s="27" t="s">
        <v>1686</v>
      </c>
      <c r="L298" s="170" t="s">
        <v>1687</v>
      </c>
      <c r="M298" s="49" t="s">
        <v>1688</v>
      </c>
      <c r="N298" s="209" t="s">
        <v>1689</v>
      </c>
      <c r="O298" s="209" t="s">
        <v>1690</v>
      </c>
      <c r="P298" s="208">
        <v>6740</v>
      </c>
      <c r="Q298" s="219">
        <v>35.090000000000003</v>
      </c>
      <c r="R298" s="220">
        <f t="shared" ref="R298:R361" si="21">ROUND(P298*Q298,2)</f>
        <v>236506.6</v>
      </c>
      <c r="S298" s="55">
        <v>202308</v>
      </c>
      <c r="T298" s="185" t="s">
        <v>1691</v>
      </c>
      <c r="U298" s="225"/>
      <c r="V298" s="225">
        <v>35.088161468999999</v>
      </c>
      <c r="W298" s="226"/>
      <c r="X298" s="70"/>
      <c r="Y298" s="70"/>
      <c r="Z298" s="230" t="s">
        <v>1692</v>
      </c>
      <c r="AA298" s="195">
        <v>0.4</v>
      </c>
      <c r="AB298" s="226">
        <v>80</v>
      </c>
      <c r="AC298" s="225">
        <f t="shared" ref="AC298:AC360" si="22">AA298*AB298</f>
        <v>32</v>
      </c>
    </row>
    <row r="299" spans="1:29" s="10" customFormat="1" ht="15" customHeight="1">
      <c r="A299" s="30" t="s">
        <v>191</v>
      </c>
      <c r="B299" s="30" t="s">
        <v>1211</v>
      </c>
      <c r="C299" s="30" t="s">
        <v>1242</v>
      </c>
      <c r="D299" s="28" t="s">
        <v>1213</v>
      </c>
      <c r="E299" s="30" t="s">
        <v>1693</v>
      </c>
      <c r="F299" s="30" t="s">
        <v>1694</v>
      </c>
      <c r="G299" s="30" t="s">
        <v>35</v>
      </c>
      <c r="H299" s="33" t="s">
        <v>1695</v>
      </c>
      <c r="I299" s="33" t="e">
        <f>VLOOKUP(H299,'合同高级查询数据-8月返'!A:A,1,FALSE)</f>
        <v>#N/A</v>
      </c>
      <c r="J299" s="167" t="s">
        <v>37</v>
      </c>
      <c r="K299" s="30" t="s">
        <v>1696</v>
      </c>
      <c r="L299" s="168" t="s">
        <v>1694</v>
      </c>
      <c r="M299" s="107" t="s">
        <v>1697</v>
      </c>
      <c r="N299" s="74" t="s">
        <v>1698</v>
      </c>
      <c r="O299" s="28" t="s">
        <v>1699</v>
      </c>
      <c r="P299" s="207">
        <v>11000</v>
      </c>
      <c r="Q299" s="217">
        <v>0</v>
      </c>
      <c r="R299" s="218">
        <f t="shared" si="21"/>
        <v>0</v>
      </c>
      <c r="S299" s="59">
        <v>202308</v>
      </c>
      <c r="T299" s="184" t="s">
        <v>1700</v>
      </c>
      <c r="U299" s="224"/>
      <c r="V299" s="224">
        <v>0</v>
      </c>
      <c r="W299" s="227"/>
      <c r="X299" s="74">
        <v>44197</v>
      </c>
      <c r="Y299" s="74">
        <v>44926</v>
      </c>
      <c r="Z299" s="224">
        <v>0</v>
      </c>
      <c r="AA299" s="193">
        <v>0</v>
      </c>
      <c r="AB299" s="224">
        <v>0</v>
      </c>
      <c r="AC299" s="224">
        <f t="shared" si="22"/>
        <v>0</v>
      </c>
    </row>
    <row r="300" spans="1:29" s="10" customFormat="1" ht="15" customHeight="1">
      <c r="A300" s="28" t="s">
        <v>29</v>
      </c>
      <c r="B300" s="28" t="s">
        <v>1701</v>
      </c>
      <c r="C300" s="28" t="s">
        <v>1242</v>
      </c>
      <c r="D300" s="28" t="s">
        <v>1213</v>
      </c>
      <c r="E300" s="30" t="s">
        <v>1702</v>
      </c>
      <c r="F300" s="30" t="s">
        <v>1703</v>
      </c>
      <c r="G300" s="30" t="s">
        <v>35</v>
      </c>
      <c r="H300" s="33" t="s">
        <v>1704</v>
      </c>
      <c r="I300" s="33" t="e">
        <f>VLOOKUP(H300,'合同高级查询数据-8月返'!A:A,1,FALSE)</f>
        <v>#N/A</v>
      </c>
      <c r="J300" s="30" t="s">
        <v>76</v>
      </c>
      <c r="K300" s="28" t="s">
        <v>1705</v>
      </c>
      <c r="L300" s="28" t="s">
        <v>1706</v>
      </c>
      <c r="M300" s="210"/>
      <c r="N300" s="74">
        <v>44827</v>
      </c>
      <c r="O300" s="28" t="s">
        <v>319</v>
      </c>
      <c r="P300" s="211">
        <v>50000</v>
      </c>
      <c r="Q300" s="217">
        <v>0</v>
      </c>
      <c r="R300" s="218">
        <f t="shared" si="21"/>
        <v>0</v>
      </c>
      <c r="S300" s="59">
        <v>202308</v>
      </c>
      <c r="T300" s="184" t="s">
        <v>1707</v>
      </c>
      <c r="U300" s="228"/>
      <c r="V300" s="224">
        <v>0</v>
      </c>
      <c r="W300" s="28"/>
      <c r="X300" s="74">
        <v>44562</v>
      </c>
      <c r="Y300" s="74">
        <v>45291</v>
      </c>
      <c r="Z300" s="224">
        <v>0</v>
      </c>
      <c r="AA300" s="193">
        <v>0</v>
      </c>
      <c r="AB300" s="224">
        <v>0</v>
      </c>
      <c r="AC300" s="224">
        <f t="shared" si="22"/>
        <v>0</v>
      </c>
    </row>
    <row r="301" spans="1:29" s="10" customFormat="1" ht="15" customHeight="1">
      <c r="A301" s="28" t="s">
        <v>762</v>
      </c>
      <c r="B301" s="28" t="s">
        <v>1211</v>
      </c>
      <c r="C301" s="28" t="s">
        <v>1321</v>
      </c>
      <c r="D301" s="28" t="s">
        <v>72</v>
      </c>
      <c r="E301" s="28" t="s">
        <v>1708</v>
      </c>
      <c r="F301" s="28" t="s">
        <v>1709</v>
      </c>
      <c r="G301" s="28" t="s">
        <v>35</v>
      </c>
      <c r="H301" s="28" t="s">
        <v>1710</v>
      </c>
      <c r="I301" s="33" t="e">
        <f>VLOOKUP(H301,'合同高级查询数据-8月返'!A:A,1,FALSE)</f>
        <v>#N/A</v>
      </c>
      <c r="J301" s="28" t="s">
        <v>37</v>
      </c>
      <c r="K301" s="204" t="s">
        <v>1361</v>
      </c>
      <c r="L301" s="204" t="s">
        <v>1711</v>
      </c>
      <c r="M301" s="28" t="s">
        <v>1712</v>
      </c>
      <c r="N301" s="74" t="s">
        <v>1713</v>
      </c>
      <c r="O301" s="28" t="s">
        <v>1714</v>
      </c>
      <c r="P301" s="212">
        <v>7084</v>
      </c>
      <c r="Q301" s="217">
        <v>0</v>
      </c>
      <c r="R301" s="218">
        <f t="shared" si="21"/>
        <v>0</v>
      </c>
      <c r="S301" s="59">
        <v>202308</v>
      </c>
      <c r="T301" s="222" t="s">
        <v>1715</v>
      </c>
      <c r="U301" s="222"/>
      <c r="V301" s="224">
        <v>0</v>
      </c>
      <c r="W301" s="227"/>
      <c r="X301" s="74">
        <v>44621</v>
      </c>
      <c r="Y301" s="74">
        <v>44985</v>
      </c>
      <c r="Z301" s="224">
        <v>0</v>
      </c>
      <c r="AA301" s="193">
        <v>0</v>
      </c>
      <c r="AB301" s="224">
        <v>0</v>
      </c>
      <c r="AC301" s="224">
        <f t="shared" si="22"/>
        <v>0</v>
      </c>
    </row>
    <row r="302" spans="1:29" s="10" customFormat="1" ht="15" customHeight="1">
      <c r="A302" s="30" t="s">
        <v>762</v>
      </c>
      <c r="B302" s="30" t="s">
        <v>1701</v>
      </c>
      <c r="C302" s="30" t="s">
        <v>1716</v>
      </c>
      <c r="D302" s="28" t="s">
        <v>1717</v>
      </c>
      <c r="E302" s="30" t="s">
        <v>1718</v>
      </c>
      <c r="F302" s="30" t="s">
        <v>1719</v>
      </c>
      <c r="G302" s="30" t="s">
        <v>35</v>
      </c>
      <c r="H302" s="33" t="s">
        <v>1720</v>
      </c>
      <c r="I302" s="33" t="e">
        <f>VLOOKUP(H302,'合同高级查询数据-8月返'!A:A,1,FALSE)</f>
        <v>#N/A</v>
      </c>
      <c r="J302" s="167" t="s">
        <v>37</v>
      </c>
      <c r="K302" s="30" t="s">
        <v>1721</v>
      </c>
      <c r="L302" s="168" t="s">
        <v>1722</v>
      </c>
      <c r="M302" s="107" t="s">
        <v>1723</v>
      </c>
      <c r="N302" s="74" t="s">
        <v>1724</v>
      </c>
      <c r="O302" s="213" t="s">
        <v>1725</v>
      </c>
      <c r="P302" s="207">
        <v>4500</v>
      </c>
      <c r="Q302" s="217">
        <v>0</v>
      </c>
      <c r="R302" s="218">
        <f t="shared" si="21"/>
        <v>0</v>
      </c>
      <c r="S302" s="59">
        <v>202308</v>
      </c>
      <c r="T302" s="184" t="s">
        <v>1726</v>
      </c>
      <c r="U302" s="224"/>
      <c r="V302" s="224">
        <v>0</v>
      </c>
      <c r="W302" s="227"/>
      <c r="X302" s="74">
        <v>44652</v>
      </c>
      <c r="Y302" s="74">
        <v>45016</v>
      </c>
      <c r="Z302" s="224">
        <v>0</v>
      </c>
      <c r="AA302" s="193">
        <v>0</v>
      </c>
      <c r="AB302" s="224">
        <v>0</v>
      </c>
      <c r="AC302" s="224">
        <f t="shared" si="22"/>
        <v>0</v>
      </c>
    </row>
    <row r="303" spans="1:29" s="10" customFormat="1" ht="15" customHeight="1">
      <c r="A303" s="30" t="s">
        <v>769</v>
      </c>
      <c r="B303" s="30" t="s">
        <v>1701</v>
      </c>
      <c r="C303" s="30" t="s">
        <v>1727</v>
      </c>
      <c r="D303" s="28" t="s">
        <v>32</v>
      </c>
      <c r="E303" s="30" t="s">
        <v>1728</v>
      </c>
      <c r="F303" s="30" t="s">
        <v>1729</v>
      </c>
      <c r="G303" s="30" t="s">
        <v>35</v>
      </c>
      <c r="H303" s="33" t="s">
        <v>1730</v>
      </c>
      <c r="I303" s="33" t="e">
        <f>VLOOKUP(H303,'合同高级查询数据-8月返'!A:A,1,FALSE)</f>
        <v>#N/A</v>
      </c>
      <c r="J303" s="167" t="s">
        <v>37</v>
      </c>
      <c r="K303" s="30" t="s">
        <v>1731</v>
      </c>
      <c r="L303" s="168" t="s">
        <v>1732</v>
      </c>
      <c r="M303" s="107" t="s">
        <v>1733</v>
      </c>
      <c r="N303" s="172" t="s">
        <v>1734</v>
      </c>
      <c r="O303" s="177" t="s">
        <v>1735</v>
      </c>
      <c r="P303" s="207">
        <v>4000</v>
      </c>
      <c r="Q303" s="217">
        <v>0</v>
      </c>
      <c r="R303" s="218">
        <f t="shared" si="21"/>
        <v>0</v>
      </c>
      <c r="S303" s="59">
        <v>202308</v>
      </c>
      <c r="T303" s="184" t="s">
        <v>1736</v>
      </c>
      <c r="U303" s="224"/>
      <c r="V303" s="224">
        <v>0</v>
      </c>
      <c r="W303" s="227"/>
      <c r="X303" s="74">
        <v>44013</v>
      </c>
      <c r="Y303" s="74">
        <v>44255</v>
      </c>
      <c r="Z303" s="224">
        <v>0</v>
      </c>
      <c r="AA303" s="193">
        <v>0</v>
      </c>
      <c r="AB303" s="224">
        <v>0</v>
      </c>
      <c r="AC303" s="224">
        <f t="shared" si="22"/>
        <v>0</v>
      </c>
    </row>
    <row r="304" spans="1:29" s="10" customFormat="1" ht="15" customHeight="1">
      <c r="A304" s="30" t="s">
        <v>769</v>
      </c>
      <c r="B304" s="30" t="s">
        <v>1701</v>
      </c>
      <c r="C304" s="30" t="s">
        <v>1727</v>
      </c>
      <c r="D304" s="28" t="s">
        <v>32</v>
      </c>
      <c r="E304" s="30" t="s">
        <v>1737</v>
      </c>
      <c r="F304" s="30" t="s">
        <v>1738</v>
      </c>
      <c r="G304" s="30" t="s">
        <v>35</v>
      </c>
      <c r="H304" s="33" t="s">
        <v>1739</v>
      </c>
      <c r="I304" s="33" t="e">
        <f>VLOOKUP(H304,'合同高级查询数据-8月返'!A:A,1,FALSE)</f>
        <v>#N/A</v>
      </c>
      <c r="J304" s="167" t="s">
        <v>37</v>
      </c>
      <c r="K304" s="30" t="s">
        <v>1731</v>
      </c>
      <c r="L304" s="168" t="s">
        <v>1732</v>
      </c>
      <c r="M304" s="107" t="s">
        <v>1733</v>
      </c>
      <c r="N304" s="172" t="s">
        <v>1740</v>
      </c>
      <c r="O304" s="177" t="s">
        <v>1735</v>
      </c>
      <c r="P304" s="207">
        <v>4300</v>
      </c>
      <c r="Q304" s="217">
        <v>0</v>
      </c>
      <c r="R304" s="218">
        <f t="shared" si="21"/>
        <v>0</v>
      </c>
      <c r="S304" s="59">
        <v>202308</v>
      </c>
      <c r="T304" s="184" t="s">
        <v>1741</v>
      </c>
      <c r="U304" s="224"/>
      <c r="V304" s="224">
        <v>0</v>
      </c>
      <c r="W304" s="224"/>
      <c r="X304" s="74">
        <v>44256</v>
      </c>
      <c r="Y304" s="74">
        <v>44620</v>
      </c>
      <c r="Z304" s="224">
        <v>0</v>
      </c>
      <c r="AA304" s="193">
        <v>0</v>
      </c>
      <c r="AB304" s="224">
        <v>0</v>
      </c>
      <c r="AC304" s="224">
        <f t="shared" si="22"/>
        <v>0</v>
      </c>
    </row>
    <row r="305" spans="1:29" s="10" customFormat="1" ht="15" customHeight="1">
      <c r="A305" s="30" t="s">
        <v>750</v>
      </c>
      <c r="B305" s="30" t="s">
        <v>1701</v>
      </c>
      <c r="C305" s="30" t="s">
        <v>138</v>
      </c>
      <c r="D305" s="28" t="s">
        <v>32</v>
      </c>
      <c r="E305" s="30" t="s">
        <v>1742</v>
      </c>
      <c r="F305" s="30" t="s">
        <v>1743</v>
      </c>
      <c r="G305" s="30" t="s">
        <v>35</v>
      </c>
      <c r="H305" s="33" t="s">
        <v>1744</v>
      </c>
      <c r="I305" s="33" t="e">
        <f>VLOOKUP(H305,'合同高级查询数据-8月返'!A:A,1,FALSE)</f>
        <v>#N/A</v>
      </c>
      <c r="J305" s="167" t="s">
        <v>37</v>
      </c>
      <c r="K305" s="30" t="s">
        <v>666</v>
      </c>
      <c r="L305" s="168" t="s">
        <v>1745</v>
      </c>
      <c r="M305" s="107" t="s">
        <v>1746</v>
      </c>
      <c r="N305" s="213" t="s">
        <v>1747</v>
      </c>
      <c r="O305" s="213" t="s">
        <v>1748</v>
      </c>
      <c r="P305" s="207">
        <v>6666.67</v>
      </c>
      <c r="Q305" s="217">
        <v>0</v>
      </c>
      <c r="R305" s="218">
        <f t="shared" si="21"/>
        <v>0</v>
      </c>
      <c r="S305" s="59">
        <v>202308</v>
      </c>
      <c r="T305" s="184" t="s">
        <v>1749</v>
      </c>
      <c r="U305" s="224"/>
      <c r="V305" s="224">
        <v>0</v>
      </c>
      <c r="W305" s="227"/>
      <c r="X305" s="213">
        <v>44682</v>
      </c>
      <c r="Y305" s="213">
        <v>45046</v>
      </c>
      <c r="Z305" s="224">
        <v>0</v>
      </c>
      <c r="AA305" s="193">
        <v>0</v>
      </c>
      <c r="AB305" s="224">
        <v>0</v>
      </c>
      <c r="AC305" s="224">
        <f t="shared" si="22"/>
        <v>0</v>
      </c>
    </row>
    <row r="306" spans="1:29" s="10" customFormat="1" ht="15" customHeight="1">
      <c r="A306" s="30" t="s">
        <v>769</v>
      </c>
      <c r="B306" s="28" t="s">
        <v>1701</v>
      </c>
      <c r="C306" s="28" t="s">
        <v>1242</v>
      </c>
      <c r="D306" s="28" t="s">
        <v>32</v>
      </c>
      <c r="E306" s="30" t="s">
        <v>1750</v>
      </c>
      <c r="F306" s="30" t="s">
        <v>1751</v>
      </c>
      <c r="G306" s="30" t="s">
        <v>35</v>
      </c>
      <c r="H306" s="33" t="s">
        <v>1752</v>
      </c>
      <c r="I306" s="33" t="e">
        <f>VLOOKUP(H306,'合同高级查询数据-8月返'!A:A,1,FALSE)</f>
        <v>#N/A</v>
      </c>
      <c r="J306" s="167" t="s">
        <v>37</v>
      </c>
      <c r="K306" s="30" t="s">
        <v>1753</v>
      </c>
      <c r="L306" s="168" t="s">
        <v>1754</v>
      </c>
      <c r="M306" s="107" t="s">
        <v>1755</v>
      </c>
      <c r="N306" s="74" t="s">
        <v>1756</v>
      </c>
      <c r="O306" s="28" t="s">
        <v>1757</v>
      </c>
      <c r="P306" s="207">
        <v>5200</v>
      </c>
      <c r="Q306" s="217">
        <v>0</v>
      </c>
      <c r="R306" s="218">
        <f t="shared" si="21"/>
        <v>0</v>
      </c>
      <c r="S306" s="59">
        <v>202308</v>
      </c>
      <c r="T306" s="184" t="s">
        <v>1758</v>
      </c>
      <c r="U306" s="228"/>
      <c r="V306" s="224">
        <v>0</v>
      </c>
      <c r="W306" s="227"/>
      <c r="X306" s="74">
        <v>44593</v>
      </c>
      <c r="Y306" s="74">
        <v>44620</v>
      </c>
      <c r="Z306" s="224">
        <v>0</v>
      </c>
      <c r="AA306" s="193">
        <v>0</v>
      </c>
      <c r="AB306" s="224">
        <v>0</v>
      </c>
      <c r="AC306" s="224">
        <f t="shared" si="22"/>
        <v>0</v>
      </c>
    </row>
    <row r="307" spans="1:29" s="10" customFormat="1" ht="15" customHeight="1">
      <c r="A307" s="30" t="s">
        <v>762</v>
      </c>
      <c r="B307" s="28" t="s">
        <v>1701</v>
      </c>
      <c r="C307" s="28" t="s">
        <v>1759</v>
      </c>
      <c r="D307" s="28" t="s">
        <v>1760</v>
      </c>
      <c r="E307" s="28" t="s">
        <v>1761</v>
      </c>
      <c r="F307" s="28" t="s">
        <v>1762</v>
      </c>
      <c r="G307" s="30" t="s">
        <v>35</v>
      </c>
      <c r="H307" s="28" t="s">
        <v>1763</v>
      </c>
      <c r="I307" s="33" t="e">
        <f>VLOOKUP(H307,'合同高级查询数据-8月返'!A:A,1,FALSE)</f>
        <v>#N/A</v>
      </c>
      <c r="J307" s="167" t="s">
        <v>37</v>
      </c>
      <c r="K307" s="28" t="s">
        <v>1764</v>
      </c>
      <c r="L307" s="28" t="s">
        <v>1765</v>
      </c>
      <c r="M307" s="28" t="s">
        <v>1766</v>
      </c>
      <c r="N307" s="74">
        <v>43831</v>
      </c>
      <c r="O307" s="28" t="s">
        <v>1767</v>
      </c>
      <c r="P307" s="211">
        <v>5416.67</v>
      </c>
      <c r="Q307" s="217">
        <v>14.5</v>
      </c>
      <c r="R307" s="218">
        <f t="shared" si="21"/>
        <v>78541.72</v>
      </c>
      <c r="S307" s="59">
        <v>202308</v>
      </c>
      <c r="T307" s="184" t="s">
        <v>1768</v>
      </c>
      <c r="U307" s="228"/>
      <c r="V307" s="224">
        <v>14.243550301000001</v>
      </c>
      <c r="W307" s="227">
        <v>14.75</v>
      </c>
      <c r="X307" s="74">
        <v>45047</v>
      </c>
      <c r="Y307" s="74">
        <v>45412</v>
      </c>
      <c r="Z307" s="28" t="s">
        <v>1769</v>
      </c>
      <c r="AA307" s="194">
        <v>0.3</v>
      </c>
      <c r="AB307" s="227">
        <v>40</v>
      </c>
      <c r="AC307" s="224">
        <f t="shared" si="22"/>
        <v>12</v>
      </c>
    </row>
    <row r="308" spans="1:29" s="10" customFormat="1" ht="15" customHeight="1">
      <c r="A308" s="30" t="s">
        <v>762</v>
      </c>
      <c r="B308" s="28" t="s">
        <v>1701</v>
      </c>
      <c r="C308" s="28" t="s">
        <v>1770</v>
      </c>
      <c r="D308" s="28" t="s">
        <v>1760</v>
      </c>
      <c r="E308" s="28" t="s">
        <v>1761</v>
      </c>
      <c r="F308" s="28" t="s">
        <v>1762</v>
      </c>
      <c r="G308" s="30" t="s">
        <v>35</v>
      </c>
      <c r="H308" s="28" t="s">
        <v>1771</v>
      </c>
      <c r="I308" s="33" t="e">
        <f>VLOOKUP(H308,'合同高级查询数据-8月返'!A:A,1,FALSE)</f>
        <v>#N/A</v>
      </c>
      <c r="J308" s="167" t="s">
        <v>37</v>
      </c>
      <c r="K308" s="28" t="s">
        <v>1772</v>
      </c>
      <c r="L308" s="28" t="s">
        <v>1773</v>
      </c>
      <c r="M308" s="28" t="s">
        <v>1774</v>
      </c>
      <c r="N308" s="74" t="s">
        <v>1775</v>
      </c>
      <c r="O308" s="28" t="s">
        <v>1776</v>
      </c>
      <c r="P308" s="207">
        <v>5000</v>
      </c>
      <c r="Q308" s="217">
        <v>50.4</v>
      </c>
      <c r="R308" s="218">
        <f t="shared" si="21"/>
        <v>252000</v>
      </c>
      <c r="S308" s="59">
        <v>202308</v>
      </c>
      <c r="T308" s="184" t="s">
        <v>1777</v>
      </c>
      <c r="U308" s="228"/>
      <c r="V308" s="224">
        <v>49.494686127000001</v>
      </c>
      <c r="W308" s="227">
        <v>51.17</v>
      </c>
      <c r="X308" s="74">
        <v>44835</v>
      </c>
      <c r="Y308" s="108">
        <v>45199</v>
      </c>
      <c r="Z308" s="28" t="s">
        <v>1778</v>
      </c>
      <c r="AA308" s="194">
        <v>0.3</v>
      </c>
      <c r="AB308" s="227">
        <v>120</v>
      </c>
      <c r="AC308" s="224">
        <f t="shared" si="22"/>
        <v>36</v>
      </c>
    </row>
    <row r="309" spans="1:29" s="10" customFormat="1" ht="15" customHeight="1">
      <c r="A309" s="30" t="s">
        <v>762</v>
      </c>
      <c r="B309" s="28" t="s">
        <v>1701</v>
      </c>
      <c r="C309" s="28" t="s">
        <v>302</v>
      </c>
      <c r="D309" s="28" t="s">
        <v>1717</v>
      </c>
      <c r="E309" s="28" t="s">
        <v>1761</v>
      </c>
      <c r="F309" s="28" t="s">
        <v>1762</v>
      </c>
      <c r="G309" s="30" t="s">
        <v>35</v>
      </c>
      <c r="H309" s="28" t="s">
        <v>1779</v>
      </c>
      <c r="I309" s="33" t="e">
        <f>VLOOKUP(H309,'合同高级查询数据-8月返'!A:A,1,FALSE)</f>
        <v>#N/A</v>
      </c>
      <c r="J309" s="167" t="s">
        <v>37</v>
      </c>
      <c r="K309" s="28" t="s">
        <v>1780</v>
      </c>
      <c r="L309" s="28" t="s">
        <v>1781</v>
      </c>
      <c r="M309" s="28" t="s">
        <v>1782</v>
      </c>
      <c r="N309" s="214" t="s">
        <v>1783</v>
      </c>
      <c r="O309" s="28" t="s">
        <v>1784</v>
      </c>
      <c r="P309" s="211">
        <v>5000</v>
      </c>
      <c r="Q309" s="217">
        <v>46.3</v>
      </c>
      <c r="R309" s="218">
        <f t="shared" si="21"/>
        <v>231500</v>
      </c>
      <c r="S309" s="59">
        <v>202308</v>
      </c>
      <c r="T309" s="184" t="s">
        <v>1785</v>
      </c>
      <c r="U309" s="228"/>
      <c r="V309" s="224">
        <v>45.421802520999996</v>
      </c>
      <c r="W309" s="227">
        <v>47.18</v>
      </c>
      <c r="X309" s="74">
        <v>45047</v>
      </c>
      <c r="Y309" s="74">
        <v>45412</v>
      </c>
      <c r="Z309" s="28" t="s">
        <v>1786</v>
      </c>
      <c r="AA309" s="194">
        <v>0.3</v>
      </c>
      <c r="AB309" s="227">
        <v>100</v>
      </c>
      <c r="AC309" s="224">
        <f t="shared" si="22"/>
        <v>30</v>
      </c>
    </row>
    <row r="310" spans="1:29" s="10" customFormat="1" ht="15" customHeight="1">
      <c r="A310" s="30" t="s">
        <v>769</v>
      </c>
      <c r="B310" s="30" t="s">
        <v>1701</v>
      </c>
      <c r="C310" s="30" t="s">
        <v>1242</v>
      </c>
      <c r="D310" s="28" t="s">
        <v>32</v>
      </c>
      <c r="E310" s="30" t="s">
        <v>1787</v>
      </c>
      <c r="F310" s="30" t="s">
        <v>1788</v>
      </c>
      <c r="G310" s="30" t="s">
        <v>35</v>
      </c>
      <c r="H310" s="33" t="s">
        <v>1789</v>
      </c>
      <c r="I310" s="33" t="e">
        <f>VLOOKUP(H310,'合同高级查询数据-8月返'!A:A,1,FALSE)</f>
        <v>#N/A</v>
      </c>
      <c r="J310" s="167" t="s">
        <v>37</v>
      </c>
      <c r="K310" s="30" t="s">
        <v>1458</v>
      </c>
      <c r="L310" s="168" t="s">
        <v>1790</v>
      </c>
      <c r="M310" s="107" t="s">
        <v>1791</v>
      </c>
      <c r="N310" s="213" t="s">
        <v>1792</v>
      </c>
      <c r="O310" s="213" t="s">
        <v>1793</v>
      </c>
      <c r="P310" s="207">
        <v>5000</v>
      </c>
      <c r="Q310" s="217">
        <v>0</v>
      </c>
      <c r="R310" s="218">
        <f t="shared" si="21"/>
        <v>0</v>
      </c>
      <c r="S310" s="59">
        <v>202308</v>
      </c>
      <c r="T310" s="184" t="s">
        <v>1794</v>
      </c>
      <c r="U310" s="224"/>
      <c r="V310" s="224">
        <v>0</v>
      </c>
      <c r="W310" s="227"/>
      <c r="X310" s="74">
        <v>44378</v>
      </c>
      <c r="Y310" s="74">
        <v>44742</v>
      </c>
      <c r="Z310" s="224">
        <v>0</v>
      </c>
      <c r="AA310" s="193">
        <v>0</v>
      </c>
      <c r="AB310" s="224">
        <v>0</v>
      </c>
      <c r="AC310" s="224">
        <f t="shared" si="22"/>
        <v>0</v>
      </c>
    </row>
    <row r="311" spans="1:29" s="10" customFormat="1" ht="15" customHeight="1">
      <c r="A311" s="30" t="s">
        <v>769</v>
      </c>
      <c r="B311" s="30" t="s">
        <v>1701</v>
      </c>
      <c r="C311" s="30" t="s">
        <v>1242</v>
      </c>
      <c r="D311" s="28" t="s">
        <v>32</v>
      </c>
      <c r="E311" s="30" t="s">
        <v>1787</v>
      </c>
      <c r="F311" s="30" t="s">
        <v>1788</v>
      </c>
      <c r="G311" s="30" t="s">
        <v>35</v>
      </c>
      <c r="H311" s="33" t="s">
        <v>1795</v>
      </c>
      <c r="I311" s="33" t="e">
        <f>VLOOKUP(H311,'合同高级查询数据-8月返'!A:A,1,FALSE)</f>
        <v>#N/A</v>
      </c>
      <c r="J311" s="167" t="s">
        <v>37</v>
      </c>
      <c r="K311" s="30" t="s">
        <v>1753</v>
      </c>
      <c r="L311" s="168" t="s">
        <v>1796</v>
      </c>
      <c r="M311" s="107" t="s">
        <v>1797</v>
      </c>
      <c r="N311" s="213" t="s">
        <v>1798</v>
      </c>
      <c r="O311" s="213" t="s">
        <v>1799</v>
      </c>
      <c r="P311" s="207">
        <v>5000</v>
      </c>
      <c r="Q311" s="217">
        <v>0</v>
      </c>
      <c r="R311" s="218">
        <f t="shared" si="21"/>
        <v>0</v>
      </c>
      <c r="S311" s="59">
        <v>202308</v>
      </c>
      <c r="T311" s="184" t="s">
        <v>1800</v>
      </c>
      <c r="U311" s="224"/>
      <c r="V311" s="224">
        <v>0</v>
      </c>
      <c r="W311" s="224"/>
      <c r="X311" s="74">
        <v>44866</v>
      </c>
      <c r="Y311" s="108">
        <v>45230</v>
      </c>
      <c r="Z311" s="224">
        <v>0</v>
      </c>
      <c r="AA311" s="193">
        <v>0</v>
      </c>
      <c r="AB311" s="224">
        <v>0</v>
      </c>
      <c r="AC311" s="224">
        <f t="shared" si="22"/>
        <v>0</v>
      </c>
    </row>
    <row r="312" spans="1:29" s="10" customFormat="1" ht="15" customHeight="1">
      <c r="A312" s="30" t="s">
        <v>769</v>
      </c>
      <c r="B312" s="30" t="s">
        <v>1701</v>
      </c>
      <c r="C312" s="30" t="s">
        <v>1242</v>
      </c>
      <c r="D312" s="28" t="s">
        <v>32</v>
      </c>
      <c r="E312" s="30" t="s">
        <v>1787</v>
      </c>
      <c r="F312" s="30" t="s">
        <v>1788</v>
      </c>
      <c r="G312" s="30" t="s">
        <v>35</v>
      </c>
      <c r="H312" s="33" t="s">
        <v>1801</v>
      </c>
      <c r="I312" s="33" t="e">
        <f>VLOOKUP(H312,'合同高级查询数据-8月返'!A:A,1,FALSE)</f>
        <v>#N/A</v>
      </c>
      <c r="J312" s="167" t="s">
        <v>37</v>
      </c>
      <c r="K312" s="30" t="s">
        <v>1458</v>
      </c>
      <c r="L312" s="168" t="s">
        <v>1802</v>
      </c>
      <c r="M312" s="107" t="s">
        <v>1803</v>
      </c>
      <c r="N312" s="213" t="s">
        <v>1804</v>
      </c>
      <c r="O312" s="213" t="s">
        <v>1748</v>
      </c>
      <c r="P312" s="207">
        <v>4900</v>
      </c>
      <c r="Q312" s="217">
        <v>0</v>
      </c>
      <c r="R312" s="218">
        <f t="shared" si="21"/>
        <v>0</v>
      </c>
      <c r="S312" s="59">
        <v>202308</v>
      </c>
      <c r="T312" s="184" t="s">
        <v>1805</v>
      </c>
      <c r="U312" s="224"/>
      <c r="V312" s="224">
        <v>0</v>
      </c>
      <c r="W312" s="224"/>
      <c r="X312" s="74">
        <v>44986</v>
      </c>
      <c r="Y312" s="108">
        <v>45351</v>
      </c>
      <c r="Z312" s="224">
        <v>0</v>
      </c>
      <c r="AA312" s="193">
        <v>0</v>
      </c>
      <c r="AB312" s="224">
        <v>0</v>
      </c>
      <c r="AC312" s="224">
        <f t="shared" si="22"/>
        <v>0</v>
      </c>
    </row>
    <row r="313" spans="1:29" s="10" customFormat="1" ht="15" customHeight="1">
      <c r="A313" s="201" t="s">
        <v>750</v>
      </c>
      <c r="B313" s="28" t="s">
        <v>1701</v>
      </c>
      <c r="C313" s="28" t="s">
        <v>1806</v>
      </c>
      <c r="D313" s="28" t="s">
        <v>1717</v>
      </c>
      <c r="E313" s="30" t="s">
        <v>1807</v>
      </c>
      <c r="F313" s="30" t="s">
        <v>1808</v>
      </c>
      <c r="G313" s="30" t="s">
        <v>35</v>
      </c>
      <c r="H313" s="33" t="s">
        <v>1809</v>
      </c>
      <c r="I313" s="33" t="e">
        <f>VLOOKUP(H313,'合同高级查询数据-8月返'!A:A,1,FALSE)</f>
        <v>#N/A</v>
      </c>
      <c r="J313" s="167" t="s">
        <v>37</v>
      </c>
      <c r="K313" s="30" t="s">
        <v>1810</v>
      </c>
      <c r="L313" s="168" t="s">
        <v>1811</v>
      </c>
      <c r="M313" s="107" t="s">
        <v>1812</v>
      </c>
      <c r="N313" s="74" t="s">
        <v>1813</v>
      </c>
      <c r="O313" s="28" t="s">
        <v>1814</v>
      </c>
      <c r="P313" s="207">
        <v>6250</v>
      </c>
      <c r="Q313" s="217">
        <v>74.2</v>
      </c>
      <c r="R313" s="218">
        <f t="shared" si="21"/>
        <v>463750</v>
      </c>
      <c r="S313" s="59">
        <v>202308</v>
      </c>
      <c r="T313" s="184" t="s">
        <v>1815</v>
      </c>
      <c r="U313" s="228"/>
      <c r="V313" s="224">
        <v>74.183715820000003</v>
      </c>
      <c r="W313" s="224"/>
      <c r="X313" s="74">
        <v>44958</v>
      </c>
      <c r="Y313" s="74">
        <v>45322</v>
      </c>
      <c r="Z313" s="28" t="s">
        <v>1816</v>
      </c>
      <c r="AA313" s="194">
        <v>0.3</v>
      </c>
      <c r="AB313" s="227">
        <v>200</v>
      </c>
      <c r="AC313" s="224">
        <f t="shared" si="22"/>
        <v>60</v>
      </c>
    </row>
    <row r="314" spans="1:29" s="10" customFormat="1" ht="15" customHeight="1">
      <c r="A314" s="201" t="s">
        <v>750</v>
      </c>
      <c r="B314" s="28" t="s">
        <v>1701</v>
      </c>
      <c r="C314" s="28" t="s">
        <v>1806</v>
      </c>
      <c r="D314" s="28" t="s">
        <v>1717</v>
      </c>
      <c r="E314" s="30" t="s">
        <v>1807</v>
      </c>
      <c r="F314" s="30" t="s">
        <v>1808</v>
      </c>
      <c r="G314" s="30" t="s">
        <v>35</v>
      </c>
      <c r="H314" s="33" t="s">
        <v>1809</v>
      </c>
      <c r="I314" s="33" t="e">
        <f>VLOOKUP(H314,'合同高级查询数据-8月返'!A:A,1,FALSE)</f>
        <v>#N/A</v>
      </c>
      <c r="J314" s="167" t="s">
        <v>37</v>
      </c>
      <c r="K314" s="30" t="s">
        <v>1810</v>
      </c>
      <c r="L314" s="168" t="s">
        <v>1817</v>
      </c>
      <c r="M314" s="107" t="s">
        <v>1812</v>
      </c>
      <c r="N314" s="74" t="s">
        <v>1818</v>
      </c>
      <c r="O314" s="28" t="s">
        <v>1819</v>
      </c>
      <c r="P314" s="207">
        <v>6250</v>
      </c>
      <c r="Q314" s="217">
        <v>76.400000000000006</v>
      </c>
      <c r="R314" s="218">
        <f t="shared" si="21"/>
        <v>477500</v>
      </c>
      <c r="S314" s="59">
        <v>202308</v>
      </c>
      <c r="T314" s="184" t="s">
        <v>1820</v>
      </c>
      <c r="U314" s="228"/>
      <c r="V314" s="224">
        <v>76.375076293999996</v>
      </c>
      <c r="W314" s="227"/>
      <c r="X314" s="74">
        <v>44958</v>
      </c>
      <c r="Y314" s="74">
        <v>45322</v>
      </c>
      <c r="Z314" s="224" t="s">
        <v>1821</v>
      </c>
      <c r="AA314" s="194">
        <v>0.3</v>
      </c>
      <c r="AB314" s="227">
        <v>200</v>
      </c>
      <c r="AC314" s="224">
        <f t="shared" si="22"/>
        <v>60</v>
      </c>
    </row>
    <row r="315" spans="1:29" s="10" customFormat="1" ht="15" customHeight="1">
      <c r="A315" s="30" t="s">
        <v>762</v>
      </c>
      <c r="B315" s="28" t="s">
        <v>1701</v>
      </c>
      <c r="C315" s="28" t="s">
        <v>302</v>
      </c>
      <c r="D315" s="28" t="s">
        <v>1717</v>
      </c>
      <c r="E315" s="30" t="s">
        <v>1807</v>
      </c>
      <c r="F315" s="30" t="s">
        <v>1808</v>
      </c>
      <c r="G315" s="30" t="s">
        <v>35</v>
      </c>
      <c r="H315" s="33" t="s">
        <v>1822</v>
      </c>
      <c r="I315" s="33" t="e">
        <f>VLOOKUP(H315,'合同高级查询数据-8月返'!A:A,1,FALSE)</f>
        <v>#N/A</v>
      </c>
      <c r="J315" s="167" t="s">
        <v>37</v>
      </c>
      <c r="K315" s="30" t="s">
        <v>730</v>
      </c>
      <c r="L315" s="168" t="s">
        <v>1823</v>
      </c>
      <c r="M315" s="107" t="s">
        <v>1824</v>
      </c>
      <c r="N315" s="215" t="s">
        <v>1825</v>
      </c>
      <c r="O315" s="28" t="s">
        <v>1341</v>
      </c>
      <c r="P315" s="207">
        <v>5500</v>
      </c>
      <c r="Q315" s="217">
        <v>0</v>
      </c>
      <c r="R315" s="218">
        <f t="shared" si="21"/>
        <v>0</v>
      </c>
      <c r="S315" s="59">
        <v>202308</v>
      </c>
      <c r="T315" s="184" t="s">
        <v>1826</v>
      </c>
      <c r="U315" s="228"/>
      <c r="V315" s="224">
        <v>0</v>
      </c>
      <c r="W315" s="227"/>
      <c r="X315" s="74">
        <v>44652</v>
      </c>
      <c r="Y315" s="74">
        <v>45016</v>
      </c>
      <c r="Z315" s="224">
        <v>0</v>
      </c>
      <c r="AA315" s="193">
        <v>0</v>
      </c>
      <c r="AB315" s="224">
        <v>0</v>
      </c>
      <c r="AC315" s="224">
        <f t="shared" si="22"/>
        <v>0</v>
      </c>
    </row>
    <row r="316" spans="1:29" s="10" customFormat="1" ht="15" customHeight="1">
      <c r="A316" s="30" t="s">
        <v>762</v>
      </c>
      <c r="B316" s="28" t="s">
        <v>1701</v>
      </c>
      <c r="C316" s="28" t="s">
        <v>302</v>
      </c>
      <c r="D316" s="28" t="s">
        <v>1717</v>
      </c>
      <c r="E316" s="30" t="s">
        <v>1807</v>
      </c>
      <c r="F316" s="30" t="s">
        <v>1808</v>
      </c>
      <c r="G316" s="30" t="s">
        <v>35</v>
      </c>
      <c r="H316" s="33" t="s">
        <v>1822</v>
      </c>
      <c r="I316" s="33" t="e">
        <f>VLOOKUP(H316,'合同高级查询数据-8月返'!A:A,1,FALSE)</f>
        <v>#N/A</v>
      </c>
      <c r="J316" s="167" t="s">
        <v>37</v>
      </c>
      <c r="K316" s="30" t="s">
        <v>730</v>
      </c>
      <c r="L316" s="168" t="s">
        <v>1827</v>
      </c>
      <c r="M316" s="107" t="s">
        <v>1824</v>
      </c>
      <c r="N316" s="215" t="s">
        <v>1828</v>
      </c>
      <c r="O316" s="28" t="s">
        <v>1263</v>
      </c>
      <c r="P316" s="207">
        <v>5500</v>
      </c>
      <c r="Q316" s="217">
        <v>0</v>
      </c>
      <c r="R316" s="218">
        <f t="shared" si="21"/>
        <v>0</v>
      </c>
      <c r="S316" s="59">
        <v>202308</v>
      </c>
      <c r="T316" s="184" t="s">
        <v>1829</v>
      </c>
      <c r="U316" s="228"/>
      <c r="V316" s="224">
        <v>0</v>
      </c>
      <c r="W316" s="227"/>
      <c r="X316" s="74">
        <v>44652</v>
      </c>
      <c r="Y316" s="74">
        <v>45016</v>
      </c>
      <c r="Z316" s="224">
        <v>0</v>
      </c>
      <c r="AA316" s="193">
        <v>0</v>
      </c>
      <c r="AB316" s="224">
        <v>0</v>
      </c>
      <c r="AC316" s="224">
        <f t="shared" si="22"/>
        <v>0</v>
      </c>
    </row>
    <row r="317" spans="1:29" s="10" customFormat="1" ht="15" customHeight="1">
      <c r="A317" s="30" t="s">
        <v>762</v>
      </c>
      <c r="B317" s="28" t="s">
        <v>1701</v>
      </c>
      <c r="C317" s="28" t="s">
        <v>302</v>
      </c>
      <c r="D317" s="28" t="s">
        <v>1717</v>
      </c>
      <c r="E317" s="30" t="s">
        <v>1807</v>
      </c>
      <c r="F317" s="30" t="s">
        <v>1808</v>
      </c>
      <c r="G317" s="30" t="s">
        <v>35</v>
      </c>
      <c r="H317" s="33" t="s">
        <v>1830</v>
      </c>
      <c r="I317" s="33" t="e">
        <f>VLOOKUP(H317,'合同高级查询数据-8月返'!A:A,1,FALSE)</f>
        <v>#N/A</v>
      </c>
      <c r="J317" s="167" t="s">
        <v>37</v>
      </c>
      <c r="K317" s="30" t="s">
        <v>1831</v>
      </c>
      <c r="L317" s="168" t="s">
        <v>1832</v>
      </c>
      <c r="M317" s="107" t="s">
        <v>1833</v>
      </c>
      <c r="N317" s="215" t="s">
        <v>1834</v>
      </c>
      <c r="O317" s="28" t="s">
        <v>1263</v>
      </c>
      <c r="P317" s="207">
        <v>5000</v>
      </c>
      <c r="Q317" s="217">
        <v>0</v>
      </c>
      <c r="R317" s="218">
        <f t="shared" si="21"/>
        <v>0</v>
      </c>
      <c r="S317" s="59">
        <v>202308</v>
      </c>
      <c r="T317" s="184" t="s">
        <v>1835</v>
      </c>
      <c r="U317" s="228"/>
      <c r="V317" s="224">
        <v>0</v>
      </c>
      <c r="W317" s="227"/>
      <c r="X317" s="74">
        <v>44866</v>
      </c>
      <c r="Y317" s="74">
        <v>45230</v>
      </c>
      <c r="Z317" s="224">
        <v>0</v>
      </c>
      <c r="AA317" s="193">
        <v>0</v>
      </c>
      <c r="AB317" s="224">
        <v>0</v>
      </c>
      <c r="AC317" s="224">
        <f t="shared" si="22"/>
        <v>0</v>
      </c>
    </row>
    <row r="318" spans="1:29" s="9" customFormat="1" ht="15" customHeight="1">
      <c r="A318" s="27" t="s">
        <v>762</v>
      </c>
      <c r="B318" s="25" t="s">
        <v>1701</v>
      </c>
      <c r="C318" s="25" t="s">
        <v>302</v>
      </c>
      <c r="D318" s="25" t="s">
        <v>1717</v>
      </c>
      <c r="E318" s="27" t="s">
        <v>1807</v>
      </c>
      <c r="F318" s="27" t="s">
        <v>1808</v>
      </c>
      <c r="G318" s="27" t="s">
        <v>35</v>
      </c>
      <c r="H318" s="32" t="s">
        <v>1836</v>
      </c>
      <c r="I318" s="32" t="e">
        <f>VLOOKUP(H318,'合同高级查询数据-8月返'!A:A,1,FALSE)</f>
        <v>#N/A</v>
      </c>
      <c r="J318" s="169" t="s">
        <v>37</v>
      </c>
      <c r="K318" s="27" t="s">
        <v>1831</v>
      </c>
      <c r="L318" s="170" t="s">
        <v>1837</v>
      </c>
      <c r="M318" s="49" t="s">
        <v>1833</v>
      </c>
      <c r="N318" s="216" t="s">
        <v>1838</v>
      </c>
      <c r="O318" s="25" t="s">
        <v>1839</v>
      </c>
      <c r="P318" s="208">
        <v>4650</v>
      </c>
      <c r="Q318" s="219">
        <v>191.9</v>
      </c>
      <c r="R318" s="220">
        <f t="shared" si="21"/>
        <v>892335</v>
      </c>
      <c r="S318" s="55">
        <v>202308</v>
      </c>
      <c r="T318" s="185" t="s">
        <v>1840</v>
      </c>
      <c r="U318" s="229"/>
      <c r="V318" s="225">
        <v>191.81546020499999</v>
      </c>
      <c r="W318" s="226"/>
      <c r="X318" s="70"/>
      <c r="Y318" s="70"/>
      <c r="Z318" s="25" t="s">
        <v>1841</v>
      </c>
      <c r="AA318" s="195">
        <v>0.4</v>
      </c>
      <c r="AB318" s="226">
        <v>400</v>
      </c>
      <c r="AC318" s="225">
        <f t="shared" si="22"/>
        <v>160</v>
      </c>
    </row>
    <row r="319" spans="1:29" s="10" customFormat="1" ht="15" customHeight="1">
      <c r="A319" s="30" t="s">
        <v>762</v>
      </c>
      <c r="B319" s="28" t="s">
        <v>1701</v>
      </c>
      <c r="C319" s="28" t="s">
        <v>1212</v>
      </c>
      <c r="D319" s="28" t="s">
        <v>1760</v>
      </c>
      <c r="E319" s="30" t="s">
        <v>1842</v>
      </c>
      <c r="F319" s="30" t="s">
        <v>1843</v>
      </c>
      <c r="G319" s="30" t="s">
        <v>35</v>
      </c>
      <c r="H319" s="33" t="s">
        <v>1844</v>
      </c>
      <c r="I319" s="33" t="e">
        <f>VLOOKUP(H319,'合同高级查询数据-8月返'!A:A,1,FALSE)</f>
        <v>#N/A</v>
      </c>
      <c r="J319" s="167" t="s">
        <v>37</v>
      </c>
      <c r="K319" s="30" t="s">
        <v>1227</v>
      </c>
      <c r="L319" s="168" t="s">
        <v>1845</v>
      </c>
      <c r="M319" s="107" t="s">
        <v>1846</v>
      </c>
      <c r="N319" s="74" t="s">
        <v>1847</v>
      </c>
      <c r="O319" s="28" t="s">
        <v>1848</v>
      </c>
      <c r="P319" s="207">
        <v>5667</v>
      </c>
      <c r="Q319" s="217">
        <v>0</v>
      </c>
      <c r="R319" s="218">
        <f t="shared" si="21"/>
        <v>0</v>
      </c>
      <c r="S319" s="59">
        <v>202308</v>
      </c>
      <c r="T319" s="184" t="s">
        <v>1849</v>
      </c>
      <c r="U319" s="228"/>
      <c r="V319" s="224">
        <v>0</v>
      </c>
      <c r="W319" s="227"/>
      <c r="X319" s="74">
        <v>44378</v>
      </c>
      <c r="Y319" s="74">
        <v>44742</v>
      </c>
      <c r="Z319" s="224">
        <v>0</v>
      </c>
      <c r="AA319" s="193">
        <v>0</v>
      </c>
      <c r="AB319" s="224">
        <v>0</v>
      </c>
      <c r="AC319" s="224">
        <f t="shared" si="22"/>
        <v>0</v>
      </c>
    </row>
    <row r="320" spans="1:29" s="10" customFormat="1" ht="15" customHeight="1">
      <c r="A320" s="30" t="s">
        <v>762</v>
      </c>
      <c r="B320" s="28" t="s">
        <v>1701</v>
      </c>
      <c r="C320" s="28" t="s">
        <v>1850</v>
      </c>
      <c r="D320" s="28" t="s">
        <v>1717</v>
      </c>
      <c r="E320" s="30" t="s">
        <v>1842</v>
      </c>
      <c r="F320" s="30" t="s">
        <v>1843</v>
      </c>
      <c r="G320" s="30" t="s">
        <v>35</v>
      </c>
      <c r="H320" s="33" t="s">
        <v>1851</v>
      </c>
      <c r="I320" s="33" t="e">
        <f>VLOOKUP(H320,'合同高级查询数据-8月返'!A:A,1,FALSE)</f>
        <v>#N/A</v>
      </c>
      <c r="J320" s="167" t="s">
        <v>37</v>
      </c>
      <c r="K320" s="30" t="s">
        <v>1852</v>
      </c>
      <c r="L320" s="168" t="s">
        <v>1853</v>
      </c>
      <c r="M320" s="107" t="s">
        <v>1854</v>
      </c>
      <c r="N320" s="74" t="s">
        <v>1855</v>
      </c>
      <c r="O320" s="28" t="s">
        <v>1263</v>
      </c>
      <c r="P320" s="207">
        <v>5833</v>
      </c>
      <c r="Q320" s="217">
        <v>0</v>
      </c>
      <c r="R320" s="218">
        <f t="shared" si="21"/>
        <v>0</v>
      </c>
      <c r="S320" s="59">
        <v>202308</v>
      </c>
      <c r="T320" s="184" t="s">
        <v>1856</v>
      </c>
      <c r="U320" s="228"/>
      <c r="V320" s="224">
        <v>0</v>
      </c>
      <c r="W320" s="227"/>
      <c r="X320" s="74">
        <v>44228</v>
      </c>
      <c r="Y320" s="74">
        <v>44592</v>
      </c>
      <c r="Z320" s="224">
        <v>0</v>
      </c>
      <c r="AA320" s="193">
        <v>0</v>
      </c>
      <c r="AB320" s="224">
        <v>0</v>
      </c>
      <c r="AC320" s="224">
        <f t="shared" si="22"/>
        <v>0</v>
      </c>
    </row>
    <row r="321" spans="1:29" s="10" customFormat="1" ht="15" customHeight="1">
      <c r="A321" s="30" t="s">
        <v>762</v>
      </c>
      <c r="B321" s="28" t="s">
        <v>1701</v>
      </c>
      <c r="C321" s="28" t="s">
        <v>1212</v>
      </c>
      <c r="D321" s="28" t="s">
        <v>1760</v>
      </c>
      <c r="E321" s="30" t="s">
        <v>1857</v>
      </c>
      <c r="F321" s="30" t="s">
        <v>1858</v>
      </c>
      <c r="G321" s="30" t="s">
        <v>35</v>
      </c>
      <c r="H321" s="33" t="s">
        <v>1859</v>
      </c>
      <c r="I321" s="33" t="e">
        <f>VLOOKUP(H321,'合同高级查询数据-8月返'!A:A,1,FALSE)</f>
        <v>#N/A</v>
      </c>
      <c r="J321" s="167" t="s">
        <v>37</v>
      </c>
      <c r="K321" s="30" t="s">
        <v>1860</v>
      </c>
      <c r="L321" s="168" t="s">
        <v>1861</v>
      </c>
      <c r="M321" s="107" t="s">
        <v>1862</v>
      </c>
      <c r="N321" s="74" t="s">
        <v>1863</v>
      </c>
      <c r="O321" s="28" t="s">
        <v>1864</v>
      </c>
      <c r="P321" s="211">
        <v>5666.67</v>
      </c>
      <c r="Q321" s="217">
        <v>0</v>
      </c>
      <c r="R321" s="218">
        <f t="shared" si="21"/>
        <v>0</v>
      </c>
      <c r="S321" s="59">
        <v>202308</v>
      </c>
      <c r="T321" s="184" t="s">
        <v>1865</v>
      </c>
      <c r="U321" s="228"/>
      <c r="V321" s="224">
        <v>0</v>
      </c>
      <c r="W321" s="227"/>
      <c r="X321" s="74">
        <v>44470</v>
      </c>
      <c r="Y321" s="74">
        <v>44834</v>
      </c>
      <c r="Z321" s="224">
        <v>0</v>
      </c>
      <c r="AA321" s="193">
        <v>0</v>
      </c>
      <c r="AB321" s="224">
        <v>0</v>
      </c>
      <c r="AC321" s="224">
        <f t="shared" si="22"/>
        <v>0</v>
      </c>
    </row>
    <row r="322" spans="1:29" s="10" customFormat="1" ht="15" customHeight="1">
      <c r="A322" s="30" t="s">
        <v>762</v>
      </c>
      <c r="B322" s="28" t="s">
        <v>1701</v>
      </c>
      <c r="C322" s="28" t="s">
        <v>1212</v>
      </c>
      <c r="D322" s="28" t="s">
        <v>1760</v>
      </c>
      <c r="E322" s="30" t="s">
        <v>1857</v>
      </c>
      <c r="F322" s="30" t="s">
        <v>1858</v>
      </c>
      <c r="G322" s="30" t="s">
        <v>35</v>
      </c>
      <c r="H322" s="33" t="s">
        <v>1859</v>
      </c>
      <c r="I322" s="33" t="e">
        <f>VLOOKUP(H322,'合同高级查询数据-8月返'!A:A,1,FALSE)</f>
        <v>#N/A</v>
      </c>
      <c r="J322" s="167" t="s">
        <v>37</v>
      </c>
      <c r="K322" s="30" t="s">
        <v>1234</v>
      </c>
      <c r="L322" s="168" t="s">
        <v>1866</v>
      </c>
      <c r="M322" s="107" t="s">
        <v>1867</v>
      </c>
      <c r="N322" s="74" t="s">
        <v>1868</v>
      </c>
      <c r="O322" s="28" t="s">
        <v>1263</v>
      </c>
      <c r="P322" s="211">
        <v>5666.67</v>
      </c>
      <c r="Q322" s="217">
        <v>0</v>
      </c>
      <c r="R322" s="218">
        <f t="shared" si="21"/>
        <v>0</v>
      </c>
      <c r="S322" s="59">
        <v>202308</v>
      </c>
      <c r="T322" s="184" t="s">
        <v>1869</v>
      </c>
      <c r="U322" s="228"/>
      <c r="V322" s="224">
        <v>0</v>
      </c>
      <c r="W322" s="227"/>
      <c r="X322" s="74">
        <v>44470</v>
      </c>
      <c r="Y322" s="74">
        <v>44834</v>
      </c>
      <c r="Z322" s="224">
        <v>0</v>
      </c>
      <c r="AA322" s="193">
        <v>0</v>
      </c>
      <c r="AB322" s="224">
        <v>0</v>
      </c>
      <c r="AC322" s="224">
        <f t="shared" si="22"/>
        <v>0</v>
      </c>
    </row>
    <row r="323" spans="1:29" s="10" customFormat="1" ht="15" customHeight="1">
      <c r="A323" s="201" t="s">
        <v>750</v>
      </c>
      <c r="B323" s="28" t="s">
        <v>1701</v>
      </c>
      <c r="C323" s="28" t="s">
        <v>1870</v>
      </c>
      <c r="D323" s="28" t="s">
        <v>1760</v>
      </c>
      <c r="E323" s="30" t="s">
        <v>1857</v>
      </c>
      <c r="F323" s="30" t="s">
        <v>1858</v>
      </c>
      <c r="G323" s="30" t="s">
        <v>35</v>
      </c>
      <c r="H323" s="33" t="s">
        <v>1871</v>
      </c>
      <c r="I323" s="33" t="e">
        <f>VLOOKUP(H323,'合同高级查询数据-8月返'!A:A,1,FALSE)</f>
        <v>#N/A</v>
      </c>
      <c r="J323" s="167" t="s">
        <v>37</v>
      </c>
      <c r="K323" s="30" t="s">
        <v>1872</v>
      </c>
      <c r="L323" s="168" t="s">
        <v>1873</v>
      </c>
      <c r="M323" s="107" t="s">
        <v>1874</v>
      </c>
      <c r="N323" s="74" t="s">
        <v>1875</v>
      </c>
      <c r="O323" s="28" t="s">
        <v>1876</v>
      </c>
      <c r="P323" s="211">
        <v>6000</v>
      </c>
      <c r="Q323" s="217">
        <v>69.2</v>
      </c>
      <c r="R323" s="218">
        <f t="shared" si="21"/>
        <v>415200</v>
      </c>
      <c r="S323" s="59">
        <v>202308</v>
      </c>
      <c r="T323" s="184" t="s">
        <v>1877</v>
      </c>
      <c r="U323" s="228"/>
      <c r="V323" s="224">
        <v>69.180519103999998</v>
      </c>
      <c r="W323" s="227"/>
      <c r="X323" s="74">
        <v>45017</v>
      </c>
      <c r="Y323" s="74">
        <v>45382</v>
      </c>
      <c r="Z323" s="28" t="s">
        <v>1878</v>
      </c>
      <c r="AA323" s="194">
        <v>0.3</v>
      </c>
      <c r="AB323" s="227">
        <v>200</v>
      </c>
      <c r="AC323" s="224">
        <f t="shared" si="22"/>
        <v>60</v>
      </c>
    </row>
    <row r="324" spans="1:29" s="10" customFormat="1" ht="15" customHeight="1">
      <c r="A324" s="201" t="s">
        <v>750</v>
      </c>
      <c r="B324" s="28" t="s">
        <v>1701</v>
      </c>
      <c r="C324" s="28" t="s">
        <v>1870</v>
      </c>
      <c r="D324" s="28" t="s">
        <v>1760</v>
      </c>
      <c r="E324" s="30" t="s">
        <v>1857</v>
      </c>
      <c r="F324" s="30" t="s">
        <v>1858</v>
      </c>
      <c r="G324" s="30" t="s">
        <v>35</v>
      </c>
      <c r="H324" s="33" t="s">
        <v>1871</v>
      </c>
      <c r="I324" s="33" t="e">
        <f>VLOOKUP(H324,'合同高级查询数据-8月返'!A:A,1,FALSE)</f>
        <v>#N/A</v>
      </c>
      <c r="J324" s="167" t="s">
        <v>37</v>
      </c>
      <c r="K324" s="30" t="s">
        <v>1872</v>
      </c>
      <c r="L324" s="168" t="s">
        <v>1879</v>
      </c>
      <c r="M324" s="107" t="s">
        <v>1874</v>
      </c>
      <c r="N324" s="74" t="s">
        <v>1880</v>
      </c>
      <c r="O324" s="28" t="s">
        <v>853</v>
      </c>
      <c r="P324" s="211">
        <v>6000</v>
      </c>
      <c r="Q324" s="217">
        <v>79.8</v>
      </c>
      <c r="R324" s="218">
        <f t="shared" si="21"/>
        <v>478800</v>
      </c>
      <c r="S324" s="59">
        <v>202308</v>
      </c>
      <c r="T324" s="184" t="s">
        <v>1881</v>
      </c>
      <c r="U324" s="228"/>
      <c r="V324" s="224">
        <v>79.794021606000001</v>
      </c>
      <c r="W324" s="28"/>
      <c r="X324" s="74">
        <v>45017</v>
      </c>
      <c r="Y324" s="74">
        <v>45382</v>
      </c>
      <c r="Z324" s="28" t="s">
        <v>1882</v>
      </c>
      <c r="AA324" s="194">
        <v>0.3</v>
      </c>
      <c r="AB324" s="227">
        <v>200</v>
      </c>
      <c r="AC324" s="224">
        <f t="shared" si="22"/>
        <v>60</v>
      </c>
    </row>
    <row r="325" spans="1:29" s="10" customFormat="1" ht="15" customHeight="1">
      <c r="A325" s="201" t="s">
        <v>750</v>
      </c>
      <c r="B325" s="28" t="s">
        <v>1701</v>
      </c>
      <c r="C325" s="28" t="s">
        <v>1212</v>
      </c>
      <c r="D325" s="28" t="s">
        <v>1760</v>
      </c>
      <c r="E325" s="30" t="s">
        <v>1857</v>
      </c>
      <c r="F325" s="30" t="s">
        <v>1858</v>
      </c>
      <c r="G325" s="30" t="s">
        <v>35</v>
      </c>
      <c r="H325" s="33" t="s">
        <v>1883</v>
      </c>
      <c r="I325" s="33" t="e">
        <f>VLOOKUP(H325,'合同高级查询数据-8月返'!A:A,1,FALSE)</f>
        <v>#N/A</v>
      </c>
      <c r="J325" s="167" t="s">
        <v>37</v>
      </c>
      <c r="K325" s="30" t="s">
        <v>1860</v>
      </c>
      <c r="L325" s="168" t="s">
        <v>1884</v>
      </c>
      <c r="M325" s="107" t="s">
        <v>1885</v>
      </c>
      <c r="N325" s="74" t="s">
        <v>1880</v>
      </c>
      <c r="O325" s="227" t="s">
        <v>1886</v>
      </c>
      <c r="P325" s="211">
        <v>5833.33</v>
      </c>
      <c r="Q325" s="217">
        <v>148</v>
      </c>
      <c r="R325" s="218">
        <f t="shared" si="21"/>
        <v>863332.84</v>
      </c>
      <c r="S325" s="59">
        <v>202308</v>
      </c>
      <c r="T325" s="184" t="s">
        <v>1887</v>
      </c>
      <c r="U325" s="228"/>
      <c r="V325" s="224">
        <v>147.95576477099999</v>
      </c>
      <c r="W325" s="28"/>
      <c r="X325" s="74">
        <v>45078</v>
      </c>
      <c r="Y325" s="74">
        <v>45443</v>
      </c>
      <c r="Z325" s="28" t="s">
        <v>1888</v>
      </c>
      <c r="AA325" s="194">
        <v>0.3</v>
      </c>
      <c r="AB325" s="227">
        <v>400</v>
      </c>
      <c r="AC325" s="224">
        <f t="shared" si="22"/>
        <v>120</v>
      </c>
    </row>
    <row r="326" spans="1:29" s="10" customFormat="1" ht="15" customHeight="1">
      <c r="A326" s="30" t="s">
        <v>762</v>
      </c>
      <c r="B326" s="28" t="s">
        <v>1701</v>
      </c>
      <c r="C326" s="28" t="s">
        <v>1212</v>
      </c>
      <c r="D326" s="28" t="s">
        <v>1760</v>
      </c>
      <c r="E326" s="30" t="s">
        <v>1857</v>
      </c>
      <c r="F326" s="30" t="s">
        <v>1858</v>
      </c>
      <c r="G326" s="30" t="s">
        <v>35</v>
      </c>
      <c r="H326" s="33" t="s">
        <v>1889</v>
      </c>
      <c r="I326" s="33" t="e">
        <f>VLOOKUP(H326,'合同高级查询数据-8月返'!A:A,1,FALSE)</f>
        <v>#N/A</v>
      </c>
      <c r="J326" s="167" t="s">
        <v>37</v>
      </c>
      <c r="K326" s="30" t="s">
        <v>1222</v>
      </c>
      <c r="L326" s="168" t="s">
        <v>1890</v>
      </c>
      <c r="M326" s="107" t="s">
        <v>1891</v>
      </c>
      <c r="N326" s="215" t="s">
        <v>1892</v>
      </c>
      <c r="O326" s="227" t="s">
        <v>1893</v>
      </c>
      <c r="P326" s="211">
        <v>4600</v>
      </c>
      <c r="Q326" s="217">
        <v>121</v>
      </c>
      <c r="R326" s="218">
        <f t="shared" si="21"/>
        <v>556600</v>
      </c>
      <c r="S326" s="59">
        <v>202308</v>
      </c>
      <c r="T326" s="184" t="s">
        <v>1894</v>
      </c>
      <c r="U326" s="228"/>
      <c r="V326" s="224">
        <v>120.973251343</v>
      </c>
      <c r="W326" s="28"/>
      <c r="X326" s="187">
        <v>44958</v>
      </c>
      <c r="Y326" s="187">
        <v>45322</v>
      </c>
      <c r="Z326" s="28" t="s">
        <v>1895</v>
      </c>
      <c r="AA326" s="194">
        <v>0.3</v>
      </c>
      <c r="AB326" s="227">
        <v>300</v>
      </c>
      <c r="AC326" s="224">
        <f t="shared" si="22"/>
        <v>90</v>
      </c>
    </row>
    <row r="327" spans="1:29" s="10" customFormat="1" ht="15" customHeight="1">
      <c r="A327" s="30" t="s">
        <v>762</v>
      </c>
      <c r="B327" s="28" t="s">
        <v>1701</v>
      </c>
      <c r="C327" s="28" t="s">
        <v>1870</v>
      </c>
      <c r="D327" s="28" t="s">
        <v>1760</v>
      </c>
      <c r="E327" s="30" t="s">
        <v>1857</v>
      </c>
      <c r="F327" s="30" t="s">
        <v>1858</v>
      </c>
      <c r="G327" s="30" t="s">
        <v>35</v>
      </c>
      <c r="H327" s="33" t="s">
        <v>1896</v>
      </c>
      <c r="I327" s="33" t="e">
        <f>VLOOKUP(H327,'合同高级查询数据-8月返'!A:A,1,FALSE)</f>
        <v>#N/A</v>
      </c>
      <c r="J327" s="167" t="s">
        <v>37</v>
      </c>
      <c r="K327" s="30" t="s">
        <v>1872</v>
      </c>
      <c r="L327" s="168" t="s">
        <v>1897</v>
      </c>
      <c r="M327" s="107" t="s">
        <v>1898</v>
      </c>
      <c r="N327" s="215" t="s">
        <v>1899</v>
      </c>
      <c r="O327" s="227" t="s">
        <v>1900</v>
      </c>
      <c r="P327" s="211">
        <v>5000</v>
      </c>
      <c r="Q327" s="217">
        <v>71.7</v>
      </c>
      <c r="R327" s="218">
        <f t="shared" si="21"/>
        <v>358500</v>
      </c>
      <c r="S327" s="59">
        <v>202308</v>
      </c>
      <c r="T327" s="184" t="s">
        <v>1901</v>
      </c>
      <c r="U327" s="228"/>
      <c r="V327" s="224">
        <v>71.666076660000002</v>
      </c>
      <c r="W327" s="28"/>
      <c r="X327" s="74">
        <v>45078</v>
      </c>
      <c r="Y327" s="74">
        <v>45443</v>
      </c>
      <c r="Z327" s="28" t="s">
        <v>1902</v>
      </c>
      <c r="AA327" s="194">
        <v>0.25</v>
      </c>
      <c r="AB327" s="227">
        <v>200</v>
      </c>
      <c r="AC327" s="224">
        <f t="shared" si="22"/>
        <v>50</v>
      </c>
    </row>
    <row r="328" spans="1:29" s="10" customFormat="1" ht="15" customHeight="1">
      <c r="A328" s="30" t="s">
        <v>762</v>
      </c>
      <c r="B328" s="28" t="s">
        <v>1701</v>
      </c>
      <c r="C328" s="28" t="s">
        <v>1212</v>
      </c>
      <c r="D328" s="28" t="s">
        <v>1760</v>
      </c>
      <c r="E328" s="30" t="s">
        <v>1857</v>
      </c>
      <c r="F328" s="30" t="s">
        <v>1858</v>
      </c>
      <c r="G328" s="30" t="s">
        <v>35</v>
      </c>
      <c r="H328" s="33" t="s">
        <v>1903</v>
      </c>
      <c r="I328" s="33" t="e">
        <f>VLOOKUP(H328,'合同高级查询数据-8月返'!A:A,1,FALSE)</f>
        <v>#N/A</v>
      </c>
      <c r="J328" s="167" t="s">
        <v>37</v>
      </c>
      <c r="K328" s="30" t="s">
        <v>1222</v>
      </c>
      <c r="L328" s="168" t="s">
        <v>1904</v>
      </c>
      <c r="M328" s="107" t="s">
        <v>1891</v>
      </c>
      <c r="N328" s="215">
        <v>44775</v>
      </c>
      <c r="O328" s="227" t="s">
        <v>319</v>
      </c>
      <c r="P328" s="211">
        <v>4600</v>
      </c>
      <c r="Q328" s="217">
        <v>78.7</v>
      </c>
      <c r="R328" s="218">
        <f t="shared" si="21"/>
        <v>362020</v>
      </c>
      <c r="S328" s="59">
        <v>202308</v>
      </c>
      <c r="T328" s="184" t="s">
        <v>1905</v>
      </c>
      <c r="U328" s="228"/>
      <c r="V328" s="224">
        <v>78.654434203999998</v>
      </c>
      <c r="W328" s="28"/>
      <c r="X328" s="74">
        <v>44958</v>
      </c>
      <c r="Y328" s="74">
        <v>45322</v>
      </c>
      <c r="Z328" s="28" t="s">
        <v>1906</v>
      </c>
      <c r="AA328" s="194">
        <v>0.3</v>
      </c>
      <c r="AB328" s="227">
        <v>200</v>
      </c>
      <c r="AC328" s="224">
        <f t="shared" si="22"/>
        <v>60</v>
      </c>
    </row>
    <row r="329" spans="1:29" s="10" customFormat="1" ht="15" customHeight="1">
      <c r="A329" s="30" t="s">
        <v>769</v>
      </c>
      <c r="B329" s="28" t="s">
        <v>1701</v>
      </c>
      <c r="C329" s="28" t="s">
        <v>1383</v>
      </c>
      <c r="D329" s="28" t="s">
        <v>1760</v>
      </c>
      <c r="E329" s="30" t="s">
        <v>1857</v>
      </c>
      <c r="F329" s="30" t="s">
        <v>1858</v>
      </c>
      <c r="G329" s="30" t="s">
        <v>35</v>
      </c>
      <c r="H329" s="33" t="s">
        <v>1907</v>
      </c>
      <c r="I329" s="33" t="e">
        <f>VLOOKUP(H329,'合同高级查询数据-8月返'!A:A,1,FALSE)</f>
        <v>#N/A</v>
      </c>
      <c r="J329" s="167" t="s">
        <v>37</v>
      </c>
      <c r="K329" s="30" t="s">
        <v>1383</v>
      </c>
      <c r="L329" s="168" t="s">
        <v>1908</v>
      </c>
      <c r="M329" s="107" t="s">
        <v>1909</v>
      </c>
      <c r="N329" s="215" t="s">
        <v>1910</v>
      </c>
      <c r="O329" s="227" t="s">
        <v>1911</v>
      </c>
      <c r="P329" s="211">
        <v>2800</v>
      </c>
      <c r="Q329" s="217">
        <v>0</v>
      </c>
      <c r="R329" s="218">
        <f t="shared" si="21"/>
        <v>0</v>
      </c>
      <c r="S329" s="59">
        <v>202308</v>
      </c>
      <c r="T329" s="184" t="s">
        <v>1912</v>
      </c>
      <c r="U329" s="228"/>
      <c r="V329" s="224">
        <v>0</v>
      </c>
      <c r="W329" s="28"/>
      <c r="X329" s="74">
        <v>44986</v>
      </c>
      <c r="Y329" s="74">
        <v>45351</v>
      </c>
      <c r="Z329" s="224">
        <v>0</v>
      </c>
      <c r="AA329" s="193">
        <v>0</v>
      </c>
      <c r="AB329" s="224">
        <v>0</v>
      </c>
      <c r="AC329" s="224">
        <f t="shared" si="22"/>
        <v>0</v>
      </c>
    </row>
    <row r="330" spans="1:29" s="9" customFormat="1" ht="15" customHeight="1">
      <c r="A330" s="27" t="s">
        <v>769</v>
      </c>
      <c r="B330" s="27" t="s">
        <v>1701</v>
      </c>
      <c r="C330" s="27" t="s">
        <v>1242</v>
      </c>
      <c r="D330" s="25" t="s">
        <v>32</v>
      </c>
      <c r="E330" s="27" t="s">
        <v>1857</v>
      </c>
      <c r="F330" s="27" t="s">
        <v>1858</v>
      </c>
      <c r="G330" s="27" t="s">
        <v>35</v>
      </c>
      <c r="H330" s="32" t="s">
        <v>1913</v>
      </c>
      <c r="I330" s="32" t="e">
        <f>VLOOKUP(H330,'合同高级查询数据-8月返'!A:A,1,FALSE)</f>
        <v>#N/A</v>
      </c>
      <c r="J330" s="169" t="s">
        <v>37</v>
      </c>
      <c r="K330" s="27" t="s">
        <v>1686</v>
      </c>
      <c r="L330" s="170" t="s">
        <v>1914</v>
      </c>
      <c r="M330" s="49" t="s">
        <v>1915</v>
      </c>
      <c r="N330" s="209">
        <v>45139</v>
      </c>
      <c r="O330" s="209" t="s">
        <v>1916</v>
      </c>
      <c r="P330" s="208">
        <v>4200</v>
      </c>
      <c r="Q330" s="219">
        <v>107.5</v>
      </c>
      <c r="R330" s="220">
        <f t="shared" si="21"/>
        <v>451500</v>
      </c>
      <c r="S330" s="55">
        <v>202308</v>
      </c>
      <c r="T330" s="185" t="s">
        <v>1917</v>
      </c>
      <c r="U330" s="225"/>
      <c r="V330" s="225">
        <v>107.440414429</v>
      </c>
      <c r="W330" s="226"/>
      <c r="X330" s="70"/>
      <c r="Y330" s="105"/>
      <c r="Z330" s="230" t="s">
        <v>1918</v>
      </c>
      <c r="AA330" s="195">
        <v>0.4</v>
      </c>
      <c r="AB330" s="226">
        <v>220</v>
      </c>
      <c r="AC330" s="225">
        <f t="shared" si="22"/>
        <v>88</v>
      </c>
    </row>
    <row r="331" spans="1:29" s="10" customFormat="1" ht="15" customHeight="1">
      <c r="A331" s="30" t="s">
        <v>769</v>
      </c>
      <c r="B331" s="30" t="s">
        <v>1701</v>
      </c>
      <c r="C331" s="30" t="s">
        <v>1242</v>
      </c>
      <c r="D331" s="28" t="s">
        <v>32</v>
      </c>
      <c r="E331" s="30" t="s">
        <v>1919</v>
      </c>
      <c r="F331" s="30" t="s">
        <v>1920</v>
      </c>
      <c r="G331" s="30" t="s">
        <v>35</v>
      </c>
      <c r="H331" s="33" t="s">
        <v>1921</v>
      </c>
      <c r="I331" s="33" t="e">
        <f>VLOOKUP(H331,'合同高级查询数据-8月返'!A:A,1,FALSE)</f>
        <v>#N/A</v>
      </c>
      <c r="J331" s="167" t="s">
        <v>37</v>
      </c>
      <c r="K331" s="30" t="s">
        <v>1686</v>
      </c>
      <c r="L331" s="168" t="s">
        <v>1914</v>
      </c>
      <c r="M331" s="107" t="s">
        <v>1915</v>
      </c>
      <c r="N331" s="213" t="s">
        <v>1922</v>
      </c>
      <c r="O331" s="213" t="s">
        <v>1793</v>
      </c>
      <c r="P331" s="207">
        <v>5000</v>
      </c>
      <c r="Q331" s="217">
        <v>0</v>
      </c>
      <c r="R331" s="218">
        <f t="shared" si="21"/>
        <v>0</v>
      </c>
      <c r="S331" s="59">
        <v>202308</v>
      </c>
      <c r="T331" s="184" t="s">
        <v>1917</v>
      </c>
      <c r="U331" s="224"/>
      <c r="V331" s="224">
        <v>0</v>
      </c>
      <c r="W331" s="227"/>
      <c r="X331" s="74">
        <v>44835</v>
      </c>
      <c r="Y331" s="108">
        <v>45199</v>
      </c>
      <c r="Z331" s="224">
        <v>0</v>
      </c>
      <c r="AA331" s="193">
        <v>0</v>
      </c>
      <c r="AB331" s="224">
        <v>0</v>
      </c>
      <c r="AC331" s="224">
        <f t="shared" si="22"/>
        <v>0</v>
      </c>
    </row>
    <row r="332" spans="1:29" s="10" customFormat="1" ht="15" customHeight="1">
      <c r="A332" s="30" t="s">
        <v>762</v>
      </c>
      <c r="B332" s="30" t="s">
        <v>1701</v>
      </c>
      <c r="C332" s="30" t="s">
        <v>138</v>
      </c>
      <c r="D332" s="28" t="s">
        <v>32</v>
      </c>
      <c r="E332" s="30" t="s">
        <v>1919</v>
      </c>
      <c r="F332" s="30" t="s">
        <v>1920</v>
      </c>
      <c r="G332" s="30" t="s">
        <v>35</v>
      </c>
      <c r="H332" s="33" t="s">
        <v>1923</v>
      </c>
      <c r="I332" s="33" t="str">
        <f>VLOOKUP(H332,'合同高级查询数据-8月返'!A:A,1,FALSE)</f>
        <v>182315IDC00322</v>
      </c>
      <c r="J332" s="167" t="s">
        <v>37</v>
      </c>
      <c r="K332" s="30" t="s">
        <v>632</v>
      </c>
      <c r="L332" s="28" t="s">
        <v>1924</v>
      </c>
      <c r="M332" s="107" t="s">
        <v>1925</v>
      </c>
      <c r="N332" s="213" t="s">
        <v>1926</v>
      </c>
      <c r="O332" s="213" t="s">
        <v>1927</v>
      </c>
      <c r="P332" s="207">
        <v>5400</v>
      </c>
      <c r="Q332" s="217">
        <v>45.5</v>
      </c>
      <c r="R332" s="218">
        <f t="shared" si="21"/>
        <v>245700</v>
      </c>
      <c r="S332" s="59">
        <v>202308</v>
      </c>
      <c r="T332" s="184" t="s">
        <v>1928</v>
      </c>
      <c r="U332" s="224"/>
      <c r="V332" s="224">
        <v>45.495002747000001</v>
      </c>
      <c r="W332" s="227"/>
      <c r="X332" s="74">
        <v>45017</v>
      </c>
      <c r="Y332" s="74">
        <v>45382</v>
      </c>
      <c r="Z332" s="28" t="s">
        <v>1929</v>
      </c>
      <c r="AA332" s="194">
        <v>0.3</v>
      </c>
      <c r="AB332" s="227">
        <v>100</v>
      </c>
      <c r="AC332" s="224">
        <f t="shared" si="22"/>
        <v>30</v>
      </c>
    </row>
    <row r="333" spans="1:29" s="10" customFormat="1" ht="15" customHeight="1">
      <c r="A333" s="30" t="s">
        <v>750</v>
      </c>
      <c r="B333" s="30" t="s">
        <v>1701</v>
      </c>
      <c r="C333" s="30" t="s">
        <v>1310</v>
      </c>
      <c r="D333" s="28" t="s">
        <v>1760</v>
      </c>
      <c r="E333" s="30" t="s">
        <v>1919</v>
      </c>
      <c r="F333" s="30" t="s">
        <v>1920</v>
      </c>
      <c r="G333" s="30" t="s">
        <v>35</v>
      </c>
      <c r="H333" s="33" t="s">
        <v>1930</v>
      </c>
      <c r="I333" s="33" t="e">
        <f>VLOOKUP(H333,'合同高级查询数据-8月返'!A:A,1,FALSE)</f>
        <v>#N/A</v>
      </c>
      <c r="J333" s="167" t="s">
        <v>37</v>
      </c>
      <c r="K333" s="30" t="s">
        <v>1505</v>
      </c>
      <c r="L333" s="30" t="s">
        <v>1931</v>
      </c>
      <c r="M333" s="107" t="s">
        <v>1932</v>
      </c>
      <c r="N333" s="213" t="s">
        <v>1933</v>
      </c>
      <c r="O333" s="213" t="s">
        <v>1934</v>
      </c>
      <c r="P333" s="207">
        <v>16667</v>
      </c>
      <c r="Q333" s="217">
        <v>32.799999999999997</v>
      </c>
      <c r="R333" s="218">
        <f t="shared" si="21"/>
        <v>546677.6</v>
      </c>
      <c r="S333" s="59">
        <v>202308</v>
      </c>
      <c r="T333" s="184" t="s">
        <v>1935</v>
      </c>
      <c r="U333" s="224"/>
      <c r="V333" s="224">
        <v>32.710384369000003</v>
      </c>
      <c r="W333" s="227"/>
      <c r="X333" s="74">
        <v>44835</v>
      </c>
      <c r="Y333" s="108">
        <v>45199</v>
      </c>
      <c r="Z333" s="28" t="s">
        <v>1936</v>
      </c>
      <c r="AA333" s="194">
        <v>0.2</v>
      </c>
      <c r="AB333" s="227">
        <v>140</v>
      </c>
      <c r="AC333" s="224">
        <f t="shared" si="22"/>
        <v>28</v>
      </c>
    </row>
    <row r="334" spans="1:29" s="10" customFormat="1" ht="15" customHeight="1">
      <c r="A334" s="30" t="s">
        <v>750</v>
      </c>
      <c r="B334" s="30" t="s">
        <v>1701</v>
      </c>
      <c r="C334" s="30" t="s">
        <v>1310</v>
      </c>
      <c r="D334" s="28" t="s">
        <v>1760</v>
      </c>
      <c r="E334" s="30" t="s">
        <v>1919</v>
      </c>
      <c r="F334" s="30" t="s">
        <v>1920</v>
      </c>
      <c r="G334" s="30" t="s">
        <v>35</v>
      </c>
      <c r="H334" s="33" t="s">
        <v>1930</v>
      </c>
      <c r="I334" s="33" t="e">
        <f>VLOOKUP(H334,'合同高级查询数据-8月返'!A:A,1,FALSE)</f>
        <v>#N/A</v>
      </c>
      <c r="J334" s="167" t="s">
        <v>37</v>
      </c>
      <c r="K334" s="30" t="s">
        <v>1505</v>
      </c>
      <c r="L334" s="30" t="s">
        <v>1937</v>
      </c>
      <c r="M334" s="107" t="s">
        <v>1938</v>
      </c>
      <c r="N334" s="213" t="s">
        <v>1939</v>
      </c>
      <c r="O334" s="213" t="s">
        <v>1934</v>
      </c>
      <c r="P334" s="207">
        <v>16667</v>
      </c>
      <c r="Q334" s="217">
        <v>31.4</v>
      </c>
      <c r="R334" s="218">
        <f t="shared" si="21"/>
        <v>523343.8</v>
      </c>
      <c r="S334" s="59">
        <v>202308</v>
      </c>
      <c r="T334" s="184" t="s">
        <v>1940</v>
      </c>
      <c r="U334" s="224"/>
      <c r="V334" s="224">
        <v>31.327861786</v>
      </c>
      <c r="W334" s="227"/>
      <c r="X334" s="74">
        <v>44835</v>
      </c>
      <c r="Y334" s="108">
        <v>45199</v>
      </c>
      <c r="Z334" s="28" t="s">
        <v>1941</v>
      </c>
      <c r="AA334" s="194">
        <v>0.2</v>
      </c>
      <c r="AB334" s="227">
        <v>140</v>
      </c>
      <c r="AC334" s="224">
        <f t="shared" si="22"/>
        <v>28</v>
      </c>
    </row>
    <row r="335" spans="1:29" s="10" customFormat="1" ht="15" customHeight="1">
      <c r="A335" s="30" t="s">
        <v>750</v>
      </c>
      <c r="B335" s="30" t="s">
        <v>1701</v>
      </c>
      <c r="C335" s="30" t="s">
        <v>1942</v>
      </c>
      <c r="D335" s="28" t="s">
        <v>32</v>
      </c>
      <c r="E335" s="30" t="s">
        <v>1919</v>
      </c>
      <c r="F335" s="30" t="s">
        <v>1920</v>
      </c>
      <c r="G335" s="30" t="s">
        <v>35</v>
      </c>
      <c r="H335" s="33" t="s">
        <v>1943</v>
      </c>
      <c r="I335" s="33" t="str">
        <f>VLOOKUP(H335,'合同高级查询数据-8月返'!A:A,1,FALSE)</f>
        <v>182315IDC00321</v>
      </c>
      <c r="J335" s="167" t="s">
        <v>37</v>
      </c>
      <c r="K335" s="168" t="s">
        <v>1944</v>
      </c>
      <c r="L335" s="168" t="s">
        <v>1945</v>
      </c>
      <c r="M335" s="107" t="s">
        <v>1946</v>
      </c>
      <c r="N335" s="74" t="s">
        <v>1947</v>
      </c>
      <c r="O335" s="235" t="s">
        <v>1776</v>
      </c>
      <c r="P335" s="207">
        <v>5000</v>
      </c>
      <c r="Q335" s="217">
        <v>49.7</v>
      </c>
      <c r="R335" s="218">
        <f t="shared" si="21"/>
        <v>248500</v>
      </c>
      <c r="S335" s="59">
        <v>202308</v>
      </c>
      <c r="T335" s="184" t="s">
        <v>1948</v>
      </c>
      <c r="U335" s="228"/>
      <c r="V335" s="224">
        <v>49.686809539999999</v>
      </c>
      <c r="W335" s="227"/>
      <c r="X335" s="74">
        <v>45017</v>
      </c>
      <c r="Y335" s="74">
        <v>45382</v>
      </c>
      <c r="Z335" s="28" t="s">
        <v>1949</v>
      </c>
      <c r="AA335" s="194">
        <v>0.3</v>
      </c>
      <c r="AB335" s="227">
        <v>120</v>
      </c>
      <c r="AC335" s="224">
        <f t="shared" si="22"/>
        <v>36</v>
      </c>
    </row>
    <row r="336" spans="1:29" s="10" customFormat="1" ht="15" customHeight="1">
      <c r="A336" s="201" t="s">
        <v>750</v>
      </c>
      <c r="B336" s="28" t="s">
        <v>1701</v>
      </c>
      <c r="C336" s="28" t="s">
        <v>1716</v>
      </c>
      <c r="D336" s="28" t="s">
        <v>1717</v>
      </c>
      <c r="E336" s="30" t="s">
        <v>1919</v>
      </c>
      <c r="F336" s="30" t="s">
        <v>1920</v>
      </c>
      <c r="G336" s="30" t="s">
        <v>35</v>
      </c>
      <c r="H336" s="33" t="s">
        <v>1950</v>
      </c>
      <c r="I336" s="33" t="e">
        <f>VLOOKUP(H336,'合同高级查询数据-8月返'!A:A,1,FALSE)</f>
        <v>#N/A</v>
      </c>
      <c r="J336" s="167" t="s">
        <v>37</v>
      </c>
      <c r="K336" s="30" t="s">
        <v>1951</v>
      </c>
      <c r="L336" s="168" t="s">
        <v>1952</v>
      </c>
      <c r="M336" s="107" t="s">
        <v>1953</v>
      </c>
      <c r="N336" s="74" t="s">
        <v>1954</v>
      </c>
      <c r="O336" s="28" t="s">
        <v>1848</v>
      </c>
      <c r="P336" s="207">
        <v>5416.67</v>
      </c>
      <c r="Q336" s="217">
        <v>0</v>
      </c>
      <c r="R336" s="218">
        <f t="shared" si="21"/>
        <v>0</v>
      </c>
      <c r="S336" s="59">
        <v>202308</v>
      </c>
      <c r="T336" s="184" t="s">
        <v>1955</v>
      </c>
      <c r="U336" s="228"/>
      <c r="V336" s="224">
        <v>0</v>
      </c>
      <c r="W336" s="227"/>
      <c r="X336" s="74">
        <v>44652</v>
      </c>
      <c r="Y336" s="74">
        <v>44681</v>
      </c>
      <c r="Z336" s="224">
        <v>0</v>
      </c>
      <c r="AA336" s="193">
        <v>0</v>
      </c>
      <c r="AB336" s="224">
        <v>0</v>
      </c>
      <c r="AC336" s="224">
        <f t="shared" si="22"/>
        <v>0</v>
      </c>
    </row>
    <row r="337" spans="1:29" s="10" customFormat="1" ht="15" customHeight="1">
      <c r="A337" s="201" t="s">
        <v>750</v>
      </c>
      <c r="B337" s="232" t="s">
        <v>1701</v>
      </c>
      <c r="C337" s="28" t="s">
        <v>1310</v>
      </c>
      <c r="D337" s="28" t="s">
        <v>1760</v>
      </c>
      <c r="E337" s="30" t="s">
        <v>1919</v>
      </c>
      <c r="F337" s="30" t="s">
        <v>1920</v>
      </c>
      <c r="G337" s="30" t="s">
        <v>35</v>
      </c>
      <c r="H337" s="33" t="s">
        <v>1956</v>
      </c>
      <c r="I337" s="33" t="e">
        <f>VLOOKUP(H337,'合同高级查询数据-8月返'!A:A,1,FALSE)</f>
        <v>#N/A</v>
      </c>
      <c r="J337" s="167" t="s">
        <v>37</v>
      </c>
      <c r="K337" s="30" t="s">
        <v>1505</v>
      </c>
      <c r="L337" s="168" t="s">
        <v>1957</v>
      </c>
      <c r="M337" s="107" t="s">
        <v>1958</v>
      </c>
      <c r="N337" s="74" t="s">
        <v>1959</v>
      </c>
      <c r="O337" s="28" t="s">
        <v>1960</v>
      </c>
      <c r="P337" s="207">
        <v>7000</v>
      </c>
      <c r="Q337" s="217">
        <v>0</v>
      </c>
      <c r="R337" s="218">
        <f t="shared" si="21"/>
        <v>0</v>
      </c>
      <c r="S337" s="59">
        <v>202308</v>
      </c>
      <c r="T337" s="184" t="s">
        <v>1961</v>
      </c>
      <c r="U337" s="228"/>
      <c r="V337" s="224">
        <v>0</v>
      </c>
      <c r="W337" s="227"/>
      <c r="X337" s="74">
        <v>44470</v>
      </c>
      <c r="Y337" s="74">
        <v>44834</v>
      </c>
      <c r="Z337" s="224">
        <v>0</v>
      </c>
      <c r="AA337" s="193">
        <v>0</v>
      </c>
      <c r="AB337" s="224">
        <v>0</v>
      </c>
      <c r="AC337" s="224">
        <f t="shared" si="22"/>
        <v>0</v>
      </c>
    </row>
    <row r="338" spans="1:29" s="10" customFormat="1" ht="15" customHeight="1">
      <c r="A338" s="201" t="s">
        <v>750</v>
      </c>
      <c r="B338" s="232" t="s">
        <v>1701</v>
      </c>
      <c r="C338" s="28" t="s">
        <v>751</v>
      </c>
      <c r="D338" s="28" t="s">
        <v>32</v>
      </c>
      <c r="E338" s="30" t="s">
        <v>1919</v>
      </c>
      <c r="F338" s="30" t="s">
        <v>1920</v>
      </c>
      <c r="G338" s="30" t="s">
        <v>35</v>
      </c>
      <c r="H338" s="33" t="s">
        <v>1962</v>
      </c>
      <c r="I338" s="33" t="e">
        <f>VLOOKUP(H338,'合同高级查询数据-8月返'!A:A,1,FALSE)</f>
        <v>#N/A</v>
      </c>
      <c r="J338" s="167" t="s">
        <v>37</v>
      </c>
      <c r="K338" s="30" t="s">
        <v>969</v>
      </c>
      <c r="L338" s="168" t="s">
        <v>1963</v>
      </c>
      <c r="M338" s="107" t="s">
        <v>1964</v>
      </c>
      <c r="N338" s="74" t="s">
        <v>1965</v>
      </c>
      <c r="O338" s="28" t="s">
        <v>1263</v>
      </c>
      <c r="P338" s="207">
        <v>5000</v>
      </c>
      <c r="Q338" s="217">
        <v>0</v>
      </c>
      <c r="R338" s="218">
        <f t="shared" si="21"/>
        <v>0</v>
      </c>
      <c r="S338" s="59">
        <v>202308</v>
      </c>
      <c r="T338" s="184" t="s">
        <v>1966</v>
      </c>
      <c r="U338" s="228"/>
      <c r="V338" s="224">
        <v>0</v>
      </c>
      <c r="W338" s="227"/>
      <c r="X338" s="74">
        <v>44835</v>
      </c>
      <c r="Y338" s="108">
        <v>45199</v>
      </c>
      <c r="Z338" s="224">
        <v>0</v>
      </c>
      <c r="AA338" s="193">
        <v>0</v>
      </c>
      <c r="AB338" s="224">
        <v>0</v>
      </c>
      <c r="AC338" s="224">
        <f t="shared" si="22"/>
        <v>0</v>
      </c>
    </row>
    <row r="339" spans="1:29" s="10" customFormat="1" ht="15" customHeight="1">
      <c r="A339" s="201" t="s">
        <v>762</v>
      </c>
      <c r="B339" s="232" t="s">
        <v>1701</v>
      </c>
      <c r="C339" s="28" t="s">
        <v>1007</v>
      </c>
      <c r="D339" s="28" t="s">
        <v>32</v>
      </c>
      <c r="E339" s="30" t="s">
        <v>1919</v>
      </c>
      <c r="F339" s="30" t="s">
        <v>1920</v>
      </c>
      <c r="G339" s="30" t="s">
        <v>35</v>
      </c>
      <c r="H339" s="33" t="s">
        <v>1967</v>
      </c>
      <c r="I339" s="33" t="e">
        <f>VLOOKUP(H339,'合同高级查询数据-8月返'!A:A,1,FALSE)</f>
        <v>#N/A</v>
      </c>
      <c r="J339" s="167" t="s">
        <v>37</v>
      </c>
      <c r="K339" s="30" t="s">
        <v>1968</v>
      </c>
      <c r="L339" s="168" t="s">
        <v>1969</v>
      </c>
      <c r="M339" s="107" t="s">
        <v>1970</v>
      </c>
      <c r="N339" s="74" t="s">
        <v>1971</v>
      </c>
      <c r="O339" s="28" t="s">
        <v>1972</v>
      </c>
      <c r="P339" s="207">
        <v>6250</v>
      </c>
      <c r="Q339" s="217">
        <v>46.5</v>
      </c>
      <c r="R339" s="218">
        <f t="shared" si="21"/>
        <v>290625</v>
      </c>
      <c r="S339" s="59">
        <v>202308</v>
      </c>
      <c r="T339" s="184" t="s">
        <v>1973</v>
      </c>
      <c r="U339" s="228"/>
      <c r="V339" s="224">
        <v>46.495449065999999</v>
      </c>
      <c r="W339" s="227"/>
      <c r="X339" s="74">
        <v>44896</v>
      </c>
      <c r="Y339" s="74">
        <v>45260</v>
      </c>
      <c r="Z339" s="28" t="s">
        <v>1974</v>
      </c>
      <c r="AA339" s="194">
        <v>0.3</v>
      </c>
      <c r="AB339" s="227">
        <v>140</v>
      </c>
      <c r="AC339" s="224">
        <f t="shared" si="22"/>
        <v>42</v>
      </c>
    </row>
    <row r="340" spans="1:29" s="10" customFormat="1" ht="15" customHeight="1">
      <c r="A340" s="30" t="s">
        <v>750</v>
      </c>
      <c r="B340" s="28" t="s">
        <v>1701</v>
      </c>
      <c r="C340" s="28" t="s">
        <v>1806</v>
      </c>
      <c r="D340" s="28" t="s">
        <v>1717</v>
      </c>
      <c r="E340" s="30" t="s">
        <v>1919</v>
      </c>
      <c r="F340" s="30" t="s">
        <v>1920</v>
      </c>
      <c r="G340" s="30" t="s">
        <v>35</v>
      </c>
      <c r="H340" s="167" t="s">
        <v>1975</v>
      </c>
      <c r="I340" s="33" t="e">
        <f>VLOOKUP(H340,'合同高级查询数据-8月返'!A:A,1,FALSE)</f>
        <v>#N/A</v>
      </c>
      <c r="J340" s="167" t="s">
        <v>37</v>
      </c>
      <c r="K340" s="28" t="s">
        <v>1976</v>
      </c>
      <c r="L340" s="28" t="s">
        <v>1977</v>
      </c>
      <c r="M340" s="28" t="s">
        <v>1978</v>
      </c>
      <c r="N340" s="74" t="s">
        <v>1979</v>
      </c>
      <c r="O340" s="28" t="s">
        <v>1263</v>
      </c>
      <c r="P340" s="211">
        <v>7917</v>
      </c>
      <c r="Q340" s="217">
        <v>0</v>
      </c>
      <c r="R340" s="218">
        <f t="shared" si="21"/>
        <v>0</v>
      </c>
      <c r="S340" s="59">
        <v>202308</v>
      </c>
      <c r="T340" s="184" t="s">
        <v>1980</v>
      </c>
      <c r="U340" s="28"/>
      <c r="V340" s="224">
        <v>0</v>
      </c>
      <c r="W340" s="28"/>
      <c r="X340" s="74">
        <v>44593</v>
      </c>
      <c r="Y340" s="74">
        <v>44957</v>
      </c>
      <c r="Z340" s="224">
        <v>0</v>
      </c>
      <c r="AA340" s="193">
        <v>0</v>
      </c>
      <c r="AB340" s="224">
        <v>0</v>
      </c>
      <c r="AC340" s="224">
        <f t="shared" si="22"/>
        <v>0</v>
      </c>
    </row>
    <row r="341" spans="1:29" s="10" customFormat="1" ht="15" customHeight="1">
      <c r="A341" s="30" t="s">
        <v>750</v>
      </c>
      <c r="B341" s="28" t="s">
        <v>1701</v>
      </c>
      <c r="C341" s="28" t="s">
        <v>138</v>
      </c>
      <c r="D341" s="28" t="s">
        <v>32</v>
      </c>
      <c r="E341" s="30" t="s">
        <v>1919</v>
      </c>
      <c r="F341" s="30" t="s">
        <v>1920</v>
      </c>
      <c r="G341" s="30" t="s">
        <v>35</v>
      </c>
      <c r="H341" s="167" t="s">
        <v>1981</v>
      </c>
      <c r="I341" s="33" t="str">
        <f>VLOOKUP(H341,'合同高级查询数据-8月返'!A:A,1,FALSE)</f>
        <v>182315IDC00320</v>
      </c>
      <c r="J341" s="167" t="s">
        <v>37</v>
      </c>
      <c r="K341" s="28" t="s">
        <v>1982</v>
      </c>
      <c r="L341" s="28" t="s">
        <v>1983</v>
      </c>
      <c r="M341" s="28" t="s">
        <v>1984</v>
      </c>
      <c r="N341" s="74">
        <v>44805</v>
      </c>
      <c r="O341" s="28" t="s">
        <v>447</v>
      </c>
      <c r="P341" s="211">
        <v>4850</v>
      </c>
      <c r="Q341" s="217">
        <v>32.1</v>
      </c>
      <c r="R341" s="218">
        <f t="shared" si="21"/>
        <v>155685</v>
      </c>
      <c r="S341" s="59">
        <v>202308</v>
      </c>
      <c r="T341" s="184" t="s">
        <v>1985</v>
      </c>
      <c r="U341" s="28"/>
      <c r="V341" s="224">
        <v>32.075027466000002</v>
      </c>
      <c r="W341" s="28"/>
      <c r="X341" s="74">
        <v>45017</v>
      </c>
      <c r="Y341" s="74">
        <v>45382</v>
      </c>
      <c r="Z341" s="28" t="s">
        <v>1986</v>
      </c>
      <c r="AA341" s="194">
        <v>0.3</v>
      </c>
      <c r="AB341" s="227">
        <v>100</v>
      </c>
      <c r="AC341" s="224">
        <f t="shared" si="22"/>
        <v>30</v>
      </c>
    </row>
    <row r="342" spans="1:29" s="10" customFormat="1" ht="15" customHeight="1">
      <c r="A342" s="30" t="s">
        <v>750</v>
      </c>
      <c r="B342" s="28" t="s">
        <v>1701</v>
      </c>
      <c r="C342" s="28" t="s">
        <v>1987</v>
      </c>
      <c r="D342" s="28" t="s">
        <v>1760</v>
      </c>
      <c r="E342" s="30" t="s">
        <v>1919</v>
      </c>
      <c r="F342" s="30" t="s">
        <v>1920</v>
      </c>
      <c r="G342" s="30" t="s">
        <v>35</v>
      </c>
      <c r="H342" s="167" t="s">
        <v>1988</v>
      </c>
      <c r="I342" s="33" t="e">
        <f>VLOOKUP(H342,'合同高级查询数据-8月返'!A:A,1,FALSE)</f>
        <v>#N/A</v>
      </c>
      <c r="J342" s="167" t="s">
        <v>37</v>
      </c>
      <c r="K342" s="28" t="s">
        <v>1989</v>
      </c>
      <c r="L342" s="28" t="s">
        <v>1990</v>
      </c>
      <c r="M342" s="28" t="s">
        <v>1991</v>
      </c>
      <c r="N342" s="74" t="s">
        <v>1992</v>
      </c>
      <c r="O342" s="227" t="s">
        <v>1263</v>
      </c>
      <c r="P342" s="211">
        <v>6833.33</v>
      </c>
      <c r="Q342" s="217">
        <v>0</v>
      </c>
      <c r="R342" s="218">
        <f t="shared" si="21"/>
        <v>0</v>
      </c>
      <c r="S342" s="59">
        <v>202308</v>
      </c>
      <c r="T342" s="184" t="s">
        <v>1993</v>
      </c>
      <c r="U342" s="28"/>
      <c r="V342" s="224">
        <v>0</v>
      </c>
      <c r="W342" s="28"/>
      <c r="X342" s="74">
        <v>44866</v>
      </c>
      <c r="Y342" s="74">
        <v>45230</v>
      </c>
      <c r="Z342" s="224">
        <v>0</v>
      </c>
      <c r="AA342" s="193">
        <v>0</v>
      </c>
      <c r="AB342" s="224">
        <v>0</v>
      </c>
      <c r="AC342" s="224">
        <f t="shared" si="22"/>
        <v>0</v>
      </c>
    </row>
    <row r="343" spans="1:29" s="10" customFormat="1" ht="15" customHeight="1">
      <c r="A343" s="201" t="s">
        <v>750</v>
      </c>
      <c r="B343" s="30" t="s">
        <v>1701</v>
      </c>
      <c r="C343" s="30" t="s">
        <v>1242</v>
      </c>
      <c r="D343" s="28" t="s">
        <v>32</v>
      </c>
      <c r="E343" s="28" t="s">
        <v>1994</v>
      </c>
      <c r="F343" s="28" t="s">
        <v>1995</v>
      </c>
      <c r="G343" s="30" t="s">
        <v>35</v>
      </c>
      <c r="H343" s="28" t="s">
        <v>1996</v>
      </c>
      <c r="I343" s="33" t="e">
        <f>VLOOKUP(H343,'合同高级查询数据-8月返'!A:A,1,FALSE)</f>
        <v>#N/A</v>
      </c>
      <c r="J343" s="167" t="s">
        <v>37</v>
      </c>
      <c r="K343" s="28" t="s">
        <v>1753</v>
      </c>
      <c r="L343" s="28" t="s">
        <v>1997</v>
      </c>
      <c r="M343" s="28" t="s">
        <v>1998</v>
      </c>
      <c r="N343" s="74" t="s">
        <v>1999</v>
      </c>
      <c r="O343" s="28" t="s">
        <v>2000</v>
      </c>
      <c r="P343" s="211">
        <v>11250</v>
      </c>
      <c r="Q343" s="217">
        <v>0</v>
      </c>
      <c r="R343" s="218">
        <f t="shared" si="21"/>
        <v>0</v>
      </c>
      <c r="S343" s="59">
        <v>202308</v>
      </c>
      <c r="T343" s="184" t="s">
        <v>2001</v>
      </c>
      <c r="U343" s="224"/>
      <c r="V343" s="224">
        <v>0</v>
      </c>
      <c r="W343" s="227"/>
      <c r="X343" s="74">
        <v>44197</v>
      </c>
      <c r="Y343" s="74">
        <v>44561</v>
      </c>
      <c r="Z343" s="224">
        <v>0</v>
      </c>
      <c r="AA343" s="193">
        <v>0</v>
      </c>
      <c r="AB343" s="224">
        <v>0</v>
      </c>
      <c r="AC343" s="224">
        <f t="shared" si="22"/>
        <v>0</v>
      </c>
    </row>
    <row r="344" spans="1:29" s="10" customFormat="1" ht="15" customHeight="1">
      <c r="A344" s="201" t="s">
        <v>750</v>
      </c>
      <c r="B344" s="232" t="s">
        <v>1701</v>
      </c>
      <c r="C344" s="28" t="s">
        <v>1242</v>
      </c>
      <c r="D344" s="28" t="s">
        <v>32</v>
      </c>
      <c r="E344" s="28" t="s">
        <v>1994</v>
      </c>
      <c r="F344" s="28" t="s">
        <v>1995</v>
      </c>
      <c r="G344" s="30" t="s">
        <v>35</v>
      </c>
      <c r="H344" s="33" t="s">
        <v>1996</v>
      </c>
      <c r="I344" s="33" t="e">
        <f>VLOOKUP(H344,'合同高级查询数据-8月返'!A:A,1,FALSE)</f>
        <v>#N/A</v>
      </c>
      <c r="J344" s="167" t="s">
        <v>37</v>
      </c>
      <c r="K344" s="30" t="s">
        <v>1753</v>
      </c>
      <c r="L344" s="168" t="s">
        <v>2002</v>
      </c>
      <c r="M344" s="107" t="s">
        <v>2003</v>
      </c>
      <c r="N344" s="74" t="s">
        <v>2004</v>
      </c>
      <c r="O344" s="28" t="s">
        <v>2005</v>
      </c>
      <c r="P344" s="207">
        <v>11250</v>
      </c>
      <c r="Q344" s="217">
        <v>0</v>
      </c>
      <c r="R344" s="218">
        <f t="shared" si="21"/>
        <v>0</v>
      </c>
      <c r="S344" s="59">
        <v>202308</v>
      </c>
      <c r="T344" s="184" t="s">
        <v>2006</v>
      </c>
      <c r="U344" s="228"/>
      <c r="V344" s="224">
        <v>0</v>
      </c>
      <c r="W344" s="227"/>
      <c r="X344" s="74">
        <v>44197</v>
      </c>
      <c r="Y344" s="74">
        <v>44561</v>
      </c>
      <c r="Z344" s="224">
        <v>0</v>
      </c>
      <c r="AA344" s="193">
        <v>0</v>
      </c>
      <c r="AB344" s="224">
        <v>0</v>
      </c>
      <c r="AC344" s="224">
        <f t="shared" si="22"/>
        <v>0</v>
      </c>
    </row>
    <row r="345" spans="1:29" s="10" customFormat="1" ht="15" customHeight="1">
      <c r="A345" s="30" t="s">
        <v>762</v>
      </c>
      <c r="B345" s="30" t="s">
        <v>1701</v>
      </c>
      <c r="C345" s="30" t="s">
        <v>1242</v>
      </c>
      <c r="D345" s="28" t="s">
        <v>32</v>
      </c>
      <c r="E345" s="28" t="s">
        <v>1994</v>
      </c>
      <c r="F345" s="28" t="s">
        <v>1995</v>
      </c>
      <c r="G345" s="30" t="s">
        <v>35</v>
      </c>
      <c r="H345" s="28" t="s">
        <v>2007</v>
      </c>
      <c r="I345" s="33" t="e">
        <f>VLOOKUP(H345,'合同高级查询数据-8月返'!A:A,1,FALSE)</f>
        <v>#N/A</v>
      </c>
      <c r="J345" s="167" t="s">
        <v>37</v>
      </c>
      <c r="K345" s="28" t="s">
        <v>1276</v>
      </c>
      <c r="L345" s="28" t="s">
        <v>2008</v>
      </c>
      <c r="M345" s="28" t="s">
        <v>2009</v>
      </c>
      <c r="N345" s="74" t="s">
        <v>2010</v>
      </c>
      <c r="O345" s="28" t="s">
        <v>1748</v>
      </c>
      <c r="P345" s="211">
        <v>10000</v>
      </c>
      <c r="Q345" s="217">
        <v>0</v>
      </c>
      <c r="R345" s="218">
        <f t="shared" si="21"/>
        <v>0</v>
      </c>
      <c r="S345" s="59">
        <v>202308</v>
      </c>
      <c r="T345" s="184" t="s">
        <v>2011</v>
      </c>
      <c r="U345" s="224"/>
      <c r="V345" s="224">
        <v>0</v>
      </c>
      <c r="W345" s="227"/>
      <c r="X345" s="74">
        <v>44197</v>
      </c>
      <c r="Y345" s="74">
        <v>44255</v>
      </c>
      <c r="Z345" s="224">
        <v>0</v>
      </c>
      <c r="AA345" s="193">
        <v>0</v>
      </c>
      <c r="AB345" s="224">
        <v>0</v>
      </c>
      <c r="AC345" s="224">
        <f t="shared" si="22"/>
        <v>0</v>
      </c>
    </row>
    <row r="346" spans="1:29" s="10" customFormat="1" ht="15" customHeight="1">
      <c r="A346" s="30" t="s">
        <v>762</v>
      </c>
      <c r="B346" s="30" t="s">
        <v>1701</v>
      </c>
      <c r="C346" s="30" t="s">
        <v>1242</v>
      </c>
      <c r="D346" s="28" t="s">
        <v>32</v>
      </c>
      <c r="E346" s="28" t="s">
        <v>1994</v>
      </c>
      <c r="F346" s="28" t="s">
        <v>1995</v>
      </c>
      <c r="G346" s="30" t="s">
        <v>35</v>
      </c>
      <c r="H346" s="28" t="s">
        <v>2007</v>
      </c>
      <c r="I346" s="33" t="e">
        <f>VLOOKUP(H346,'合同高级查询数据-8月返'!A:A,1,FALSE)</f>
        <v>#N/A</v>
      </c>
      <c r="J346" s="167" t="s">
        <v>37</v>
      </c>
      <c r="K346" s="28" t="s">
        <v>2012</v>
      </c>
      <c r="L346" s="28" t="s">
        <v>2013</v>
      </c>
      <c r="M346" s="28" t="s">
        <v>2014</v>
      </c>
      <c r="N346" s="74" t="s">
        <v>2015</v>
      </c>
      <c r="O346" s="28" t="s">
        <v>1263</v>
      </c>
      <c r="P346" s="211">
        <v>9583.33</v>
      </c>
      <c r="Q346" s="217">
        <v>0</v>
      </c>
      <c r="R346" s="218">
        <f t="shared" si="21"/>
        <v>0</v>
      </c>
      <c r="S346" s="59">
        <v>202308</v>
      </c>
      <c r="T346" s="184" t="s">
        <v>2016</v>
      </c>
      <c r="U346" s="224"/>
      <c r="V346" s="224">
        <v>0</v>
      </c>
      <c r="W346" s="227"/>
      <c r="X346" s="74">
        <v>44197</v>
      </c>
      <c r="Y346" s="74">
        <v>44255</v>
      </c>
      <c r="Z346" s="224">
        <v>0</v>
      </c>
      <c r="AA346" s="193">
        <v>0</v>
      </c>
      <c r="AB346" s="224">
        <v>0</v>
      </c>
      <c r="AC346" s="224">
        <f t="shared" si="22"/>
        <v>0</v>
      </c>
    </row>
    <row r="347" spans="1:29" s="9" customFormat="1" ht="15" customHeight="1">
      <c r="A347" s="27" t="s">
        <v>769</v>
      </c>
      <c r="B347" s="27" t="s">
        <v>1701</v>
      </c>
      <c r="C347" s="27" t="s">
        <v>1242</v>
      </c>
      <c r="D347" s="25" t="s">
        <v>32</v>
      </c>
      <c r="E347" s="25" t="s">
        <v>1994</v>
      </c>
      <c r="F347" s="25" t="s">
        <v>1995</v>
      </c>
      <c r="G347" s="27" t="s">
        <v>35</v>
      </c>
      <c r="H347" s="25" t="s">
        <v>2017</v>
      </c>
      <c r="I347" s="32" t="e">
        <f>VLOOKUP(H347,'合同高级查询数据-8月返'!A:A,1,FALSE)</f>
        <v>#N/A</v>
      </c>
      <c r="J347" s="169" t="s">
        <v>37</v>
      </c>
      <c r="K347" s="25" t="s">
        <v>1686</v>
      </c>
      <c r="L347" s="25" t="s">
        <v>2018</v>
      </c>
      <c r="M347" s="25" t="s">
        <v>2019</v>
      </c>
      <c r="N347" s="70">
        <v>43831</v>
      </c>
      <c r="O347" s="25" t="s">
        <v>319</v>
      </c>
      <c r="P347" s="236">
        <v>4200</v>
      </c>
      <c r="Q347" s="219">
        <v>111.1</v>
      </c>
      <c r="R347" s="220">
        <f t="shared" si="21"/>
        <v>466620</v>
      </c>
      <c r="S347" s="55">
        <v>202308</v>
      </c>
      <c r="T347" s="185" t="s">
        <v>2020</v>
      </c>
      <c r="U347" s="225"/>
      <c r="V347" s="225">
        <v>111.093673706</v>
      </c>
      <c r="W347" s="226"/>
      <c r="X347" s="70"/>
      <c r="Y347" s="70"/>
      <c r="Z347" s="230" t="s">
        <v>2021</v>
      </c>
      <c r="AA347" s="195">
        <v>0.4</v>
      </c>
      <c r="AB347" s="226">
        <v>200</v>
      </c>
      <c r="AC347" s="225">
        <f t="shared" si="22"/>
        <v>80</v>
      </c>
    </row>
    <row r="348" spans="1:29" s="10" customFormat="1" ht="15" customHeight="1">
      <c r="A348" s="30" t="s">
        <v>769</v>
      </c>
      <c r="B348" s="28" t="s">
        <v>1701</v>
      </c>
      <c r="C348" s="30" t="s">
        <v>1242</v>
      </c>
      <c r="D348" s="28" t="s">
        <v>32</v>
      </c>
      <c r="E348" s="28" t="s">
        <v>2022</v>
      </c>
      <c r="F348" s="28" t="s">
        <v>2023</v>
      </c>
      <c r="G348" s="30" t="s">
        <v>35</v>
      </c>
      <c r="H348" s="28" t="s">
        <v>2024</v>
      </c>
      <c r="I348" s="33" t="e">
        <f>VLOOKUP(H348,'合同高级查询数据-8月返'!A:A,1,FALSE)</f>
        <v>#N/A</v>
      </c>
      <c r="J348" s="167" t="s">
        <v>37</v>
      </c>
      <c r="K348" s="28" t="s">
        <v>1486</v>
      </c>
      <c r="L348" s="28" t="s">
        <v>2025</v>
      </c>
      <c r="M348" s="28" t="s">
        <v>2026</v>
      </c>
      <c r="N348" s="74" t="s">
        <v>2027</v>
      </c>
      <c r="O348" s="28" t="s">
        <v>2028</v>
      </c>
      <c r="P348" s="211">
        <v>3500</v>
      </c>
      <c r="Q348" s="217">
        <v>0</v>
      </c>
      <c r="R348" s="218">
        <f t="shared" si="21"/>
        <v>0</v>
      </c>
      <c r="S348" s="59">
        <v>202308</v>
      </c>
      <c r="T348" s="184" t="s">
        <v>2029</v>
      </c>
      <c r="U348" s="228"/>
      <c r="V348" s="224">
        <v>0</v>
      </c>
      <c r="W348" s="227"/>
      <c r="X348" s="74">
        <v>44105</v>
      </c>
      <c r="Y348" s="74">
        <v>44469</v>
      </c>
      <c r="Z348" s="224">
        <v>0</v>
      </c>
      <c r="AA348" s="193">
        <v>0</v>
      </c>
      <c r="AB348" s="224">
        <v>0</v>
      </c>
      <c r="AC348" s="224">
        <f t="shared" si="22"/>
        <v>0</v>
      </c>
    </row>
    <row r="349" spans="1:29" s="10" customFormat="1" ht="15" customHeight="1">
      <c r="A349" s="30" t="s">
        <v>769</v>
      </c>
      <c r="B349" s="28" t="s">
        <v>1701</v>
      </c>
      <c r="C349" s="28" t="s">
        <v>1727</v>
      </c>
      <c r="D349" s="28" t="s">
        <v>32</v>
      </c>
      <c r="E349" s="28" t="s">
        <v>2022</v>
      </c>
      <c r="F349" s="28" t="s">
        <v>2023</v>
      </c>
      <c r="G349" s="30" t="s">
        <v>35</v>
      </c>
      <c r="H349" s="33" t="s">
        <v>2030</v>
      </c>
      <c r="I349" s="33" t="e">
        <f>VLOOKUP(H349,'合同高级查询数据-8月返'!A:A,1,FALSE)</f>
        <v>#N/A</v>
      </c>
      <c r="J349" s="167" t="s">
        <v>37</v>
      </c>
      <c r="K349" s="30" t="s">
        <v>2031</v>
      </c>
      <c r="L349" s="168" t="s">
        <v>2032</v>
      </c>
      <c r="M349" s="168" t="s">
        <v>2033</v>
      </c>
      <c r="N349" s="74" t="s">
        <v>2034</v>
      </c>
      <c r="O349" s="235" t="s">
        <v>1848</v>
      </c>
      <c r="P349" s="207">
        <v>4300</v>
      </c>
      <c r="Q349" s="217">
        <v>0</v>
      </c>
      <c r="R349" s="218">
        <f t="shared" si="21"/>
        <v>0</v>
      </c>
      <c r="S349" s="59">
        <v>202308</v>
      </c>
      <c r="T349" s="184" t="s">
        <v>2035</v>
      </c>
      <c r="U349" s="228"/>
      <c r="V349" s="224">
        <v>0</v>
      </c>
      <c r="W349" s="227"/>
      <c r="X349" s="74">
        <v>44228</v>
      </c>
      <c r="Y349" s="74">
        <v>44592</v>
      </c>
      <c r="Z349" s="224">
        <v>0</v>
      </c>
      <c r="AA349" s="193">
        <v>0</v>
      </c>
      <c r="AB349" s="224">
        <v>0</v>
      </c>
      <c r="AC349" s="224">
        <f t="shared" si="22"/>
        <v>0</v>
      </c>
    </row>
    <row r="350" spans="1:29" s="10" customFormat="1" ht="15" customHeight="1">
      <c r="A350" s="201" t="s">
        <v>750</v>
      </c>
      <c r="B350" s="30" t="s">
        <v>1701</v>
      </c>
      <c r="C350" s="30" t="s">
        <v>1242</v>
      </c>
      <c r="D350" s="28" t="s">
        <v>32</v>
      </c>
      <c r="E350" s="28" t="s">
        <v>2022</v>
      </c>
      <c r="F350" s="28" t="s">
        <v>2023</v>
      </c>
      <c r="G350" s="29" t="s">
        <v>35</v>
      </c>
      <c r="H350" s="28" t="s">
        <v>2036</v>
      </c>
      <c r="I350" s="33" t="e">
        <f>VLOOKUP(H350,'合同高级查询数据-8月返'!A:A,1,FALSE)</f>
        <v>#N/A</v>
      </c>
      <c r="J350" s="167" t="s">
        <v>37</v>
      </c>
      <c r="K350" s="29" t="s">
        <v>1276</v>
      </c>
      <c r="L350" s="234" t="s">
        <v>2037</v>
      </c>
      <c r="M350" s="107" t="s">
        <v>2038</v>
      </c>
      <c r="N350" s="237" t="s">
        <v>2039</v>
      </c>
      <c r="O350" s="129" t="s">
        <v>1848</v>
      </c>
      <c r="P350" s="207">
        <v>11250</v>
      </c>
      <c r="Q350" s="217">
        <v>0</v>
      </c>
      <c r="R350" s="218">
        <f t="shared" si="21"/>
        <v>0</v>
      </c>
      <c r="S350" s="59">
        <v>202308</v>
      </c>
      <c r="T350" s="240" t="s">
        <v>2040</v>
      </c>
      <c r="U350" s="129"/>
      <c r="V350" s="224">
        <v>0</v>
      </c>
      <c r="W350" s="227"/>
      <c r="X350" s="74">
        <v>44256</v>
      </c>
      <c r="Y350" s="74">
        <v>44469</v>
      </c>
      <c r="Z350" s="224">
        <v>0</v>
      </c>
      <c r="AA350" s="193">
        <v>0</v>
      </c>
      <c r="AB350" s="224">
        <v>0</v>
      </c>
      <c r="AC350" s="224">
        <f t="shared" si="22"/>
        <v>0</v>
      </c>
    </row>
    <row r="351" spans="1:29" s="10" customFormat="1" ht="15" customHeight="1">
      <c r="A351" s="30" t="s">
        <v>762</v>
      </c>
      <c r="B351" s="30" t="s">
        <v>1701</v>
      </c>
      <c r="C351" s="129" t="s">
        <v>1870</v>
      </c>
      <c r="D351" s="28" t="s">
        <v>1760</v>
      </c>
      <c r="E351" s="28" t="s">
        <v>2022</v>
      </c>
      <c r="F351" s="28" t="s">
        <v>2023</v>
      </c>
      <c r="G351" s="29" t="s">
        <v>35</v>
      </c>
      <c r="H351" s="33" t="s">
        <v>2041</v>
      </c>
      <c r="I351" s="33" t="e">
        <f>VLOOKUP(H351,'合同高级查询数据-8月返'!A:A,1,FALSE)</f>
        <v>#N/A</v>
      </c>
      <c r="J351" s="167" t="s">
        <v>37</v>
      </c>
      <c r="K351" s="29" t="s">
        <v>2042</v>
      </c>
      <c r="L351" s="234" t="s">
        <v>2043</v>
      </c>
      <c r="M351" s="107" t="s">
        <v>2044</v>
      </c>
      <c r="N351" s="237" t="s">
        <v>2045</v>
      </c>
      <c r="O351" s="129" t="s">
        <v>1263</v>
      </c>
      <c r="P351" s="207">
        <v>7500</v>
      </c>
      <c r="Q351" s="217">
        <v>0</v>
      </c>
      <c r="R351" s="218">
        <f t="shared" si="21"/>
        <v>0</v>
      </c>
      <c r="S351" s="59">
        <v>202308</v>
      </c>
      <c r="T351" s="240" t="s">
        <v>2046</v>
      </c>
      <c r="U351" s="129"/>
      <c r="V351" s="224">
        <v>0</v>
      </c>
      <c r="W351" s="227"/>
      <c r="X351" s="237">
        <v>44440</v>
      </c>
      <c r="Y351" s="237">
        <v>44804</v>
      </c>
      <c r="Z351" s="224">
        <v>0</v>
      </c>
      <c r="AA351" s="193">
        <v>0</v>
      </c>
      <c r="AB351" s="224">
        <v>0</v>
      </c>
      <c r="AC351" s="224">
        <f t="shared" si="22"/>
        <v>0</v>
      </c>
    </row>
    <row r="352" spans="1:29" s="10" customFormat="1" ht="15" customHeight="1">
      <c r="A352" s="30" t="s">
        <v>762</v>
      </c>
      <c r="B352" s="30" t="s">
        <v>1701</v>
      </c>
      <c r="C352" s="30" t="s">
        <v>1242</v>
      </c>
      <c r="D352" s="28" t="s">
        <v>32</v>
      </c>
      <c r="E352" s="28" t="s">
        <v>2022</v>
      </c>
      <c r="F352" s="28" t="s">
        <v>2023</v>
      </c>
      <c r="G352" s="30" t="s">
        <v>35</v>
      </c>
      <c r="H352" s="28" t="s">
        <v>2047</v>
      </c>
      <c r="I352" s="33" t="e">
        <f>VLOOKUP(H352,'合同高级查询数据-8月返'!A:A,1,FALSE)</f>
        <v>#N/A</v>
      </c>
      <c r="J352" s="167" t="s">
        <v>37</v>
      </c>
      <c r="K352" s="28" t="s">
        <v>2012</v>
      </c>
      <c r="L352" s="28" t="s">
        <v>2013</v>
      </c>
      <c r="M352" s="28" t="s">
        <v>2014</v>
      </c>
      <c r="N352" s="74" t="s">
        <v>2048</v>
      </c>
      <c r="O352" s="28" t="s">
        <v>1263</v>
      </c>
      <c r="P352" s="211">
        <v>9583</v>
      </c>
      <c r="Q352" s="217">
        <v>0</v>
      </c>
      <c r="R352" s="218">
        <f t="shared" si="21"/>
        <v>0</v>
      </c>
      <c r="S352" s="59">
        <v>202308</v>
      </c>
      <c r="T352" s="240" t="s">
        <v>2049</v>
      </c>
      <c r="U352" s="129"/>
      <c r="V352" s="224">
        <v>0</v>
      </c>
      <c r="W352" s="227"/>
      <c r="X352" s="74">
        <v>44593</v>
      </c>
      <c r="Y352" s="74">
        <v>44957</v>
      </c>
      <c r="Z352" s="224">
        <v>0</v>
      </c>
      <c r="AA352" s="193">
        <v>0</v>
      </c>
      <c r="AB352" s="224">
        <v>0</v>
      </c>
      <c r="AC352" s="224">
        <f t="shared" si="22"/>
        <v>0</v>
      </c>
    </row>
    <row r="353" spans="1:29" s="10" customFormat="1" ht="15" customHeight="1">
      <c r="A353" s="30" t="s">
        <v>762</v>
      </c>
      <c r="B353" s="30" t="s">
        <v>1701</v>
      </c>
      <c r="C353" s="30" t="s">
        <v>1242</v>
      </c>
      <c r="D353" s="28" t="s">
        <v>32</v>
      </c>
      <c r="E353" s="28" t="s">
        <v>2022</v>
      </c>
      <c r="F353" s="28" t="s">
        <v>2023</v>
      </c>
      <c r="G353" s="29" t="s">
        <v>35</v>
      </c>
      <c r="H353" s="28" t="s">
        <v>2050</v>
      </c>
      <c r="I353" s="33" t="e">
        <f>VLOOKUP(H353,'合同高级查询数据-8月返'!A:A,1,FALSE)</f>
        <v>#N/A</v>
      </c>
      <c r="J353" s="167" t="s">
        <v>37</v>
      </c>
      <c r="K353" s="28" t="s">
        <v>2051</v>
      </c>
      <c r="L353" s="28" t="s">
        <v>2052</v>
      </c>
      <c r="M353" s="210" t="s">
        <v>2053</v>
      </c>
      <c r="N353" s="74" t="s">
        <v>2054</v>
      </c>
      <c r="O353" s="108" t="s">
        <v>2055</v>
      </c>
      <c r="P353" s="211">
        <v>9583</v>
      </c>
      <c r="Q353" s="217">
        <v>0</v>
      </c>
      <c r="R353" s="218">
        <f t="shared" si="21"/>
        <v>0</v>
      </c>
      <c r="S353" s="59">
        <v>202308</v>
      </c>
      <c r="T353" s="240" t="s">
        <v>2056</v>
      </c>
      <c r="U353" s="129"/>
      <c r="V353" s="224">
        <v>0</v>
      </c>
      <c r="W353" s="129"/>
      <c r="X353" s="74">
        <v>44621</v>
      </c>
      <c r="Y353" s="74">
        <v>44985</v>
      </c>
      <c r="Z353" s="224">
        <v>0</v>
      </c>
      <c r="AA353" s="193">
        <v>0</v>
      </c>
      <c r="AB353" s="224">
        <v>0</v>
      </c>
      <c r="AC353" s="224">
        <f t="shared" si="22"/>
        <v>0</v>
      </c>
    </row>
    <row r="354" spans="1:29" s="10" customFormat="1" ht="15" customHeight="1">
      <c r="A354" s="201" t="s">
        <v>750</v>
      </c>
      <c r="B354" s="28" t="s">
        <v>1701</v>
      </c>
      <c r="C354" s="28" t="s">
        <v>1242</v>
      </c>
      <c r="D354" s="28" t="s">
        <v>32</v>
      </c>
      <c r="E354" s="30" t="s">
        <v>2022</v>
      </c>
      <c r="F354" s="30" t="s">
        <v>2023</v>
      </c>
      <c r="G354" s="30" t="s">
        <v>35</v>
      </c>
      <c r="H354" s="33" t="s">
        <v>2057</v>
      </c>
      <c r="I354" s="33" t="e">
        <f>VLOOKUP(H354,'合同高级查询数据-8月返'!A:A,1,FALSE)</f>
        <v>#N/A</v>
      </c>
      <c r="J354" s="167" t="s">
        <v>37</v>
      </c>
      <c r="K354" s="30" t="s">
        <v>1492</v>
      </c>
      <c r="L354" s="168" t="s">
        <v>2058</v>
      </c>
      <c r="M354" s="107" t="s">
        <v>2059</v>
      </c>
      <c r="N354" s="74" t="s">
        <v>2060</v>
      </c>
      <c r="O354" s="28" t="s">
        <v>1263</v>
      </c>
      <c r="P354" s="207">
        <v>10417</v>
      </c>
      <c r="Q354" s="217">
        <v>0</v>
      </c>
      <c r="R354" s="218">
        <f t="shared" si="21"/>
        <v>0</v>
      </c>
      <c r="S354" s="59">
        <v>202308</v>
      </c>
      <c r="T354" s="184" t="s">
        <v>2061</v>
      </c>
      <c r="U354" s="228"/>
      <c r="V354" s="224">
        <v>0</v>
      </c>
      <c r="W354" s="227"/>
      <c r="X354" s="74">
        <v>44501</v>
      </c>
      <c r="Y354" s="74">
        <v>44957</v>
      </c>
      <c r="Z354" s="224">
        <v>0</v>
      </c>
      <c r="AA354" s="193">
        <v>0</v>
      </c>
      <c r="AB354" s="224">
        <v>0</v>
      </c>
      <c r="AC354" s="224">
        <f t="shared" si="22"/>
        <v>0</v>
      </c>
    </row>
    <row r="355" spans="1:29" s="10" customFormat="1" ht="15" customHeight="1">
      <c r="A355" s="201" t="s">
        <v>750</v>
      </c>
      <c r="B355" s="28" t="s">
        <v>1701</v>
      </c>
      <c r="C355" s="28" t="s">
        <v>1942</v>
      </c>
      <c r="D355" s="28" t="s">
        <v>32</v>
      </c>
      <c r="E355" s="30" t="s">
        <v>2022</v>
      </c>
      <c r="F355" s="30" t="s">
        <v>2023</v>
      </c>
      <c r="G355" s="30" t="s">
        <v>35</v>
      </c>
      <c r="H355" s="33" t="s">
        <v>2062</v>
      </c>
      <c r="I355" s="33" t="e">
        <f>VLOOKUP(H355,'合同高级查询数据-8月返'!A:A,1,FALSE)</f>
        <v>#N/A</v>
      </c>
      <c r="J355" s="167" t="s">
        <v>37</v>
      </c>
      <c r="K355" s="30" t="s">
        <v>2063</v>
      </c>
      <c r="L355" s="168" t="s">
        <v>2064</v>
      </c>
      <c r="M355" s="107" t="s">
        <v>2065</v>
      </c>
      <c r="N355" s="74" t="s">
        <v>2066</v>
      </c>
      <c r="O355" s="28" t="s">
        <v>1848</v>
      </c>
      <c r="P355" s="207">
        <v>6333</v>
      </c>
      <c r="Q355" s="217">
        <v>0</v>
      </c>
      <c r="R355" s="218">
        <f t="shared" si="21"/>
        <v>0</v>
      </c>
      <c r="S355" s="59">
        <v>202308</v>
      </c>
      <c r="T355" s="184" t="s">
        <v>2067</v>
      </c>
      <c r="U355" s="228"/>
      <c r="V355" s="224">
        <v>0</v>
      </c>
      <c r="W355" s="227"/>
      <c r="X355" s="74">
        <v>44835</v>
      </c>
      <c r="Y355" s="74">
        <v>44957</v>
      </c>
      <c r="Z355" s="224">
        <v>0</v>
      </c>
      <c r="AA355" s="193">
        <v>0</v>
      </c>
      <c r="AB355" s="224">
        <v>0</v>
      </c>
      <c r="AC355" s="224">
        <f t="shared" si="22"/>
        <v>0</v>
      </c>
    </row>
    <row r="356" spans="1:29" s="10" customFormat="1" ht="15" customHeight="1">
      <c r="A356" s="201" t="s">
        <v>750</v>
      </c>
      <c r="B356" s="28" t="s">
        <v>1701</v>
      </c>
      <c r="C356" s="28" t="s">
        <v>751</v>
      </c>
      <c r="D356" s="28" t="s">
        <v>32</v>
      </c>
      <c r="E356" s="30" t="s">
        <v>2022</v>
      </c>
      <c r="F356" s="30" t="s">
        <v>2023</v>
      </c>
      <c r="G356" s="30" t="s">
        <v>35</v>
      </c>
      <c r="H356" s="33" t="s">
        <v>2068</v>
      </c>
      <c r="I356" s="33" t="e">
        <f>VLOOKUP(H356,'合同高级查询数据-8月返'!A:A,1,FALSE)</f>
        <v>#N/A</v>
      </c>
      <c r="J356" s="167" t="s">
        <v>37</v>
      </c>
      <c r="K356" s="30" t="s">
        <v>2069</v>
      </c>
      <c r="L356" s="168" t="s">
        <v>2070</v>
      </c>
      <c r="M356" s="107" t="s">
        <v>2071</v>
      </c>
      <c r="N356" s="74" t="s">
        <v>2066</v>
      </c>
      <c r="O356" s="28" t="s">
        <v>1263</v>
      </c>
      <c r="P356" s="207">
        <v>6333</v>
      </c>
      <c r="Q356" s="217">
        <v>0</v>
      </c>
      <c r="R356" s="218">
        <f t="shared" si="21"/>
        <v>0</v>
      </c>
      <c r="S356" s="59">
        <v>202308</v>
      </c>
      <c r="T356" s="184" t="s">
        <v>2072</v>
      </c>
      <c r="U356" s="228"/>
      <c r="V356" s="224">
        <v>0</v>
      </c>
      <c r="W356" s="227"/>
      <c r="X356" s="74">
        <v>44835</v>
      </c>
      <c r="Y356" s="74">
        <v>44957</v>
      </c>
      <c r="Z356" s="224">
        <v>0</v>
      </c>
      <c r="AA356" s="193">
        <v>0</v>
      </c>
      <c r="AB356" s="224">
        <v>0</v>
      </c>
      <c r="AC356" s="224">
        <f t="shared" si="22"/>
        <v>0</v>
      </c>
    </row>
    <row r="357" spans="1:29" s="10" customFormat="1" ht="15" customHeight="1">
      <c r="A357" s="30" t="s">
        <v>762</v>
      </c>
      <c r="B357" s="28" t="s">
        <v>1701</v>
      </c>
      <c r="C357" s="28" t="s">
        <v>1870</v>
      </c>
      <c r="D357" s="28" t="s">
        <v>1760</v>
      </c>
      <c r="E357" s="30" t="s">
        <v>2022</v>
      </c>
      <c r="F357" s="30" t="s">
        <v>2023</v>
      </c>
      <c r="G357" s="30" t="s">
        <v>35</v>
      </c>
      <c r="H357" s="33" t="s">
        <v>2073</v>
      </c>
      <c r="I357" s="33" t="e">
        <f>VLOOKUP(H357,'合同高级查询数据-8月返'!A:A,1,FALSE)</f>
        <v>#N/A</v>
      </c>
      <c r="J357" s="167" t="s">
        <v>37</v>
      </c>
      <c r="K357" s="30" t="s">
        <v>2074</v>
      </c>
      <c r="L357" s="168" t="s">
        <v>2075</v>
      </c>
      <c r="M357" s="107" t="s">
        <v>2076</v>
      </c>
      <c r="N357" s="74" t="s">
        <v>2077</v>
      </c>
      <c r="O357" s="28" t="s">
        <v>1848</v>
      </c>
      <c r="P357" s="207">
        <v>7083</v>
      </c>
      <c r="Q357" s="217">
        <v>0</v>
      </c>
      <c r="R357" s="218">
        <f t="shared" si="21"/>
        <v>0</v>
      </c>
      <c r="S357" s="59">
        <v>202308</v>
      </c>
      <c r="T357" s="184" t="s">
        <v>2078</v>
      </c>
      <c r="U357" s="228"/>
      <c r="V357" s="224">
        <v>0</v>
      </c>
      <c r="W357" s="227"/>
      <c r="X357" s="74">
        <v>44470</v>
      </c>
      <c r="Y357" s="74">
        <v>44834</v>
      </c>
      <c r="Z357" s="224">
        <v>0</v>
      </c>
      <c r="AA357" s="193">
        <v>0</v>
      </c>
      <c r="AB357" s="224">
        <v>0</v>
      </c>
      <c r="AC357" s="224">
        <f t="shared" si="22"/>
        <v>0</v>
      </c>
    </row>
    <row r="358" spans="1:29" s="10" customFormat="1" ht="15" customHeight="1">
      <c r="A358" s="201" t="s">
        <v>750</v>
      </c>
      <c r="B358" s="28" t="s">
        <v>1701</v>
      </c>
      <c r="C358" s="28" t="s">
        <v>1242</v>
      </c>
      <c r="D358" s="28" t="s">
        <v>32</v>
      </c>
      <c r="E358" s="30" t="s">
        <v>2022</v>
      </c>
      <c r="F358" s="30" t="s">
        <v>2023</v>
      </c>
      <c r="G358" s="30" t="s">
        <v>35</v>
      </c>
      <c r="H358" s="33" t="s">
        <v>2057</v>
      </c>
      <c r="I358" s="33" t="e">
        <f>VLOOKUP(H358,'合同高级查询数据-8月返'!A:A,1,FALSE)</f>
        <v>#N/A</v>
      </c>
      <c r="J358" s="167" t="s">
        <v>37</v>
      </c>
      <c r="K358" s="30" t="s">
        <v>1276</v>
      </c>
      <c r="L358" s="168" t="s">
        <v>2079</v>
      </c>
      <c r="M358" s="107" t="s">
        <v>2080</v>
      </c>
      <c r="N358" s="74" t="s">
        <v>2081</v>
      </c>
      <c r="O358" s="28" t="s">
        <v>1269</v>
      </c>
      <c r="P358" s="207">
        <v>10417</v>
      </c>
      <c r="Q358" s="217">
        <v>0</v>
      </c>
      <c r="R358" s="218">
        <f t="shared" si="21"/>
        <v>0</v>
      </c>
      <c r="S358" s="59">
        <v>202308</v>
      </c>
      <c r="T358" s="184" t="s">
        <v>2082</v>
      </c>
      <c r="U358" s="228"/>
      <c r="V358" s="224">
        <v>0</v>
      </c>
      <c r="W358" s="227"/>
      <c r="X358" s="74">
        <v>44501</v>
      </c>
      <c r="Y358" s="74">
        <v>44957</v>
      </c>
      <c r="Z358" s="224">
        <v>0</v>
      </c>
      <c r="AA358" s="193">
        <v>0</v>
      </c>
      <c r="AB358" s="224">
        <v>0</v>
      </c>
      <c r="AC358" s="224">
        <f t="shared" si="22"/>
        <v>0</v>
      </c>
    </row>
    <row r="359" spans="1:29" s="10" customFormat="1" ht="15" customHeight="1">
      <c r="A359" s="30" t="s">
        <v>769</v>
      </c>
      <c r="B359" s="28" t="s">
        <v>1701</v>
      </c>
      <c r="C359" s="28" t="s">
        <v>1716</v>
      </c>
      <c r="D359" s="28" t="s">
        <v>1717</v>
      </c>
      <c r="E359" s="30" t="s">
        <v>2083</v>
      </c>
      <c r="F359" s="30" t="s">
        <v>2084</v>
      </c>
      <c r="G359" s="30" t="s">
        <v>35</v>
      </c>
      <c r="H359" s="33" t="s">
        <v>2085</v>
      </c>
      <c r="I359" s="33" t="e">
        <f>VLOOKUP(H359,'合同高级查询数据-8月返'!A:A,1,FALSE)</f>
        <v>#N/A</v>
      </c>
      <c r="J359" s="167" t="s">
        <v>37</v>
      </c>
      <c r="K359" s="30" t="s">
        <v>1951</v>
      </c>
      <c r="L359" s="168" t="s">
        <v>2086</v>
      </c>
      <c r="M359" s="107" t="s">
        <v>2087</v>
      </c>
      <c r="N359" s="74" t="s">
        <v>2088</v>
      </c>
      <c r="O359" s="28" t="s">
        <v>1263</v>
      </c>
      <c r="P359" s="207">
        <v>5400</v>
      </c>
      <c r="Q359" s="217">
        <v>0</v>
      </c>
      <c r="R359" s="218">
        <f t="shared" si="21"/>
        <v>0</v>
      </c>
      <c r="S359" s="59">
        <v>202308</v>
      </c>
      <c r="T359" s="184" t="s">
        <v>2089</v>
      </c>
      <c r="U359" s="228"/>
      <c r="V359" s="224">
        <v>0</v>
      </c>
      <c r="W359" s="227"/>
      <c r="X359" s="237">
        <v>44440</v>
      </c>
      <c r="Y359" s="237">
        <v>44742</v>
      </c>
      <c r="Z359" s="224">
        <v>0</v>
      </c>
      <c r="AA359" s="193">
        <v>0</v>
      </c>
      <c r="AB359" s="224">
        <v>0</v>
      </c>
      <c r="AC359" s="224">
        <f t="shared" si="22"/>
        <v>0</v>
      </c>
    </row>
    <row r="360" spans="1:29" s="10" customFormat="1" ht="15" customHeight="1">
      <c r="A360" s="30" t="s">
        <v>769</v>
      </c>
      <c r="B360" s="28" t="s">
        <v>1701</v>
      </c>
      <c r="C360" s="28" t="s">
        <v>1716</v>
      </c>
      <c r="D360" s="28" t="s">
        <v>1717</v>
      </c>
      <c r="E360" s="30" t="s">
        <v>2083</v>
      </c>
      <c r="F360" s="30" t="s">
        <v>2084</v>
      </c>
      <c r="G360" s="30" t="s">
        <v>35</v>
      </c>
      <c r="H360" s="33" t="s">
        <v>2085</v>
      </c>
      <c r="I360" s="33" t="e">
        <f>VLOOKUP(H360,'合同高级查询数据-8月返'!A:A,1,FALSE)</f>
        <v>#N/A</v>
      </c>
      <c r="J360" s="167" t="s">
        <v>37</v>
      </c>
      <c r="K360" s="30" t="s">
        <v>1951</v>
      </c>
      <c r="L360" s="168" t="s">
        <v>2090</v>
      </c>
      <c r="M360" s="107" t="s">
        <v>2087</v>
      </c>
      <c r="N360" s="74" t="s">
        <v>2088</v>
      </c>
      <c r="O360" s="28" t="s">
        <v>1263</v>
      </c>
      <c r="P360" s="207">
        <v>5050</v>
      </c>
      <c r="Q360" s="217">
        <v>0</v>
      </c>
      <c r="R360" s="218">
        <f t="shared" si="21"/>
        <v>0</v>
      </c>
      <c r="S360" s="59">
        <v>202308</v>
      </c>
      <c r="T360" s="184" t="s">
        <v>2091</v>
      </c>
      <c r="U360" s="228"/>
      <c r="V360" s="224">
        <v>0</v>
      </c>
      <c r="W360" s="227"/>
      <c r="X360" s="237">
        <v>44440</v>
      </c>
      <c r="Y360" s="237">
        <v>44742</v>
      </c>
      <c r="Z360" s="224">
        <v>0</v>
      </c>
      <c r="AA360" s="193">
        <v>0</v>
      </c>
      <c r="AB360" s="224">
        <v>0</v>
      </c>
      <c r="AC360" s="224">
        <f t="shared" si="22"/>
        <v>0</v>
      </c>
    </row>
    <row r="361" spans="1:29" s="10" customFormat="1" ht="15" customHeight="1">
      <c r="A361" s="201" t="s">
        <v>750</v>
      </c>
      <c r="B361" s="30" t="s">
        <v>1701</v>
      </c>
      <c r="C361" s="30" t="s">
        <v>1850</v>
      </c>
      <c r="D361" s="28" t="s">
        <v>1717</v>
      </c>
      <c r="E361" s="30" t="s">
        <v>2092</v>
      </c>
      <c r="F361" s="30" t="s">
        <v>2093</v>
      </c>
      <c r="G361" s="30" t="s">
        <v>35</v>
      </c>
      <c r="H361" s="33" t="s">
        <v>2094</v>
      </c>
      <c r="I361" s="33" t="e">
        <f>VLOOKUP(H361,'合同高级查询数据-8月返'!A:A,1,FALSE)</f>
        <v>#N/A</v>
      </c>
      <c r="J361" s="167" t="s">
        <v>37</v>
      </c>
      <c r="K361" s="30" t="s">
        <v>2095</v>
      </c>
      <c r="L361" s="204" t="s">
        <v>2096</v>
      </c>
      <c r="M361" s="107" t="s">
        <v>2097</v>
      </c>
      <c r="N361" s="74" t="s">
        <v>2098</v>
      </c>
      <c r="O361" s="28" t="s">
        <v>2099</v>
      </c>
      <c r="P361" s="238">
        <v>5000</v>
      </c>
      <c r="Q361" s="217">
        <v>33</v>
      </c>
      <c r="R361" s="218">
        <f t="shared" si="21"/>
        <v>165000</v>
      </c>
      <c r="S361" s="59">
        <v>202308</v>
      </c>
      <c r="T361" s="184" t="s">
        <v>2100</v>
      </c>
      <c r="U361" s="228"/>
      <c r="V361" s="224">
        <v>32.911468505999999</v>
      </c>
      <c r="W361" s="227"/>
      <c r="X361" s="74">
        <v>44986</v>
      </c>
      <c r="Y361" s="74">
        <v>45351</v>
      </c>
      <c r="Z361" s="28" t="s">
        <v>2101</v>
      </c>
      <c r="AA361" s="194">
        <v>0.25</v>
      </c>
      <c r="AB361" s="227">
        <v>100</v>
      </c>
      <c r="AC361" s="224">
        <v>25</v>
      </c>
    </row>
    <row r="362" spans="1:29" s="10" customFormat="1" ht="15" customHeight="1">
      <c r="A362" s="201" t="s">
        <v>750</v>
      </c>
      <c r="B362" s="30" t="s">
        <v>1701</v>
      </c>
      <c r="C362" s="30" t="s">
        <v>1850</v>
      </c>
      <c r="D362" s="28" t="s">
        <v>1717</v>
      </c>
      <c r="E362" s="30" t="s">
        <v>2092</v>
      </c>
      <c r="F362" s="30" t="s">
        <v>2093</v>
      </c>
      <c r="G362" s="30" t="s">
        <v>35</v>
      </c>
      <c r="H362" s="33" t="s">
        <v>2094</v>
      </c>
      <c r="I362" s="33" t="e">
        <f>VLOOKUP(H362,'合同高级查询数据-8月返'!A:A,1,FALSE)</f>
        <v>#N/A</v>
      </c>
      <c r="J362" s="167" t="s">
        <v>37</v>
      </c>
      <c r="K362" s="30" t="s">
        <v>2095</v>
      </c>
      <c r="L362" s="204" t="s">
        <v>2102</v>
      </c>
      <c r="M362" s="107" t="s">
        <v>2097</v>
      </c>
      <c r="N362" s="74" t="s">
        <v>2103</v>
      </c>
      <c r="O362" s="28" t="s">
        <v>2104</v>
      </c>
      <c r="P362" s="207">
        <v>5000</v>
      </c>
      <c r="Q362" s="217">
        <v>33</v>
      </c>
      <c r="R362" s="218">
        <f t="shared" ref="R362:R420" si="23">ROUND(P362*Q362,2)</f>
        <v>165000</v>
      </c>
      <c r="S362" s="59">
        <v>202308</v>
      </c>
      <c r="T362" s="184" t="s">
        <v>2105</v>
      </c>
      <c r="U362" s="228"/>
      <c r="V362" s="224">
        <v>32.958488463999998</v>
      </c>
      <c r="W362" s="28"/>
      <c r="X362" s="187">
        <v>44986</v>
      </c>
      <c r="Y362" s="187">
        <v>45351</v>
      </c>
      <c r="Z362" s="28" t="s">
        <v>2106</v>
      </c>
      <c r="AA362" s="194">
        <v>0.25</v>
      </c>
      <c r="AB362" s="227">
        <v>100</v>
      </c>
      <c r="AC362" s="227">
        <v>25</v>
      </c>
    </row>
    <row r="363" spans="1:29" s="10" customFormat="1" ht="15" customHeight="1">
      <c r="A363" s="30" t="s">
        <v>750</v>
      </c>
      <c r="B363" s="30" t="s">
        <v>1701</v>
      </c>
      <c r="C363" s="30" t="s">
        <v>751</v>
      </c>
      <c r="D363" s="28" t="s">
        <v>32</v>
      </c>
      <c r="E363" s="30" t="s">
        <v>2107</v>
      </c>
      <c r="F363" s="30" t="s">
        <v>2108</v>
      </c>
      <c r="G363" s="30" t="s">
        <v>35</v>
      </c>
      <c r="H363" s="33" t="s">
        <v>2109</v>
      </c>
      <c r="I363" s="33" t="e">
        <f>VLOOKUP(H363,'合同高级查询数据-8月返'!A:A,1,FALSE)</f>
        <v>#N/A</v>
      </c>
      <c r="J363" s="167" t="s">
        <v>37</v>
      </c>
      <c r="K363" s="30" t="s">
        <v>2110</v>
      </c>
      <c r="L363" s="168" t="s">
        <v>2111</v>
      </c>
      <c r="M363" s="107" t="s">
        <v>2112</v>
      </c>
      <c r="N363" s="213">
        <v>43282</v>
      </c>
      <c r="O363" s="213" t="s">
        <v>2113</v>
      </c>
      <c r="P363" s="207">
        <v>5000</v>
      </c>
      <c r="Q363" s="217">
        <v>34.5</v>
      </c>
      <c r="R363" s="218">
        <f t="shared" si="23"/>
        <v>172500</v>
      </c>
      <c r="S363" s="59">
        <v>202308</v>
      </c>
      <c r="T363" s="184" t="s">
        <v>2114</v>
      </c>
      <c r="U363" s="224"/>
      <c r="V363" s="224">
        <v>34.450588226000001</v>
      </c>
      <c r="W363" s="224"/>
      <c r="X363" s="74">
        <v>45017</v>
      </c>
      <c r="Y363" s="74">
        <v>45382</v>
      </c>
      <c r="Z363" s="28" t="s">
        <v>2115</v>
      </c>
      <c r="AA363" s="194">
        <v>0.3</v>
      </c>
      <c r="AB363" s="227">
        <v>80</v>
      </c>
      <c r="AC363" s="224">
        <f t="shared" ref="AC363:AC419" si="24">AA363*AB363</f>
        <v>24</v>
      </c>
    </row>
    <row r="364" spans="1:29" s="10" customFormat="1" ht="15" customHeight="1">
      <c r="A364" s="30" t="s">
        <v>750</v>
      </c>
      <c r="B364" s="30" t="s">
        <v>1701</v>
      </c>
      <c r="C364" s="30" t="s">
        <v>751</v>
      </c>
      <c r="D364" s="28" t="s">
        <v>32</v>
      </c>
      <c r="E364" s="30" t="s">
        <v>2107</v>
      </c>
      <c r="F364" s="30" t="s">
        <v>2108</v>
      </c>
      <c r="G364" s="30" t="s">
        <v>35</v>
      </c>
      <c r="H364" s="33" t="s">
        <v>2116</v>
      </c>
      <c r="I364" s="33" t="e">
        <f>VLOOKUP(H364,'合同高级查询数据-8月返'!A:A,1,FALSE)</f>
        <v>#N/A</v>
      </c>
      <c r="J364" s="167" t="s">
        <v>37</v>
      </c>
      <c r="K364" s="30" t="s">
        <v>983</v>
      </c>
      <c r="L364" s="168" t="s">
        <v>2117</v>
      </c>
      <c r="M364" s="107" t="s">
        <v>2118</v>
      </c>
      <c r="N364" s="74">
        <v>43282</v>
      </c>
      <c r="O364" s="213" t="s">
        <v>2113</v>
      </c>
      <c r="P364" s="207">
        <v>5000</v>
      </c>
      <c r="Q364" s="217">
        <v>35.9</v>
      </c>
      <c r="R364" s="218">
        <f t="shared" si="23"/>
        <v>179500</v>
      </c>
      <c r="S364" s="59">
        <v>202308</v>
      </c>
      <c r="T364" s="184" t="s">
        <v>2119</v>
      </c>
      <c r="U364" s="224"/>
      <c r="V364" s="224">
        <v>35.870326996000003</v>
      </c>
      <c r="W364" s="224"/>
      <c r="X364" s="74">
        <v>45017</v>
      </c>
      <c r="Y364" s="74">
        <v>45382</v>
      </c>
      <c r="Z364" s="28" t="s">
        <v>2120</v>
      </c>
      <c r="AA364" s="194">
        <v>0.3</v>
      </c>
      <c r="AB364" s="227">
        <v>80</v>
      </c>
      <c r="AC364" s="224">
        <f t="shared" si="24"/>
        <v>24</v>
      </c>
    </row>
    <row r="365" spans="1:29" s="10" customFormat="1" ht="15" customHeight="1">
      <c r="A365" s="30" t="s">
        <v>769</v>
      </c>
      <c r="B365" s="28" t="s">
        <v>1701</v>
      </c>
      <c r="C365" s="28" t="s">
        <v>751</v>
      </c>
      <c r="D365" s="28" t="s">
        <v>32</v>
      </c>
      <c r="E365" s="30" t="s">
        <v>2107</v>
      </c>
      <c r="F365" s="30" t="s">
        <v>2108</v>
      </c>
      <c r="G365" s="30" t="s">
        <v>35</v>
      </c>
      <c r="H365" s="33" t="s">
        <v>2121</v>
      </c>
      <c r="I365" s="33" t="e">
        <f>VLOOKUP(H365,'合同高级查询数据-8月返'!A:A,1,FALSE)</f>
        <v>#N/A</v>
      </c>
      <c r="J365" s="167" t="s">
        <v>37</v>
      </c>
      <c r="K365" s="30" t="s">
        <v>2110</v>
      </c>
      <c r="L365" s="168" t="s">
        <v>2122</v>
      </c>
      <c r="M365" s="107" t="s">
        <v>2123</v>
      </c>
      <c r="N365" s="74" t="s">
        <v>2124</v>
      </c>
      <c r="O365" s="28" t="s">
        <v>853</v>
      </c>
      <c r="P365" s="207">
        <v>4500</v>
      </c>
      <c r="Q365" s="217">
        <v>116.8</v>
      </c>
      <c r="R365" s="218">
        <f t="shared" si="23"/>
        <v>525600</v>
      </c>
      <c r="S365" s="59">
        <v>202308</v>
      </c>
      <c r="T365" s="184" t="s">
        <v>2125</v>
      </c>
      <c r="U365" s="228"/>
      <c r="V365" s="224">
        <v>116.745010376</v>
      </c>
      <c r="W365" s="227"/>
      <c r="X365" s="74">
        <v>45017</v>
      </c>
      <c r="Y365" s="74">
        <v>45382</v>
      </c>
      <c r="Z365" s="28" t="s">
        <v>2126</v>
      </c>
      <c r="AA365" s="194">
        <v>0.5</v>
      </c>
      <c r="AB365" s="227">
        <v>200</v>
      </c>
      <c r="AC365" s="224">
        <f t="shared" si="24"/>
        <v>100</v>
      </c>
    </row>
    <row r="366" spans="1:29" s="9" customFormat="1" ht="15" customHeight="1">
      <c r="A366" s="233" t="s">
        <v>750</v>
      </c>
      <c r="B366" s="25" t="s">
        <v>1701</v>
      </c>
      <c r="C366" s="25" t="s">
        <v>751</v>
      </c>
      <c r="D366" s="25" t="s">
        <v>32</v>
      </c>
      <c r="E366" s="27" t="s">
        <v>2127</v>
      </c>
      <c r="F366" s="27" t="s">
        <v>2128</v>
      </c>
      <c r="G366" s="27" t="s">
        <v>35</v>
      </c>
      <c r="H366" s="32" t="s">
        <v>2129</v>
      </c>
      <c r="I366" s="32" t="e">
        <f>VLOOKUP(H366,'合同高级查询数据-8月返'!A:A,1,FALSE)</f>
        <v>#N/A</v>
      </c>
      <c r="J366" s="169" t="s">
        <v>37</v>
      </c>
      <c r="K366" s="27" t="s">
        <v>779</v>
      </c>
      <c r="L366" s="170" t="s">
        <v>777</v>
      </c>
      <c r="M366" s="49" t="s">
        <v>2130</v>
      </c>
      <c r="N366" s="70">
        <v>43922</v>
      </c>
      <c r="O366" s="239" t="s">
        <v>447</v>
      </c>
      <c r="P366" s="208">
        <v>5000</v>
      </c>
      <c r="Q366" s="219">
        <v>34.6</v>
      </c>
      <c r="R366" s="220">
        <f t="shared" si="23"/>
        <v>173000</v>
      </c>
      <c r="S366" s="55">
        <v>202308</v>
      </c>
      <c r="T366" s="185" t="s">
        <v>2131</v>
      </c>
      <c r="U366" s="229"/>
      <c r="V366" s="225">
        <v>34.506862640000001</v>
      </c>
      <c r="W366" s="226"/>
      <c r="X366" s="70"/>
      <c r="Y366" s="70"/>
      <c r="Z366" s="25" t="s">
        <v>2132</v>
      </c>
      <c r="AA366" s="195">
        <v>0.3</v>
      </c>
      <c r="AB366" s="226">
        <v>100</v>
      </c>
      <c r="AC366" s="225">
        <f t="shared" si="24"/>
        <v>30</v>
      </c>
    </row>
    <row r="367" spans="1:29" s="9" customFormat="1" ht="15" customHeight="1">
      <c r="A367" s="27" t="s">
        <v>769</v>
      </c>
      <c r="B367" s="25" t="s">
        <v>1701</v>
      </c>
      <c r="C367" s="25" t="s">
        <v>751</v>
      </c>
      <c r="D367" s="25" t="s">
        <v>32</v>
      </c>
      <c r="E367" s="27" t="s">
        <v>2127</v>
      </c>
      <c r="F367" s="27" t="s">
        <v>2128</v>
      </c>
      <c r="G367" s="27" t="s">
        <v>35</v>
      </c>
      <c r="H367" s="32" t="s">
        <v>2133</v>
      </c>
      <c r="I367" s="32" t="e">
        <f>VLOOKUP(H367,'合同高级查询数据-8月返'!A:A,1,FALSE)</f>
        <v>#N/A</v>
      </c>
      <c r="J367" s="169" t="s">
        <v>37</v>
      </c>
      <c r="K367" s="27" t="s">
        <v>983</v>
      </c>
      <c r="L367" s="225" t="s">
        <v>975</v>
      </c>
      <c r="M367" s="49" t="s">
        <v>2134</v>
      </c>
      <c r="N367" s="70">
        <v>43922</v>
      </c>
      <c r="O367" s="239" t="s">
        <v>319</v>
      </c>
      <c r="P367" s="208">
        <v>4200</v>
      </c>
      <c r="Q367" s="219">
        <v>74.400000000000006</v>
      </c>
      <c r="R367" s="220">
        <f t="shared" si="23"/>
        <v>312480</v>
      </c>
      <c r="S367" s="55">
        <v>202308</v>
      </c>
      <c r="T367" s="185" t="s">
        <v>2135</v>
      </c>
      <c r="U367" s="229"/>
      <c r="V367" s="225">
        <v>74.318733214999995</v>
      </c>
      <c r="W367" s="226"/>
      <c r="X367" s="70"/>
      <c r="Y367" s="70"/>
      <c r="Z367" s="25" t="s">
        <v>2136</v>
      </c>
      <c r="AA367" s="195">
        <v>0.3</v>
      </c>
      <c r="AB367" s="226">
        <v>200</v>
      </c>
      <c r="AC367" s="225">
        <f t="shared" si="24"/>
        <v>60</v>
      </c>
    </row>
    <row r="368" spans="1:29" s="9" customFormat="1" ht="15" customHeight="1">
      <c r="A368" s="233" t="s">
        <v>750</v>
      </c>
      <c r="B368" s="25" t="s">
        <v>1701</v>
      </c>
      <c r="C368" s="25" t="s">
        <v>1007</v>
      </c>
      <c r="D368" s="25" t="s">
        <v>32</v>
      </c>
      <c r="E368" s="27" t="s">
        <v>2127</v>
      </c>
      <c r="F368" s="27" t="s">
        <v>2128</v>
      </c>
      <c r="G368" s="27" t="s">
        <v>35</v>
      </c>
      <c r="H368" s="32" t="s">
        <v>2137</v>
      </c>
      <c r="I368" s="32" t="e">
        <f>VLOOKUP(H368,'合同高级查询数据-8月返'!A:A,1,FALSE)</f>
        <v>#N/A</v>
      </c>
      <c r="J368" s="169" t="s">
        <v>37</v>
      </c>
      <c r="K368" s="27" t="s">
        <v>1023</v>
      </c>
      <c r="L368" s="225" t="s">
        <v>2138</v>
      </c>
      <c r="M368" s="49" t="s">
        <v>2139</v>
      </c>
      <c r="N368" s="70">
        <v>45139</v>
      </c>
      <c r="O368" s="239" t="s">
        <v>426</v>
      </c>
      <c r="P368" s="208">
        <v>7083</v>
      </c>
      <c r="Q368" s="219">
        <v>10.199999999999999</v>
      </c>
      <c r="R368" s="220">
        <f t="shared" si="23"/>
        <v>72246.600000000006</v>
      </c>
      <c r="S368" s="55">
        <v>202308</v>
      </c>
      <c r="T368" s="185" t="s">
        <v>2140</v>
      </c>
      <c r="U368" s="229"/>
      <c r="V368" s="225">
        <v>10.146225929</v>
      </c>
      <c r="W368" s="25"/>
      <c r="X368" s="70"/>
      <c r="Y368" s="70"/>
      <c r="Z368" s="25" t="s">
        <v>2141</v>
      </c>
      <c r="AA368" s="195">
        <v>0.3</v>
      </c>
      <c r="AB368" s="226">
        <v>10</v>
      </c>
      <c r="AC368" s="226">
        <f t="shared" si="24"/>
        <v>3</v>
      </c>
    </row>
    <row r="369" spans="1:29" s="9" customFormat="1" ht="15" customHeight="1">
      <c r="A369" s="27" t="s">
        <v>762</v>
      </c>
      <c r="B369" s="25" t="s">
        <v>1701</v>
      </c>
      <c r="C369" s="25" t="s">
        <v>1007</v>
      </c>
      <c r="D369" s="25" t="s">
        <v>32</v>
      </c>
      <c r="E369" s="27" t="s">
        <v>2127</v>
      </c>
      <c r="F369" s="27" t="s">
        <v>2128</v>
      </c>
      <c r="G369" s="27" t="s">
        <v>35</v>
      </c>
      <c r="H369" s="32" t="s">
        <v>2137</v>
      </c>
      <c r="I369" s="32" t="e">
        <f>VLOOKUP(H369,'合同高级查询数据-8月返'!A:A,1,FALSE)</f>
        <v>#N/A</v>
      </c>
      <c r="J369" s="169" t="s">
        <v>37</v>
      </c>
      <c r="K369" s="27" t="s">
        <v>1023</v>
      </c>
      <c r="L369" s="225" t="s">
        <v>2142</v>
      </c>
      <c r="M369" s="49" t="s">
        <v>2139</v>
      </c>
      <c r="N369" s="70">
        <v>45139</v>
      </c>
      <c r="O369" s="239" t="s">
        <v>426</v>
      </c>
      <c r="P369" s="208">
        <v>6250</v>
      </c>
      <c r="Q369" s="219">
        <v>10.199999999999999</v>
      </c>
      <c r="R369" s="220">
        <f t="shared" si="23"/>
        <v>63750</v>
      </c>
      <c r="S369" s="55">
        <v>202308</v>
      </c>
      <c r="T369" s="185" t="s">
        <v>2140</v>
      </c>
      <c r="U369" s="229"/>
      <c r="V369" s="225">
        <v>10.146225929</v>
      </c>
      <c r="W369" s="25"/>
      <c r="X369" s="70"/>
      <c r="Y369" s="70"/>
      <c r="Z369" s="25" t="s">
        <v>2143</v>
      </c>
      <c r="AA369" s="195">
        <v>0.3</v>
      </c>
      <c r="AB369" s="226">
        <v>10</v>
      </c>
      <c r="AC369" s="226">
        <f t="shared" si="24"/>
        <v>3</v>
      </c>
    </row>
    <row r="370" spans="1:29" s="9" customFormat="1" ht="15" customHeight="1">
      <c r="A370" s="27" t="s">
        <v>769</v>
      </c>
      <c r="B370" s="25" t="s">
        <v>1701</v>
      </c>
      <c r="C370" s="25" t="s">
        <v>1007</v>
      </c>
      <c r="D370" s="25" t="s">
        <v>32</v>
      </c>
      <c r="E370" s="27" t="s">
        <v>2127</v>
      </c>
      <c r="F370" s="27" t="s">
        <v>2128</v>
      </c>
      <c r="G370" s="27" t="s">
        <v>35</v>
      </c>
      <c r="H370" s="32" t="s">
        <v>2137</v>
      </c>
      <c r="I370" s="32" t="e">
        <f>VLOOKUP(H370,'合同高级查询数据-8月返'!A:A,1,FALSE)</f>
        <v>#N/A</v>
      </c>
      <c r="J370" s="169" t="s">
        <v>37</v>
      </c>
      <c r="K370" s="27" t="s">
        <v>1023</v>
      </c>
      <c r="L370" s="225" t="s">
        <v>2144</v>
      </c>
      <c r="M370" s="49" t="s">
        <v>2139</v>
      </c>
      <c r="N370" s="70">
        <v>45139</v>
      </c>
      <c r="O370" s="239" t="s">
        <v>426</v>
      </c>
      <c r="P370" s="208">
        <v>5000</v>
      </c>
      <c r="Q370" s="219">
        <v>10.199999999999999</v>
      </c>
      <c r="R370" s="220">
        <f t="shared" si="23"/>
        <v>51000</v>
      </c>
      <c r="S370" s="55">
        <v>202308</v>
      </c>
      <c r="T370" s="185" t="s">
        <v>2145</v>
      </c>
      <c r="U370" s="229"/>
      <c r="V370" s="225">
        <v>10.146225929</v>
      </c>
      <c r="W370" s="25"/>
      <c r="X370" s="70"/>
      <c r="Y370" s="70"/>
      <c r="Z370" s="25" t="s">
        <v>2146</v>
      </c>
      <c r="AA370" s="195">
        <v>0.4</v>
      </c>
      <c r="AB370" s="226">
        <v>10</v>
      </c>
      <c r="AC370" s="226">
        <f t="shared" si="24"/>
        <v>4</v>
      </c>
    </row>
    <row r="371" spans="1:29" s="9" customFormat="1" ht="15" customHeight="1">
      <c r="A371" s="27" t="s">
        <v>769</v>
      </c>
      <c r="B371" s="25" t="s">
        <v>1701</v>
      </c>
      <c r="C371" s="25" t="s">
        <v>1007</v>
      </c>
      <c r="D371" s="25" t="s">
        <v>32</v>
      </c>
      <c r="E371" s="27" t="s">
        <v>2127</v>
      </c>
      <c r="F371" s="27" t="s">
        <v>2128</v>
      </c>
      <c r="G371" s="27" t="s">
        <v>35</v>
      </c>
      <c r="H371" s="32" t="s">
        <v>2147</v>
      </c>
      <c r="I371" s="32" t="e">
        <f>VLOOKUP(H371,'合同高级查询数据-8月返'!A:A,1,FALSE)</f>
        <v>#N/A</v>
      </c>
      <c r="J371" s="169" t="s">
        <v>37</v>
      </c>
      <c r="K371" s="27" t="s">
        <v>1023</v>
      </c>
      <c r="L371" s="225" t="s">
        <v>2148</v>
      </c>
      <c r="M371" s="49" t="s">
        <v>2149</v>
      </c>
      <c r="N371" s="70">
        <v>45139</v>
      </c>
      <c r="O371" s="239" t="s">
        <v>319</v>
      </c>
      <c r="P371" s="208">
        <v>3800</v>
      </c>
      <c r="Q371" s="219">
        <v>90.9</v>
      </c>
      <c r="R371" s="220">
        <f t="shared" si="23"/>
        <v>345420</v>
      </c>
      <c r="S371" s="55">
        <v>202308</v>
      </c>
      <c r="T371" s="185" t="s">
        <v>2150</v>
      </c>
      <c r="U371" s="229"/>
      <c r="V371" s="225">
        <v>90.839193115</v>
      </c>
      <c r="W371" s="25"/>
      <c r="X371" s="70"/>
      <c r="Y371" s="70"/>
      <c r="Z371" s="25" t="s">
        <v>2151</v>
      </c>
      <c r="AA371" s="195">
        <v>0.4</v>
      </c>
      <c r="AB371" s="226">
        <v>200</v>
      </c>
      <c r="AC371" s="226">
        <f t="shared" si="24"/>
        <v>80</v>
      </c>
    </row>
    <row r="372" spans="1:29" s="10" customFormat="1" ht="15" customHeight="1">
      <c r="A372" s="30" t="s">
        <v>769</v>
      </c>
      <c r="B372" s="28" t="s">
        <v>1701</v>
      </c>
      <c r="C372" s="28" t="s">
        <v>751</v>
      </c>
      <c r="D372" s="28" t="s">
        <v>32</v>
      </c>
      <c r="E372" s="30" t="s">
        <v>2152</v>
      </c>
      <c r="F372" s="30" t="s">
        <v>2153</v>
      </c>
      <c r="G372" s="30" t="s">
        <v>35</v>
      </c>
      <c r="H372" s="33" t="s">
        <v>2154</v>
      </c>
      <c r="I372" s="33" t="e">
        <f>VLOOKUP(H372,'合同高级查询数据-8月返'!A:A,1,FALSE)</f>
        <v>#N/A</v>
      </c>
      <c r="J372" s="167" t="s">
        <v>37</v>
      </c>
      <c r="K372" s="30" t="s">
        <v>969</v>
      </c>
      <c r="L372" s="224" t="s">
        <v>2155</v>
      </c>
      <c r="M372" s="107" t="s">
        <v>2156</v>
      </c>
      <c r="N372" s="74" t="s">
        <v>2157</v>
      </c>
      <c r="O372" s="235" t="s">
        <v>1848</v>
      </c>
      <c r="P372" s="207">
        <v>5000</v>
      </c>
      <c r="Q372" s="217">
        <v>0</v>
      </c>
      <c r="R372" s="218">
        <f t="shared" si="23"/>
        <v>0</v>
      </c>
      <c r="S372" s="59">
        <v>202308</v>
      </c>
      <c r="T372" s="184" t="s">
        <v>2158</v>
      </c>
      <c r="U372" s="28"/>
      <c r="V372" s="224">
        <v>0</v>
      </c>
      <c r="W372" s="227"/>
      <c r="X372" s="74">
        <v>44682</v>
      </c>
      <c r="Y372" s="74">
        <v>45046</v>
      </c>
      <c r="Z372" s="224">
        <v>0</v>
      </c>
      <c r="AA372" s="193">
        <v>0</v>
      </c>
      <c r="AB372" s="224">
        <v>0</v>
      </c>
      <c r="AC372" s="224">
        <f t="shared" si="24"/>
        <v>0</v>
      </c>
    </row>
    <row r="373" spans="1:29" s="10" customFormat="1" ht="15" customHeight="1">
      <c r="A373" s="30" t="s">
        <v>762</v>
      </c>
      <c r="B373" s="28" t="s">
        <v>1701</v>
      </c>
      <c r="C373" s="28" t="s">
        <v>2159</v>
      </c>
      <c r="D373" s="28" t="s">
        <v>1717</v>
      </c>
      <c r="E373" s="30" t="s">
        <v>2152</v>
      </c>
      <c r="F373" s="30" t="s">
        <v>2153</v>
      </c>
      <c r="G373" s="30" t="s">
        <v>35</v>
      </c>
      <c r="H373" s="33" t="s">
        <v>2160</v>
      </c>
      <c r="I373" s="33" t="e">
        <f>VLOOKUP(H373,'合同高级查询数据-8月返'!A:A,1,FALSE)</f>
        <v>#N/A</v>
      </c>
      <c r="J373" s="167" t="s">
        <v>37</v>
      </c>
      <c r="K373" s="28" t="s">
        <v>2159</v>
      </c>
      <c r="L373" s="224" t="s">
        <v>2161</v>
      </c>
      <c r="M373" s="107" t="s">
        <v>2162</v>
      </c>
      <c r="N373" s="74" t="s">
        <v>2163</v>
      </c>
      <c r="O373" s="235" t="s">
        <v>2164</v>
      </c>
      <c r="P373" s="207">
        <v>5833.33</v>
      </c>
      <c r="Q373" s="217">
        <v>0</v>
      </c>
      <c r="R373" s="218">
        <f t="shared" si="23"/>
        <v>0</v>
      </c>
      <c r="S373" s="59">
        <v>202308</v>
      </c>
      <c r="T373" s="184" t="s">
        <v>2165</v>
      </c>
      <c r="U373" s="28"/>
      <c r="V373" s="224">
        <v>0</v>
      </c>
      <c r="W373" s="227"/>
      <c r="X373" s="74">
        <v>45078</v>
      </c>
      <c r="Y373" s="74">
        <v>45138</v>
      </c>
      <c r="Z373" s="224">
        <v>0</v>
      </c>
      <c r="AA373" s="193">
        <v>0</v>
      </c>
      <c r="AB373" s="224">
        <v>0</v>
      </c>
      <c r="AC373" s="224">
        <f t="shared" si="24"/>
        <v>0</v>
      </c>
    </row>
    <row r="374" spans="1:29" s="10" customFormat="1" ht="15" customHeight="1">
      <c r="A374" s="30" t="s">
        <v>769</v>
      </c>
      <c r="B374" s="28" t="s">
        <v>1701</v>
      </c>
      <c r="C374" s="28" t="s">
        <v>751</v>
      </c>
      <c r="D374" s="28" t="s">
        <v>32</v>
      </c>
      <c r="E374" s="30" t="s">
        <v>2152</v>
      </c>
      <c r="F374" s="30" t="s">
        <v>2153</v>
      </c>
      <c r="G374" s="30" t="s">
        <v>35</v>
      </c>
      <c r="H374" s="33" t="s">
        <v>2166</v>
      </c>
      <c r="I374" s="33" t="e">
        <f>VLOOKUP(H374,'合同高级查询数据-8月返'!A:A,1,FALSE)</f>
        <v>#N/A</v>
      </c>
      <c r="J374" s="167" t="s">
        <v>37</v>
      </c>
      <c r="K374" s="28" t="s">
        <v>2167</v>
      </c>
      <c r="L374" s="224" t="s">
        <v>2168</v>
      </c>
      <c r="M374" s="107" t="s">
        <v>2169</v>
      </c>
      <c r="N374" s="74">
        <v>44348</v>
      </c>
      <c r="O374" s="235" t="s">
        <v>319</v>
      </c>
      <c r="P374" s="207">
        <v>4200</v>
      </c>
      <c r="Q374" s="217">
        <v>114.4</v>
      </c>
      <c r="R374" s="218">
        <f t="shared" si="23"/>
        <v>480480</v>
      </c>
      <c r="S374" s="59">
        <v>202308</v>
      </c>
      <c r="T374" s="184" t="s">
        <v>2170</v>
      </c>
      <c r="U374" s="28"/>
      <c r="V374" s="224">
        <v>114.36981964100001</v>
      </c>
      <c r="W374" s="227"/>
      <c r="X374" s="74">
        <v>45047</v>
      </c>
      <c r="Y374" s="74">
        <v>45412</v>
      </c>
      <c r="Z374" s="28" t="s">
        <v>2171</v>
      </c>
      <c r="AA374" s="194">
        <v>0.5</v>
      </c>
      <c r="AB374" s="227">
        <v>200</v>
      </c>
      <c r="AC374" s="224">
        <f t="shared" si="24"/>
        <v>100</v>
      </c>
    </row>
    <row r="375" spans="1:29" s="10" customFormat="1" ht="15" customHeight="1">
      <c r="A375" s="201" t="s">
        <v>750</v>
      </c>
      <c r="B375" s="28" t="s">
        <v>1701</v>
      </c>
      <c r="C375" s="28" t="s">
        <v>751</v>
      </c>
      <c r="D375" s="28" t="s">
        <v>32</v>
      </c>
      <c r="E375" s="30" t="s">
        <v>2152</v>
      </c>
      <c r="F375" s="30" t="s">
        <v>2153</v>
      </c>
      <c r="G375" s="30" t="s">
        <v>35</v>
      </c>
      <c r="H375" s="33" t="s">
        <v>2172</v>
      </c>
      <c r="I375" s="33" t="e">
        <f>VLOOKUP(H375,'合同高级查询数据-8月返'!A:A,1,FALSE)</f>
        <v>#N/A</v>
      </c>
      <c r="J375" s="167" t="s">
        <v>37</v>
      </c>
      <c r="K375" s="28" t="s">
        <v>2069</v>
      </c>
      <c r="L375" s="224" t="s">
        <v>2173</v>
      </c>
      <c r="M375" s="107" t="s">
        <v>2174</v>
      </c>
      <c r="N375" s="74">
        <v>44835</v>
      </c>
      <c r="O375" s="235" t="s">
        <v>319</v>
      </c>
      <c r="P375" s="207">
        <v>4583.33</v>
      </c>
      <c r="Q375" s="217">
        <v>82.9</v>
      </c>
      <c r="R375" s="218">
        <f t="shared" si="23"/>
        <v>379958.06</v>
      </c>
      <c r="S375" s="59">
        <v>202308</v>
      </c>
      <c r="T375" s="184" t="s">
        <v>2175</v>
      </c>
      <c r="U375" s="28"/>
      <c r="V375" s="224">
        <v>82.825393676999994</v>
      </c>
      <c r="W375" s="227"/>
      <c r="X375" s="74">
        <v>45108</v>
      </c>
      <c r="Y375" s="108">
        <v>45199</v>
      </c>
      <c r="Z375" s="28" t="s">
        <v>2176</v>
      </c>
      <c r="AA375" s="194">
        <v>0.3</v>
      </c>
      <c r="AB375" s="227">
        <v>200</v>
      </c>
      <c r="AC375" s="224">
        <f t="shared" si="24"/>
        <v>60</v>
      </c>
    </row>
    <row r="376" spans="1:29" s="9" customFormat="1" ht="15" customHeight="1">
      <c r="A376" s="27" t="s">
        <v>769</v>
      </c>
      <c r="B376" s="25" t="s">
        <v>1701</v>
      </c>
      <c r="C376" s="25" t="s">
        <v>751</v>
      </c>
      <c r="D376" s="25" t="s">
        <v>32</v>
      </c>
      <c r="E376" s="27" t="s">
        <v>2152</v>
      </c>
      <c r="F376" s="27" t="s">
        <v>2153</v>
      </c>
      <c r="G376" s="27" t="s">
        <v>35</v>
      </c>
      <c r="H376" s="32" t="s">
        <v>2177</v>
      </c>
      <c r="I376" s="32" t="e">
        <f>VLOOKUP(H376,'合同高级查询数据-8月返'!A:A,1,FALSE)</f>
        <v>#N/A</v>
      </c>
      <c r="J376" s="169" t="s">
        <v>37</v>
      </c>
      <c r="K376" s="25" t="s">
        <v>1000</v>
      </c>
      <c r="L376" s="225" t="s">
        <v>2178</v>
      </c>
      <c r="M376" s="49" t="s">
        <v>2179</v>
      </c>
      <c r="N376" s="70">
        <v>44927</v>
      </c>
      <c r="O376" s="239" t="s">
        <v>319</v>
      </c>
      <c r="P376" s="208">
        <v>4200</v>
      </c>
      <c r="Q376" s="219">
        <v>96.1</v>
      </c>
      <c r="R376" s="220">
        <f t="shared" si="23"/>
        <v>403620</v>
      </c>
      <c r="S376" s="55">
        <v>202308</v>
      </c>
      <c r="T376" s="185" t="s">
        <v>2180</v>
      </c>
      <c r="U376" s="25"/>
      <c r="V376" s="225">
        <v>96.036781310999999</v>
      </c>
      <c r="W376" s="25"/>
      <c r="X376" s="70"/>
      <c r="Y376" s="70"/>
      <c r="Z376" s="25" t="s">
        <v>2181</v>
      </c>
      <c r="AA376" s="195">
        <v>0.4</v>
      </c>
      <c r="AB376" s="226">
        <v>200</v>
      </c>
      <c r="AC376" s="225">
        <f t="shared" si="24"/>
        <v>80</v>
      </c>
    </row>
    <row r="377" spans="1:29" s="9" customFormat="1" ht="15" customHeight="1">
      <c r="A377" s="233" t="s">
        <v>750</v>
      </c>
      <c r="B377" s="25" t="s">
        <v>1701</v>
      </c>
      <c r="C377" s="25" t="s">
        <v>1212</v>
      </c>
      <c r="D377" s="25" t="s">
        <v>1760</v>
      </c>
      <c r="E377" s="27" t="s">
        <v>2182</v>
      </c>
      <c r="F377" s="27" t="s">
        <v>2183</v>
      </c>
      <c r="G377" s="27" t="s">
        <v>35</v>
      </c>
      <c r="H377" s="32" t="s">
        <v>2184</v>
      </c>
      <c r="I377" s="32" t="e">
        <f>VLOOKUP(H377,'合同高级查询数据-8月返'!A:A,1,FALSE)</f>
        <v>#N/A</v>
      </c>
      <c r="J377" s="169" t="s">
        <v>37</v>
      </c>
      <c r="K377" s="27" t="s">
        <v>1234</v>
      </c>
      <c r="L377" s="170" t="s">
        <v>2185</v>
      </c>
      <c r="M377" s="49" t="s">
        <v>2186</v>
      </c>
      <c r="N377" s="70">
        <v>43862</v>
      </c>
      <c r="O377" s="25" t="s">
        <v>447</v>
      </c>
      <c r="P377" s="208">
        <v>6200</v>
      </c>
      <c r="Q377" s="219">
        <v>32.799999999999997</v>
      </c>
      <c r="R377" s="220">
        <f t="shared" si="23"/>
        <v>203360</v>
      </c>
      <c r="S377" s="55">
        <v>202308</v>
      </c>
      <c r="T377" s="185" t="s">
        <v>2187</v>
      </c>
      <c r="U377" s="229"/>
      <c r="V377" s="225">
        <v>32.726638794000003</v>
      </c>
      <c r="W377" s="226"/>
      <c r="X377" s="70"/>
      <c r="Y377" s="70"/>
      <c r="Z377" s="25" t="s">
        <v>2188</v>
      </c>
      <c r="AA377" s="195">
        <v>0.25</v>
      </c>
      <c r="AB377" s="226">
        <v>100</v>
      </c>
      <c r="AC377" s="225">
        <f t="shared" si="24"/>
        <v>25</v>
      </c>
    </row>
    <row r="378" spans="1:29" s="10" customFormat="1" ht="15" customHeight="1">
      <c r="A378" s="201" t="s">
        <v>750</v>
      </c>
      <c r="B378" s="28" t="s">
        <v>1701</v>
      </c>
      <c r="C378" s="28" t="s">
        <v>2189</v>
      </c>
      <c r="D378" s="28" t="s">
        <v>1717</v>
      </c>
      <c r="E378" s="30" t="s">
        <v>2182</v>
      </c>
      <c r="F378" s="30" t="s">
        <v>2183</v>
      </c>
      <c r="G378" s="30" t="s">
        <v>35</v>
      </c>
      <c r="H378" s="33" t="s">
        <v>2190</v>
      </c>
      <c r="I378" s="33" t="e">
        <f>VLOOKUP(H378,'合同高级查询数据-8月返'!A:A,1,FALSE)</f>
        <v>#N/A</v>
      </c>
      <c r="J378" s="167" t="s">
        <v>37</v>
      </c>
      <c r="K378" s="30" t="s">
        <v>2189</v>
      </c>
      <c r="L378" s="168" t="s">
        <v>2191</v>
      </c>
      <c r="M378" s="107" t="s">
        <v>2192</v>
      </c>
      <c r="N378" s="74">
        <v>44014</v>
      </c>
      <c r="O378" s="28" t="s">
        <v>2193</v>
      </c>
      <c r="P378" s="207">
        <v>4166.67</v>
      </c>
      <c r="Q378" s="217">
        <v>60</v>
      </c>
      <c r="R378" s="218">
        <f t="shared" si="23"/>
        <v>250000.2</v>
      </c>
      <c r="S378" s="59">
        <v>202308</v>
      </c>
      <c r="T378" s="184" t="s">
        <v>2194</v>
      </c>
      <c r="U378" s="228"/>
      <c r="V378" s="224">
        <v>48.333934784</v>
      </c>
      <c r="W378" s="227"/>
      <c r="X378" s="187">
        <v>45047</v>
      </c>
      <c r="Y378" s="187">
        <v>45412</v>
      </c>
      <c r="Z378" s="28" t="s">
        <v>2195</v>
      </c>
      <c r="AA378" s="194">
        <v>1</v>
      </c>
      <c r="AB378" s="227">
        <v>60</v>
      </c>
      <c r="AC378" s="224">
        <f t="shared" si="24"/>
        <v>60</v>
      </c>
    </row>
    <row r="379" spans="1:29" s="10" customFormat="1" ht="15" customHeight="1">
      <c r="A379" s="30" t="s">
        <v>769</v>
      </c>
      <c r="B379" s="28" t="s">
        <v>1701</v>
      </c>
      <c r="C379" s="28" t="s">
        <v>1212</v>
      </c>
      <c r="D379" s="28" t="s">
        <v>1760</v>
      </c>
      <c r="E379" s="30" t="s">
        <v>2182</v>
      </c>
      <c r="F379" s="30" t="s">
        <v>2183</v>
      </c>
      <c r="G379" s="30" t="s">
        <v>35</v>
      </c>
      <c r="H379" s="33" t="s">
        <v>2196</v>
      </c>
      <c r="I379" s="33" t="e">
        <f>VLOOKUP(H379,'合同高级查询数据-8月返'!A:A,1,FALSE)</f>
        <v>#N/A</v>
      </c>
      <c r="J379" s="167" t="s">
        <v>37</v>
      </c>
      <c r="K379" s="30" t="s">
        <v>2197</v>
      </c>
      <c r="L379" s="168" t="s">
        <v>2198</v>
      </c>
      <c r="M379" s="107" t="s">
        <v>2199</v>
      </c>
      <c r="N379" s="74" t="s">
        <v>2200</v>
      </c>
      <c r="O379" s="28" t="s">
        <v>1848</v>
      </c>
      <c r="P379" s="207">
        <v>5000</v>
      </c>
      <c r="Q379" s="217">
        <v>0</v>
      </c>
      <c r="R379" s="218">
        <f t="shared" si="23"/>
        <v>0</v>
      </c>
      <c r="S379" s="59">
        <v>202308</v>
      </c>
      <c r="T379" s="184" t="s">
        <v>2201</v>
      </c>
      <c r="U379" s="228"/>
      <c r="V379" s="224">
        <v>0</v>
      </c>
      <c r="W379" s="227"/>
      <c r="X379" s="74">
        <v>44166</v>
      </c>
      <c r="Y379" s="74">
        <v>44530</v>
      </c>
      <c r="Z379" s="224">
        <v>0</v>
      </c>
      <c r="AA379" s="193">
        <v>0</v>
      </c>
      <c r="AB379" s="224">
        <v>0</v>
      </c>
      <c r="AC379" s="224">
        <f t="shared" si="24"/>
        <v>0</v>
      </c>
    </row>
    <row r="380" spans="1:29" s="9" customFormat="1" ht="15" customHeight="1">
      <c r="A380" s="27" t="s">
        <v>769</v>
      </c>
      <c r="B380" s="25" t="s">
        <v>1701</v>
      </c>
      <c r="C380" s="25" t="s">
        <v>1212</v>
      </c>
      <c r="D380" s="25" t="s">
        <v>1760</v>
      </c>
      <c r="E380" s="27" t="s">
        <v>2182</v>
      </c>
      <c r="F380" s="27" t="s">
        <v>2183</v>
      </c>
      <c r="G380" s="27" t="s">
        <v>35</v>
      </c>
      <c r="H380" s="32" t="s">
        <v>2202</v>
      </c>
      <c r="I380" s="32" t="e">
        <f>VLOOKUP(H380,'合同高级查询数据-8月返'!A:A,1,FALSE)</f>
        <v>#N/A</v>
      </c>
      <c r="J380" s="169" t="s">
        <v>37</v>
      </c>
      <c r="K380" s="27" t="s">
        <v>1234</v>
      </c>
      <c r="L380" s="170" t="s">
        <v>2203</v>
      </c>
      <c r="M380" s="49" t="s">
        <v>2204</v>
      </c>
      <c r="N380" s="70" t="s">
        <v>2205</v>
      </c>
      <c r="O380" s="25" t="s">
        <v>2206</v>
      </c>
      <c r="P380" s="208">
        <v>4300</v>
      </c>
      <c r="Q380" s="219">
        <v>240.5</v>
      </c>
      <c r="R380" s="220">
        <f t="shared" si="23"/>
        <v>1034150</v>
      </c>
      <c r="S380" s="55">
        <v>202308</v>
      </c>
      <c r="T380" s="185" t="s">
        <v>2207</v>
      </c>
      <c r="U380" s="229"/>
      <c r="V380" s="225">
        <v>240.46974182100001</v>
      </c>
      <c r="W380" s="226"/>
      <c r="X380" s="70"/>
      <c r="Y380" s="70"/>
      <c r="Z380" s="25" t="s">
        <v>2208</v>
      </c>
      <c r="AA380" s="195">
        <v>0.4</v>
      </c>
      <c r="AB380" s="226">
        <v>480</v>
      </c>
      <c r="AC380" s="225">
        <f t="shared" si="24"/>
        <v>192</v>
      </c>
    </row>
    <row r="381" spans="1:29" s="9" customFormat="1" ht="15" customHeight="1">
      <c r="A381" s="27" t="s">
        <v>769</v>
      </c>
      <c r="B381" s="25" t="s">
        <v>1701</v>
      </c>
      <c r="C381" s="25" t="s">
        <v>1212</v>
      </c>
      <c r="D381" s="25" t="s">
        <v>1760</v>
      </c>
      <c r="E381" s="27" t="s">
        <v>2182</v>
      </c>
      <c r="F381" s="27" t="s">
        <v>2183</v>
      </c>
      <c r="G381" s="27" t="s">
        <v>35</v>
      </c>
      <c r="H381" s="32" t="s">
        <v>2202</v>
      </c>
      <c r="I381" s="32" t="e">
        <f>VLOOKUP(H381,'合同高级查询数据-8月返'!A:A,1,FALSE)</f>
        <v>#N/A</v>
      </c>
      <c r="J381" s="169" t="s">
        <v>37</v>
      </c>
      <c r="K381" s="27" t="s">
        <v>1234</v>
      </c>
      <c r="L381" s="170" t="s">
        <v>2209</v>
      </c>
      <c r="M381" s="49" t="s">
        <v>2204</v>
      </c>
      <c r="N381" s="70" t="s">
        <v>2210</v>
      </c>
      <c r="O381" s="25" t="s">
        <v>1263</v>
      </c>
      <c r="P381" s="208">
        <v>4300</v>
      </c>
      <c r="Q381" s="219">
        <v>0</v>
      </c>
      <c r="R381" s="220">
        <f t="shared" si="23"/>
        <v>0</v>
      </c>
      <c r="S381" s="55">
        <v>202308</v>
      </c>
      <c r="T381" s="185" t="s">
        <v>2211</v>
      </c>
      <c r="U381" s="229"/>
      <c r="V381" s="225">
        <v>0</v>
      </c>
      <c r="W381" s="226"/>
      <c r="X381" s="70"/>
      <c r="Y381" s="70"/>
      <c r="Z381" s="225">
        <v>0</v>
      </c>
      <c r="AA381" s="196">
        <v>0</v>
      </c>
      <c r="AB381" s="225">
        <v>0</v>
      </c>
      <c r="AC381" s="225">
        <f t="shared" si="24"/>
        <v>0</v>
      </c>
    </row>
    <row r="382" spans="1:29" s="9" customFormat="1" ht="15" customHeight="1">
      <c r="A382" s="27" t="s">
        <v>769</v>
      </c>
      <c r="B382" s="25" t="s">
        <v>1701</v>
      </c>
      <c r="C382" s="25" t="s">
        <v>1212</v>
      </c>
      <c r="D382" s="25" t="s">
        <v>1760</v>
      </c>
      <c r="E382" s="27" t="s">
        <v>2182</v>
      </c>
      <c r="F382" s="27" t="s">
        <v>2183</v>
      </c>
      <c r="G382" s="27" t="s">
        <v>35</v>
      </c>
      <c r="H382" s="32" t="s">
        <v>2202</v>
      </c>
      <c r="I382" s="32" t="e">
        <f>VLOOKUP(H382,'合同高级查询数据-8月返'!A:A,1,FALSE)</f>
        <v>#N/A</v>
      </c>
      <c r="J382" s="169" t="s">
        <v>37</v>
      </c>
      <c r="K382" s="27" t="s">
        <v>1234</v>
      </c>
      <c r="L382" s="170" t="s">
        <v>2212</v>
      </c>
      <c r="M382" s="49" t="s">
        <v>2204</v>
      </c>
      <c r="N382" s="70" t="s">
        <v>2213</v>
      </c>
      <c r="O382" s="25" t="s">
        <v>2214</v>
      </c>
      <c r="P382" s="208">
        <v>4300</v>
      </c>
      <c r="Q382" s="219">
        <v>0</v>
      </c>
      <c r="R382" s="220">
        <f t="shared" si="23"/>
        <v>0</v>
      </c>
      <c r="S382" s="55">
        <v>202308</v>
      </c>
      <c r="T382" s="185" t="s">
        <v>2215</v>
      </c>
      <c r="U382" s="229"/>
      <c r="V382" s="225">
        <v>0</v>
      </c>
      <c r="W382" s="226"/>
      <c r="X382" s="70"/>
      <c r="Y382" s="70"/>
      <c r="Z382" s="225">
        <v>0</v>
      </c>
      <c r="AA382" s="196">
        <v>0</v>
      </c>
      <c r="AB382" s="225">
        <v>0</v>
      </c>
      <c r="AC382" s="225">
        <f t="shared" si="24"/>
        <v>0</v>
      </c>
    </row>
    <row r="383" spans="1:29" s="9" customFormat="1" ht="15" customHeight="1">
      <c r="A383" s="27" t="s">
        <v>769</v>
      </c>
      <c r="B383" s="25" t="s">
        <v>1701</v>
      </c>
      <c r="C383" s="25" t="s">
        <v>1212</v>
      </c>
      <c r="D383" s="25" t="s">
        <v>1760</v>
      </c>
      <c r="E383" s="27" t="s">
        <v>2182</v>
      </c>
      <c r="F383" s="27" t="s">
        <v>2183</v>
      </c>
      <c r="G383" s="27" t="s">
        <v>35</v>
      </c>
      <c r="H383" s="32" t="s">
        <v>2202</v>
      </c>
      <c r="I383" s="32" t="e">
        <f>VLOOKUP(H383,'合同高级查询数据-8月返'!A:A,1,FALSE)</f>
        <v>#N/A</v>
      </c>
      <c r="J383" s="169" t="s">
        <v>37</v>
      </c>
      <c r="K383" s="27" t="s">
        <v>1234</v>
      </c>
      <c r="L383" s="170" t="s">
        <v>2216</v>
      </c>
      <c r="M383" s="49" t="s">
        <v>2204</v>
      </c>
      <c r="N383" s="70" t="s">
        <v>2217</v>
      </c>
      <c r="O383" s="25" t="s">
        <v>1263</v>
      </c>
      <c r="P383" s="208">
        <v>4300</v>
      </c>
      <c r="Q383" s="219">
        <v>0</v>
      </c>
      <c r="R383" s="220">
        <f t="shared" si="23"/>
        <v>0</v>
      </c>
      <c r="S383" s="55">
        <v>202308</v>
      </c>
      <c r="T383" s="185" t="s">
        <v>2218</v>
      </c>
      <c r="U383" s="229"/>
      <c r="V383" s="225">
        <v>0</v>
      </c>
      <c r="W383" s="226"/>
      <c r="X383" s="70"/>
      <c r="Y383" s="70"/>
      <c r="Z383" s="225">
        <v>0</v>
      </c>
      <c r="AA383" s="196">
        <v>0</v>
      </c>
      <c r="AB383" s="225">
        <v>0</v>
      </c>
      <c r="AC383" s="225">
        <f t="shared" si="24"/>
        <v>0</v>
      </c>
    </row>
    <row r="384" spans="1:29" s="9" customFormat="1" ht="15" customHeight="1">
      <c r="A384" s="27" t="s">
        <v>750</v>
      </c>
      <c r="B384" s="27" t="s">
        <v>1701</v>
      </c>
      <c r="C384" s="27" t="s">
        <v>1212</v>
      </c>
      <c r="D384" s="25" t="s">
        <v>1760</v>
      </c>
      <c r="E384" s="27" t="s">
        <v>2219</v>
      </c>
      <c r="F384" s="27" t="s">
        <v>2220</v>
      </c>
      <c r="G384" s="27" t="s">
        <v>35</v>
      </c>
      <c r="H384" s="32" t="s">
        <v>2221</v>
      </c>
      <c r="I384" s="32" t="e">
        <f>VLOOKUP(H384,'合同高级查询数据-8月返'!A:A,1,FALSE)</f>
        <v>#N/A</v>
      </c>
      <c r="J384" s="169" t="s">
        <v>37</v>
      </c>
      <c r="K384" s="27" t="s">
        <v>1217</v>
      </c>
      <c r="L384" s="170" t="s">
        <v>2222</v>
      </c>
      <c r="M384" s="49" t="s">
        <v>2223</v>
      </c>
      <c r="N384" s="209" t="s">
        <v>2224</v>
      </c>
      <c r="O384" s="209" t="s">
        <v>2225</v>
      </c>
      <c r="P384" s="208">
        <v>6167</v>
      </c>
      <c r="Q384" s="219">
        <v>0</v>
      </c>
      <c r="R384" s="220">
        <f t="shared" si="23"/>
        <v>0</v>
      </c>
      <c r="S384" s="55">
        <v>202308</v>
      </c>
      <c r="T384" s="185" t="s">
        <v>2226</v>
      </c>
      <c r="U384" s="225"/>
      <c r="V384" s="225">
        <v>0</v>
      </c>
      <c r="W384" s="226"/>
      <c r="X384" s="70"/>
      <c r="Y384" s="70"/>
      <c r="Z384" s="225">
        <v>0</v>
      </c>
      <c r="AA384" s="196">
        <v>0</v>
      </c>
      <c r="AB384" s="225">
        <v>0</v>
      </c>
      <c r="AC384" s="225">
        <f t="shared" si="24"/>
        <v>0</v>
      </c>
    </row>
    <row r="385" spans="1:29" s="9" customFormat="1" ht="15" customHeight="1">
      <c r="A385" s="233" t="s">
        <v>750</v>
      </c>
      <c r="B385" s="27" t="s">
        <v>1701</v>
      </c>
      <c r="C385" s="27" t="s">
        <v>1212</v>
      </c>
      <c r="D385" s="25" t="s">
        <v>1760</v>
      </c>
      <c r="E385" s="27" t="s">
        <v>2219</v>
      </c>
      <c r="F385" s="27" t="s">
        <v>2220</v>
      </c>
      <c r="G385" s="27" t="s">
        <v>35</v>
      </c>
      <c r="H385" s="32" t="s">
        <v>2221</v>
      </c>
      <c r="I385" s="32" t="e">
        <f>VLOOKUP(H385,'合同高级查询数据-8月返'!A:A,1,FALSE)</f>
        <v>#N/A</v>
      </c>
      <c r="J385" s="169" t="s">
        <v>37</v>
      </c>
      <c r="K385" s="27" t="s">
        <v>1217</v>
      </c>
      <c r="L385" s="170" t="s">
        <v>2227</v>
      </c>
      <c r="M385" s="49" t="s">
        <v>2223</v>
      </c>
      <c r="N385" s="70" t="s">
        <v>2228</v>
      </c>
      <c r="O385" s="25" t="s">
        <v>1714</v>
      </c>
      <c r="P385" s="208">
        <v>6167</v>
      </c>
      <c r="Q385" s="219">
        <v>0</v>
      </c>
      <c r="R385" s="220">
        <f t="shared" si="23"/>
        <v>0</v>
      </c>
      <c r="S385" s="55">
        <v>202308</v>
      </c>
      <c r="T385" s="185" t="s">
        <v>2229</v>
      </c>
      <c r="U385" s="229"/>
      <c r="V385" s="225">
        <v>0</v>
      </c>
      <c r="W385" s="226"/>
      <c r="X385" s="70"/>
      <c r="Y385" s="70"/>
      <c r="Z385" s="225">
        <v>0</v>
      </c>
      <c r="AA385" s="196">
        <v>0</v>
      </c>
      <c r="AB385" s="225">
        <v>0</v>
      </c>
      <c r="AC385" s="225">
        <f t="shared" si="24"/>
        <v>0</v>
      </c>
    </row>
    <row r="386" spans="1:29" s="10" customFormat="1" ht="15" customHeight="1">
      <c r="A386" s="30" t="s">
        <v>762</v>
      </c>
      <c r="B386" s="28" t="s">
        <v>1701</v>
      </c>
      <c r="C386" s="28" t="s">
        <v>2230</v>
      </c>
      <c r="D386" s="28" t="s">
        <v>1717</v>
      </c>
      <c r="E386" s="30" t="s">
        <v>2231</v>
      </c>
      <c r="F386" s="30" t="s">
        <v>2232</v>
      </c>
      <c r="G386" s="30" t="s">
        <v>35</v>
      </c>
      <c r="H386" s="33" t="s">
        <v>2233</v>
      </c>
      <c r="I386" s="33" t="e">
        <f>VLOOKUP(H386,'合同高级查询数据-8月返'!A:A,1,FALSE)</f>
        <v>#N/A</v>
      </c>
      <c r="J386" s="167" t="s">
        <v>37</v>
      </c>
      <c r="K386" s="30" t="s">
        <v>2234</v>
      </c>
      <c r="L386" s="168" t="s">
        <v>2235</v>
      </c>
      <c r="M386" s="107" t="s">
        <v>2236</v>
      </c>
      <c r="N386" s="74">
        <v>43852</v>
      </c>
      <c r="O386" s="28" t="s">
        <v>447</v>
      </c>
      <c r="P386" s="207">
        <v>4000</v>
      </c>
      <c r="Q386" s="217">
        <v>39</v>
      </c>
      <c r="R386" s="218">
        <f t="shared" si="23"/>
        <v>156000</v>
      </c>
      <c r="S386" s="59">
        <v>202308</v>
      </c>
      <c r="T386" s="184" t="s">
        <v>2237</v>
      </c>
      <c r="U386" s="228"/>
      <c r="V386" s="224">
        <v>38.923931121999999</v>
      </c>
      <c r="W386" s="227"/>
      <c r="X386" s="74">
        <v>45078</v>
      </c>
      <c r="Y386" s="74">
        <v>45443</v>
      </c>
      <c r="Z386" s="28" t="s">
        <v>2238</v>
      </c>
      <c r="AA386" s="194">
        <v>0.25</v>
      </c>
      <c r="AB386" s="227">
        <v>100</v>
      </c>
      <c r="AC386" s="224">
        <f t="shared" si="24"/>
        <v>25</v>
      </c>
    </row>
    <row r="387" spans="1:29" s="10" customFormat="1" ht="15" customHeight="1">
      <c r="A387" s="30" t="s">
        <v>769</v>
      </c>
      <c r="B387" s="28" t="s">
        <v>1701</v>
      </c>
      <c r="C387" s="28" t="s">
        <v>1850</v>
      </c>
      <c r="D387" s="28" t="s">
        <v>1717</v>
      </c>
      <c r="E387" s="30" t="s">
        <v>2239</v>
      </c>
      <c r="F387" s="30" t="s">
        <v>2240</v>
      </c>
      <c r="G387" s="30" t="s">
        <v>35</v>
      </c>
      <c r="H387" s="33" t="s">
        <v>2241</v>
      </c>
      <c r="I387" s="33" t="e">
        <f>VLOOKUP(H387,'合同高级查询数据-8月返'!A:A,1,FALSE)</f>
        <v>#N/A</v>
      </c>
      <c r="J387" s="167" t="s">
        <v>37</v>
      </c>
      <c r="K387" s="30" t="s">
        <v>2095</v>
      </c>
      <c r="L387" s="168" t="s">
        <v>2242</v>
      </c>
      <c r="M387" s="107" t="s">
        <v>2243</v>
      </c>
      <c r="N387" s="74" t="s">
        <v>2244</v>
      </c>
      <c r="O387" s="28" t="s">
        <v>1848</v>
      </c>
      <c r="P387" s="207">
        <v>4700</v>
      </c>
      <c r="Q387" s="217">
        <v>0</v>
      </c>
      <c r="R387" s="218">
        <f t="shared" si="23"/>
        <v>0</v>
      </c>
      <c r="S387" s="59">
        <v>202308</v>
      </c>
      <c r="T387" s="184" t="s">
        <v>2245</v>
      </c>
      <c r="U387" s="228"/>
      <c r="V387" s="224">
        <v>0</v>
      </c>
      <c r="W387" s="227"/>
      <c r="X387" s="74">
        <v>44774</v>
      </c>
      <c r="Y387" s="74">
        <v>45077</v>
      </c>
      <c r="Z387" s="224">
        <v>0</v>
      </c>
      <c r="AA387" s="193">
        <v>0</v>
      </c>
      <c r="AB387" s="224">
        <v>0</v>
      </c>
      <c r="AC387" s="224">
        <f t="shared" si="24"/>
        <v>0</v>
      </c>
    </row>
    <row r="388" spans="1:29" s="10" customFormat="1" ht="15" customHeight="1">
      <c r="A388" s="201" t="s">
        <v>750</v>
      </c>
      <c r="B388" s="28" t="s">
        <v>1701</v>
      </c>
      <c r="C388" s="28" t="s">
        <v>1716</v>
      </c>
      <c r="D388" s="28" t="s">
        <v>1717</v>
      </c>
      <c r="E388" s="30" t="s">
        <v>2239</v>
      </c>
      <c r="F388" s="30" t="s">
        <v>2240</v>
      </c>
      <c r="G388" s="30" t="s">
        <v>35</v>
      </c>
      <c r="H388" s="33" t="s">
        <v>2246</v>
      </c>
      <c r="I388" s="33" t="e">
        <f>VLOOKUP(H388,'合同高级查询数据-8月返'!A:A,1,FALSE)</f>
        <v>#N/A</v>
      </c>
      <c r="J388" s="167" t="s">
        <v>37</v>
      </c>
      <c r="K388" s="30" t="s">
        <v>1721</v>
      </c>
      <c r="L388" s="168" t="s">
        <v>2247</v>
      </c>
      <c r="M388" s="107" t="s">
        <v>2248</v>
      </c>
      <c r="N388" s="74" t="s">
        <v>2249</v>
      </c>
      <c r="O388" s="28" t="s">
        <v>1436</v>
      </c>
      <c r="P388" s="207">
        <v>5250</v>
      </c>
      <c r="Q388" s="217">
        <v>0</v>
      </c>
      <c r="R388" s="218">
        <f t="shared" si="23"/>
        <v>0</v>
      </c>
      <c r="S388" s="59">
        <v>202308</v>
      </c>
      <c r="T388" s="184" t="s">
        <v>2250</v>
      </c>
      <c r="U388" s="228"/>
      <c r="V388" s="224">
        <v>0</v>
      </c>
      <c r="W388" s="227"/>
      <c r="X388" s="74">
        <v>44105</v>
      </c>
      <c r="Y388" s="74">
        <v>44469</v>
      </c>
      <c r="Z388" s="224">
        <v>0</v>
      </c>
      <c r="AA388" s="193">
        <v>0</v>
      </c>
      <c r="AB388" s="224">
        <v>0</v>
      </c>
      <c r="AC388" s="224">
        <f t="shared" si="24"/>
        <v>0</v>
      </c>
    </row>
    <row r="389" spans="1:29" s="10" customFormat="1" ht="15" customHeight="1">
      <c r="A389" s="201" t="s">
        <v>750</v>
      </c>
      <c r="B389" s="28" t="s">
        <v>1701</v>
      </c>
      <c r="C389" s="28" t="s">
        <v>1716</v>
      </c>
      <c r="D389" s="28" t="s">
        <v>1717</v>
      </c>
      <c r="E389" s="30" t="s">
        <v>2239</v>
      </c>
      <c r="F389" s="30" t="s">
        <v>2240</v>
      </c>
      <c r="G389" s="30" t="s">
        <v>35</v>
      </c>
      <c r="H389" s="33" t="s">
        <v>2251</v>
      </c>
      <c r="I389" s="33" t="e">
        <f>VLOOKUP(H389,'合同高级查询数据-8月返'!A:A,1,FALSE)</f>
        <v>#N/A</v>
      </c>
      <c r="J389" s="167" t="s">
        <v>37</v>
      </c>
      <c r="K389" s="30" t="s">
        <v>2252</v>
      </c>
      <c r="L389" s="168" t="s">
        <v>2253</v>
      </c>
      <c r="M389" s="107" t="s">
        <v>2254</v>
      </c>
      <c r="N389" s="74">
        <v>44348</v>
      </c>
      <c r="O389" s="28" t="s">
        <v>2193</v>
      </c>
      <c r="P389" s="207">
        <v>3333.33</v>
      </c>
      <c r="Q389" s="217">
        <v>26.6</v>
      </c>
      <c r="R389" s="218">
        <f t="shared" si="23"/>
        <v>88666.58</v>
      </c>
      <c r="S389" s="59">
        <v>202308</v>
      </c>
      <c r="T389" s="184" t="s">
        <v>2255</v>
      </c>
      <c r="U389" s="228"/>
      <c r="V389" s="224">
        <v>26.505243301</v>
      </c>
      <c r="W389" s="227"/>
      <c r="X389" s="74">
        <v>45078</v>
      </c>
      <c r="Y389" s="74">
        <v>45443</v>
      </c>
      <c r="Z389" s="28" t="s">
        <v>2256</v>
      </c>
      <c r="AA389" s="194">
        <v>0.3</v>
      </c>
      <c r="AB389" s="227">
        <v>60</v>
      </c>
      <c r="AC389" s="224">
        <f t="shared" si="24"/>
        <v>18</v>
      </c>
    </row>
    <row r="390" spans="1:29" s="10" customFormat="1" ht="15" customHeight="1">
      <c r="A390" s="30" t="s">
        <v>769</v>
      </c>
      <c r="B390" s="28" t="s">
        <v>1701</v>
      </c>
      <c r="C390" s="28" t="s">
        <v>2159</v>
      </c>
      <c r="D390" s="28" t="s">
        <v>1717</v>
      </c>
      <c r="E390" s="30" t="s">
        <v>2239</v>
      </c>
      <c r="F390" s="30" t="s">
        <v>2240</v>
      </c>
      <c r="G390" s="30" t="s">
        <v>35</v>
      </c>
      <c r="H390" s="33" t="s">
        <v>2257</v>
      </c>
      <c r="I390" s="33" t="e">
        <f>VLOOKUP(H390,'合同高级查询数据-8月返'!A:A,1,FALSE)</f>
        <v>#N/A</v>
      </c>
      <c r="J390" s="167" t="s">
        <v>37</v>
      </c>
      <c r="K390" s="30" t="s">
        <v>2159</v>
      </c>
      <c r="L390" s="168" t="s">
        <v>2258</v>
      </c>
      <c r="M390" s="107" t="s">
        <v>2259</v>
      </c>
      <c r="N390" s="74" t="s">
        <v>2260</v>
      </c>
      <c r="O390" s="28" t="s">
        <v>2261</v>
      </c>
      <c r="P390" s="207">
        <v>3500</v>
      </c>
      <c r="Q390" s="217">
        <v>40</v>
      </c>
      <c r="R390" s="218">
        <f t="shared" si="23"/>
        <v>140000</v>
      </c>
      <c r="S390" s="59">
        <v>202308</v>
      </c>
      <c r="T390" s="184" t="s">
        <v>2262</v>
      </c>
      <c r="U390" s="228"/>
      <c r="V390" s="224">
        <v>31.975807190000001</v>
      </c>
      <c r="W390" s="227"/>
      <c r="X390" s="74">
        <v>45078</v>
      </c>
      <c r="Y390" s="74">
        <v>45443</v>
      </c>
      <c r="Z390" s="28" t="s">
        <v>2263</v>
      </c>
      <c r="AA390" s="194">
        <v>1</v>
      </c>
      <c r="AB390" s="227">
        <v>40</v>
      </c>
      <c r="AC390" s="224">
        <f t="shared" si="24"/>
        <v>40</v>
      </c>
    </row>
    <row r="391" spans="1:29" s="10" customFormat="1" ht="15" customHeight="1">
      <c r="A391" s="201" t="s">
        <v>750</v>
      </c>
      <c r="B391" s="28" t="s">
        <v>1701</v>
      </c>
      <c r="C391" s="28" t="s">
        <v>1007</v>
      </c>
      <c r="D391" s="28" t="s">
        <v>32</v>
      </c>
      <c r="E391" s="30" t="s">
        <v>2264</v>
      </c>
      <c r="F391" s="30" t="s">
        <v>2265</v>
      </c>
      <c r="G391" s="30" t="s">
        <v>35</v>
      </c>
      <c r="H391" s="33" t="s">
        <v>2266</v>
      </c>
      <c r="I391" s="33" t="e">
        <f>VLOOKUP(H391,'合同高级查询数据-8月返'!A:A,1,FALSE)</f>
        <v>#N/A</v>
      </c>
      <c r="J391" s="167" t="s">
        <v>37</v>
      </c>
      <c r="K391" s="30" t="s">
        <v>1023</v>
      </c>
      <c r="L391" s="168" t="s">
        <v>2267</v>
      </c>
      <c r="M391" s="107" t="s">
        <v>2268</v>
      </c>
      <c r="N391" s="74" t="s">
        <v>2269</v>
      </c>
      <c r="O391" s="28" t="s">
        <v>2270</v>
      </c>
      <c r="P391" s="207">
        <v>7700</v>
      </c>
      <c r="Q391" s="217">
        <v>4.0999999999999996</v>
      </c>
      <c r="R391" s="218">
        <f t="shared" si="23"/>
        <v>31570</v>
      </c>
      <c r="S391" s="59">
        <v>202308</v>
      </c>
      <c r="T391" s="184" t="s">
        <v>2271</v>
      </c>
      <c r="U391" s="28"/>
      <c r="V391" s="224">
        <v>4.052812576</v>
      </c>
      <c r="W391" s="227"/>
      <c r="X391" s="74">
        <v>44896</v>
      </c>
      <c r="Y391" s="74">
        <v>45260</v>
      </c>
      <c r="Z391" s="28" t="s">
        <v>2272</v>
      </c>
      <c r="AA391" s="194">
        <v>0.3</v>
      </c>
      <c r="AB391" s="227">
        <v>10</v>
      </c>
      <c r="AC391" s="224">
        <f t="shared" si="24"/>
        <v>3</v>
      </c>
    </row>
    <row r="392" spans="1:29" s="10" customFormat="1" ht="15" customHeight="1">
      <c r="A392" s="201" t="s">
        <v>750</v>
      </c>
      <c r="B392" s="28" t="s">
        <v>1701</v>
      </c>
      <c r="C392" s="28" t="s">
        <v>1870</v>
      </c>
      <c r="D392" s="28" t="s">
        <v>1760</v>
      </c>
      <c r="E392" s="30" t="s">
        <v>2264</v>
      </c>
      <c r="F392" s="30" t="s">
        <v>2265</v>
      </c>
      <c r="G392" s="30" t="s">
        <v>35</v>
      </c>
      <c r="H392" s="33" t="s">
        <v>2273</v>
      </c>
      <c r="I392" s="33" t="e">
        <f>VLOOKUP(H392,'合同高级查询数据-8月返'!A:A,1,FALSE)</f>
        <v>#N/A</v>
      </c>
      <c r="J392" s="167" t="s">
        <v>37</v>
      </c>
      <c r="K392" s="30" t="s">
        <v>2274</v>
      </c>
      <c r="L392" s="168" t="s">
        <v>2275</v>
      </c>
      <c r="M392" s="107" t="s">
        <v>2276</v>
      </c>
      <c r="N392" s="74" t="s">
        <v>2277</v>
      </c>
      <c r="O392" s="28" t="s">
        <v>2278</v>
      </c>
      <c r="P392" s="207">
        <v>6000</v>
      </c>
      <c r="Q392" s="217">
        <v>90.2</v>
      </c>
      <c r="R392" s="218">
        <f t="shared" si="23"/>
        <v>541200</v>
      </c>
      <c r="S392" s="59">
        <v>202308</v>
      </c>
      <c r="T392" s="184" t="s">
        <v>2279</v>
      </c>
      <c r="U392" s="28"/>
      <c r="V392" s="224">
        <v>90.164825438999998</v>
      </c>
      <c r="W392" s="227"/>
      <c r="X392" s="74">
        <v>44927</v>
      </c>
      <c r="Y392" s="74">
        <v>45291</v>
      </c>
      <c r="Z392" s="28" t="s">
        <v>2280</v>
      </c>
      <c r="AA392" s="194">
        <v>0.3</v>
      </c>
      <c r="AB392" s="227">
        <v>260</v>
      </c>
      <c r="AC392" s="224">
        <f t="shared" si="24"/>
        <v>78</v>
      </c>
    </row>
    <row r="393" spans="1:29" s="10" customFormat="1" ht="15" customHeight="1">
      <c r="A393" s="30" t="s">
        <v>762</v>
      </c>
      <c r="B393" s="28" t="s">
        <v>1701</v>
      </c>
      <c r="C393" s="28" t="s">
        <v>1727</v>
      </c>
      <c r="D393" s="28" t="s">
        <v>32</v>
      </c>
      <c r="E393" s="30" t="s">
        <v>2264</v>
      </c>
      <c r="F393" s="30" t="s">
        <v>2265</v>
      </c>
      <c r="G393" s="30" t="s">
        <v>35</v>
      </c>
      <c r="H393" s="33" t="s">
        <v>2281</v>
      </c>
      <c r="I393" s="33" t="e">
        <f>VLOOKUP(H393,'合同高级查询数据-8月返'!A:A,1,FALSE)</f>
        <v>#N/A</v>
      </c>
      <c r="J393" s="167" t="s">
        <v>37</v>
      </c>
      <c r="K393" s="30" t="s">
        <v>2282</v>
      </c>
      <c r="L393" s="168" t="s">
        <v>2283</v>
      </c>
      <c r="M393" s="107" t="s">
        <v>2284</v>
      </c>
      <c r="N393" s="74" t="s">
        <v>1880</v>
      </c>
      <c r="O393" s="28" t="s">
        <v>2285</v>
      </c>
      <c r="P393" s="207">
        <v>4833.33</v>
      </c>
      <c r="Q393" s="217">
        <v>61</v>
      </c>
      <c r="R393" s="218">
        <f t="shared" si="23"/>
        <v>294833.13</v>
      </c>
      <c r="S393" s="59">
        <v>202308</v>
      </c>
      <c r="T393" s="184" t="s">
        <v>2286</v>
      </c>
      <c r="U393" s="28"/>
      <c r="V393" s="224">
        <v>60.921977996999999</v>
      </c>
      <c r="W393" s="227"/>
      <c r="X393" s="74">
        <v>45078</v>
      </c>
      <c r="Y393" s="74">
        <v>45443</v>
      </c>
      <c r="Z393" s="28" t="s">
        <v>2287</v>
      </c>
      <c r="AA393" s="194">
        <v>0.3</v>
      </c>
      <c r="AB393" s="227">
        <v>160</v>
      </c>
      <c r="AC393" s="224">
        <f t="shared" si="24"/>
        <v>48</v>
      </c>
    </row>
    <row r="394" spans="1:29" s="10" customFormat="1" ht="15" customHeight="1">
      <c r="A394" s="30" t="s">
        <v>762</v>
      </c>
      <c r="B394" s="28" t="s">
        <v>1701</v>
      </c>
      <c r="C394" s="28" t="s">
        <v>1870</v>
      </c>
      <c r="D394" s="28" t="s">
        <v>1760</v>
      </c>
      <c r="E394" s="30" t="s">
        <v>2264</v>
      </c>
      <c r="F394" s="30" t="s">
        <v>2265</v>
      </c>
      <c r="G394" s="30" t="s">
        <v>35</v>
      </c>
      <c r="H394" s="33" t="s">
        <v>2288</v>
      </c>
      <c r="I394" s="33" t="e">
        <f>VLOOKUP(H394,'合同高级查询数据-8月返'!A:A,1,FALSE)</f>
        <v>#N/A</v>
      </c>
      <c r="J394" s="167" t="s">
        <v>37</v>
      </c>
      <c r="K394" s="30" t="s">
        <v>2274</v>
      </c>
      <c r="L394" s="168" t="s">
        <v>2289</v>
      </c>
      <c r="M394" s="107" t="s">
        <v>2290</v>
      </c>
      <c r="N394" s="74">
        <v>45017</v>
      </c>
      <c r="O394" s="28" t="s">
        <v>1767</v>
      </c>
      <c r="P394" s="207">
        <v>5000</v>
      </c>
      <c r="Q394" s="217">
        <v>12.1</v>
      </c>
      <c r="R394" s="218">
        <f t="shared" si="23"/>
        <v>60500</v>
      </c>
      <c r="S394" s="59">
        <v>202308</v>
      </c>
      <c r="T394" s="184" t="s">
        <v>2291</v>
      </c>
      <c r="U394" s="28"/>
      <c r="V394" s="224">
        <v>12.097080231</v>
      </c>
      <c r="W394" s="227"/>
      <c r="X394" s="74">
        <v>45017</v>
      </c>
      <c r="Y394" s="74">
        <v>45382</v>
      </c>
      <c r="Z394" s="28" t="s">
        <v>2292</v>
      </c>
      <c r="AA394" s="194">
        <v>0.3</v>
      </c>
      <c r="AB394" s="227">
        <v>40</v>
      </c>
      <c r="AC394" s="227">
        <f t="shared" si="24"/>
        <v>12</v>
      </c>
    </row>
    <row r="395" spans="1:29" s="10" customFormat="1" ht="15" customHeight="1">
      <c r="A395" s="30" t="s">
        <v>769</v>
      </c>
      <c r="B395" s="30" t="s">
        <v>1701</v>
      </c>
      <c r="C395" s="30" t="s">
        <v>302</v>
      </c>
      <c r="D395" s="28" t="s">
        <v>1717</v>
      </c>
      <c r="E395" s="30" t="s">
        <v>2293</v>
      </c>
      <c r="F395" s="30" t="s">
        <v>2294</v>
      </c>
      <c r="G395" s="30" t="s">
        <v>35</v>
      </c>
      <c r="H395" s="33" t="s">
        <v>2295</v>
      </c>
      <c r="I395" s="33" t="e">
        <f>VLOOKUP(H395,'合同高级查询数据-8月返'!A:A,1,FALSE)</f>
        <v>#N/A</v>
      </c>
      <c r="J395" s="167" t="s">
        <v>37</v>
      </c>
      <c r="K395" s="30" t="s">
        <v>2296</v>
      </c>
      <c r="L395" s="168" t="s">
        <v>2297</v>
      </c>
      <c r="M395" s="107" t="s">
        <v>2298</v>
      </c>
      <c r="N395" s="213" t="s">
        <v>2299</v>
      </c>
      <c r="O395" s="213" t="s">
        <v>2300</v>
      </c>
      <c r="P395" s="207">
        <v>5500</v>
      </c>
      <c r="Q395" s="217">
        <v>149</v>
      </c>
      <c r="R395" s="218">
        <f t="shared" si="23"/>
        <v>819500</v>
      </c>
      <c r="S395" s="59">
        <v>202308</v>
      </c>
      <c r="T395" s="184" t="s">
        <v>2301</v>
      </c>
      <c r="U395" s="224"/>
      <c r="V395" s="224">
        <v>148.96026611299999</v>
      </c>
      <c r="W395" s="227"/>
      <c r="X395" s="74">
        <v>45017</v>
      </c>
      <c r="Y395" s="74">
        <v>45382</v>
      </c>
      <c r="Z395" s="28" t="s">
        <v>2302</v>
      </c>
      <c r="AA395" s="194">
        <v>0.3</v>
      </c>
      <c r="AB395" s="227">
        <v>430</v>
      </c>
      <c r="AC395" s="224">
        <f t="shared" si="24"/>
        <v>129</v>
      </c>
    </row>
    <row r="396" spans="1:29" s="10" customFormat="1" ht="15" customHeight="1">
      <c r="A396" s="30" t="s">
        <v>769</v>
      </c>
      <c r="B396" s="30" t="s">
        <v>1701</v>
      </c>
      <c r="C396" s="30" t="s">
        <v>302</v>
      </c>
      <c r="D396" s="28" t="s">
        <v>1717</v>
      </c>
      <c r="E396" s="30" t="s">
        <v>2293</v>
      </c>
      <c r="F396" s="30" t="s">
        <v>2294</v>
      </c>
      <c r="G396" s="30" t="s">
        <v>35</v>
      </c>
      <c r="H396" s="33" t="s">
        <v>2303</v>
      </c>
      <c r="I396" s="33" t="e">
        <f>VLOOKUP(H396,'合同高级查询数据-8月返'!A:A,1,FALSE)</f>
        <v>#N/A</v>
      </c>
      <c r="J396" s="167" t="s">
        <v>37</v>
      </c>
      <c r="K396" s="30" t="s">
        <v>460</v>
      </c>
      <c r="L396" s="204" t="s">
        <v>2304</v>
      </c>
      <c r="M396" s="107" t="s">
        <v>2305</v>
      </c>
      <c r="N396" s="213" t="s">
        <v>2306</v>
      </c>
      <c r="O396" s="213" t="s">
        <v>1900</v>
      </c>
      <c r="P396" s="207">
        <v>5500</v>
      </c>
      <c r="Q396" s="217">
        <v>121.5</v>
      </c>
      <c r="R396" s="218">
        <f t="shared" si="23"/>
        <v>668250</v>
      </c>
      <c r="S396" s="59">
        <v>202308</v>
      </c>
      <c r="T396" s="184" t="s">
        <v>2307</v>
      </c>
      <c r="U396" s="224"/>
      <c r="V396" s="224">
        <v>119.35774231000001</v>
      </c>
      <c r="W396" s="227">
        <v>123.46</v>
      </c>
      <c r="X396" s="74">
        <v>45017</v>
      </c>
      <c r="Y396" s="74">
        <v>45382</v>
      </c>
      <c r="Z396" s="28" t="s">
        <v>2308</v>
      </c>
      <c r="AA396" s="194">
        <v>0.3</v>
      </c>
      <c r="AB396" s="227">
        <v>300</v>
      </c>
      <c r="AC396" s="224">
        <f t="shared" si="24"/>
        <v>90</v>
      </c>
    </row>
    <row r="397" spans="1:29" s="10" customFormat="1" ht="15" customHeight="1">
      <c r="A397" s="30" t="s">
        <v>769</v>
      </c>
      <c r="B397" s="30" t="s">
        <v>1701</v>
      </c>
      <c r="C397" s="30" t="s">
        <v>302</v>
      </c>
      <c r="D397" s="28" t="s">
        <v>1717</v>
      </c>
      <c r="E397" s="30" t="s">
        <v>2293</v>
      </c>
      <c r="F397" s="30" t="s">
        <v>2294</v>
      </c>
      <c r="G397" s="30" t="s">
        <v>35</v>
      </c>
      <c r="H397" s="33" t="s">
        <v>2309</v>
      </c>
      <c r="I397" s="33" t="e">
        <f>VLOOKUP(H397,'合同高级查询数据-8月返'!A:A,1,FALSE)</f>
        <v>#N/A</v>
      </c>
      <c r="J397" s="167" t="s">
        <v>37</v>
      </c>
      <c r="K397" s="30" t="s">
        <v>460</v>
      </c>
      <c r="L397" s="168" t="s">
        <v>2310</v>
      </c>
      <c r="M397" s="107" t="s">
        <v>2305</v>
      </c>
      <c r="N397" s="213" t="s">
        <v>2311</v>
      </c>
      <c r="O397" s="213" t="s">
        <v>1263</v>
      </c>
      <c r="P397" s="207">
        <v>5000</v>
      </c>
      <c r="Q397" s="217">
        <v>0</v>
      </c>
      <c r="R397" s="218">
        <f t="shared" si="23"/>
        <v>0</v>
      </c>
      <c r="S397" s="59">
        <v>202308</v>
      </c>
      <c r="T397" s="184" t="s">
        <v>2312</v>
      </c>
      <c r="U397" s="224"/>
      <c r="V397" s="224">
        <v>0</v>
      </c>
      <c r="W397" s="227"/>
      <c r="X397" s="74">
        <v>44075</v>
      </c>
      <c r="Y397" s="74">
        <v>44439</v>
      </c>
      <c r="Z397" s="224">
        <v>0</v>
      </c>
      <c r="AA397" s="193">
        <v>0</v>
      </c>
      <c r="AB397" s="224">
        <v>0</v>
      </c>
      <c r="AC397" s="224">
        <f t="shared" si="24"/>
        <v>0</v>
      </c>
    </row>
    <row r="398" spans="1:29" s="10" customFormat="1" ht="15" customHeight="1">
      <c r="A398" s="30" t="s">
        <v>769</v>
      </c>
      <c r="B398" s="30" t="s">
        <v>1701</v>
      </c>
      <c r="C398" s="30" t="s">
        <v>302</v>
      </c>
      <c r="D398" s="28" t="s">
        <v>1717</v>
      </c>
      <c r="E398" s="30" t="s">
        <v>2293</v>
      </c>
      <c r="F398" s="30" t="s">
        <v>2294</v>
      </c>
      <c r="G398" s="30" t="s">
        <v>35</v>
      </c>
      <c r="H398" s="33" t="s">
        <v>2295</v>
      </c>
      <c r="I398" s="33" t="e">
        <f>VLOOKUP(H398,'合同高级查询数据-8月返'!A:A,1,FALSE)</f>
        <v>#N/A</v>
      </c>
      <c r="J398" s="167" t="s">
        <v>37</v>
      </c>
      <c r="K398" s="30" t="s">
        <v>2313</v>
      </c>
      <c r="L398" s="168" t="s">
        <v>2314</v>
      </c>
      <c r="M398" s="107" t="s">
        <v>2315</v>
      </c>
      <c r="N398" s="213" t="s">
        <v>2316</v>
      </c>
      <c r="O398" s="213" t="s">
        <v>2317</v>
      </c>
      <c r="P398" s="207">
        <v>5500</v>
      </c>
      <c r="Q398" s="217">
        <v>130.6</v>
      </c>
      <c r="R398" s="218">
        <f t="shared" si="23"/>
        <v>718300</v>
      </c>
      <c r="S398" s="59">
        <v>202308</v>
      </c>
      <c r="T398" s="184" t="s">
        <v>2318</v>
      </c>
      <c r="U398" s="224"/>
      <c r="V398" s="224">
        <v>128.467926025</v>
      </c>
      <c r="W398" s="227">
        <v>132.6</v>
      </c>
      <c r="X398" s="74">
        <v>45017</v>
      </c>
      <c r="Y398" s="74">
        <v>45382</v>
      </c>
      <c r="Z398" s="28" t="s">
        <v>2319</v>
      </c>
      <c r="AA398" s="194">
        <v>0.3</v>
      </c>
      <c r="AB398" s="227">
        <v>260</v>
      </c>
      <c r="AC398" s="224">
        <f t="shared" si="24"/>
        <v>78</v>
      </c>
    </row>
    <row r="399" spans="1:29" s="10" customFormat="1" ht="15" customHeight="1">
      <c r="A399" s="30" t="s">
        <v>769</v>
      </c>
      <c r="B399" s="30" t="s">
        <v>1701</v>
      </c>
      <c r="C399" s="30" t="s">
        <v>302</v>
      </c>
      <c r="D399" s="28" t="s">
        <v>1717</v>
      </c>
      <c r="E399" s="30" t="s">
        <v>2293</v>
      </c>
      <c r="F399" s="30" t="s">
        <v>2294</v>
      </c>
      <c r="G399" s="30" t="s">
        <v>35</v>
      </c>
      <c r="H399" s="33" t="s">
        <v>2295</v>
      </c>
      <c r="I399" s="33" t="e">
        <f>VLOOKUP(H399,'合同高级查询数据-8月返'!A:A,1,FALSE)</f>
        <v>#N/A</v>
      </c>
      <c r="J399" s="167" t="s">
        <v>37</v>
      </c>
      <c r="K399" s="30" t="s">
        <v>2320</v>
      </c>
      <c r="L399" s="168" t="s">
        <v>714</v>
      </c>
      <c r="M399" s="107" t="s">
        <v>2321</v>
      </c>
      <c r="N399" s="172">
        <v>43438</v>
      </c>
      <c r="O399" s="177" t="s">
        <v>319</v>
      </c>
      <c r="P399" s="207">
        <v>5500</v>
      </c>
      <c r="Q399" s="217">
        <v>74.8</v>
      </c>
      <c r="R399" s="218">
        <f t="shared" si="23"/>
        <v>411400</v>
      </c>
      <c r="S399" s="59">
        <v>202308</v>
      </c>
      <c r="T399" s="184" t="s">
        <v>2322</v>
      </c>
      <c r="U399" s="224"/>
      <c r="V399" s="224">
        <v>73.423263550000001</v>
      </c>
      <c r="W399" s="227">
        <v>76.14</v>
      </c>
      <c r="X399" s="74">
        <v>45017</v>
      </c>
      <c r="Y399" s="74">
        <v>45382</v>
      </c>
      <c r="Z399" s="28" t="s">
        <v>2323</v>
      </c>
      <c r="AA399" s="194">
        <v>0.3</v>
      </c>
      <c r="AB399" s="227">
        <v>200</v>
      </c>
      <c r="AC399" s="224">
        <f t="shared" si="24"/>
        <v>60</v>
      </c>
    </row>
    <row r="400" spans="1:29" s="10" customFormat="1" ht="15" customHeight="1">
      <c r="A400" s="30" t="s">
        <v>769</v>
      </c>
      <c r="B400" s="30" t="s">
        <v>1701</v>
      </c>
      <c r="C400" s="30" t="s">
        <v>302</v>
      </c>
      <c r="D400" s="28" t="s">
        <v>1717</v>
      </c>
      <c r="E400" s="30" t="s">
        <v>2293</v>
      </c>
      <c r="F400" s="30" t="s">
        <v>2294</v>
      </c>
      <c r="G400" s="30" t="s">
        <v>35</v>
      </c>
      <c r="H400" s="33" t="s">
        <v>2295</v>
      </c>
      <c r="I400" s="33" t="e">
        <f>VLOOKUP(H400,'合同高级查询数据-8月返'!A:A,1,FALSE)</f>
        <v>#N/A</v>
      </c>
      <c r="J400" s="167" t="s">
        <v>307</v>
      </c>
      <c r="K400" s="30" t="s">
        <v>2324</v>
      </c>
      <c r="L400" s="168" t="s">
        <v>2325</v>
      </c>
      <c r="M400" s="107" t="s">
        <v>2321</v>
      </c>
      <c r="N400" s="172">
        <v>44075</v>
      </c>
      <c r="O400" s="177" t="s">
        <v>2326</v>
      </c>
      <c r="P400" s="207">
        <v>5500</v>
      </c>
      <c r="Q400" s="217">
        <v>0</v>
      </c>
      <c r="R400" s="218">
        <f t="shared" si="23"/>
        <v>0</v>
      </c>
      <c r="S400" s="59">
        <v>202308</v>
      </c>
      <c r="T400" s="184" t="s">
        <v>2327</v>
      </c>
      <c r="U400" s="224"/>
      <c r="V400" s="224">
        <v>0</v>
      </c>
      <c r="W400" s="227"/>
      <c r="X400" s="74">
        <v>45017</v>
      </c>
      <c r="Y400" s="74">
        <v>45382</v>
      </c>
      <c r="Z400" s="224">
        <v>0</v>
      </c>
      <c r="AA400" s="193">
        <v>0</v>
      </c>
      <c r="AB400" s="224">
        <v>0</v>
      </c>
      <c r="AC400" s="224">
        <f t="shared" si="24"/>
        <v>0</v>
      </c>
    </row>
    <row r="401" spans="1:29" s="10" customFormat="1" ht="15" customHeight="1">
      <c r="A401" s="30" t="s">
        <v>769</v>
      </c>
      <c r="B401" s="30" t="s">
        <v>1701</v>
      </c>
      <c r="C401" s="30" t="s">
        <v>302</v>
      </c>
      <c r="D401" s="28" t="s">
        <v>1717</v>
      </c>
      <c r="E401" s="30" t="s">
        <v>2293</v>
      </c>
      <c r="F401" s="30" t="s">
        <v>2294</v>
      </c>
      <c r="G401" s="30" t="s">
        <v>35</v>
      </c>
      <c r="H401" s="33" t="s">
        <v>2328</v>
      </c>
      <c r="I401" s="33" t="str">
        <f>VLOOKUP(H401,'合同高级查询数据-8月返'!A:A,1,FALSE)</f>
        <v>182315IDC00413</v>
      </c>
      <c r="J401" s="167" t="s">
        <v>1293</v>
      </c>
      <c r="K401" s="30" t="s">
        <v>2329</v>
      </c>
      <c r="L401" s="204" t="s">
        <v>2330</v>
      </c>
      <c r="M401" s="107" t="s">
        <v>508</v>
      </c>
      <c r="N401" s="172">
        <v>43773</v>
      </c>
      <c r="O401" s="177" t="s">
        <v>447</v>
      </c>
      <c r="P401" s="207">
        <v>5500</v>
      </c>
      <c r="Q401" s="217">
        <v>30</v>
      </c>
      <c r="R401" s="218">
        <f t="shared" si="23"/>
        <v>165000</v>
      </c>
      <c r="S401" s="59">
        <v>202308</v>
      </c>
      <c r="T401" s="184" t="s">
        <v>2331</v>
      </c>
      <c r="U401" s="224"/>
      <c r="V401" s="224">
        <v>29.148039614999998</v>
      </c>
      <c r="W401" s="227"/>
      <c r="X401" s="74">
        <v>45017</v>
      </c>
      <c r="Y401" s="74">
        <v>45382</v>
      </c>
      <c r="Z401" s="28" t="s">
        <v>2332</v>
      </c>
      <c r="AA401" s="194">
        <v>0.3</v>
      </c>
      <c r="AB401" s="227">
        <v>100</v>
      </c>
      <c r="AC401" s="227">
        <f t="shared" si="24"/>
        <v>30</v>
      </c>
    </row>
    <row r="402" spans="1:29" s="10" customFormat="1" ht="15" customHeight="1">
      <c r="A402" s="30" t="s">
        <v>769</v>
      </c>
      <c r="B402" s="30" t="s">
        <v>1701</v>
      </c>
      <c r="C402" s="30" t="s">
        <v>302</v>
      </c>
      <c r="D402" s="28" t="s">
        <v>1717</v>
      </c>
      <c r="E402" s="30" t="s">
        <v>2293</v>
      </c>
      <c r="F402" s="30" t="s">
        <v>2294</v>
      </c>
      <c r="G402" s="30" t="s">
        <v>35</v>
      </c>
      <c r="H402" s="33" t="s">
        <v>2295</v>
      </c>
      <c r="I402" s="33" t="e">
        <f>VLOOKUP(H402,'合同高级查询数据-8月返'!A:A,1,FALSE)</f>
        <v>#N/A</v>
      </c>
      <c r="J402" s="167" t="s">
        <v>37</v>
      </c>
      <c r="K402" s="28" t="s">
        <v>2296</v>
      </c>
      <c r="L402" s="28" t="s">
        <v>2333</v>
      </c>
      <c r="M402" s="28" t="s">
        <v>2298</v>
      </c>
      <c r="N402" s="74" t="s">
        <v>2334</v>
      </c>
      <c r="O402" s="28" t="s">
        <v>2335</v>
      </c>
      <c r="P402" s="211">
        <v>5500</v>
      </c>
      <c r="Q402" s="217">
        <v>0</v>
      </c>
      <c r="R402" s="218">
        <f t="shared" si="23"/>
        <v>0</v>
      </c>
      <c r="S402" s="59">
        <v>202308</v>
      </c>
      <c r="T402" s="242" t="s">
        <v>2336</v>
      </c>
      <c r="U402" s="228"/>
      <c r="V402" s="224">
        <v>0</v>
      </c>
      <c r="W402" s="227"/>
      <c r="X402" s="74">
        <v>45017</v>
      </c>
      <c r="Y402" s="74">
        <v>45382</v>
      </c>
      <c r="Z402" s="224">
        <v>0</v>
      </c>
      <c r="AA402" s="193">
        <v>0</v>
      </c>
      <c r="AB402" s="224">
        <v>0</v>
      </c>
      <c r="AC402" s="224">
        <f t="shared" si="24"/>
        <v>0</v>
      </c>
    </row>
    <row r="403" spans="1:29" s="10" customFormat="1" ht="15" customHeight="1">
      <c r="A403" s="30" t="s">
        <v>769</v>
      </c>
      <c r="B403" s="30" t="s">
        <v>1701</v>
      </c>
      <c r="C403" s="30" t="s">
        <v>302</v>
      </c>
      <c r="D403" s="28" t="s">
        <v>1717</v>
      </c>
      <c r="E403" s="30" t="s">
        <v>2293</v>
      </c>
      <c r="F403" s="30" t="s">
        <v>2294</v>
      </c>
      <c r="G403" s="30" t="s">
        <v>35</v>
      </c>
      <c r="H403" s="33" t="s">
        <v>2295</v>
      </c>
      <c r="I403" s="33" t="e">
        <f>VLOOKUP(H403,'合同高级查询数据-8月返'!A:A,1,FALSE)</f>
        <v>#N/A</v>
      </c>
      <c r="J403" s="167" t="s">
        <v>37</v>
      </c>
      <c r="K403" s="28" t="s">
        <v>2296</v>
      </c>
      <c r="L403" s="28" t="s">
        <v>2337</v>
      </c>
      <c r="M403" s="28" t="s">
        <v>2338</v>
      </c>
      <c r="N403" s="74" t="s">
        <v>2339</v>
      </c>
      <c r="O403" s="28" t="s">
        <v>2340</v>
      </c>
      <c r="P403" s="211">
        <v>5500</v>
      </c>
      <c r="Q403" s="217">
        <v>66.8</v>
      </c>
      <c r="R403" s="218">
        <f t="shared" si="23"/>
        <v>367400</v>
      </c>
      <c r="S403" s="59">
        <v>202308</v>
      </c>
      <c r="T403" s="242" t="s">
        <v>2341</v>
      </c>
      <c r="U403" s="228"/>
      <c r="V403" s="224">
        <v>66.726478576999995</v>
      </c>
      <c r="W403" s="227"/>
      <c r="X403" s="74">
        <v>45017</v>
      </c>
      <c r="Y403" s="74">
        <v>45382</v>
      </c>
      <c r="Z403" s="227" t="s">
        <v>2342</v>
      </c>
      <c r="AA403" s="194">
        <v>0.3</v>
      </c>
      <c r="AB403" s="227">
        <v>200</v>
      </c>
      <c r="AC403" s="224">
        <f t="shared" si="24"/>
        <v>60</v>
      </c>
    </row>
    <row r="404" spans="1:29" s="10" customFormat="1" ht="15" customHeight="1">
      <c r="A404" s="30" t="s">
        <v>769</v>
      </c>
      <c r="B404" s="30" t="s">
        <v>1701</v>
      </c>
      <c r="C404" s="30" t="s">
        <v>2189</v>
      </c>
      <c r="D404" s="28" t="s">
        <v>1717</v>
      </c>
      <c r="E404" s="30" t="s">
        <v>2293</v>
      </c>
      <c r="F404" s="30" t="s">
        <v>2294</v>
      </c>
      <c r="G404" s="30" t="s">
        <v>35</v>
      </c>
      <c r="H404" s="33" t="s">
        <v>2343</v>
      </c>
      <c r="I404" s="33" t="e">
        <f>VLOOKUP(H404,'合同高级查询数据-8月返'!A:A,1,FALSE)</f>
        <v>#N/A</v>
      </c>
      <c r="J404" s="167" t="s">
        <v>37</v>
      </c>
      <c r="K404" s="30" t="s">
        <v>2344</v>
      </c>
      <c r="L404" s="204" t="s">
        <v>2345</v>
      </c>
      <c r="M404" s="107" t="s">
        <v>2346</v>
      </c>
      <c r="N404" s="213" t="s">
        <v>2347</v>
      </c>
      <c r="O404" s="213" t="s">
        <v>2348</v>
      </c>
      <c r="P404" s="207">
        <v>4200</v>
      </c>
      <c r="Q404" s="217">
        <v>99.6</v>
      </c>
      <c r="R404" s="218">
        <f t="shared" si="23"/>
        <v>418320</v>
      </c>
      <c r="S404" s="59">
        <v>202308</v>
      </c>
      <c r="T404" s="184" t="s">
        <v>2349</v>
      </c>
      <c r="U404" s="224"/>
      <c r="V404" s="224">
        <v>97.768188476999995</v>
      </c>
      <c r="W404" s="227">
        <v>101.29</v>
      </c>
      <c r="X404" s="74">
        <v>45017</v>
      </c>
      <c r="Y404" s="74">
        <v>45382</v>
      </c>
      <c r="Z404" s="28" t="s">
        <v>2350</v>
      </c>
      <c r="AA404" s="194">
        <v>0.3</v>
      </c>
      <c r="AB404" s="227">
        <v>220</v>
      </c>
      <c r="AC404" s="224">
        <f t="shared" si="24"/>
        <v>66</v>
      </c>
    </row>
    <row r="405" spans="1:29" s="10" customFormat="1" ht="15" customHeight="1">
      <c r="A405" s="30" t="s">
        <v>769</v>
      </c>
      <c r="B405" s="30" t="s">
        <v>1701</v>
      </c>
      <c r="C405" s="30" t="s">
        <v>2351</v>
      </c>
      <c r="D405" s="28" t="s">
        <v>1717</v>
      </c>
      <c r="E405" s="30" t="s">
        <v>2293</v>
      </c>
      <c r="F405" s="30" t="s">
        <v>2294</v>
      </c>
      <c r="G405" s="30" t="s">
        <v>35</v>
      </c>
      <c r="H405" s="33" t="s">
        <v>2352</v>
      </c>
      <c r="I405" s="33" t="e">
        <f>VLOOKUP(H405,'合同高级查询数据-8月返'!A:A,1,FALSE)</f>
        <v>#N/A</v>
      </c>
      <c r="J405" s="167" t="s">
        <v>37</v>
      </c>
      <c r="K405" s="30" t="s">
        <v>2353</v>
      </c>
      <c r="L405" s="168" t="s">
        <v>2354</v>
      </c>
      <c r="M405" s="107" t="s">
        <v>2355</v>
      </c>
      <c r="N405" s="74" t="s">
        <v>2356</v>
      </c>
      <c r="O405" s="28" t="s">
        <v>2357</v>
      </c>
      <c r="P405" s="207">
        <v>5500</v>
      </c>
      <c r="Q405" s="217">
        <v>0</v>
      </c>
      <c r="R405" s="218">
        <f t="shared" si="23"/>
        <v>0</v>
      </c>
      <c r="S405" s="59">
        <v>202308</v>
      </c>
      <c r="T405" s="242" t="s">
        <v>2358</v>
      </c>
      <c r="U405" s="228"/>
      <c r="V405" s="224">
        <v>0</v>
      </c>
      <c r="W405" s="227"/>
      <c r="X405" s="213">
        <v>44197</v>
      </c>
      <c r="Y405" s="213">
        <v>44561</v>
      </c>
      <c r="Z405" s="224">
        <v>0</v>
      </c>
      <c r="AA405" s="193">
        <v>0</v>
      </c>
      <c r="AB405" s="224">
        <v>0</v>
      </c>
      <c r="AC405" s="224">
        <f t="shared" si="24"/>
        <v>0</v>
      </c>
    </row>
    <row r="406" spans="1:29" s="10" customFormat="1" ht="15" customHeight="1">
      <c r="A406" s="30" t="s">
        <v>769</v>
      </c>
      <c r="B406" s="30" t="s">
        <v>1701</v>
      </c>
      <c r="C406" s="30" t="s">
        <v>2359</v>
      </c>
      <c r="D406" s="28" t="s">
        <v>1760</v>
      </c>
      <c r="E406" s="30" t="s">
        <v>2293</v>
      </c>
      <c r="F406" s="30" t="s">
        <v>2294</v>
      </c>
      <c r="G406" s="30" t="s">
        <v>35</v>
      </c>
      <c r="H406" s="33" t="s">
        <v>2360</v>
      </c>
      <c r="I406" s="33" t="e">
        <f>VLOOKUP(H406,'合同高级查询数据-8月返'!A:A,1,FALSE)</f>
        <v>#N/A</v>
      </c>
      <c r="J406" s="167" t="s">
        <v>37</v>
      </c>
      <c r="K406" s="30" t="s">
        <v>2361</v>
      </c>
      <c r="L406" s="168" t="s">
        <v>2362</v>
      </c>
      <c r="M406" s="107" t="s">
        <v>2363</v>
      </c>
      <c r="N406" s="213" t="s">
        <v>2364</v>
      </c>
      <c r="O406" s="28" t="s">
        <v>2365</v>
      </c>
      <c r="P406" s="207">
        <v>5500</v>
      </c>
      <c r="Q406" s="217">
        <v>0</v>
      </c>
      <c r="R406" s="218">
        <f t="shared" si="23"/>
        <v>0</v>
      </c>
      <c r="S406" s="59">
        <v>202308</v>
      </c>
      <c r="T406" s="184" t="s">
        <v>2366</v>
      </c>
      <c r="U406" s="228"/>
      <c r="V406" s="224">
        <v>0</v>
      </c>
      <c r="W406" s="227"/>
      <c r="X406" s="74">
        <v>44287</v>
      </c>
      <c r="Y406" s="74">
        <v>44561</v>
      </c>
      <c r="Z406" s="224">
        <v>0</v>
      </c>
      <c r="AA406" s="193">
        <v>0</v>
      </c>
      <c r="AB406" s="224">
        <v>0</v>
      </c>
      <c r="AC406" s="224">
        <f t="shared" si="24"/>
        <v>0</v>
      </c>
    </row>
    <row r="407" spans="1:29" s="10" customFormat="1" ht="15" customHeight="1">
      <c r="A407" s="30" t="s">
        <v>769</v>
      </c>
      <c r="B407" s="28" t="s">
        <v>1701</v>
      </c>
      <c r="C407" s="28" t="s">
        <v>2359</v>
      </c>
      <c r="D407" s="28" t="s">
        <v>1760</v>
      </c>
      <c r="E407" s="30" t="s">
        <v>2293</v>
      </c>
      <c r="F407" s="30" t="s">
        <v>2294</v>
      </c>
      <c r="G407" s="30" t="s">
        <v>35</v>
      </c>
      <c r="H407" s="33" t="s">
        <v>2360</v>
      </c>
      <c r="I407" s="33" t="e">
        <f>VLOOKUP(H407,'合同高级查询数据-8月返'!A:A,1,FALSE)</f>
        <v>#N/A</v>
      </c>
      <c r="J407" s="167" t="s">
        <v>37</v>
      </c>
      <c r="K407" s="30" t="s">
        <v>2361</v>
      </c>
      <c r="L407" s="168" t="s">
        <v>2367</v>
      </c>
      <c r="M407" s="107" t="s">
        <v>2363</v>
      </c>
      <c r="N407" s="215">
        <v>44287</v>
      </c>
      <c r="O407" s="241" t="s">
        <v>1748</v>
      </c>
      <c r="P407" s="207">
        <v>5500</v>
      </c>
      <c r="Q407" s="217">
        <v>0</v>
      </c>
      <c r="R407" s="218">
        <f t="shared" si="23"/>
        <v>0</v>
      </c>
      <c r="S407" s="59">
        <v>202308</v>
      </c>
      <c r="T407" s="184" t="s">
        <v>2368</v>
      </c>
      <c r="U407" s="228"/>
      <c r="V407" s="224">
        <v>0</v>
      </c>
      <c r="W407" s="227"/>
      <c r="X407" s="74">
        <v>44287</v>
      </c>
      <c r="Y407" s="74">
        <v>44561</v>
      </c>
      <c r="Z407" s="224">
        <v>0</v>
      </c>
      <c r="AA407" s="193">
        <v>0</v>
      </c>
      <c r="AB407" s="224">
        <v>0</v>
      </c>
      <c r="AC407" s="224">
        <f t="shared" si="24"/>
        <v>0</v>
      </c>
    </row>
    <row r="408" spans="1:29" s="10" customFormat="1" ht="15" customHeight="1">
      <c r="A408" s="30" t="s">
        <v>769</v>
      </c>
      <c r="B408" s="232" t="s">
        <v>1701</v>
      </c>
      <c r="C408" s="28" t="s">
        <v>302</v>
      </c>
      <c r="D408" s="28" t="s">
        <v>1717</v>
      </c>
      <c r="E408" s="30" t="s">
        <v>2293</v>
      </c>
      <c r="F408" s="30" t="s">
        <v>2294</v>
      </c>
      <c r="G408" s="30" t="s">
        <v>35</v>
      </c>
      <c r="H408" s="33" t="s">
        <v>2369</v>
      </c>
      <c r="I408" s="33" t="e">
        <f>VLOOKUP(H408,'合同高级查询数据-8月返'!A:A,1,FALSE)</f>
        <v>#N/A</v>
      </c>
      <c r="J408" s="167" t="s">
        <v>37</v>
      </c>
      <c r="K408" s="30" t="s">
        <v>2296</v>
      </c>
      <c r="L408" s="168" t="s">
        <v>2370</v>
      </c>
      <c r="M408" s="107" t="s">
        <v>2338</v>
      </c>
      <c r="N408" s="74" t="s">
        <v>2371</v>
      </c>
      <c r="O408" s="28" t="s">
        <v>2372</v>
      </c>
      <c r="P408" s="207">
        <v>4500</v>
      </c>
      <c r="Q408" s="217">
        <v>200</v>
      </c>
      <c r="R408" s="218">
        <f t="shared" si="23"/>
        <v>900000</v>
      </c>
      <c r="S408" s="59">
        <v>202308</v>
      </c>
      <c r="T408" s="184" t="s">
        <v>2373</v>
      </c>
      <c r="U408" s="228"/>
      <c r="V408" s="224">
        <v>161.457794189</v>
      </c>
      <c r="W408" s="227"/>
      <c r="X408" s="74">
        <v>44835</v>
      </c>
      <c r="Y408" s="108">
        <v>45199</v>
      </c>
      <c r="Z408" s="28" t="s">
        <v>2374</v>
      </c>
      <c r="AA408" s="194">
        <v>1</v>
      </c>
      <c r="AB408" s="227">
        <v>200</v>
      </c>
      <c r="AC408" s="224">
        <f t="shared" si="24"/>
        <v>200</v>
      </c>
    </row>
    <row r="409" spans="1:29" s="10" customFormat="1" ht="15" customHeight="1">
      <c r="A409" s="30" t="s">
        <v>769</v>
      </c>
      <c r="B409" s="30" t="s">
        <v>1701</v>
      </c>
      <c r="C409" s="30" t="s">
        <v>302</v>
      </c>
      <c r="D409" s="28" t="s">
        <v>1717</v>
      </c>
      <c r="E409" s="30" t="s">
        <v>2293</v>
      </c>
      <c r="F409" s="30" t="s">
        <v>2294</v>
      </c>
      <c r="G409" s="30" t="s">
        <v>35</v>
      </c>
      <c r="H409" s="33" t="s">
        <v>2375</v>
      </c>
      <c r="I409" s="33" t="e">
        <f>VLOOKUP(H409,'合同高级查询数据-8月返'!A:A,1,FALSE)</f>
        <v>#N/A</v>
      </c>
      <c r="J409" s="167" t="s">
        <v>37</v>
      </c>
      <c r="K409" s="30" t="s">
        <v>460</v>
      </c>
      <c r="L409" s="168" t="s">
        <v>2376</v>
      </c>
      <c r="M409" s="210" t="s">
        <v>2377</v>
      </c>
      <c r="N409" s="213" t="s">
        <v>2378</v>
      </c>
      <c r="O409" s="28" t="s">
        <v>2379</v>
      </c>
      <c r="P409" s="207">
        <v>5500</v>
      </c>
      <c r="Q409" s="217">
        <v>0</v>
      </c>
      <c r="R409" s="218">
        <f t="shared" si="23"/>
        <v>0</v>
      </c>
      <c r="S409" s="59">
        <v>202308</v>
      </c>
      <c r="T409" s="184" t="s">
        <v>2380</v>
      </c>
      <c r="U409" s="228"/>
      <c r="V409" s="224">
        <v>0</v>
      </c>
      <c r="W409" s="227"/>
      <c r="X409" s="74">
        <v>44927</v>
      </c>
      <c r="Y409" s="74">
        <v>45291</v>
      </c>
      <c r="Z409" s="224">
        <v>0</v>
      </c>
      <c r="AA409" s="193">
        <v>0</v>
      </c>
      <c r="AB409" s="224">
        <v>0</v>
      </c>
      <c r="AC409" s="224">
        <f t="shared" si="24"/>
        <v>0</v>
      </c>
    </row>
    <row r="410" spans="1:29" s="10" customFormat="1" ht="15" customHeight="1">
      <c r="A410" s="30" t="s">
        <v>769</v>
      </c>
      <c r="B410" s="28" t="s">
        <v>1701</v>
      </c>
      <c r="C410" s="28" t="s">
        <v>302</v>
      </c>
      <c r="D410" s="28" t="s">
        <v>1717</v>
      </c>
      <c r="E410" s="30" t="s">
        <v>2293</v>
      </c>
      <c r="F410" s="30" t="s">
        <v>2294</v>
      </c>
      <c r="G410" s="30" t="s">
        <v>35</v>
      </c>
      <c r="H410" s="33" t="s">
        <v>2375</v>
      </c>
      <c r="I410" s="33" t="e">
        <f>VLOOKUP(H410,'合同高级查询数据-8月返'!A:A,1,FALSE)</f>
        <v>#N/A</v>
      </c>
      <c r="J410" s="167" t="s">
        <v>37</v>
      </c>
      <c r="K410" s="30" t="s">
        <v>460</v>
      </c>
      <c r="L410" s="168" t="s">
        <v>2381</v>
      </c>
      <c r="M410" s="107" t="s">
        <v>2377</v>
      </c>
      <c r="N410" s="74">
        <v>44287</v>
      </c>
      <c r="O410" s="28" t="s">
        <v>1263</v>
      </c>
      <c r="P410" s="207">
        <v>5500</v>
      </c>
      <c r="Q410" s="217">
        <v>0</v>
      </c>
      <c r="R410" s="218">
        <f t="shared" si="23"/>
        <v>0</v>
      </c>
      <c r="S410" s="59">
        <v>202308</v>
      </c>
      <c r="T410" s="184" t="s">
        <v>2382</v>
      </c>
      <c r="U410" s="228"/>
      <c r="V410" s="224">
        <v>0</v>
      </c>
      <c r="W410" s="227"/>
      <c r="X410" s="74">
        <v>44927</v>
      </c>
      <c r="Y410" s="74">
        <v>45291</v>
      </c>
      <c r="Z410" s="224">
        <v>0</v>
      </c>
      <c r="AA410" s="193">
        <v>0</v>
      </c>
      <c r="AB410" s="224">
        <v>0</v>
      </c>
      <c r="AC410" s="224">
        <f t="shared" si="24"/>
        <v>0</v>
      </c>
    </row>
    <row r="411" spans="1:29" s="10" customFormat="1" ht="15" customHeight="1">
      <c r="A411" s="30" t="s">
        <v>769</v>
      </c>
      <c r="B411" s="28" t="s">
        <v>1701</v>
      </c>
      <c r="C411" s="28" t="s">
        <v>138</v>
      </c>
      <c r="D411" s="28" t="s">
        <v>32</v>
      </c>
      <c r="E411" s="30" t="s">
        <v>2293</v>
      </c>
      <c r="F411" s="30" t="s">
        <v>2294</v>
      </c>
      <c r="G411" s="30" t="s">
        <v>35</v>
      </c>
      <c r="H411" s="33" t="s">
        <v>2383</v>
      </c>
      <c r="I411" s="33" t="str">
        <f>VLOOKUP(H411,'合同高级查询数据-8月返'!A:A,1,FALSE)</f>
        <v>182315IDC00400</v>
      </c>
      <c r="J411" s="167" t="s">
        <v>37</v>
      </c>
      <c r="K411" s="30" t="s">
        <v>2384</v>
      </c>
      <c r="L411" s="168" t="s">
        <v>1121</v>
      </c>
      <c r="M411" s="107" t="s">
        <v>2385</v>
      </c>
      <c r="N411" s="74">
        <v>44348</v>
      </c>
      <c r="O411" s="28" t="s">
        <v>1569</v>
      </c>
      <c r="P411" s="207">
        <v>3400</v>
      </c>
      <c r="Q411" s="217">
        <v>160</v>
      </c>
      <c r="R411" s="218">
        <f t="shared" si="23"/>
        <v>544000</v>
      </c>
      <c r="S411" s="59">
        <v>202308</v>
      </c>
      <c r="T411" s="184" t="s">
        <v>2386</v>
      </c>
      <c r="U411" s="228"/>
      <c r="V411" s="224">
        <v>130.64442443799999</v>
      </c>
      <c r="W411" s="227"/>
      <c r="X411" s="74">
        <v>45017</v>
      </c>
      <c r="Y411" s="74">
        <v>45382</v>
      </c>
      <c r="Z411" s="28" t="s">
        <v>2387</v>
      </c>
      <c r="AA411" s="194">
        <v>1</v>
      </c>
      <c r="AB411" s="227">
        <v>160</v>
      </c>
      <c r="AC411" s="224">
        <f t="shared" si="24"/>
        <v>160</v>
      </c>
    </row>
    <row r="412" spans="1:29" s="10" customFormat="1" ht="15" customHeight="1">
      <c r="A412" s="30" t="s">
        <v>769</v>
      </c>
      <c r="B412" s="28" t="s">
        <v>1701</v>
      </c>
      <c r="C412" s="30" t="s">
        <v>302</v>
      </c>
      <c r="D412" s="28" t="s">
        <v>1717</v>
      </c>
      <c r="E412" s="30" t="s">
        <v>2293</v>
      </c>
      <c r="F412" s="30" t="s">
        <v>2294</v>
      </c>
      <c r="G412" s="30" t="s">
        <v>35</v>
      </c>
      <c r="H412" s="33" t="s">
        <v>2388</v>
      </c>
      <c r="I412" s="33" t="e">
        <f>VLOOKUP(H412,'合同高级查询数据-8月返'!A:A,1,FALSE)</f>
        <v>#N/A</v>
      </c>
      <c r="J412" s="167" t="s">
        <v>37</v>
      </c>
      <c r="K412" s="30" t="s">
        <v>721</v>
      </c>
      <c r="L412" s="204" t="s">
        <v>2389</v>
      </c>
      <c r="M412" s="107" t="s">
        <v>2390</v>
      </c>
      <c r="N412" s="213">
        <v>44591</v>
      </c>
      <c r="O412" s="213" t="s">
        <v>319</v>
      </c>
      <c r="P412" s="207">
        <v>5500</v>
      </c>
      <c r="Q412" s="217">
        <v>71.099999999999994</v>
      </c>
      <c r="R412" s="218">
        <f t="shared" si="23"/>
        <v>391050</v>
      </c>
      <c r="S412" s="59">
        <v>202308</v>
      </c>
      <c r="T412" s="184" t="s">
        <v>2391</v>
      </c>
      <c r="U412" s="228"/>
      <c r="V412" s="224">
        <v>69.773796082000004</v>
      </c>
      <c r="W412" s="227">
        <v>72.42</v>
      </c>
      <c r="X412" s="74">
        <v>44958</v>
      </c>
      <c r="Y412" s="74">
        <v>45322</v>
      </c>
      <c r="Z412" s="28" t="s">
        <v>2392</v>
      </c>
      <c r="AA412" s="194">
        <v>0.3</v>
      </c>
      <c r="AB412" s="227">
        <v>200</v>
      </c>
      <c r="AC412" s="224">
        <f t="shared" si="24"/>
        <v>60</v>
      </c>
    </row>
    <row r="413" spans="1:29" s="10" customFormat="1" ht="15" customHeight="1">
      <c r="A413" s="30" t="s">
        <v>769</v>
      </c>
      <c r="B413" s="28" t="s">
        <v>1701</v>
      </c>
      <c r="C413" s="30" t="s">
        <v>302</v>
      </c>
      <c r="D413" s="28" t="s">
        <v>1717</v>
      </c>
      <c r="E413" s="30" t="s">
        <v>2293</v>
      </c>
      <c r="F413" s="30" t="s">
        <v>2294</v>
      </c>
      <c r="G413" s="30" t="s">
        <v>35</v>
      </c>
      <c r="H413" s="33" t="s">
        <v>2393</v>
      </c>
      <c r="I413" s="33" t="e">
        <f>VLOOKUP(H413,'合同高级查询数据-8月返'!A:A,1,FALSE)</f>
        <v>#N/A</v>
      </c>
      <c r="J413" s="167" t="s">
        <v>37</v>
      </c>
      <c r="K413" s="30" t="s">
        <v>460</v>
      </c>
      <c r="L413" s="204" t="s">
        <v>2394</v>
      </c>
      <c r="M413" s="107" t="s">
        <v>2395</v>
      </c>
      <c r="N413" s="213" t="s">
        <v>2396</v>
      </c>
      <c r="O413" s="213" t="s">
        <v>1263</v>
      </c>
      <c r="P413" s="207">
        <v>5500</v>
      </c>
      <c r="Q413" s="217">
        <v>0</v>
      </c>
      <c r="R413" s="218">
        <f t="shared" si="23"/>
        <v>0</v>
      </c>
      <c r="S413" s="59">
        <v>202308</v>
      </c>
      <c r="T413" s="184" t="s">
        <v>2397</v>
      </c>
      <c r="U413" s="228"/>
      <c r="V413" s="224">
        <v>0</v>
      </c>
      <c r="W413" s="227"/>
      <c r="X413" s="74">
        <v>44927</v>
      </c>
      <c r="Y413" s="74">
        <v>45291</v>
      </c>
      <c r="Z413" s="224">
        <v>0</v>
      </c>
      <c r="AA413" s="193">
        <v>0</v>
      </c>
      <c r="AB413" s="224">
        <v>0</v>
      </c>
      <c r="AC413" s="224">
        <f t="shared" si="24"/>
        <v>0</v>
      </c>
    </row>
    <row r="414" spans="1:29" s="9" customFormat="1" ht="15" customHeight="1">
      <c r="A414" s="27" t="s">
        <v>762</v>
      </c>
      <c r="B414" s="25" t="s">
        <v>1701</v>
      </c>
      <c r="C414" s="25" t="s">
        <v>302</v>
      </c>
      <c r="D414" s="25" t="s">
        <v>1717</v>
      </c>
      <c r="E414" s="25" t="s">
        <v>2293</v>
      </c>
      <c r="F414" s="25" t="s">
        <v>2294</v>
      </c>
      <c r="G414" s="27" t="s">
        <v>35</v>
      </c>
      <c r="H414" s="25" t="s">
        <v>2398</v>
      </c>
      <c r="I414" s="32" t="e">
        <f>VLOOKUP(H414,'合同高级查询数据-8月返'!A:A,1,FALSE)</f>
        <v>#N/A</v>
      </c>
      <c r="J414" s="169" t="s">
        <v>37</v>
      </c>
      <c r="K414" s="25" t="s">
        <v>721</v>
      </c>
      <c r="L414" s="25" t="s">
        <v>2399</v>
      </c>
      <c r="M414" s="25" t="s">
        <v>2400</v>
      </c>
      <c r="N414" s="70" t="s">
        <v>2401</v>
      </c>
      <c r="O414" s="25" t="s">
        <v>2402</v>
      </c>
      <c r="P414" s="236">
        <v>4650</v>
      </c>
      <c r="Q414" s="219">
        <v>53.9</v>
      </c>
      <c r="R414" s="220">
        <f t="shared" si="23"/>
        <v>250635</v>
      </c>
      <c r="S414" s="55">
        <v>202308</v>
      </c>
      <c r="T414" s="185" t="s">
        <v>2403</v>
      </c>
      <c r="U414" s="25"/>
      <c r="V414" s="225">
        <v>52.842105865000001</v>
      </c>
      <c r="W414" s="226">
        <v>54.91</v>
      </c>
      <c r="X414" s="70"/>
      <c r="Y414" s="70"/>
      <c r="Z414" s="25" t="s">
        <v>2404</v>
      </c>
      <c r="AA414" s="195">
        <v>0.25</v>
      </c>
      <c r="AB414" s="226">
        <v>150</v>
      </c>
      <c r="AC414" s="225">
        <f t="shared" si="24"/>
        <v>37.5</v>
      </c>
    </row>
    <row r="415" spans="1:29" s="9" customFormat="1" ht="15" customHeight="1">
      <c r="A415" s="27" t="s">
        <v>762</v>
      </c>
      <c r="B415" s="25" t="s">
        <v>1701</v>
      </c>
      <c r="C415" s="25" t="s">
        <v>302</v>
      </c>
      <c r="D415" s="25" t="s">
        <v>1717</v>
      </c>
      <c r="E415" s="25" t="s">
        <v>2293</v>
      </c>
      <c r="F415" s="25" t="s">
        <v>2294</v>
      </c>
      <c r="G415" s="27" t="s">
        <v>35</v>
      </c>
      <c r="H415" s="25" t="s">
        <v>2398</v>
      </c>
      <c r="I415" s="32" t="e">
        <f>VLOOKUP(H415,'合同高级查询数据-8月返'!A:A,1,FALSE)</f>
        <v>#N/A</v>
      </c>
      <c r="J415" s="169" t="s">
        <v>37</v>
      </c>
      <c r="K415" s="25" t="s">
        <v>721</v>
      </c>
      <c r="L415" s="25" t="s">
        <v>2405</v>
      </c>
      <c r="M415" s="25" t="s">
        <v>2400</v>
      </c>
      <c r="N415" s="70">
        <v>44805</v>
      </c>
      <c r="O415" s="25" t="s">
        <v>711</v>
      </c>
      <c r="P415" s="236">
        <v>4650</v>
      </c>
      <c r="Q415" s="219">
        <v>51.2</v>
      </c>
      <c r="R415" s="220">
        <f t="shared" si="23"/>
        <v>238080</v>
      </c>
      <c r="S415" s="55">
        <v>202308</v>
      </c>
      <c r="T415" s="185" t="s">
        <v>2406</v>
      </c>
      <c r="U415" s="25"/>
      <c r="V415" s="225">
        <v>51.136501312</v>
      </c>
      <c r="W415" s="226"/>
      <c r="X415" s="70"/>
      <c r="Y415" s="70"/>
      <c r="Z415" s="25" t="s">
        <v>2407</v>
      </c>
      <c r="AA415" s="195">
        <v>0.25</v>
      </c>
      <c r="AB415" s="226">
        <v>150</v>
      </c>
      <c r="AC415" s="225">
        <f t="shared" si="24"/>
        <v>37.5</v>
      </c>
    </row>
    <row r="416" spans="1:29" s="10" customFormat="1" ht="15" customHeight="1">
      <c r="A416" s="30" t="s">
        <v>769</v>
      </c>
      <c r="B416" s="28" t="s">
        <v>1701</v>
      </c>
      <c r="C416" s="30" t="s">
        <v>302</v>
      </c>
      <c r="D416" s="28" t="s">
        <v>1717</v>
      </c>
      <c r="E416" s="30" t="s">
        <v>2293</v>
      </c>
      <c r="F416" s="30" t="s">
        <v>2294</v>
      </c>
      <c r="G416" s="30" t="s">
        <v>35</v>
      </c>
      <c r="H416" s="28" t="s">
        <v>2408</v>
      </c>
      <c r="I416" s="33" t="e">
        <f>VLOOKUP(H416,'合同高级查询数据-8月返'!A:A,1,FALSE)</f>
        <v>#N/A</v>
      </c>
      <c r="J416" s="167" t="s">
        <v>37</v>
      </c>
      <c r="K416" s="28" t="s">
        <v>2409</v>
      </c>
      <c r="L416" s="28" t="s">
        <v>1151</v>
      </c>
      <c r="M416" s="28" t="s">
        <v>2410</v>
      </c>
      <c r="N416" s="74">
        <v>44835</v>
      </c>
      <c r="O416" s="28" t="s">
        <v>447</v>
      </c>
      <c r="P416" s="211">
        <v>4200</v>
      </c>
      <c r="Q416" s="217">
        <v>100</v>
      </c>
      <c r="R416" s="218">
        <f t="shared" si="23"/>
        <v>420000</v>
      </c>
      <c r="S416" s="59">
        <v>202308</v>
      </c>
      <c r="T416" s="184" t="s">
        <v>2411</v>
      </c>
      <c r="U416" s="28"/>
      <c r="V416" s="224">
        <v>76.890266417999996</v>
      </c>
      <c r="W416" s="227"/>
      <c r="X416" s="74">
        <v>44835</v>
      </c>
      <c r="Y416" s="108">
        <v>45199</v>
      </c>
      <c r="Z416" s="28" t="s">
        <v>2412</v>
      </c>
      <c r="AA416" s="194">
        <v>1</v>
      </c>
      <c r="AB416" s="227">
        <v>100</v>
      </c>
      <c r="AC416" s="224">
        <f t="shared" si="24"/>
        <v>100</v>
      </c>
    </row>
    <row r="417" spans="1:29" s="10" customFormat="1" ht="15" customHeight="1">
      <c r="A417" s="30" t="s">
        <v>769</v>
      </c>
      <c r="B417" s="28" t="s">
        <v>1701</v>
      </c>
      <c r="C417" s="30" t="s">
        <v>302</v>
      </c>
      <c r="D417" s="28" t="s">
        <v>1717</v>
      </c>
      <c r="E417" s="30" t="s">
        <v>2293</v>
      </c>
      <c r="F417" s="30" t="s">
        <v>2294</v>
      </c>
      <c r="G417" s="30" t="s">
        <v>35</v>
      </c>
      <c r="H417" s="28" t="s">
        <v>2413</v>
      </c>
      <c r="I417" s="33" t="str">
        <f>VLOOKUP(H417,'合同高级查询数据-8月返'!A:A,1,FALSE)</f>
        <v>182315IDC00418</v>
      </c>
      <c r="J417" s="167" t="s">
        <v>37</v>
      </c>
      <c r="K417" s="28" t="s">
        <v>2409</v>
      </c>
      <c r="L417" s="28" t="s">
        <v>2414</v>
      </c>
      <c r="M417" s="28" t="s">
        <v>2410</v>
      </c>
      <c r="N417" s="74">
        <v>45109</v>
      </c>
      <c r="O417" s="28" t="s">
        <v>319</v>
      </c>
      <c r="P417" s="211">
        <v>5200</v>
      </c>
      <c r="Q417" s="217">
        <v>92.4</v>
      </c>
      <c r="R417" s="218">
        <f t="shared" si="23"/>
        <v>480480</v>
      </c>
      <c r="S417" s="59">
        <v>202308</v>
      </c>
      <c r="T417" s="184" t="s">
        <v>2415</v>
      </c>
      <c r="U417" s="28"/>
      <c r="V417" s="224">
        <v>92.376640320000007</v>
      </c>
      <c r="W417" s="227"/>
      <c r="X417" s="74">
        <v>45108</v>
      </c>
      <c r="Y417" s="74">
        <v>45473</v>
      </c>
      <c r="Z417" s="224" t="s">
        <v>2416</v>
      </c>
      <c r="AA417" s="194">
        <v>0.4</v>
      </c>
      <c r="AB417" s="224">
        <v>200</v>
      </c>
      <c r="AC417" s="227">
        <f t="shared" si="24"/>
        <v>80</v>
      </c>
    </row>
    <row r="418" spans="1:29" s="9" customFormat="1" ht="15" customHeight="1">
      <c r="A418" s="27" t="s">
        <v>769</v>
      </c>
      <c r="B418" s="25" t="s">
        <v>1701</v>
      </c>
      <c r="C418" s="27" t="s">
        <v>302</v>
      </c>
      <c r="D418" s="25" t="s">
        <v>1717</v>
      </c>
      <c r="E418" s="27" t="s">
        <v>2293</v>
      </c>
      <c r="F418" s="27" t="s">
        <v>2294</v>
      </c>
      <c r="G418" s="27" t="s">
        <v>35</v>
      </c>
      <c r="H418" s="25" t="s">
        <v>2417</v>
      </c>
      <c r="I418" s="32" t="e">
        <f>VLOOKUP(H418,'合同高级查询数据-8月返'!A:A,1,FALSE)</f>
        <v>#N/A</v>
      </c>
      <c r="J418" s="169" t="s">
        <v>37</v>
      </c>
      <c r="K418" s="25" t="s">
        <v>730</v>
      </c>
      <c r="L418" s="25" t="s">
        <v>2418</v>
      </c>
      <c r="M418" s="25" t="s">
        <v>2419</v>
      </c>
      <c r="N418" s="70">
        <v>45139</v>
      </c>
      <c r="O418" s="25" t="s">
        <v>319</v>
      </c>
      <c r="P418" s="236">
        <v>5200</v>
      </c>
      <c r="Q418" s="243">
        <v>92.8</v>
      </c>
      <c r="R418" s="220">
        <f t="shared" si="23"/>
        <v>482560</v>
      </c>
      <c r="S418" s="55">
        <v>202308</v>
      </c>
      <c r="T418" s="185" t="s">
        <v>2150</v>
      </c>
      <c r="U418" s="25"/>
      <c r="V418" s="225">
        <v>92.799507141000007</v>
      </c>
      <c r="W418" s="25"/>
      <c r="X418" s="70"/>
      <c r="Y418" s="105"/>
      <c r="Z418" s="225" t="s">
        <v>2420</v>
      </c>
      <c r="AA418" s="196">
        <v>0.4</v>
      </c>
      <c r="AB418" s="225">
        <v>200</v>
      </c>
      <c r="AC418" s="226">
        <f t="shared" si="24"/>
        <v>80</v>
      </c>
    </row>
    <row r="419" spans="1:29" s="9" customFormat="1" ht="15" customHeight="1">
      <c r="A419" s="27" t="s">
        <v>769</v>
      </c>
      <c r="B419" s="25" t="s">
        <v>1701</v>
      </c>
      <c r="C419" s="27" t="s">
        <v>302</v>
      </c>
      <c r="D419" s="25" t="s">
        <v>1717</v>
      </c>
      <c r="E419" s="27" t="s">
        <v>2293</v>
      </c>
      <c r="F419" s="27" t="s">
        <v>2294</v>
      </c>
      <c r="G419" s="27" t="s">
        <v>35</v>
      </c>
      <c r="H419" s="25" t="s">
        <v>2417</v>
      </c>
      <c r="I419" s="32" t="e">
        <f>VLOOKUP(H419,'合同高级查询数据-8月返'!A:A,1,FALSE)</f>
        <v>#N/A</v>
      </c>
      <c r="J419" s="169" t="s">
        <v>37</v>
      </c>
      <c r="K419" s="25" t="s">
        <v>730</v>
      </c>
      <c r="L419" s="25" t="s">
        <v>2421</v>
      </c>
      <c r="M419" s="25" t="s">
        <v>2419</v>
      </c>
      <c r="N419" s="70">
        <v>45139</v>
      </c>
      <c r="O419" s="25" t="s">
        <v>319</v>
      </c>
      <c r="P419" s="236">
        <v>5200</v>
      </c>
      <c r="Q419" s="243">
        <v>93.5</v>
      </c>
      <c r="R419" s="220">
        <f t="shared" si="23"/>
        <v>486200</v>
      </c>
      <c r="S419" s="55">
        <v>202308</v>
      </c>
      <c r="T419" s="185" t="s">
        <v>2150</v>
      </c>
      <c r="U419" s="25"/>
      <c r="V419" s="225">
        <v>93.460845946999996</v>
      </c>
      <c r="W419" s="25"/>
      <c r="X419" s="70"/>
      <c r="Y419" s="105"/>
      <c r="Z419" s="225" t="s">
        <v>2422</v>
      </c>
      <c r="AA419" s="196">
        <v>0.4</v>
      </c>
      <c r="AB419" s="225">
        <v>200</v>
      </c>
      <c r="AC419" s="226">
        <f t="shared" si="24"/>
        <v>80</v>
      </c>
    </row>
    <row r="420" spans="1:29" s="10" customFormat="1" ht="15" customHeight="1">
      <c r="A420" s="30" t="s">
        <v>769</v>
      </c>
      <c r="B420" s="30" t="s">
        <v>1701</v>
      </c>
      <c r="C420" s="30" t="s">
        <v>302</v>
      </c>
      <c r="D420" s="28" t="s">
        <v>1717</v>
      </c>
      <c r="E420" s="30" t="s">
        <v>2293</v>
      </c>
      <c r="F420" s="30" t="s">
        <v>2294</v>
      </c>
      <c r="G420" s="30" t="s">
        <v>35</v>
      </c>
      <c r="H420" s="33" t="s">
        <v>2295</v>
      </c>
      <c r="I420" s="33" t="e">
        <f>VLOOKUP(H420,'合同高级查询数据-8月返'!A:A,1,FALSE)</f>
        <v>#N/A</v>
      </c>
      <c r="J420" s="167" t="s">
        <v>37</v>
      </c>
      <c r="K420" s="30" t="s">
        <v>2320</v>
      </c>
      <c r="L420" s="168" t="s">
        <v>714</v>
      </c>
      <c r="M420" s="107" t="s">
        <v>2321</v>
      </c>
      <c r="N420" s="172">
        <v>43438</v>
      </c>
      <c r="O420" s="177" t="s">
        <v>319</v>
      </c>
      <c r="P420" s="207">
        <v>5500</v>
      </c>
      <c r="Q420" s="217">
        <v>0.2</v>
      </c>
      <c r="R420" s="218">
        <f t="shared" si="23"/>
        <v>1100</v>
      </c>
      <c r="S420" s="59">
        <v>202306</v>
      </c>
      <c r="T420" s="184" t="s">
        <v>2423</v>
      </c>
      <c r="U420" s="28"/>
      <c r="V420" s="227"/>
      <c r="W420" s="28"/>
      <c r="X420" s="74"/>
      <c r="Y420" s="108"/>
      <c r="Z420" s="28"/>
      <c r="AA420" s="194"/>
      <c r="AB420" s="227"/>
      <c r="AC420" s="227"/>
    </row>
    <row r="421" spans="1:29" s="10" customFormat="1" ht="15" customHeight="1">
      <c r="A421" s="30" t="s">
        <v>769</v>
      </c>
      <c r="B421" s="30" t="s">
        <v>1701</v>
      </c>
      <c r="C421" s="30" t="s">
        <v>138</v>
      </c>
      <c r="D421" s="28" t="s">
        <v>32</v>
      </c>
      <c r="E421" s="30" t="s">
        <v>2424</v>
      </c>
      <c r="F421" s="30" t="s">
        <v>2425</v>
      </c>
      <c r="G421" s="30" t="s">
        <v>35</v>
      </c>
      <c r="H421" s="33" t="s">
        <v>2426</v>
      </c>
      <c r="I421" s="33" t="e">
        <f>VLOOKUP(H421,'合同高级查询数据-8月返'!A:A,1,FALSE)</f>
        <v>#N/A</v>
      </c>
      <c r="J421" s="167" t="s">
        <v>37</v>
      </c>
      <c r="K421" s="30" t="s">
        <v>1982</v>
      </c>
      <c r="L421" s="168" t="s">
        <v>2427</v>
      </c>
      <c r="M421" s="107" t="s">
        <v>2428</v>
      </c>
      <c r="N421" s="213" t="s">
        <v>2429</v>
      </c>
      <c r="O421" s="213" t="s">
        <v>1911</v>
      </c>
      <c r="P421" s="207">
        <v>4800</v>
      </c>
      <c r="Q421" s="217">
        <v>0</v>
      </c>
      <c r="R421" s="218">
        <f t="shared" ref="R421:R481" si="25">ROUND(P421*Q421,2)</f>
        <v>0</v>
      </c>
      <c r="S421" s="59">
        <v>202308</v>
      </c>
      <c r="T421" s="184" t="s">
        <v>2430</v>
      </c>
      <c r="U421" s="224"/>
      <c r="V421" s="224">
        <v>0</v>
      </c>
      <c r="W421" s="227"/>
      <c r="X421" s="74">
        <v>44927</v>
      </c>
      <c r="Y421" s="74">
        <v>45291</v>
      </c>
      <c r="Z421" s="224">
        <v>0</v>
      </c>
      <c r="AA421" s="193">
        <v>0</v>
      </c>
      <c r="AB421" s="224">
        <v>0</v>
      </c>
      <c r="AC421" s="224">
        <f t="shared" ref="AC421:AC480" si="26">AA421*AB421</f>
        <v>0</v>
      </c>
    </row>
    <row r="422" spans="1:29" s="10" customFormat="1" ht="15" customHeight="1">
      <c r="A422" s="30" t="s">
        <v>750</v>
      </c>
      <c r="B422" s="232" t="s">
        <v>1701</v>
      </c>
      <c r="C422" s="28" t="s">
        <v>138</v>
      </c>
      <c r="D422" s="28" t="s">
        <v>32</v>
      </c>
      <c r="E422" s="30" t="s">
        <v>2424</v>
      </c>
      <c r="F422" s="30" t="s">
        <v>2425</v>
      </c>
      <c r="G422" s="30" t="s">
        <v>35</v>
      </c>
      <c r="H422" s="33" t="s">
        <v>2431</v>
      </c>
      <c r="I422" s="33" t="e">
        <f>VLOOKUP(H422,'合同高级查询数据-8月返'!A:A,1,FALSE)</f>
        <v>#N/A</v>
      </c>
      <c r="J422" s="167" t="s">
        <v>37</v>
      </c>
      <c r="K422" s="30" t="s">
        <v>666</v>
      </c>
      <c r="L422" s="168" t="s">
        <v>2432</v>
      </c>
      <c r="M422" s="107" t="s">
        <v>2433</v>
      </c>
      <c r="N422" s="74" t="s">
        <v>2434</v>
      </c>
      <c r="O422" s="28" t="s">
        <v>1848</v>
      </c>
      <c r="P422" s="207">
        <v>6833</v>
      </c>
      <c r="Q422" s="217">
        <v>0</v>
      </c>
      <c r="R422" s="218">
        <f t="shared" si="25"/>
        <v>0</v>
      </c>
      <c r="S422" s="59">
        <v>202308</v>
      </c>
      <c r="T422" s="184" t="s">
        <v>2435</v>
      </c>
      <c r="U422" s="228"/>
      <c r="V422" s="224">
        <v>0</v>
      </c>
      <c r="W422" s="227"/>
      <c r="X422" s="74">
        <v>44562</v>
      </c>
      <c r="Y422" s="74">
        <v>44926</v>
      </c>
      <c r="Z422" s="224">
        <v>0</v>
      </c>
      <c r="AA422" s="193">
        <v>0</v>
      </c>
      <c r="AB422" s="224">
        <v>0</v>
      </c>
      <c r="AC422" s="224">
        <f t="shared" si="26"/>
        <v>0</v>
      </c>
    </row>
    <row r="423" spans="1:29" s="10" customFormat="1" ht="15" customHeight="1">
      <c r="A423" s="30" t="s">
        <v>769</v>
      </c>
      <c r="B423" s="30" t="s">
        <v>1701</v>
      </c>
      <c r="C423" s="30" t="s">
        <v>138</v>
      </c>
      <c r="D423" s="28" t="s">
        <v>32</v>
      </c>
      <c r="E423" s="30" t="s">
        <v>2424</v>
      </c>
      <c r="F423" s="30" t="s">
        <v>2425</v>
      </c>
      <c r="G423" s="30" t="s">
        <v>35</v>
      </c>
      <c r="H423" s="33" t="s">
        <v>2436</v>
      </c>
      <c r="I423" s="33" t="e">
        <f>VLOOKUP(H423,'合同高级查询数据-8月返'!A:A,1,FALSE)</f>
        <v>#N/A</v>
      </c>
      <c r="J423" s="167" t="s">
        <v>37</v>
      </c>
      <c r="K423" s="30" t="s">
        <v>632</v>
      </c>
      <c r="L423" s="168" t="s">
        <v>2437</v>
      </c>
      <c r="M423" s="107" t="s">
        <v>2438</v>
      </c>
      <c r="N423" s="213" t="s">
        <v>2439</v>
      </c>
      <c r="O423" s="213" t="s">
        <v>2440</v>
      </c>
      <c r="P423" s="207">
        <v>4800</v>
      </c>
      <c r="Q423" s="217">
        <v>0</v>
      </c>
      <c r="R423" s="218">
        <f t="shared" si="25"/>
        <v>0</v>
      </c>
      <c r="S423" s="59">
        <v>202308</v>
      </c>
      <c r="T423" s="184" t="s">
        <v>2441</v>
      </c>
      <c r="U423" s="224"/>
      <c r="V423" s="224">
        <v>0</v>
      </c>
      <c r="W423" s="227"/>
      <c r="X423" s="74">
        <v>44927</v>
      </c>
      <c r="Y423" s="74">
        <v>45291</v>
      </c>
      <c r="Z423" s="224">
        <v>0</v>
      </c>
      <c r="AA423" s="193">
        <v>0</v>
      </c>
      <c r="AB423" s="224">
        <v>0</v>
      </c>
      <c r="AC423" s="224">
        <f t="shared" si="26"/>
        <v>0</v>
      </c>
    </row>
    <row r="424" spans="1:29" s="10" customFormat="1" ht="15" customHeight="1">
      <c r="A424" s="201" t="s">
        <v>769</v>
      </c>
      <c r="B424" s="232" t="s">
        <v>1701</v>
      </c>
      <c r="C424" s="28" t="s">
        <v>1242</v>
      </c>
      <c r="D424" s="28" t="s">
        <v>32</v>
      </c>
      <c r="E424" s="30" t="s">
        <v>2424</v>
      </c>
      <c r="F424" s="30" t="s">
        <v>2425</v>
      </c>
      <c r="G424" s="30" t="s">
        <v>35</v>
      </c>
      <c r="H424" s="33" t="s">
        <v>2442</v>
      </c>
      <c r="I424" s="33" t="e">
        <f>VLOOKUP(H424,'合同高级查询数据-8月返'!A:A,1,FALSE)</f>
        <v>#N/A</v>
      </c>
      <c r="J424" s="167" t="s">
        <v>37</v>
      </c>
      <c r="K424" s="30" t="s">
        <v>1753</v>
      </c>
      <c r="L424" s="168" t="s">
        <v>2443</v>
      </c>
      <c r="M424" s="107" t="s">
        <v>2444</v>
      </c>
      <c r="N424" s="74" t="s">
        <v>2445</v>
      </c>
      <c r="O424" s="28" t="s">
        <v>1748</v>
      </c>
      <c r="P424" s="207">
        <v>4900</v>
      </c>
      <c r="Q424" s="217">
        <v>0</v>
      </c>
      <c r="R424" s="218">
        <f t="shared" si="25"/>
        <v>0</v>
      </c>
      <c r="S424" s="59">
        <v>202308</v>
      </c>
      <c r="T424" s="184" t="s">
        <v>2446</v>
      </c>
      <c r="U424" s="228"/>
      <c r="V424" s="224">
        <v>0</v>
      </c>
      <c r="W424" s="227"/>
      <c r="X424" s="213">
        <v>44743</v>
      </c>
      <c r="Y424" s="74">
        <v>45107</v>
      </c>
      <c r="Z424" s="224">
        <v>0</v>
      </c>
      <c r="AA424" s="193">
        <v>0</v>
      </c>
      <c r="AB424" s="224">
        <v>0</v>
      </c>
      <c r="AC424" s="224">
        <f t="shared" si="26"/>
        <v>0</v>
      </c>
    </row>
    <row r="425" spans="1:29" s="10" customFormat="1" ht="15" customHeight="1">
      <c r="A425" s="201" t="s">
        <v>750</v>
      </c>
      <c r="B425" s="28" t="s">
        <v>1701</v>
      </c>
      <c r="C425" s="28" t="s">
        <v>302</v>
      </c>
      <c r="D425" s="28" t="s">
        <v>1717</v>
      </c>
      <c r="E425" s="30" t="s">
        <v>2447</v>
      </c>
      <c r="F425" s="30" t="s">
        <v>2448</v>
      </c>
      <c r="G425" s="30" t="s">
        <v>35</v>
      </c>
      <c r="H425" s="33" t="s">
        <v>2449</v>
      </c>
      <c r="I425" s="33" t="e">
        <f>VLOOKUP(H425,'合同高级查询数据-8月返'!A:A,1,FALSE)</f>
        <v>#N/A</v>
      </c>
      <c r="J425" s="167" t="s">
        <v>37</v>
      </c>
      <c r="K425" s="30" t="s">
        <v>2296</v>
      </c>
      <c r="L425" s="168" t="s">
        <v>2450</v>
      </c>
      <c r="M425" s="107" t="s">
        <v>2451</v>
      </c>
      <c r="N425" s="74" t="s">
        <v>2452</v>
      </c>
      <c r="O425" s="28" t="s">
        <v>2453</v>
      </c>
      <c r="P425" s="207">
        <v>5833</v>
      </c>
      <c r="Q425" s="217">
        <v>73</v>
      </c>
      <c r="R425" s="218">
        <f t="shared" si="25"/>
        <v>425809</v>
      </c>
      <c r="S425" s="59">
        <v>202308</v>
      </c>
      <c r="T425" s="184" t="s">
        <v>2454</v>
      </c>
      <c r="U425" s="228"/>
      <c r="V425" s="224">
        <v>72.932884216000005</v>
      </c>
      <c r="W425" s="227"/>
      <c r="X425" s="74">
        <v>45047</v>
      </c>
      <c r="Y425" s="74">
        <v>45412</v>
      </c>
      <c r="Z425" s="28" t="s">
        <v>2455</v>
      </c>
      <c r="AA425" s="194">
        <v>0.3</v>
      </c>
      <c r="AB425" s="227">
        <v>200</v>
      </c>
      <c r="AC425" s="224">
        <f t="shared" si="26"/>
        <v>60</v>
      </c>
    </row>
    <row r="426" spans="1:29" s="10" customFormat="1" ht="15" customHeight="1">
      <c r="A426" s="201" t="s">
        <v>750</v>
      </c>
      <c r="B426" s="28" t="s">
        <v>1701</v>
      </c>
      <c r="C426" s="28" t="s">
        <v>302</v>
      </c>
      <c r="D426" s="28" t="s">
        <v>1717</v>
      </c>
      <c r="E426" s="30" t="s">
        <v>2447</v>
      </c>
      <c r="F426" s="30" t="s">
        <v>2448</v>
      </c>
      <c r="G426" s="30" t="s">
        <v>35</v>
      </c>
      <c r="H426" s="33" t="s">
        <v>2449</v>
      </c>
      <c r="I426" s="33" t="e">
        <f>VLOOKUP(H426,'合同高级查询数据-8月返'!A:A,1,FALSE)</f>
        <v>#N/A</v>
      </c>
      <c r="J426" s="167" t="s">
        <v>37</v>
      </c>
      <c r="K426" s="30" t="s">
        <v>2296</v>
      </c>
      <c r="L426" s="168" t="s">
        <v>2456</v>
      </c>
      <c r="M426" s="107" t="s">
        <v>2451</v>
      </c>
      <c r="N426" s="74" t="s">
        <v>2457</v>
      </c>
      <c r="O426" s="28" t="s">
        <v>2458</v>
      </c>
      <c r="P426" s="207">
        <v>5833</v>
      </c>
      <c r="Q426" s="217">
        <v>72.099999999999994</v>
      </c>
      <c r="R426" s="218">
        <f t="shared" si="25"/>
        <v>420559.3</v>
      </c>
      <c r="S426" s="59">
        <v>202308</v>
      </c>
      <c r="T426" s="184" t="s">
        <v>2459</v>
      </c>
      <c r="U426" s="228"/>
      <c r="V426" s="224">
        <v>72.092933654999996</v>
      </c>
      <c r="W426" s="28"/>
      <c r="X426" s="74">
        <v>45047</v>
      </c>
      <c r="Y426" s="74">
        <v>45412</v>
      </c>
      <c r="Z426" s="224" t="s">
        <v>2460</v>
      </c>
      <c r="AA426" s="194">
        <v>0.3</v>
      </c>
      <c r="AB426" s="227">
        <v>200</v>
      </c>
      <c r="AC426" s="224">
        <f t="shared" si="26"/>
        <v>60</v>
      </c>
    </row>
    <row r="427" spans="1:29" s="10" customFormat="1" ht="15" customHeight="1">
      <c r="A427" s="201" t="s">
        <v>750</v>
      </c>
      <c r="B427" s="28" t="s">
        <v>1701</v>
      </c>
      <c r="C427" s="28" t="s">
        <v>302</v>
      </c>
      <c r="D427" s="28" t="s">
        <v>1717</v>
      </c>
      <c r="E427" s="30" t="s">
        <v>2447</v>
      </c>
      <c r="F427" s="30" t="s">
        <v>2448</v>
      </c>
      <c r="G427" s="30" t="s">
        <v>35</v>
      </c>
      <c r="H427" s="33" t="s">
        <v>2461</v>
      </c>
      <c r="I427" s="33" t="e">
        <f>VLOOKUP(H427,'合同高级查询数据-8月返'!A:A,1,FALSE)</f>
        <v>#N/A</v>
      </c>
      <c r="J427" s="167" t="s">
        <v>37</v>
      </c>
      <c r="K427" s="30" t="s">
        <v>2462</v>
      </c>
      <c r="L427" s="168" t="s">
        <v>2463</v>
      </c>
      <c r="M427" s="107" t="s">
        <v>2464</v>
      </c>
      <c r="N427" s="74" t="s">
        <v>2465</v>
      </c>
      <c r="O427" s="224" t="s">
        <v>1848</v>
      </c>
      <c r="P427" s="211">
        <v>6500</v>
      </c>
      <c r="Q427" s="217">
        <v>0</v>
      </c>
      <c r="R427" s="218">
        <f t="shared" si="25"/>
        <v>0</v>
      </c>
      <c r="S427" s="59">
        <v>202308</v>
      </c>
      <c r="T427" s="184" t="s">
        <v>2466</v>
      </c>
      <c r="U427" s="228"/>
      <c r="V427" s="224">
        <v>0</v>
      </c>
      <c r="W427" s="28"/>
      <c r="X427" s="74">
        <v>45047</v>
      </c>
      <c r="Y427" s="74">
        <v>45107</v>
      </c>
      <c r="Z427" s="224">
        <v>0</v>
      </c>
      <c r="AA427" s="193">
        <v>0</v>
      </c>
      <c r="AB427" s="224">
        <v>0</v>
      </c>
      <c r="AC427" s="224">
        <f t="shared" si="26"/>
        <v>0</v>
      </c>
    </row>
    <row r="428" spans="1:29" s="10" customFormat="1" ht="15" customHeight="1">
      <c r="A428" s="201" t="s">
        <v>762</v>
      </c>
      <c r="B428" s="28" t="s">
        <v>1701</v>
      </c>
      <c r="C428" s="28" t="s">
        <v>302</v>
      </c>
      <c r="D428" s="28" t="s">
        <v>1717</v>
      </c>
      <c r="E428" s="30" t="s">
        <v>2447</v>
      </c>
      <c r="F428" s="30" t="s">
        <v>2448</v>
      </c>
      <c r="G428" s="30" t="s">
        <v>35</v>
      </c>
      <c r="H428" s="33" t="s">
        <v>2467</v>
      </c>
      <c r="I428" s="33" t="e">
        <f>VLOOKUP(H428,'合同高级查询数据-8月返'!A:A,1,FALSE)</f>
        <v>#N/A</v>
      </c>
      <c r="J428" s="167" t="s">
        <v>37</v>
      </c>
      <c r="K428" s="30" t="s">
        <v>2296</v>
      </c>
      <c r="L428" s="168" t="s">
        <v>2468</v>
      </c>
      <c r="M428" s="107" t="s">
        <v>2469</v>
      </c>
      <c r="N428" s="74">
        <v>44927</v>
      </c>
      <c r="O428" s="28" t="s">
        <v>711</v>
      </c>
      <c r="P428" s="211">
        <v>5417</v>
      </c>
      <c r="Q428" s="217">
        <v>52.6</v>
      </c>
      <c r="R428" s="218">
        <f t="shared" si="25"/>
        <v>284934.2</v>
      </c>
      <c r="S428" s="59">
        <v>202308</v>
      </c>
      <c r="T428" s="184" t="s">
        <v>2470</v>
      </c>
      <c r="U428" s="228"/>
      <c r="V428" s="224">
        <v>52.546218871999997</v>
      </c>
      <c r="W428" s="28"/>
      <c r="X428" s="74">
        <v>44927</v>
      </c>
      <c r="Y428" s="74">
        <v>45291</v>
      </c>
      <c r="Z428" s="28" t="s">
        <v>2471</v>
      </c>
      <c r="AA428" s="194">
        <v>0.3</v>
      </c>
      <c r="AB428" s="227">
        <v>150</v>
      </c>
      <c r="AC428" s="224">
        <f t="shared" si="26"/>
        <v>45</v>
      </c>
    </row>
    <row r="429" spans="1:29" s="10" customFormat="1" ht="15" customHeight="1">
      <c r="A429" s="201" t="s">
        <v>762</v>
      </c>
      <c r="B429" s="28" t="s">
        <v>1701</v>
      </c>
      <c r="C429" s="28" t="s">
        <v>302</v>
      </c>
      <c r="D429" s="28" t="s">
        <v>1717</v>
      </c>
      <c r="E429" s="30" t="s">
        <v>2447</v>
      </c>
      <c r="F429" s="30" t="s">
        <v>2448</v>
      </c>
      <c r="G429" s="30" t="s">
        <v>35</v>
      </c>
      <c r="H429" s="33" t="s">
        <v>2467</v>
      </c>
      <c r="I429" s="33" t="e">
        <f>VLOOKUP(H429,'合同高级查询数据-8月返'!A:A,1,FALSE)</f>
        <v>#N/A</v>
      </c>
      <c r="J429" s="167" t="s">
        <v>37</v>
      </c>
      <c r="K429" s="30" t="s">
        <v>2296</v>
      </c>
      <c r="L429" s="168" t="s">
        <v>2472</v>
      </c>
      <c r="M429" s="107" t="s">
        <v>2469</v>
      </c>
      <c r="N429" s="74">
        <v>44927</v>
      </c>
      <c r="O429" s="28" t="s">
        <v>711</v>
      </c>
      <c r="P429" s="211">
        <v>5417</v>
      </c>
      <c r="Q429" s="217">
        <v>48.6</v>
      </c>
      <c r="R429" s="218">
        <f t="shared" si="25"/>
        <v>263266.2</v>
      </c>
      <c r="S429" s="59">
        <v>202308</v>
      </c>
      <c r="T429" s="184" t="s">
        <v>2470</v>
      </c>
      <c r="U429" s="228"/>
      <c r="V429" s="224">
        <v>48.585704802999999</v>
      </c>
      <c r="W429" s="28"/>
      <c r="X429" s="74">
        <v>44927</v>
      </c>
      <c r="Y429" s="74">
        <v>45291</v>
      </c>
      <c r="Z429" s="28" t="s">
        <v>2473</v>
      </c>
      <c r="AA429" s="194">
        <v>0.3</v>
      </c>
      <c r="AB429" s="227">
        <v>150</v>
      </c>
      <c r="AC429" s="224">
        <f t="shared" si="26"/>
        <v>45</v>
      </c>
    </row>
    <row r="430" spans="1:29" s="9" customFormat="1" ht="15" customHeight="1">
      <c r="A430" s="233" t="s">
        <v>762</v>
      </c>
      <c r="B430" s="25" t="s">
        <v>1701</v>
      </c>
      <c r="C430" s="25" t="s">
        <v>302</v>
      </c>
      <c r="D430" s="25" t="s">
        <v>1717</v>
      </c>
      <c r="E430" s="27" t="s">
        <v>2447</v>
      </c>
      <c r="F430" s="27" t="s">
        <v>2448</v>
      </c>
      <c r="G430" s="27" t="s">
        <v>35</v>
      </c>
      <c r="H430" s="32" t="s">
        <v>2474</v>
      </c>
      <c r="I430" s="32" t="e">
        <f>VLOOKUP(H430,'合同高级查询数据-8月返'!A:A,1,FALSE)</f>
        <v>#N/A</v>
      </c>
      <c r="J430" s="169" t="s">
        <v>37</v>
      </c>
      <c r="K430" s="27" t="s">
        <v>2296</v>
      </c>
      <c r="L430" s="170" t="s">
        <v>2475</v>
      </c>
      <c r="M430" s="49" t="s">
        <v>2476</v>
      </c>
      <c r="N430" s="70">
        <v>45108</v>
      </c>
      <c r="O430" s="25" t="s">
        <v>319</v>
      </c>
      <c r="P430" s="236">
        <v>5416</v>
      </c>
      <c r="Q430" s="219">
        <v>60.5</v>
      </c>
      <c r="R430" s="220">
        <f t="shared" si="25"/>
        <v>327668</v>
      </c>
      <c r="S430" s="55">
        <v>202308</v>
      </c>
      <c r="T430" s="185" t="s">
        <v>2477</v>
      </c>
      <c r="U430" s="229"/>
      <c r="V430" s="225">
        <v>60.425373077000003</v>
      </c>
      <c r="W430" s="25"/>
      <c r="X430" s="70"/>
      <c r="Y430" s="70"/>
      <c r="Z430" s="225" t="s">
        <v>523</v>
      </c>
      <c r="AA430" s="195">
        <v>0.3</v>
      </c>
      <c r="AB430" s="225">
        <v>200</v>
      </c>
      <c r="AC430" s="226">
        <f t="shared" si="26"/>
        <v>60</v>
      </c>
    </row>
    <row r="431" spans="1:29" s="10" customFormat="1" ht="15" customHeight="1">
      <c r="A431" s="30" t="s">
        <v>769</v>
      </c>
      <c r="B431" s="28" t="s">
        <v>1701</v>
      </c>
      <c r="C431" s="28" t="s">
        <v>2351</v>
      </c>
      <c r="D431" s="28" t="s">
        <v>1717</v>
      </c>
      <c r="E431" s="30" t="s">
        <v>2478</v>
      </c>
      <c r="F431" s="30" t="s">
        <v>2479</v>
      </c>
      <c r="G431" s="30" t="s">
        <v>35</v>
      </c>
      <c r="H431" s="33" t="s">
        <v>2480</v>
      </c>
      <c r="I431" s="33" t="e">
        <f>VLOOKUP(H431,'合同高级查询数据-8月返'!A:A,1,FALSE)</f>
        <v>#N/A</v>
      </c>
      <c r="J431" s="167" t="s">
        <v>37</v>
      </c>
      <c r="K431" s="30" t="s">
        <v>2353</v>
      </c>
      <c r="L431" s="168" t="s">
        <v>2481</v>
      </c>
      <c r="M431" s="107" t="s">
        <v>2482</v>
      </c>
      <c r="N431" s="74" t="s">
        <v>2483</v>
      </c>
      <c r="O431" s="28" t="s">
        <v>2484</v>
      </c>
      <c r="P431" s="207">
        <v>5400</v>
      </c>
      <c r="Q431" s="217">
        <v>138</v>
      </c>
      <c r="R431" s="218">
        <f t="shared" si="25"/>
        <v>745200</v>
      </c>
      <c r="S431" s="59">
        <v>202308</v>
      </c>
      <c r="T431" s="184" t="s">
        <v>2485</v>
      </c>
      <c r="U431" s="228"/>
      <c r="V431" s="224">
        <v>137.94526672399999</v>
      </c>
      <c r="W431" s="28"/>
      <c r="X431" s="74">
        <v>44927</v>
      </c>
      <c r="Y431" s="74">
        <v>45291</v>
      </c>
      <c r="Z431" s="28" t="s">
        <v>2486</v>
      </c>
      <c r="AA431" s="194">
        <v>0.4</v>
      </c>
      <c r="AB431" s="227">
        <v>300</v>
      </c>
      <c r="AC431" s="224">
        <f t="shared" si="26"/>
        <v>120</v>
      </c>
    </row>
    <row r="432" spans="1:29" s="10" customFormat="1" ht="15" customHeight="1">
      <c r="A432" s="30" t="s">
        <v>769</v>
      </c>
      <c r="B432" s="28" t="s">
        <v>1701</v>
      </c>
      <c r="C432" s="28" t="s">
        <v>2351</v>
      </c>
      <c r="D432" s="28" t="s">
        <v>1717</v>
      </c>
      <c r="E432" s="30" t="s">
        <v>2478</v>
      </c>
      <c r="F432" s="30" t="s">
        <v>2479</v>
      </c>
      <c r="G432" s="30" t="s">
        <v>35</v>
      </c>
      <c r="H432" s="33" t="s">
        <v>2487</v>
      </c>
      <c r="I432" s="33" t="e">
        <f>VLOOKUP(H432,'合同高级查询数据-8月返'!A:A,1,FALSE)</f>
        <v>#N/A</v>
      </c>
      <c r="J432" s="167" t="s">
        <v>37</v>
      </c>
      <c r="K432" s="30" t="s">
        <v>2353</v>
      </c>
      <c r="L432" s="168" t="s">
        <v>2488</v>
      </c>
      <c r="M432" s="107" t="s">
        <v>2482</v>
      </c>
      <c r="N432" s="74">
        <v>44625</v>
      </c>
      <c r="O432" s="28" t="s">
        <v>447</v>
      </c>
      <c r="P432" s="207">
        <v>4500</v>
      </c>
      <c r="Q432" s="217">
        <v>100</v>
      </c>
      <c r="R432" s="218">
        <f t="shared" si="25"/>
        <v>450000</v>
      </c>
      <c r="S432" s="59">
        <v>202308</v>
      </c>
      <c r="T432" s="184" t="s">
        <v>2489</v>
      </c>
      <c r="U432" s="228"/>
      <c r="V432" s="224">
        <v>80.527915954999997</v>
      </c>
      <c r="W432" s="227"/>
      <c r="X432" s="74">
        <v>44986</v>
      </c>
      <c r="Y432" s="74">
        <v>45291</v>
      </c>
      <c r="Z432" s="28" t="s">
        <v>2490</v>
      </c>
      <c r="AA432" s="194">
        <v>1</v>
      </c>
      <c r="AB432" s="227">
        <v>100</v>
      </c>
      <c r="AC432" s="224">
        <f t="shared" si="26"/>
        <v>100</v>
      </c>
    </row>
    <row r="433" spans="1:29" s="10" customFormat="1" ht="15" customHeight="1">
      <c r="A433" s="30" t="s">
        <v>769</v>
      </c>
      <c r="B433" s="28" t="s">
        <v>1701</v>
      </c>
      <c r="C433" s="28" t="s">
        <v>1716</v>
      </c>
      <c r="D433" s="28" t="s">
        <v>1717</v>
      </c>
      <c r="E433" s="30" t="s">
        <v>2491</v>
      </c>
      <c r="F433" s="30" t="s">
        <v>2492</v>
      </c>
      <c r="G433" s="30" t="s">
        <v>35</v>
      </c>
      <c r="H433" s="33" t="s">
        <v>2493</v>
      </c>
      <c r="I433" s="33" t="e">
        <f>VLOOKUP(H433,'合同高级查询数据-8月返'!A:A,1,FALSE)</f>
        <v>#N/A</v>
      </c>
      <c r="J433" s="167" t="s">
        <v>37</v>
      </c>
      <c r="K433" s="30" t="s">
        <v>2252</v>
      </c>
      <c r="L433" s="168" t="s">
        <v>2494</v>
      </c>
      <c r="M433" s="107" t="s">
        <v>2495</v>
      </c>
      <c r="N433" s="74" t="s">
        <v>2496</v>
      </c>
      <c r="O433" s="28" t="s">
        <v>2497</v>
      </c>
      <c r="P433" s="207">
        <v>5200</v>
      </c>
      <c r="Q433" s="217">
        <v>0</v>
      </c>
      <c r="R433" s="218">
        <f t="shared" si="25"/>
        <v>0</v>
      </c>
      <c r="S433" s="59">
        <v>202308</v>
      </c>
      <c r="T433" s="184" t="s">
        <v>2498</v>
      </c>
      <c r="U433" s="228"/>
      <c r="V433" s="224">
        <v>0</v>
      </c>
      <c r="W433" s="227"/>
      <c r="X433" s="74">
        <v>44470</v>
      </c>
      <c r="Y433" s="74">
        <v>44834</v>
      </c>
      <c r="Z433" s="224">
        <v>0</v>
      </c>
      <c r="AA433" s="193">
        <v>0</v>
      </c>
      <c r="AB433" s="224">
        <v>0</v>
      </c>
      <c r="AC433" s="224">
        <f t="shared" si="26"/>
        <v>0</v>
      </c>
    </row>
    <row r="434" spans="1:29" s="10" customFormat="1" ht="15" customHeight="1">
      <c r="A434" s="30" t="s">
        <v>769</v>
      </c>
      <c r="B434" s="28" t="s">
        <v>1701</v>
      </c>
      <c r="C434" s="28" t="s">
        <v>1716</v>
      </c>
      <c r="D434" s="28" t="s">
        <v>1717</v>
      </c>
      <c r="E434" s="30" t="s">
        <v>2491</v>
      </c>
      <c r="F434" s="30" t="s">
        <v>2492</v>
      </c>
      <c r="G434" s="30" t="s">
        <v>35</v>
      </c>
      <c r="H434" s="33" t="s">
        <v>2493</v>
      </c>
      <c r="I434" s="33" t="e">
        <f>VLOOKUP(H434,'合同高级查询数据-8月返'!A:A,1,FALSE)</f>
        <v>#N/A</v>
      </c>
      <c r="J434" s="167" t="s">
        <v>37</v>
      </c>
      <c r="K434" s="30" t="s">
        <v>2252</v>
      </c>
      <c r="L434" s="168" t="s">
        <v>2499</v>
      </c>
      <c r="M434" s="107" t="s">
        <v>2495</v>
      </c>
      <c r="N434" s="74" t="s">
        <v>2500</v>
      </c>
      <c r="O434" s="28" t="s">
        <v>2379</v>
      </c>
      <c r="P434" s="207">
        <v>5200</v>
      </c>
      <c r="Q434" s="217">
        <v>0</v>
      </c>
      <c r="R434" s="218">
        <f t="shared" si="25"/>
        <v>0</v>
      </c>
      <c r="S434" s="59">
        <v>202308</v>
      </c>
      <c r="T434" s="184" t="s">
        <v>2501</v>
      </c>
      <c r="U434" s="228"/>
      <c r="V434" s="224">
        <v>0</v>
      </c>
      <c r="W434" s="28"/>
      <c r="X434" s="74">
        <v>44470</v>
      </c>
      <c r="Y434" s="74">
        <v>44834</v>
      </c>
      <c r="Z434" s="224">
        <v>0</v>
      </c>
      <c r="AA434" s="193">
        <v>0</v>
      </c>
      <c r="AB434" s="224">
        <v>0</v>
      </c>
      <c r="AC434" s="224">
        <f t="shared" si="26"/>
        <v>0</v>
      </c>
    </row>
    <row r="435" spans="1:29" s="10" customFormat="1" ht="15" customHeight="1">
      <c r="A435" s="201" t="s">
        <v>750</v>
      </c>
      <c r="B435" s="28" t="s">
        <v>1701</v>
      </c>
      <c r="C435" s="28" t="s">
        <v>138</v>
      </c>
      <c r="D435" s="28" t="s">
        <v>32</v>
      </c>
      <c r="E435" s="30" t="s">
        <v>2491</v>
      </c>
      <c r="F435" s="30" t="s">
        <v>2492</v>
      </c>
      <c r="G435" s="30" t="s">
        <v>35</v>
      </c>
      <c r="H435" s="33" t="s">
        <v>2502</v>
      </c>
      <c r="I435" s="33" t="e">
        <f>VLOOKUP(H435,'合同高级查询数据-8月返'!A:A,1,FALSE)</f>
        <v>#N/A</v>
      </c>
      <c r="J435" s="167" t="s">
        <v>37</v>
      </c>
      <c r="K435" s="30" t="s">
        <v>2503</v>
      </c>
      <c r="L435" s="168" t="s">
        <v>2504</v>
      </c>
      <c r="M435" s="107" t="s">
        <v>2505</v>
      </c>
      <c r="N435" s="74" t="s">
        <v>2506</v>
      </c>
      <c r="O435" s="28" t="s">
        <v>1848</v>
      </c>
      <c r="P435" s="207">
        <v>6916.67</v>
      </c>
      <c r="Q435" s="217">
        <v>0</v>
      </c>
      <c r="R435" s="218">
        <f t="shared" si="25"/>
        <v>0</v>
      </c>
      <c r="S435" s="59">
        <v>202308</v>
      </c>
      <c r="T435" s="184" t="s">
        <v>2507</v>
      </c>
      <c r="U435" s="28"/>
      <c r="V435" s="224">
        <v>0</v>
      </c>
      <c r="W435" s="227"/>
      <c r="X435" s="74">
        <v>44958</v>
      </c>
      <c r="Y435" s="74">
        <v>45322</v>
      </c>
      <c r="Z435" s="224">
        <v>0</v>
      </c>
      <c r="AA435" s="193">
        <v>0</v>
      </c>
      <c r="AB435" s="224">
        <v>0</v>
      </c>
      <c r="AC435" s="224">
        <f t="shared" si="26"/>
        <v>0</v>
      </c>
    </row>
    <row r="436" spans="1:29" s="9" customFormat="1" ht="15" customHeight="1">
      <c r="A436" s="233" t="s">
        <v>750</v>
      </c>
      <c r="B436" s="25" t="s">
        <v>1701</v>
      </c>
      <c r="C436" s="25" t="s">
        <v>138</v>
      </c>
      <c r="D436" s="25" t="s">
        <v>32</v>
      </c>
      <c r="E436" s="27" t="s">
        <v>2491</v>
      </c>
      <c r="F436" s="27" t="s">
        <v>2492</v>
      </c>
      <c r="G436" s="27" t="s">
        <v>35</v>
      </c>
      <c r="H436" s="32" t="s">
        <v>2508</v>
      </c>
      <c r="I436" s="32" t="e">
        <f>VLOOKUP(H436,'合同高级查询数据-8月返'!A:A,1,FALSE)</f>
        <v>#N/A</v>
      </c>
      <c r="J436" s="169" t="s">
        <v>37</v>
      </c>
      <c r="K436" s="27" t="s">
        <v>2503</v>
      </c>
      <c r="L436" s="170" t="s">
        <v>2509</v>
      </c>
      <c r="M436" s="49" t="s">
        <v>2510</v>
      </c>
      <c r="N436" s="70" t="s">
        <v>2511</v>
      </c>
      <c r="O436" s="25" t="s">
        <v>2512</v>
      </c>
      <c r="P436" s="208">
        <v>11667</v>
      </c>
      <c r="Q436" s="219">
        <v>43</v>
      </c>
      <c r="R436" s="220">
        <f t="shared" si="25"/>
        <v>501681</v>
      </c>
      <c r="S436" s="55">
        <v>202308</v>
      </c>
      <c r="T436" s="185" t="s">
        <v>2513</v>
      </c>
      <c r="U436" s="25"/>
      <c r="V436" s="225">
        <v>42.916828156000001</v>
      </c>
      <c r="W436" s="226"/>
      <c r="X436" s="70"/>
      <c r="Y436" s="70"/>
      <c r="Z436" s="25" t="s">
        <v>2514</v>
      </c>
      <c r="AA436" s="195">
        <v>0.25</v>
      </c>
      <c r="AB436" s="226">
        <v>160</v>
      </c>
      <c r="AC436" s="225">
        <f t="shared" si="26"/>
        <v>40</v>
      </c>
    </row>
    <row r="437" spans="1:29" s="10" customFormat="1" ht="15" customHeight="1">
      <c r="A437" s="30" t="s">
        <v>750</v>
      </c>
      <c r="B437" s="28" t="s">
        <v>1701</v>
      </c>
      <c r="C437" s="28" t="s">
        <v>2515</v>
      </c>
      <c r="D437" s="28" t="s">
        <v>1760</v>
      </c>
      <c r="E437" s="30" t="s">
        <v>2491</v>
      </c>
      <c r="F437" s="30" t="s">
        <v>2492</v>
      </c>
      <c r="G437" s="30" t="s">
        <v>35</v>
      </c>
      <c r="H437" s="33" t="s">
        <v>2516</v>
      </c>
      <c r="I437" s="33" t="e">
        <f>VLOOKUP(H437,'合同高级查询数据-8月返'!A:A,1,FALSE)</f>
        <v>#N/A</v>
      </c>
      <c r="J437" s="167" t="s">
        <v>37</v>
      </c>
      <c r="K437" s="30" t="s">
        <v>2517</v>
      </c>
      <c r="L437" s="168" t="s">
        <v>2518</v>
      </c>
      <c r="M437" s="107" t="s">
        <v>2519</v>
      </c>
      <c r="N437" s="74">
        <v>44441</v>
      </c>
      <c r="O437" s="28" t="s">
        <v>447</v>
      </c>
      <c r="P437" s="207">
        <v>4600</v>
      </c>
      <c r="Q437" s="217">
        <v>46</v>
      </c>
      <c r="R437" s="218">
        <f t="shared" si="25"/>
        <v>211600</v>
      </c>
      <c r="S437" s="59">
        <v>202308</v>
      </c>
      <c r="T437" s="184" t="s">
        <v>2520</v>
      </c>
      <c r="U437" s="228"/>
      <c r="V437" s="224">
        <v>44.942295074</v>
      </c>
      <c r="W437" s="227">
        <v>46.9</v>
      </c>
      <c r="X437" s="74">
        <v>45017</v>
      </c>
      <c r="Y437" s="74">
        <v>45382</v>
      </c>
      <c r="Z437" s="28" t="s">
        <v>2521</v>
      </c>
      <c r="AA437" s="194">
        <v>0.3</v>
      </c>
      <c r="AB437" s="227">
        <v>100</v>
      </c>
      <c r="AC437" s="224">
        <f t="shared" si="26"/>
        <v>30</v>
      </c>
    </row>
    <row r="438" spans="1:29" s="10" customFormat="1" ht="15" customHeight="1">
      <c r="A438" s="30" t="s">
        <v>750</v>
      </c>
      <c r="B438" s="28" t="s">
        <v>1701</v>
      </c>
      <c r="C438" s="28" t="s">
        <v>1759</v>
      </c>
      <c r="D438" s="28" t="s">
        <v>1760</v>
      </c>
      <c r="E438" s="30" t="s">
        <v>2491</v>
      </c>
      <c r="F438" s="30" t="s">
        <v>2492</v>
      </c>
      <c r="G438" s="30" t="s">
        <v>35</v>
      </c>
      <c r="H438" s="33" t="s">
        <v>2522</v>
      </c>
      <c r="I438" s="33" t="e">
        <f>VLOOKUP(H438,'合同高级查询数据-8月返'!A:A,1,FALSE)</f>
        <v>#N/A</v>
      </c>
      <c r="J438" s="167" t="s">
        <v>37</v>
      </c>
      <c r="K438" s="30" t="s">
        <v>2523</v>
      </c>
      <c r="L438" s="168" t="s">
        <v>2524</v>
      </c>
      <c r="M438" s="107" t="s">
        <v>2525</v>
      </c>
      <c r="N438" s="74">
        <v>44470</v>
      </c>
      <c r="O438" s="28" t="s">
        <v>319</v>
      </c>
      <c r="P438" s="207">
        <v>13750</v>
      </c>
      <c r="Q438" s="217">
        <v>46.3</v>
      </c>
      <c r="R438" s="218">
        <f t="shared" si="25"/>
        <v>636625</v>
      </c>
      <c r="S438" s="59">
        <v>202308</v>
      </c>
      <c r="T438" s="184" t="s">
        <v>2526</v>
      </c>
      <c r="U438" s="228"/>
      <c r="V438" s="224">
        <v>46.232830047999997</v>
      </c>
      <c r="W438" s="227"/>
      <c r="X438" s="74">
        <v>45017</v>
      </c>
      <c r="Y438" s="74">
        <v>45382</v>
      </c>
      <c r="Z438" s="28" t="s">
        <v>2527</v>
      </c>
      <c r="AA438" s="194">
        <v>0.2</v>
      </c>
      <c r="AB438" s="227">
        <v>200</v>
      </c>
      <c r="AC438" s="224">
        <f t="shared" si="26"/>
        <v>40</v>
      </c>
    </row>
    <row r="439" spans="1:29" s="10" customFormat="1" ht="15" customHeight="1">
      <c r="A439" s="30" t="s">
        <v>769</v>
      </c>
      <c r="B439" s="28" t="s">
        <v>1701</v>
      </c>
      <c r="C439" s="28" t="s">
        <v>1321</v>
      </c>
      <c r="D439" s="28" t="s">
        <v>1760</v>
      </c>
      <c r="E439" s="30" t="s">
        <v>2528</v>
      </c>
      <c r="F439" s="30" t="s">
        <v>2529</v>
      </c>
      <c r="G439" s="30" t="s">
        <v>35</v>
      </c>
      <c r="H439" s="33" t="s">
        <v>2530</v>
      </c>
      <c r="I439" s="33" t="e">
        <f>VLOOKUP(H439,'合同高级查询数据-8月返'!A:A,1,FALSE)</f>
        <v>#N/A</v>
      </c>
      <c r="J439" s="167" t="s">
        <v>37</v>
      </c>
      <c r="K439" s="30" t="s">
        <v>1361</v>
      </c>
      <c r="L439" s="168" t="s">
        <v>2531</v>
      </c>
      <c r="M439" s="107" t="s">
        <v>2532</v>
      </c>
      <c r="N439" s="74" t="s">
        <v>2533</v>
      </c>
      <c r="O439" s="28" t="s">
        <v>1263</v>
      </c>
      <c r="P439" s="207">
        <v>4800</v>
      </c>
      <c r="Q439" s="217">
        <v>0</v>
      </c>
      <c r="R439" s="218">
        <f t="shared" si="25"/>
        <v>0</v>
      </c>
      <c r="S439" s="59">
        <v>202308</v>
      </c>
      <c r="T439" s="184" t="s">
        <v>2534</v>
      </c>
      <c r="U439" s="228"/>
      <c r="V439" s="224">
        <v>0</v>
      </c>
      <c r="W439" s="227"/>
      <c r="X439" s="74">
        <v>44234</v>
      </c>
      <c r="Y439" s="74">
        <v>44592</v>
      </c>
      <c r="Z439" s="224">
        <v>0</v>
      </c>
      <c r="AA439" s="193">
        <v>0</v>
      </c>
      <c r="AB439" s="224">
        <v>0</v>
      </c>
      <c r="AC439" s="224">
        <f t="shared" si="26"/>
        <v>0</v>
      </c>
    </row>
    <row r="440" spans="1:29" s="10" customFormat="1" ht="15" customHeight="1">
      <c r="A440" s="30" t="s">
        <v>750</v>
      </c>
      <c r="B440" s="30" t="s">
        <v>1701</v>
      </c>
      <c r="C440" s="30" t="s">
        <v>1759</v>
      </c>
      <c r="D440" s="28" t="s">
        <v>1760</v>
      </c>
      <c r="E440" s="30" t="s">
        <v>2535</v>
      </c>
      <c r="F440" s="30" t="s">
        <v>2536</v>
      </c>
      <c r="G440" s="30" t="s">
        <v>35</v>
      </c>
      <c r="H440" s="33" t="s">
        <v>2537</v>
      </c>
      <c r="I440" s="33" t="e">
        <f>VLOOKUP(H440,'合同高级查询数据-8月返'!A:A,1,FALSE)</f>
        <v>#N/A</v>
      </c>
      <c r="J440" s="167" t="s">
        <v>37</v>
      </c>
      <c r="K440" s="30" t="s">
        <v>1764</v>
      </c>
      <c r="L440" s="168" t="s">
        <v>2538</v>
      </c>
      <c r="M440" s="107" t="s">
        <v>2539</v>
      </c>
      <c r="N440" s="213" t="s">
        <v>2540</v>
      </c>
      <c r="O440" s="213" t="s">
        <v>1848</v>
      </c>
      <c r="P440" s="207">
        <v>6667</v>
      </c>
      <c r="Q440" s="217">
        <v>0</v>
      </c>
      <c r="R440" s="218">
        <f t="shared" si="25"/>
        <v>0</v>
      </c>
      <c r="S440" s="59">
        <v>202308</v>
      </c>
      <c r="T440" s="184" t="s">
        <v>2541</v>
      </c>
      <c r="U440" s="224"/>
      <c r="V440" s="224">
        <v>0</v>
      </c>
      <c r="W440" s="227"/>
      <c r="X440" s="213">
        <v>44075</v>
      </c>
      <c r="Y440" s="213">
        <v>44439</v>
      </c>
      <c r="Z440" s="224">
        <v>0</v>
      </c>
      <c r="AA440" s="193">
        <v>0</v>
      </c>
      <c r="AB440" s="224">
        <v>0</v>
      </c>
      <c r="AC440" s="224">
        <f t="shared" si="26"/>
        <v>0</v>
      </c>
    </row>
    <row r="441" spans="1:29" s="9" customFormat="1" ht="15" customHeight="1">
      <c r="A441" s="27" t="s">
        <v>769</v>
      </c>
      <c r="B441" s="25" t="s">
        <v>1701</v>
      </c>
      <c r="C441" s="25" t="s">
        <v>2542</v>
      </c>
      <c r="D441" s="25" t="s">
        <v>1760</v>
      </c>
      <c r="E441" s="27" t="s">
        <v>2543</v>
      </c>
      <c r="F441" s="27" t="s">
        <v>2544</v>
      </c>
      <c r="G441" s="27" t="s">
        <v>35</v>
      </c>
      <c r="H441" s="32" t="s">
        <v>2545</v>
      </c>
      <c r="I441" s="32" t="e">
        <f>VLOOKUP(H441,'合同高级查询数据-8月返'!A:A,1,FALSE)</f>
        <v>#N/A</v>
      </c>
      <c r="J441" s="169" t="s">
        <v>37</v>
      </c>
      <c r="K441" s="27" t="s">
        <v>2546</v>
      </c>
      <c r="L441" s="170" t="s">
        <v>2547</v>
      </c>
      <c r="M441" s="49" t="s">
        <v>2548</v>
      </c>
      <c r="N441" s="70" t="s">
        <v>2483</v>
      </c>
      <c r="O441" s="25" t="s">
        <v>853</v>
      </c>
      <c r="P441" s="208">
        <v>5500</v>
      </c>
      <c r="Q441" s="219">
        <v>80.3</v>
      </c>
      <c r="R441" s="220">
        <f t="shared" si="25"/>
        <v>441650</v>
      </c>
      <c r="S441" s="55">
        <v>202308</v>
      </c>
      <c r="T441" s="185" t="s">
        <v>2549</v>
      </c>
      <c r="U441" s="229"/>
      <c r="V441" s="225">
        <v>80.268714904999996</v>
      </c>
      <c r="W441" s="226"/>
      <c r="X441" s="70"/>
      <c r="Y441" s="70"/>
      <c r="Z441" s="225" t="s">
        <v>2550</v>
      </c>
      <c r="AA441" s="196">
        <v>0.4</v>
      </c>
      <c r="AB441" s="225">
        <v>200</v>
      </c>
      <c r="AC441" s="225">
        <f t="shared" si="26"/>
        <v>80</v>
      </c>
    </row>
    <row r="442" spans="1:29" s="10" customFormat="1" ht="15" customHeight="1">
      <c r="A442" s="30" t="s">
        <v>769</v>
      </c>
      <c r="B442" s="28" t="s">
        <v>1701</v>
      </c>
      <c r="C442" s="28" t="s">
        <v>2542</v>
      </c>
      <c r="D442" s="28" t="s">
        <v>1760</v>
      </c>
      <c r="E442" s="30" t="s">
        <v>2543</v>
      </c>
      <c r="F442" s="30" t="s">
        <v>2544</v>
      </c>
      <c r="G442" s="30" t="s">
        <v>35</v>
      </c>
      <c r="H442" s="33" t="s">
        <v>2551</v>
      </c>
      <c r="I442" s="33" t="e">
        <f>VLOOKUP(H442,'合同高级查询数据-8月返'!A:A,1,FALSE)</f>
        <v>#N/A</v>
      </c>
      <c r="J442" s="167" t="s">
        <v>37</v>
      </c>
      <c r="K442" s="30" t="s">
        <v>2546</v>
      </c>
      <c r="L442" s="168" t="s">
        <v>2552</v>
      </c>
      <c r="M442" s="107" t="s">
        <v>2553</v>
      </c>
      <c r="N442" s="74" t="s">
        <v>2554</v>
      </c>
      <c r="O442" s="28" t="s">
        <v>1269</v>
      </c>
      <c r="P442" s="207">
        <v>5800</v>
      </c>
      <c r="Q442" s="217">
        <v>0</v>
      </c>
      <c r="R442" s="218">
        <f t="shared" si="25"/>
        <v>0</v>
      </c>
      <c r="S442" s="59">
        <v>202308</v>
      </c>
      <c r="T442" s="184" t="s">
        <v>2555</v>
      </c>
      <c r="U442" s="228"/>
      <c r="V442" s="224">
        <v>0</v>
      </c>
      <c r="W442" s="227"/>
      <c r="X442" s="74">
        <v>44805</v>
      </c>
      <c r="Y442" s="108">
        <v>45107</v>
      </c>
      <c r="Z442" s="224">
        <v>0</v>
      </c>
      <c r="AA442" s="193">
        <v>0</v>
      </c>
      <c r="AB442" s="224">
        <v>0</v>
      </c>
      <c r="AC442" s="224">
        <f t="shared" si="26"/>
        <v>0</v>
      </c>
    </row>
    <row r="443" spans="1:29" s="10" customFormat="1" ht="15" customHeight="1">
      <c r="A443" s="30" t="s">
        <v>769</v>
      </c>
      <c r="B443" s="28" t="s">
        <v>1701</v>
      </c>
      <c r="C443" s="28" t="s">
        <v>2542</v>
      </c>
      <c r="D443" s="28" t="s">
        <v>1760</v>
      </c>
      <c r="E443" s="30" t="s">
        <v>2543</v>
      </c>
      <c r="F443" s="30" t="s">
        <v>2544</v>
      </c>
      <c r="G443" s="30" t="s">
        <v>35</v>
      </c>
      <c r="H443" s="33" t="s">
        <v>2556</v>
      </c>
      <c r="I443" s="33" t="e">
        <f>VLOOKUP(H443,'合同高级查询数据-8月返'!A:A,1,FALSE)</f>
        <v>#N/A</v>
      </c>
      <c r="J443" s="167" t="s">
        <v>37</v>
      </c>
      <c r="K443" s="30" t="s">
        <v>2557</v>
      </c>
      <c r="L443" s="168" t="s">
        <v>2558</v>
      </c>
      <c r="M443" s="107" t="s">
        <v>2559</v>
      </c>
      <c r="N443" s="74" t="s">
        <v>2560</v>
      </c>
      <c r="O443" s="28" t="s">
        <v>2561</v>
      </c>
      <c r="P443" s="207">
        <v>5800</v>
      </c>
      <c r="Q443" s="217">
        <v>0</v>
      </c>
      <c r="R443" s="218">
        <f t="shared" si="25"/>
        <v>0</v>
      </c>
      <c r="S443" s="59">
        <v>202308</v>
      </c>
      <c r="T443" s="184" t="s">
        <v>2562</v>
      </c>
      <c r="U443" s="228"/>
      <c r="V443" s="224">
        <v>0</v>
      </c>
      <c r="W443" s="227"/>
      <c r="X443" s="74">
        <v>44562</v>
      </c>
      <c r="Y443" s="74">
        <v>44985</v>
      </c>
      <c r="Z443" s="224">
        <v>0</v>
      </c>
      <c r="AA443" s="193">
        <v>0</v>
      </c>
      <c r="AB443" s="224">
        <v>0</v>
      </c>
      <c r="AC443" s="224">
        <f t="shared" si="26"/>
        <v>0</v>
      </c>
    </row>
    <row r="444" spans="1:29" s="10" customFormat="1" ht="15" customHeight="1">
      <c r="A444" s="30" t="s">
        <v>762</v>
      </c>
      <c r="B444" s="30" t="s">
        <v>1701</v>
      </c>
      <c r="C444" s="30" t="s">
        <v>1987</v>
      </c>
      <c r="D444" s="28" t="s">
        <v>1760</v>
      </c>
      <c r="E444" s="30" t="s">
        <v>2563</v>
      </c>
      <c r="F444" s="30" t="s">
        <v>2564</v>
      </c>
      <c r="G444" s="30" t="s">
        <v>35</v>
      </c>
      <c r="H444" s="33" t="s">
        <v>2565</v>
      </c>
      <c r="I444" s="33" t="e">
        <f>VLOOKUP(H444,'合同高级查询数据-8月返'!A:A,1,FALSE)</f>
        <v>#N/A</v>
      </c>
      <c r="J444" s="167" t="s">
        <v>37</v>
      </c>
      <c r="K444" s="30" t="s">
        <v>1989</v>
      </c>
      <c r="L444" s="168" t="s">
        <v>2566</v>
      </c>
      <c r="M444" s="107" t="s">
        <v>2567</v>
      </c>
      <c r="N444" s="172">
        <v>43617</v>
      </c>
      <c r="O444" s="177" t="s">
        <v>1767</v>
      </c>
      <c r="P444" s="207">
        <v>5200</v>
      </c>
      <c r="Q444" s="217">
        <v>19.3</v>
      </c>
      <c r="R444" s="218">
        <f t="shared" si="25"/>
        <v>100360</v>
      </c>
      <c r="S444" s="59">
        <v>202308</v>
      </c>
      <c r="T444" s="184" t="s">
        <v>2568</v>
      </c>
      <c r="U444" s="224"/>
      <c r="V444" s="224">
        <v>19.254108428999999</v>
      </c>
      <c r="W444" s="227"/>
      <c r="X444" s="74">
        <v>45017</v>
      </c>
      <c r="Y444" s="74">
        <v>45382</v>
      </c>
      <c r="Z444" s="28" t="s">
        <v>2569</v>
      </c>
      <c r="AA444" s="194">
        <v>0.4</v>
      </c>
      <c r="AB444" s="227">
        <v>40</v>
      </c>
      <c r="AC444" s="224">
        <f t="shared" si="26"/>
        <v>16</v>
      </c>
    </row>
    <row r="445" spans="1:29" s="10" customFormat="1" ht="15" customHeight="1">
      <c r="A445" s="30" t="s">
        <v>762</v>
      </c>
      <c r="B445" s="30" t="s">
        <v>1701</v>
      </c>
      <c r="C445" s="30" t="s">
        <v>1007</v>
      </c>
      <c r="D445" s="28" t="s">
        <v>32</v>
      </c>
      <c r="E445" s="30" t="s">
        <v>2570</v>
      </c>
      <c r="F445" s="30" t="s">
        <v>2571</v>
      </c>
      <c r="G445" s="30" t="s">
        <v>35</v>
      </c>
      <c r="H445" s="33" t="s">
        <v>2572</v>
      </c>
      <c r="I445" s="33" t="e">
        <f>VLOOKUP(H445,'合同高级查询数据-8月返'!A:A,1,FALSE)</f>
        <v>#N/A</v>
      </c>
      <c r="J445" s="167" t="s">
        <v>37</v>
      </c>
      <c r="K445" s="30" t="s">
        <v>1968</v>
      </c>
      <c r="L445" s="168" t="s">
        <v>2573</v>
      </c>
      <c r="M445" s="107" t="s">
        <v>2574</v>
      </c>
      <c r="N445" s="74" t="s">
        <v>2575</v>
      </c>
      <c r="O445" s="74" t="s">
        <v>1911</v>
      </c>
      <c r="P445" s="207">
        <v>7667</v>
      </c>
      <c r="Q445" s="217">
        <v>0</v>
      </c>
      <c r="R445" s="218">
        <f t="shared" si="25"/>
        <v>0</v>
      </c>
      <c r="S445" s="59">
        <v>202308</v>
      </c>
      <c r="T445" s="184" t="s">
        <v>2576</v>
      </c>
      <c r="U445" s="224"/>
      <c r="V445" s="224">
        <v>0</v>
      </c>
      <c r="W445" s="227"/>
      <c r="X445" s="74">
        <v>44348</v>
      </c>
      <c r="Y445" s="74">
        <v>44712</v>
      </c>
      <c r="Z445" s="224">
        <v>0</v>
      </c>
      <c r="AA445" s="193">
        <v>0</v>
      </c>
      <c r="AB445" s="224">
        <v>0</v>
      </c>
      <c r="AC445" s="224">
        <f t="shared" si="26"/>
        <v>0</v>
      </c>
    </row>
    <row r="446" spans="1:29" s="10" customFormat="1" ht="15" customHeight="1">
      <c r="A446" s="30" t="s">
        <v>769</v>
      </c>
      <c r="B446" s="30" t="s">
        <v>1701</v>
      </c>
      <c r="C446" s="30" t="s">
        <v>751</v>
      </c>
      <c r="D446" s="28" t="s">
        <v>32</v>
      </c>
      <c r="E446" s="30" t="s">
        <v>752</v>
      </c>
      <c r="F446" s="30" t="s">
        <v>2577</v>
      </c>
      <c r="G446" s="30" t="s">
        <v>35</v>
      </c>
      <c r="H446" s="33" t="s">
        <v>2578</v>
      </c>
      <c r="I446" s="33" t="e">
        <f>VLOOKUP(H446,'合同高级查询数据-8月返'!A:A,1,FALSE)</f>
        <v>#N/A</v>
      </c>
      <c r="J446" s="167" t="s">
        <v>37</v>
      </c>
      <c r="K446" s="30" t="s">
        <v>2579</v>
      </c>
      <c r="L446" s="168" t="s">
        <v>2580</v>
      </c>
      <c r="M446" s="107" t="s">
        <v>2581</v>
      </c>
      <c r="N446" s="213" t="s">
        <v>2582</v>
      </c>
      <c r="O446" s="213" t="s">
        <v>2583</v>
      </c>
      <c r="P446" s="207">
        <v>5500</v>
      </c>
      <c r="Q446" s="217">
        <v>0</v>
      </c>
      <c r="R446" s="218">
        <f t="shared" si="25"/>
        <v>0</v>
      </c>
      <c r="S446" s="59">
        <v>202308</v>
      </c>
      <c r="T446" s="184" t="s">
        <v>2584</v>
      </c>
      <c r="U446" s="224"/>
      <c r="V446" s="224">
        <v>0</v>
      </c>
      <c r="W446" s="227"/>
      <c r="X446" s="213">
        <v>44197</v>
      </c>
      <c r="Y446" s="213">
        <v>44561</v>
      </c>
      <c r="Z446" s="224">
        <v>0</v>
      </c>
      <c r="AA446" s="193">
        <v>0</v>
      </c>
      <c r="AB446" s="224">
        <v>0</v>
      </c>
      <c r="AC446" s="224">
        <f t="shared" si="26"/>
        <v>0</v>
      </c>
    </row>
    <row r="447" spans="1:29" s="9" customFormat="1" ht="15" customHeight="1">
      <c r="A447" s="27" t="s">
        <v>769</v>
      </c>
      <c r="B447" s="27" t="s">
        <v>1701</v>
      </c>
      <c r="C447" s="27" t="s">
        <v>751</v>
      </c>
      <c r="D447" s="25" t="s">
        <v>32</v>
      </c>
      <c r="E447" s="27" t="s">
        <v>752</v>
      </c>
      <c r="F447" s="27" t="s">
        <v>2577</v>
      </c>
      <c r="G447" s="27" t="s">
        <v>35</v>
      </c>
      <c r="H447" s="32" t="s">
        <v>2585</v>
      </c>
      <c r="I447" s="32" t="e">
        <f>VLOOKUP(H447,'合同高级查询数据-8月返'!A:A,1,FALSE)</f>
        <v>#N/A</v>
      </c>
      <c r="J447" s="169" t="s">
        <v>37</v>
      </c>
      <c r="K447" s="27" t="s">
        <v>815</v>
      </c>
      <c r="L447" s="170" t="s">
        <v>989</v>
      </c>
      <c r="M447" s="49" t="s">
        <v>2586</v>
      </c>
      <c r="N447" s="209" t="s">
        <v>2587</v>
      </c>
      <c r="O447" s="209" t="s">
        <v>655</v>
      </c>
      <c r="P447" s="208">
        <v>4200</v>
      </c>
      <c r="Q447" s="219">
        <v>107.3</v>
      </c>
      <c r="R447" s="220">
        <f t="shared" si="25"/>
        <v>450660</v>
      </c>
      <c r="S447" s="55">
        <v>202308</v>
      </c>
      <c r="T447" s="185" t="s">
        <v>2588</v>
      </c>
      <c r="U447" s="225"/>
      <c r="V447" s="225">
        <v>107.22406768800001</v>
      </c>
      <c r="W447" s="226"/>
      <c r="X447" s="209"/>
      <c r="Y447" s="209"/>
      <c r="Z447" s="230" t="s">
        <v>2589</v>
      </c>
      <c r="AA447" s="195">
        <v>0.4</v>
      </c>
      <c r="AB447" s="226">
        <v>200</v>
      </c>
      <c r="AC447" s="225">
        <f t="shared" si="26"/>
        <v>80</v>
      </c>
    </row>
    <row r="448" spans="1:29" s="10" customFormat="1" ht="15" customHeight="1">
      <c r="A448" s="30" t="s">
        <v>750</v>
      </c>
      <c r="B448" s="30" t="s">
        <v>1701</v>
      </c>
      <c r="C448" s="30" t="s">
        <v>751</v>
      </c>
      <c r="D448" s="28" t="s">
        <v>32</v>
      </c>
      <c r="E448" s="30" t="s">
        <v>752</v>
      </c>
      <c r="F448" s="30" t="s">
        <v>2577</v>
      </c>
      <c r="G448" s="30" t="s">
        <v>35</v>
      </c>
      <c r="H448" s="33" t="s">
        <v>2590</v>
      </c>
      <c r="I448" s="33" t="e">
        <f>VLOOKUP(H448,'合同高级查询数据-8月返'!A:A,1,FALSE)</f>
        <v>#N/A</v>
      </c>
      <c r="J448" s="167" t="s">
        <v>37</v>
      </c>
      <c r="K448" s="30" t="s">
        <v>815</v>
      </c>
      <c r="L448" s="168" t="s">
        <v>2591</v>
      </c>
      <c r="M448" s="107" t="s">
        <v>2592</v>
      </c>
      <c r="N448" s="213" t="s">
        <v>2593</v>
      </c>
      <c r="O448" s="213" t="s">
        <v>2594</v>
      </c>
      <c r="P448" s="207">
        <v>6000</v>
      </c>
      <c r="Q448" s="217">
        <v>54.9</v>
      </c>
      <c r="R448" s="218">
        <f t="shared" si="25"/>
        <v>329400</v>
      </c>
      <c r="S448" s="59">
        <v>202308</v>
      </c>
      <c r="T448" s="184" t="s">
        <v>2595</v>
      </c>
      <c r="U448" s="224"/>
      <c r="V448" s="224">
        <v>54.899280548</v>
      </c>
      <c r="W448" s="227"/>
      <c r="X448" s="213">
        <v>44927</v>
      </c>
      <c r="Y448" s="213">
        <v>45291</v>
      </c>
      <c r="Z448" s="28" t="s">
        <v>2596</v>
      </c>
      <c r="AA448" s="194">
        <v>0.2</v>
      </c>
      <c r="AB448" s="227">
        <v>200</v>
      </c>
      <c r="AC448" s="224">
        <f t="shared" si="26"/>
        <v>40</v>
      </c>
    </row>
    <row r="449" spans="1:29" s="9" customFormat="1" ht="15" customHeight="1">
      <c r="A449" s="27" t="s">
        <v>769</v>
      </c>
      <c r="B449" s="27" t="s">
        <v>1701</v>
      </c>
      <c r="C449" s="27" t="s">
        <v>751</v>
      </c>
      <c r="D449" s="25" t="s">
        <v>32</v>
      </c>
      <c r="E449" s="27" t="s">
        <v>752</v>
      </c>
      <c r="F449" s="27" t="s">
        <v>2577</v>
      </c>
      <c r="G449" s="27" t="s">
        <v>35</v>
      </c>
      <c r="H449" s="32" t="s">
        <v>2597</v>
      </c>
      <c r="I449" s="32" t="e">
        <f>VLOOKUP(H449,'合同高级查询数据-8月返'!A:A,1,FALSE)</f>
        <v>#N/A</v>
      </c>
      <c r="J449" s="169" t="s">
        <v>37</v>
      </c>
      <c r="K449" s="27" t="s">
        <v>815</v>
      </c>
      <c r="L449" s="170" t="s">
        <v>2598</v>
      </c>
      <c r="M449" s="49" t="s">
        <v>2599</v>
      </c>
      <c r="N449" s="70">
        <v>43983</v>
      </c>
      <c r="O449" s="239" t="s">
        <v>447</v>
      </c>
      <c r="P449" s="208">
        <v>3200</v>
      </c>
      <c r="Q449" s="219">
        <v>100</v>
      </c>
      <c r="R449" s="220">
        <f t="shared" si="25"/>
        <v>320000</v>
      </c>
      <c r="S449" s="55">
        <v>202308</v>
      </c>
      <c r="T449" s="185" t="s">
        <v>2600</v>
      </c>
      <c r="U449" s="229"/>
      <c r="V449" s="225">
        <v>80.174812317000004</v>
      </c>
      <c r="W449" s="226"/>
      <c r="X449" s="209"/>
      <c r="Y449" s="209"/>
      <c r="Z449" s="25" t="s">
        <v>2601</v>
      </c>
      <c r="AA449" s="195">
        <v>1</v>
      </c>
      <c r="AB449" s="226">
        <v>100</v>
      </c>
      <c r="AC449" s="225">
        <f t="shared" si="26"/>
        <v>100</v>
      </c>
    </row>
    <row r="450" spans="1:29" s="10" customFormat="1" ht="15" customHeight="1">
      <c r="A450" s="30" t="s">
        <v>769</v>
      </c>
      <c r="B450" s="232" t="s">
        <v>1701</v>
      </c>
      <c r="C450" s="28" t="s">
        <v>2159</v>
      </c>
      <c r="D450" s="28" t="s">
        <v>1717</v>
      </c>
      <c r="E450" s="30" t="s">
        <v>752</v>
      </c>
      <c r="F450" s="30" t="s">
        <v>2577</v>
      </c>
      <c r="G450" s="30" t="s">
        <v>35</v>
      </c>
      <c r="H450" s="33" t="s">
        <v>2602</v>
      </c>
      <c r="I450" s="33" t="e">
        <f>VLOOKUP(H450,'合同高级查询数据-8月返'!A:A,1,FALSE)</f>
        <v>#N/A</v>
      </c>
      <c r="J450" s="167" t="s">
        <v>37</v>
      </c>
      <c r="K450" s="30" t="s">
        <v>2159</v>
      </c>
      <c r="L450" s="168" t="s">
        <v>2603</v>
      </c>
      <c r="M450" s="107" t="s">
        <v>2604</v>
      </c>
      <c r="N450" s="74" t="s">
        <v>2605</v>
      </c>
      <c r="O450" s="28" t="s">
        <v>1263</v>
      </c>
      <c r="P450" s="207">
        <v>5500</v>
      </c>
      <c r="Q450" s="217">
        <v>0</v>
      </c>
      <c r="R450" s="218">
        <f t="shared" si="25"/>
        <v>0</v>
      </c>
      <c r="S450" s="59">
        <v>202308</v>
      </c>
      <c r="T450" s="184" t="s">
        <v>2606</v>
      </c>
      <c r="U450" s="228"/>
      <c r="V450" s="224">
        <v>0</v>
      </c>
      <c r="W450" s="227"/>
      <c r="X450" s="74">
        <v>44440</v>
      </c>
      <c r="Y450" s="74">
        <v>44804</v>
      </c>
      <c r="Z450" s="224">
        <v>0</v>
      </c>
      <c r="AA450" s="193">
        <v>0</v>
      </c>
      <c r="AB450" s="224">
        <v>0</v>
      </c>
      <c r="AC450" s="224">
        <f t="shared" si="26"/>
        <v>0</v>
      </c>
    </row>
    <row r="451" spans="1:29" s="10" customFormat="1" ht="15" customHeight="1">
      <c r="A451" s="201" t="s">
        <v>750</v>
      </c>
      <c r="B451" s="232" t="s">
        <v>1701</v>
      </c>
      <c r="C451" s="30" t="s">
        <v>751</v>
      </c>
      <c r="D451" s="28" t="s">
        <v>32</v>
      </c>
      <c r="E451" s="30" t="s">
        <v>752</v>
      </c>
      <c r="F451" s="30" t="s">
        <v>2577</v>
      </c>
      <c r="G451" s="30" t="s">
        <v>35</v>
      </c>
      <c r="H451" s="33" t="s">
        <v>2607</v>
      </c>
      <c r="I451" s="33" t="e">
        <f>VLOOKUP(H451,'合同高级查询数据-8月返'!A:A,1,FALSE)</f>
        <v>#N/A</v>
      </c>
      <c r="J451" s="167" t="s">
        <v>37</v>
      </c>
      <c r="K451" s="30" t="s">
        <v>815</v>
      </c>
      <c r="L451" s="168" t="s">
        <v>2608</v>
      </c>
      <c r="M451" s="107" t="s">
        <v>2609</v>
      </c>
      <c r="N451" s="74" t="s">
        <v>2610</v>
      </c>
      <c r="O451" s="28" t="s">
        <v>1263</v>
      </c>
      <c r="P451" s="207">
        <v>7000</v>
      </c>
      <c r="Q451" s="217">
        <v>0</v>
      </c>
      <c r="R451" s="218">
        <f t="shared" si="25"/>
        <v>0</v>
      </c>
      <c r="S451" s="59">
        <v>202308</v>
      </c>
      <c r="T451" s="184" t="s">
        <v>2611</v>
      </c>
      <c r="U451" s="228"/>
      <c r="V451" s="224">
        <v>0</v>
      </c>
      <c r="W451" s="227"/>
      <c r="X451" s="74">
        <v>44378</v>
      </c>
      <c r="Y451" s="74">
        <v>44742</v>
      </c>
      <c r="Z451" s="224">
        <v>0</v>
      </c>
      <c r="AA451" s="193">
        <v>0</v>
      </c>
      <c r="AB451" s="224">
        <v>0</v>
      </c>
      <c r="AC451" s="224">
        <f t="shared" si="26"/>
        <v>0</v>
      </c>
    </row>
    <row r="452" spans="1:29" s="10" customFormat="1" ht="15" customHeight="1">
      <c r="A452" s="30" t="s">
        <v>769</v>
      </c>
      <c r="B452" s="232" t="s">
        <v>1701</v>
      </c>
      <c r="C452" s="30" t="s">
        <v>138</v>
      </c>
      <c r="D452" s="28" t="s">
        <v>32</v>
      </c>
      <c r="E452" s="30" t="s">
        <v>752</v>
      </c>
      <c r="F452" s="30" t="s">
        <v>2577</v>
      </c>
      <c r="G452" s="30" t="s">
        <v>35</v>
      </c>
      <c r="H452" s="33" t="s">
        <v>2612</v>
      </c>
      <c r="I452" s="33" t="e">
        <f>VLOOKUP(H452,'合同高级查询数据-8月返'!A:A,1,FALSE)</f>
        <v>#N/A</v>
      </c>
      <c r="J452" s="167" t="s">
        <v>37</v>
      </c>
      <c r="K452" s="30" t="s">
        <v>206</v>
      </c>
      <c r="L452" s="168" t="s">
        <v>2613</v>
      </c>
      <c r="M452" s="107" t="s">
        <v>2614</v>
      </c>
      <c r="N452" s="74" t="s">
        <v>2615</v>
      </c>
      <c r="O452" s="28" t="s">
        <v>1263</v>
      </c>
      <c r="P452" s="207">
        <v>4800</v>
      </c>
      <c r="Q452" s="217">
        <v>0</v>
      </c>
      <c r="R452" s="218">
        <f t="shared" si="25"/>
        <v>0</v>
      </c>
      <c r="S452" s="59">
        <v>202308</v>
      </c>
      <c r="T452" s="184" t="s">
        <v>2616</v>
      </c>
      <c r="U452" s="228"/>
      <c r="V452" s="224">
        <v>0</v>
      </c>
      <c r="W452" s="227"/>
      <c r="X452" s="74">
        <v>44317</v>
      </c>
      <c r="Y452" s="74">
        <v>44681</v>
      </c>
      <c r="Z452" s="224">
        <v>0</v>
      </c>
      <c r="AA452" s="193">
        <v>0</v>
      </c>
      <c r="AB452" s="224">
        <v>0</v>
      </c>
      <c r="AC452" s="224">
        <f t="shared" si="26"/>
        <v>0</v>
      </c>
    </row>
    <row r="453" spans="1:29" s="10" customFormat="1" ht="15" customHeight="1">
      <c r="A453" s="30" t="s">
        <v>769</v>
      </c>
      <c r="B453" s="232" t="s">
        <v>1701</v>
      </c>
      <c r="C453" s="28" t="s">
        <v>1727</v>
      </c>
      <c r="D453" s="28" t="s">
        <v>32</v>
      </c>
      <c r="E453" s="30" t="s">
        <v>752</v>
      </c>
      <c r="F453" s="30" t="s">
        <v>2577</v>
      </c>
      <c r="G453" s="30" t="s">
        <v>35</v>
      </c>
      <c r="H453" s="33" t="s">
        <v>2617</v>
      </c>
      <c r="I453" s="33" t="e">
        <f>VLOOKUP(H453,'合同高级查询数据-8月返'!A:A,1,FALSE)</f>
        <v>#N/A</v>
      </c>
      <c r="J453" s="167" t="s">
        <v>37</v>
      </c>
      <c r="K453" s="30" t="s">
        <v>2618</v>
      </c>
      <c r="L453" s="168" t="s">
        <v>2619</v>
      </c>
      <c r="M453" s="107" t="s">
        <v>2620</v>
      </c>
      <c r="N453" s="74" t="s">
        <v>2621</v>
      </c>
      <c r="O453" s="28" t="s">
        <v>1848</v>
      </c>
      <c r="P453" s="207">
        <v>4300</v>
      </c>
      <c r="Q453" s="217">
        <v>0</v>
      </c>
      <c r="R453" s="218">
        <f t="shared" si="25"/>
        <v>0</v>
      </c>
      <c r="S453" s="59">
        <v>202308</v>
      </c>
      <c r="T453" s="184" t="s">
        <v>2622</v>
      </c>
      <c r="U453" s="228"/>
      <c r="V453" s="224">
        <v>0</v>
      </c>
      <c r="W453" s="227"/>
      <c r="X453" s="213">
        <v>44409</v>
      </c>
      <c r="Y453" s="213">
        <v>44773</v>
      </c>
      <c r="Z453" s="224">
        <v>0</v>
      </c>
      <c r="AA453" s="193">
        <v>0</v>
      </c>
      <c r="AB453" s="224">
        <v>0</v>
      </c>
      <c r="AC453" s="224">
        <f t="shared" si="26"/>
        <v>0</v>
      </c>
    </row>
    <row r="454" spans="1:29" s="10" customFormat="1" ht="15" customHeight="1">
      <c r="A454" s="30" t="s">
        <v>769</v>
      </c>
      <c r="B454" s="30" t="s">
        <v>1701</v>
      </c>
      <c r="C454" s="30" t="s">
        <v>1727</v>
      </c>
      <c r="D454" s="28" t="s">
        <v>32</v>
      </c>
      <c r="E454" s="30" t="s">
        <v>752</v>
      </c>
      <c r="F454" s="30" t="s">
        <v>2577</v>
      </c>
      <c r="G454" s="30" t="s">
        <v>35</v>
      </c>
      <c r="H454" s="33" t="s">
        <v>2617</v>
      </c>
      <c r="I454" s="33" t="e">
        <f>VLOOKUP(H454,'合同高级查询数据-8月返'!A:A,1,FALSE)</f>
        <v>#N/A</v>
      </c>
      <c r="J454" s="167" t="s">
        <v>37</v>
      </c>
      <c r="K454" s="30" t="s">
        <v>2618</v>
      </c>
      <c r="L454" s="30" t="s">
        <v>2623</v>
      </c>
      <c r="M454" s="107" t="s">
        <v>2620</v>
      </c>
      <c r="N454" s="74" t="s">
        <v>2624</v>
      </c>
      <c r="O454" s="213" t="s">
        <v>2625</v>
      </c>
      <c r="P454" s="207">
        <v>4300</v>
      </c>
      <c r="Q454" s="217">
        <v>0</v>
      </c>
      <c r="R454" s="218">
        <f t="shared" si="25"/>
        <v>0</v>
      </c>
      <c r="S454" s="59">
        <v>202308</v>
      </c>
      <c r="T454" s="184" t="s">
        <v>2626</v>
      </c>
      <c r="U454" s="224"/>
      <c r="V454" s="224">
        <v>0</v>
      </c>
      <c r="W454" s="227"/>
      <c r="X454" s="213">
        <v>44409</v>
      </c>
      <c r="Y454" s="213">
        <v>44773</v>
      </c>
      <c r="Z454" s="224">
        <v>0</v>
      </c>
      <c r="AA454" s="193">
        <v>0</v>
      </c>
      <c r="AB454" s="224">
        <v>0</v>
      </c>
      <c r="AC454" s="224">
        <f t="shared" si="26"/>
        <v>0</v>
      </c>
    </row>
    <row r="455" spans="1:29" s="10" customFormat="1" ht="15" customHeight="1">
      <c r="A455" s="30" t="s">
        <v>769</v>
      </c>
      <c r="B455" s="30" t="s">
        <v>1701</v>
      </c>
      <c r="C455" s="30" t="s">
        <v>138</v>
      </c>
      <c r="D455" s="28" t="s">
        <v>32</v>
      </c>
      <c r="E455" s="30" t="s">
        <v>752</v>
      </c>
      <c r="F455" s="30" t="s">
        <v>2577</v>
      </c>
      <c r="G455" s="30" t="s">
        <v>35</v>
      </c>
      <c r="H455" s="33" t="s">
        <v>2627</v>
      </c>
      <c r="I455" s="33" t="e">
        <f>VLOOKUP(H455,'合同高级查询数据-8月返'!A:A,1,FALSE)</f>
        <v>#N/A</v>
      </c>
      <c r="J455" s="167" t="s">
        <v>37</v>
      </c>
      <c r="K455" s="30" t="s">
        <v>206</v>
      </c>
      <c r="L455" s="30" t="s">
        <v>2628</v>
      </c>
      <c r="M455" s="107" t="s">
        <v>2629</v>
      </c>
      <c r="N455" s="74" t="s">
        <v>2630</v>
      </c>
      <c r="O455" s="213" t="s">
        <v>2631</v>
      </c>
      <c r="P455" s="207">
        <v>4800</v>
      </c>
      <c r="Q455" s="217">
        <v>9.8000000000000007</v>
      </c>
      <c r="R455" s="218">
        <f t="shared" si="25"/>
        <v>47040</v>
      </c>
      <c r="S455" s="59">
        <v>202308</v>
      </c>
      <c r="T455" s="184" t="s">
        <v>2632</v>
      </c>
      <c r="U455" s="224"/>
      <c r="V455" s="224">
        <v>9.7997617720000001</v>
      </c>
      <c r="W455" s="224"/>
      <c r="X455" s="74">
        <v>44866</v>
      </c>
      <c r="Y455" s="74">
        <v>45230</v>
      </c>
      <c r="Z455" s="28" t="s">
        <v>2633</v>
      </c>
      <c r="AA455" s="194">
        <v>0.4</v>
      </c>
      <c r="AB455" s="227">
        <v>20</v>
      </c>
      <c r="AC455" s="224">
        <f t="shared" si="26"/>
        <v>8</v>
      </c>
    </row>
    <row r="456" spans="1:29" s="10" customFormat="1" ht="15" customHeight="1">
      <c r="A456" s="30" t="s">
        <v>769</v>
      </c>
      <c r="B456" s="30" t="s">
        <v>1701</v>
      </c>
      <c r="C456" s="30" t="s">
        <v>1242</v>
      </c>
      <c r="D456" s="28" t="s">
        <v>32</v>
      </c>
      <c r="E456" s="30" t="s">
        <v>752</v>
      </c>
      <c r="F456" s="30" t="s">
        <v>2577</v>
      </c>
      <c r="G456" s="30" t="s">
        <v>35</v>
      </c>
      <c r="H456" s="33" t="s">
        <v>2634</v>
      </c>
      <c r="I456" s="33" t="e">
        <f>VLOOKUP(H456,'合同高级查询数据-8月返'!A:A,1,FALSE)</f>
        <v>#N/A</v>
      </c>
      <c r="J456" s="167" t="s">
        <v>37</v>
      </c>
      <c r="K456" s="30" t="s">
        <v>1458</v>
      </c>
      <c r="L456" s="30" t="s">
        <v>2635</v>
      </c>
      <c r="M456" s="107" t="s">
        <v>2636</v>
      </c>
      <c r="N456" s="74" t="s">
        <v>2637</v>
      </c>
      <c r="O456" s="213" t="s">
        <v>1263</v>
      </c>
      <c r="P456" s="207">
        <v>4900</v>
      </c>
      <c r="Q456" s="217">
        <v>0</v>
      </c>
      <c r="R456" s="218">
        <f t="shared" si="25"/>
        <v>0</v>
      </c>
      <c r="S456" s="59">
        <v>202308</v>
      </c>
      <c r="T456" s="184" t="s">
        <v>2638</v>
      </c>
      <c r="U456" s="224"/>
      <c r="V456" s="224">
        <v>0</v>
      </c>
      <c r="W456" s="224"/>
      <c r="X456" s="74">
        <v>44621</v>
      </c>
      <c r="Y456" s="187">
        <v>45016</v>
      </c>
      <c r="Z456" s="224">
        <v>0</v>
      </c>
      <c r="AA456" s="193">
        <v>0</v>
      </c>
      <c r="AB456" s="224">
        <v>0</v>
      </c>
      <c r="AC456" s="224">
        <f t="shared" si="26"/>
        <v>0</v>
      </c>
    </row>
    <row r="457" spans="1:29" s="10" customFormat="1" ht="15" customHeight="1">
      <c r="A457" s="30" t="s">
        <v>769</v>
      </c>
      <c r="B457" s="232" t="s">
        <v>1701</v>
      </c>
      <c r="C457" s="28" t="s">
        <v>1007</v>
      </c>
      <c r="D457" s="28" t="s">
        <v>32</v>
      </c>
      <c r="E457" s="30" t="s">
        <v>2639</v>
      </c>
      <c r="F457" s="30" t="s">
        <v>2640</v>
      </c>
      <c r="G457" s="30" t="s">
        <v>35</v>
      </c>
      <c r="H457" s="33" t="s">
        <v>2641</v>
      </c>
      <c r="I457" s="33" t="e">
        <f>VLOOKUP(H457,'合同高级查询数据-8月返'!A:A,1,FALSE)</f>
        <v>#N/A</v>
      </c>
      <c r="J457" s="167" t="s">
        <v>37</v>
      </c>
      <c r="K457" s="30" t="s">
        <v>1017</v>
      </c>
      <c r="L457" s="168" t="s">
        <v>2642</v>
      </c>
      <c r="M457" s="107" t="s">
        <v>2643</v>
      </c>
      <c r="N457" s="74" t="s">
        <v>2644</v>
      </c>
      <c r="O457" s="28" t="s">
        <v>2645</v>
      </c>
      <c r="P457" s="207">
        <v>4300</v>
      </c>
      <c r="Q457" s="217">
        <v>156.4</v>
      </c>
      <c r="R457" s="218">
        <f t="shared" si="25"/>
        <v>672520</v>
      </c>
      <c r="S457" s="59">
        <v>202308</v>
      </c>
      <c r="T457" s="184" t="s">
        <v>2646</v>
      </c>
      <c r="U457" s="228"/>
      <c r="V457" s="224">
        <v>156.39260864299999</v>
      </c>
      <c r="W457" s="227"/>
      <c r="X457" s="74">
        <v>45108</v>
      </c>
      <c r="Y457" s="237">
        <v>45169</v>
      </c>
      <c r="Z457" s="28" t="s">
        <v>2647</v>
      </c>
      <c r="AA457" s="194">
        <v>0.3</v>
      </c>
      <c r="AB457" s="227">
        <v>400</v>
      </c>
      <c r="AC457" s="224">
        <f t="shared" si="26"/>
        <v>120</v>
      </c>
    </row>
    <row r="458" spans="1:29" s="9" customFormat="1" ht="15" customHeight="1">
      <c r="A458" s="27" t="s">
        <v>769</v>
      </c>
      <c r="B458" s="244" t="s">
        <v>1701</v>
      </c>
      <c r="C458" s="25" t="s">
        <v>1942</v>
      </c>
      <c r="D458" s="25" t="s">
        <v>32</v>
      </c>
      <c r="E458" s="27" t="s">
        <v>2639</v>
      </c>
      <c r="F458" s="27" t="s">
        <v>2640</v>
      </c>
      <c r="G458" s="27" t="s">
        <v>35</v>
      </c>
      <c r="H458" s="32" t="s">
        <v>2648</v>
      </c>
      <c r="I458" s="32" t="e">
        <f>VLOOKUP(H458,'合同高级查询数据-8月返'!A:A,1,FALSE)</f>
        <v>#N/A</v>
      </c>
      <c r="J458" s="169" t="s">
        <v>37</v>
      </c>
      <c r="K458" s="27" t="s">
        <v>2649</v>
      </c>
      <c r="L458" s="170" t="s">
        <v>2650</v>
      </c>
      <c r="M458" s="49" t="s">
        <v>2651</v>
      </c>
      <c r="N458" s="70" t="s">
        <v>2652</v>
      </c>
      <c r="O458" s="25" t="s">
        <v>2653</v>
      </c>
      <c r="P458" s="208">
        <v>4500</v>
      </c>
      <c r="Q458" s="219">
        <v>5.8</v>
      </c>
      <c r="R458" s="220">
        <f t="shared" si="25"/>
        <v>26100</v>
      </c>
      <c r="S458" s="55">
        <v>202308</v>
      </c>
      <c r="T458" s="185" t="s">
        <v>2654</v>
      </c>
      <c r="U458" s="229"/>
      <c r="V458" s="225">
        <v>5.7276906969999999</v>
      </c>
      <c r="W458" s="226"/>
      <c r="X458" s="70"/>
      <c r="Y458" s="105"/>
      <c r="Z458" s="25" t="s">
        <v>2655</v>
      </c>
      <c r="AA458" s="195">
        <v>0</v>
      </c>
      <c r="AB458" s="226">
        <v>60</v>
      </c>
      <c r="AC458" s="225">
        <f t="shared" si="26"/>
        <v>0</v>
      </c>
    </row>
    <row r="459" spans="1:29" s="9" customFormat="1" ht="15" customHeight="1">
      <c r="A459" s="27" t="s">
        <v>769</v>
      </c>
      <c r="B459" s="244" t="s">
        <v>1701</v>
      </c>
      <c r="C459" s="25" t="s">
        <v>1242</v>
      </c>
      <c r="D459" s="25" t="s">
        <v>32</v>
      </c>
      <c r="E459" s="27" t="s">
        <v>2639</v>
      </c>
      <c r="F459" s="27" t="s">
        <v>2640</v>
      </c>
      <c r="G459" s="27" t="s">
        <v>35</v>
      </c>
      <c r="H459" s="32" t="s">
        <v>2656</v>
      </c>
      <c r="I459" s="32" t="e">
        <f>VLOOKUP(H459,'合同高级查询数据-8月返'!A:A,1,FALSE)</f>
        <v>#N/A</v>
      </c>
      <c r="J459" s="169" t="s">
        <v>37</v>
      </c>
      <c r="K459" s="27" t="s">
        <v>1753</v>
      </c>
      <c r="L459" s="170" t="s">
        <v>2657</v>
      </c>
      <c r="M459" s="49" t="s">
        <v>2658</v>
      </c>
      <c r="N459" s="70" t="s">
        <v>2659</v>
      </c>
      <c r="O459" s="25" t="s">
        <v>2660</v>
      </c>
      <c r="P459" s="208">
        <v>4200</v>
      </c>
      <c r="Q459" s="219">
        <v>149.6</v>
      </c>
      <c r="R459" s="220">
        <f t="shared" si="25"/>
        <v>628320</v>
      </c>
      <c r="S459" s="55">
        <v>202308</v>
      </c>
      <c r="T459" s="185" t="s">
        <v>2661</v>
      </c>
      <c r="U459" s="229"/>
      <c r="V459" s="225">
        <v>149.51905822800001</v>
      </c>
      <c r="W459" s="226">
        <v>153.80000000000001</v>
      </c>
      <c r="X459" s="209"/>
      <c r="Y459" s="209"/>
      <c r="Z459" s="25" t="s">
        <v>2662</v>
      </c>
      <c r="AA459" s="195">
        <v>0.4</v>
      </c>
      <c r="AB459" s="226">
        <v>300</v>
      </c>
      <c r="AC459" s="225">
        <f t="shared" si="26"/>
        <v>120</v>
      </c>
    </row>
    <row r="460" spans="1:29" s="10" customFormat="1" ht="15" customHeight="1">
      <c r="A460" s="30" t="s">
        <v>769</v>
      </c>
      <c r="B460" s="232" t="s">
        <v>1701</v>
      </c>
      <c r="C460" s="28" t="s">
        <v>2159</v>
      </c>
      <c r="D460" s="28" t="s">
        <v>1717</v>
      </c>
      <c r="E460" s="30" t="s">
        <v>2639</v>
      </c>
      <c r="F460" s="30" t="s">
        <v>2640</v>
      </c>
      <c r="G460" s="30" t="s">
        <v>35</v>
      </c>
      <c r="H460" s="33" t="s">
        <v>2663</v>
      </c>
      <c r="I460" s="33" t="e">
        <f>VLOOKUP(H460,'合同高级查询数据-8月返'!A:A,1,FALSE)</f>
        <v>#N/A</v>
      </c>
      <c r="J460" s="167" t="s">
        <v>37</v>
      </c>
      <c r="K460" s="30" t="s">
        <v>2159</v>
      </c>
      <c r="L460" s="168" t="s">
        <v>2664</v>
      </c>
      <c r="M460" s="107" t="s">
        <v>2665</v>
      </c>
      <c r="N460" s="74">
        <v>44927</v>
      </c>
      <c r="O460" s="28" t="s">
        <v>319</v>
      </c>
      <c r="P460" s="207">
        <v>4800</v>
      </c>
      <c r="Q460" s="217">
        <v>95.5</v>
      </c>
      <c r="R460" s="218">
        <f t="shared" si="25"/>
        <v>458400</v>
      </c>
      <c r="S460" s="59">
        <v>202308</v>
      </c>
      <c r="T460" s="184" t="s">
        <v>2180</v>
      </c>
      <c r="U460" s="228"/>
      <c r="V460" s="224">
        <v>95.497276306000003</v>
      </c>
      <c r="W460" s="227"/>
      <c r="X460" s="213">
        <v>44924</v>
      </c>
      <c r="Y460" s="213">
        <v>45291</v>
      </c>
      <c r="Z460" s="28" t="s">
        <v>2666</v>
      </c>
      <c r="AA460" s="194">
        <v>0.4</v>
      </c>
      <c r="AB460" s="227">
        <v>200</v>
      </c>
      <c r="AC460" s="224">
        <f t="shared" si="26"/>
        <v>80</v>
      </c>
    </row>
    <row r="461" spans="1:29" s="10" customFormat="1" ht="15" customHeight="1">
      <c r="A461" s="30" t="s">
        <v>769</v>
      </c>
      <c r="B461" s="28" t="s">
        <v>1701</v>
      </c>
      <c r="C461" s="28" t="s">
        <v>2359</v>
      </c>
      <c r="D461" s="28" t="s">
        <v>1760</v>
      </c>
      <c r="E461" s="30" t="s">
        <v>2639</v>
      </c>
      <c r="F461" s="30" t="s">
        <v>2640</v>
      </c>
      <c r="G461" s="29" t="s">
        <v>35</v>
      </c>
      <c r="H461" s="33" t="s">
        <v>2667</v>
      </c>
      <c r="I461" s="33" t="e">
        <f>VLOOKUP(H461,'合同高级查询数据-8月返'!A:A,1,FALSE)</f>
        <v>#N/A</v>
      </c>
      <c r="J461" s="167" t="s">
        <v>37</v>
      </c>
      <c r="K461" s="29" t="s">
        <v>2668</v>
      </c>
      <c r="L461" s="29" t="s">
        <v>2669</v>
      </c>
      <c r="M461" s="107" t="s">
        <v>2670</v>
      </c>
      <c r="N461" s="74">
        <v>44927</v>
      </c>
      <c r="O461" s="129" t="s">
        <v>447</v>
      </c>
      <c r="P461" s="207">
        <v>5200</v>
      </c>
      <c r="Q461" s="217">
        <v>55</v>
      </c>
      <c r="R461" s="218">
        <f t="shared" si="25"/>
        <v>286000</v>
      </c>
      <c r="S461" s="59">
        <v>202308</v>
      </c>
      <c r="T461" s="240" t="s">
        <v>2671</v>
      </c>
      <c r="U461" s="228"/>
      <c r="V461" s="224">
        <v>54.095798492</v>
      </c>
      <c r="W461" s="227">
        <v>55.9</v>
      </c>
      <c r="X461" s="74">
        <v>44927</v>
      </c>
      <c r="Y461" s="74">
        <v>45291</v>
      </c>
      <c r="Z461" s="28" t="s">
        <v>2672</v>
      </c>
      <c r="AA461" s="194">
        <v>0.4</v>
      </c>
      <c r="AB461" s="227">
        <v>100</v>
      </c>
      <c r="AC461" s="224">
        <f t="shared" si="26"/>
        <v>40</v>
      </c>
    </row>
    <row r="462" spans="1:29" s="9" customFormat="1" ht="15" customHeight="1">
      <c r="A462" s="27" t="s">
        <v>769</v>
      </c>
      <c r="B462" s="244" t="s">
        <v>1701</v>
      </c>
      <c r="C462" s="25" t="s">
        <v>1942</v>
      </c>
      <c r="D462" s="25" t="s">
        <v>32</v>
      </c>
      <c r="E462" s="27" t="s">
        <v>2639</v>
      </c>
      <c r="F462" s="27" t="s">
        <v>2640</v>
      </c>
      <c r="G462" s="27" t="s">
        <v>35</v>
      </c>
      <c r="H462" s="32" t="s">
        <v>2673</v>
      </c>
      <c r="I462" s="32" t="e">
        <f>VLOOKUP(H462,'合同高级查询数据-8月返'!A:A,1,FALSE)</f>
        <v>#N/A</v>
      </c>
      <c r="J462" s="169" t="s">
        <v>37</v>
      </c>
      <c r="K462" s="27" t="s">
        <v>2649</v>
      </c>
      <c r="L462" s="170" t="s">
        <v>2674</v>
      </c>
      <c r="M462" s="49" t="s">
        <v>2675</v>
      </c>
      <c r="N462" s="70">
        <v>45047</v>
      </c>
      <c r="O462" s="97" t="s">
        <v>343</v>
      </c>
      <c r="P462" s="208">
        <v>4500</v>
      </c>
      <c r="Q462" s="219">
        <v>67.900000000000006</v>
      </c>
      <c r="R462" s="220">
        <f t="shared" si="25"/>
        <v>305550</v>
      </c>
      <c r="S462" s="55">
        <v>202308</v>
      </c>
      <c r="T462" s="246" t="s">
        <v>2676</v>
      </c>
      <c r="U462" s="229"/>
      <c r="V462" s="225">
        <v>67.892669678000004</v>
      </c>
      <c r="W462" s="226"/>
      <c r="X462" s="70"/>
      <c r="Y462" s="70"/>
      <c r="Z462" s="25" t="s">
        <v>2677</v>
      </c>
      <c r="AA462" s="195">
        <v>0.4</v>
      </c>
      <c r="AB462" s="226">
        <v>140</v>
      </c>
      <c r="AC462" s="226">
        <f t="shared" si="26"/>
        <v>56</v>
      </c>
    </row>
    <row r="463" spans="1:29" s="9" customFormat="1" ht="15" customHeight="1">
      <c r="A463" s="233" t="s">
        <v>750</v>
      </c>
      <c r="B463" s="244" t="s">
        <v>1701</v>
      </c>
      <c r="C463" s="25" t="s">
        <v>1759</v>
      </c>
      <c r="D463" s="25" t="s">
        <v>1760</v>
      </c>
      <c r="E463" s="27" t="s">
        <v>2678</v>
      </c>
      <c r="F463" s="27" t="s">
        <v>2679</v>
      </c>
      <c r="G463" s="27" t="s">
        <v>35</v>
      </c>
      <c r="H463" s="32" t="s">
        <v>2680</v>
      </c>
      <c r="I463" s="32" t="e">
        <f>VLOOKUP(H463,'合同高级查询数据-8月返'!A:A,1,FALSE)</f>
        <v>#N/A</v>
      </c>
      <c r="J463" s="169" t="s">
        <v>37</v>
      </c>
      <c r="K463" s="27" t="s">
        <v>2681</v>
      </c>
      <c r="L463" s="170" t="s">
        <v>2682</v>
      </c>
      <c r="M463" s="49" t="s">
        <v>2683</v>
      </c>
      <c r="N463" s="70" t="s">
        <v>2684</v>
      </c>
      <c r="O463" s="25" t="s">
        <v>2685</v>
      </c>
      <c r="P463" s="208">
        <v>5000</v>
      </c>
      <c r="Q463" s="219">
        <v>102.8</v>
      </c>
      <c r="R463" s="220">
        <f t="shared" si="25"/>
        <v>514000</v>
      </c>
      <c r="S463" s="55">
        <v>202308</v>
      </c>
      <c r="T463" s="185" t="s">
        <v>2686</v>
      </c>
      <c r="U463" s="229"/>
      <c r="V463" s="225">
        <v>102.786186218</v>
      </c>
      <c r="W463" s="226"/>
      <c r="X463" s="209"/>
      <c r="Y463" s="209"/>
      <c r="Z463" s="25" t="s">
        <v>2687</v>
      </c>
      <c r="AA463" s="195">
        <v>0.3</v>
      </c>
      <c r="AB463" s="226">
        <v>300</v>
      </c>
      <c r="AC463" s="225">
        <f t="shared" si="26"/>
        <v>90</v>
      </c>
    </row>
    <row r="464" spans="1:29" s="10" customFormat="1" ht="15" customHeight="1">
      <c r="A464" s="201" t="s">
        <v>750</v>
      </c>
      <c r="B464" s="28" t="s">
        <v>1701</v>
      </c>
      <c r="C464" s="28" t="s">
        <v>1942</v>
      </c>
      <c r="D464" s="28" t="s">
        <v>32</v>
      </c>
      <c r="E464" s="30" t="s">
        <v>2678</v>
      </c>
      <c r="F464" s="30" t="s">
        <v>2679</v>
      </c>
      <c r="G464" s="30" t="s">
        <v>35</v>
      </c>
      <c r="H464" s="33" t="s">
        <v>2688</v>
      </c>
      <c r="I464" s="33" t="str">
        <f>VLOOKUP(H464,'合同高级查询数据-8月返'!A:A,1,FALSE)</f>
        <v>182315IDC00378</v>
      </c>
      <c r="J464" s="167" t="s">
        <v>37</v>
      </c>
      <c r="K464" s="30" t="s">
        <v>2689</v>
      </c>
      <c r="L464" s="168" t="s">
        <v>2690</v>
      </c>
      <c r="M464" s="107" t="s">
        <v>2691</v>
      </c>
      <c r="N464" s="74">
        <v>44652</v>
      </c>
      <c r="O464" s="28" t="s">
        <v>447</v>
      </c>
      <c r="P464" s="207">
        <v>11666.67</v>
      </c>
      <c r="Q464" s="217">
        <v>28.4</v>
      </c>
      <c r="R464" s="218">
        <f t="shared" si="25"/>
        <v>331333.43</v>
      </c>
      <c r="S464" s="59">
        <v>202308</v>
      </c>
      <c r="T464" s="184" t="s">
        <v>2692</v>
      </c>
      <c r="U464" s="228"/>
      <c r="V464" s="224">
        <v>28.404726027999999</v>
      </c>
      <c r="W464" s="227"/>
      <c r="X464" s="74">
        <v>45017</v>
      </c>
      <c r="Y464" s="74">
        <v>45382</v>
      </c>
      <c r="Z464" s="28" t="s">
        <v>2693</v>
      </c>
      <c r="AA464" s="194">
        <v>0.25</v>
      </c>
      <c r="AB464" s="227">
        <v>100</v>
      </c>
      <c r="AC464" s="224">
        <f t="shared" si="26"/>
        <v>25</v>
      </c>
    </row>
    <row r="465" spans="1:29" s="10" customFormat="1" ht="15" customHeight="1">
      <c r="A465" s="201" t="s">
        <v>762</v>
      </c>
      <c r="B465" s="28" t="s">
        <v>1701</v>
      </c>
      <c r="C465" s="28" t="s">
        <v>1716</v>
      </c>
      <c r="D465" s="28" t="s">
        <v>1717</v>
      </c>
      <c r="E465" s="30" t="s">
        <v>2678</v>
      </c>
      <c r="F465" s="30" t="s">
        <v>2679</v>
      </c>
      <c r="G465" s="30" t="s">
        <v>35</v>
      </c>
      <c r="H465" s="33" t="s">
        <v>2694</v>
      </c>
      <c r="I465" s="33" t="str">
        <f>VLOOKUP(H465,'合同高级查询数据-8月返'!A:A,1,FALSE)</f>
        <v>182315IDC00388</v>
      </c>
      <c r="J465" s="167" t="s">
        <v>37</v>
      </c>
      <c r="K465" s="30" t="s">
        <v>2695</v>
      </c>
      <c r="L465" s="168" t="s">
        <v>2696</v>
      </c>
      <c r="M465" s="107" t="s">
        <v>2697</v>
      </c>
      <c r="N465" s="74" t="s">
        <v>2698</v>
      </c>
      <c r="O465" s="28" t="s">
        <v>1848</v>
      </c>
      <c r="P465" s="207">
        <v>9000</v>
      </c>
      <c r="Q465" s="217">
        <v>0</v>
      </c>
      <c r="R465" s="218">
        <f t="shared" si="25"/>
        <v>0</v>
      </c>
      <c r="S465" s="59">
        <v>202308</v>
      </c>
      <c r="T465" s="184" t="s">
        <v>2699</v>
      </c>
      <c r="U465" s="228"/>
      <c r="V465" s="224">
        <v>0</v>
      </c>
      <c r="W465" s="227"/>
      <c r="X465" s="74">
        <v>45078</v>
      </c>
      <c r="Y465" s="74">
        <v>45138</v>
      </c>
      <c r="Z465" s="224">
        <v>0</v>
      </c>
      <c r="AA465" s="193">
        <v>0</v>
      </c>
      <c r="AB465" s="224">
        <v>0</v>
      </c>
      <c r="AC465" s="227">
        <f t="shared" si="26"/>
        <v>0</v>
      </c>
    </row>
    <row r="466" spans="1:29" s="10" customFormat="1" ht="15" customHeight="1">
      <c r="A466" s="201" t="s">
        <v>750</v>
      </c>
      <c r="B466" s="232" t="s">
        <v>1701</v>
      </c>
      <c r="C466" s="30" t="s">
        <v>2542</v>
      </c>
      <c r="D466" s="28" t="s">
        <v>1760</v>
      </c>
      <c r="E466" s="30" t="s">
        <v>2700</v>
      </c>
      <c r="F466" s="30" t="s">
        <v>2701</v>
      </c>
      <c r="G466" s="30" t="s">
        <v>35</v>
      </c>
      <c r="H466" s="33" t="s">
        <v>2702</v>
      </c>
      <c r="I466" s="33" t="e">
        <f>VLOOKUP(H466,'合同高级查询数据-8月返'!A:A,1,FALSE)</f>
        <v>#N/A</v>
      </c>
      <c r="J466" s="167" t="s">
        <v>37</v>
      </c>
      <c r="K466" s="30" t="s">
        <v>2557</v>
      </c>
      <c r="L466" s="168" t="s">
        <v>2703</v>
      </c>
      <c r="M466" s="107" t="s">
        <v>2704</v>
      </c>
      <c r="N466" s="74" t="s">
        <v>2705</v>
      </c>
      <c r="O466" s="28" t="s">
        <v>2706</v>
      </c>
      <c r="P466" s="207">
        <v>5416.6</v>
      </c>
      <c r="Q466" s="217">
        <v>48</v>
      </c>
      <c r="R466" s="218">
        <f t="shared" si="25"/>
        <v>259996.79999999999</v>
      </c>
      <c r="S466" s="59">
        <v>202308</v>
      </c>
      <c r="T466" s="184" t="s">
        <v>2707</v>
      </c>
      <c r="U466" s="228"/>
      <c r="V466" s="224">
        <v>47.590297698999997</v>
      </c>
      <c r="W466" s="227"/>
      <c r="X466" s="74">
        <v>44927</v>
      </c>
      <c r="Y466" s="187">
        <v>45291</v>
      </c>
      <c r="Z466" s="28" t="s">
        <v>2708</v>
      </c>
      <c r="AA466" s="194">
        <v>0.4</v>
      </c>
      <c r="AB466" s="227">
        <v>120</v>
      </c>
      <c r="AC466" s="224">
        <f t="shared" si="26"/>
        <v>48</v>
      </c>
    </row>
    <row r="467" spans="1:29" s="10" customFormat="1" ht="15" customHeight="1">
      <c r="A467" s="201" t="s">
        <v>750</v>
      </c>
      <c r="B467" s="232" t="s">
        <v>1701</v>
      </c>
      <c r="C467" s="28" t="s">
        <v>751</v>
      </c>
      <c r="D467" s="28" t="s">
        <v>32</v>
      </c>
      <c r="E467" s="30" t="s">
        <v>99</v>
      </c>
      <c r="F467" s="30" t="s">
        <v>2709</v>
      </c>
      <c r="G467" s="30" t="s">
        <v>35</v>
      </c>
      <c r="H467" s="33" t="s">
        <v>2710</v>
      </c>
      <c r="I467" s="33" t="e">
        <f>VLOOKUP(H467,'合同高级查询数据-8月返'!A:A,1,FALSE)</f>
        <v>#N/A</v>
      </c>
      <c r="J467" s="167" t="s">
        <v>37</v>
      </c>
      <c r="K467" s="30" t="s">
        <v>815</v>
      </c>
      <c r="L467" s="168" t="s">
        <v>2711</v>
      </c>
      <c r="M467" s="107" t="s">
        <v>2712</v>
      </c>
      <c r="N467" s="74" t="s">
        <v>2713</v>
      </c>
      <c r="O467" s="28" t="s">
        <v>1848</v>
      </c>
      <c r="P467" s="207">
        <v>6250</v>
      </c>
      <c r="Q467" s="217">
        <v>0</v>
      </c>
      <c r="R467" s="218">
        <f t="shared" si="25"/>
        <v>0</v>
      </c>
      <c r="S467" s="59">
        <v>202308</v>
      </c>
      <c r="T467" s="184" t="s">
        <v>2714</v>
      </c>
      <c r="U467" s="228"/>
      <c r="V467" s="224">
        <v>0</v>
      </c>
      <c r="W467" s="227"/>
      <c r="X467" s="74">
        <v>44378</v>
      </c>
      <c r="Y467" s="74">
        <v>44742</v>
      </c>
      <c r="Z467" s="224">
        <v>0</v>
      </c>
      <c r="AA467" s="193">
        <v>0</v>
      </c>
      <c r="AB467" s="224">
        <v>0</v>
      </c>
      <c r="AC467" s="224">
        <f t="shared" si="26"/>
        <v>0</v>
      </c>
    </row>
    <row r="468" spans="1:29" s="10" customFormat="1" ht="15" customHeight="1">
      <c r="A468" s="201" t="s">
        <v>750</v>
      </c>
      <c r="B468" s="232" t="s">
        <v>1701</v>
      </c>
      <c r="C468" s="28" t="s">
        <v>1942</v>
      </c>
      <c r="D468" s="28" t="s">
        <v>32</v>
      </c>
      <c r="E468" s="30" t="s">
        <v>2715</v>
      </c>
      <c r="F468" s="30" t="s">
        <v>2716</v>
      </c>
      <c r="G468" s="30" t="s">
        <v>35</v>
      </c>
      <c r="H468" s="33" t="s">
        <v>2717</v>
      </c>
      <c r="I468" s="33" t="e">
        <f>VLOOKUP(H468,'合同高级查询数据-8月返'!A:A,1,FALSE)</f>
        <v>#N/A</v>
      </c>
      <c r="J468" s="167" t="s">
        <v>37</v>
      </c>
      <c r="K468" s="30" t="s">
        <v>2718</v>
      </c>
      <c r="L468" s="168" t="s">
        <v>2719</v>
      </c>
      <c r="M468" s="107" t="s">
        <v>2720</v>
      </c>
      <c r="N468" s="74" t="s">
        <v>2721</v>
      </c>
      <c r="O468" s="28" t="s">
        <v>1848</v>
      </c>
      <c r="P468" s="207">
        <v>6500</v>
      </c>
      <c r="Q468" s="217">
        <v>0</v>
      </c>
      <c r="R468" s="218">
        <f t="shared" si="25"/>
        <v>0</v>
      </c>
      <c r="S468" s="59">
        <v>202308</v>
      </c>
      <c r="T468" s="184" t="s">
        <v>2722</v>
      </c>
      <c r="U468" s="228"/>
      <c r="V468" s="224">
        <v>0</v>
      </c>
      <c r="W468" s="227"/>
      <c r="X468" s="74">
        <v>44774</v>
      </c>
      <c r="Y468" s="74">
        <v>44834</v>
      </c>
      <c r="Z468" s="224">
        <v>0</v>
      </c>
      <c r="AA468" s="193">
        <v>0</v>
      </c>
      <c r="AB468" s="224">
        <v>0</v>
      </c>
      <c r="AC468" s="224">
        <f t="shared" si="26"/>
        <v>0</v>
      </c>
    </row>
    <row r="469" spans="1:29" s="10" customFormat="1" ht="15" customHeight="1">
      <c r="A469" s="201" t="s">
        <v>750</v>
      </c>
      <c r="B469" s="232" t="s">
        <v>1701</v>
      </c>
      <c r="C469" s="28" t="s">
        <v>1942</v>
      </c>
      <c r="D469" s="28" t="s">
        <v>32</v>
      </c>
      <c r="E469" s="30" t="s">
        <v>2715</v>
      </c>
      <c r="F469" s="30" t="s">
        <v>2716</v>
      </c>
      <c r="G469" s="30" t="s">
        <v>35</v>
      </c>
      <c r="H469" s="33" t="s">
        <v>2723</v>
      </c>
      <c r="I469" s="33" t="e">
        <f>VLOOKUP(H469,'合同高级查询数据-8月返'!A:A,1,FALSE)</f>
        <v>#N/A</v>
      </c>
      <c r="J469" s="167" t="s">
        <v>37</v>
      </c>
      <c r="K469" s="30" t="s">
        <v>2063</v>
      </c>
      <c r="L469" s="168" t="s">
        <v>2724</v>
      </c>
      <c r="M469" s="107" t="s">
        <v>2725</v>
      </c>
      <c r="N469" s="74" t="s">
        <v>2726</v>
      </c>
      <c r="O469" s="28" t="s">
        <v>1263</v>
      </c>
      <c r="P469" s="207">
        <v>6500</v>
      </c>
      <c r="Q469" s="217">
        <v>0</v>
      </c>
      <c r="R469" s="218">
        <f t="shared" si="25"/>
        <v>0</v>
      </c>
      <c r="S469" s="59">
        <v>202308</v>
      </c>
      <c r="T469" s="184" t="s">
        <v>2727</v>
      </c>
      <c r="U469" s="228"/>
      <c r="V469" s="224">
        <v>0</v>
      </c>
      <c r="W469" s="227"/>
      <c r="X469" s="74">
        <v>44470</v>
      </c>
      <c r="Y469" s="74">
        <v>44834</v>
      </c>
      <c r="Z469" s="224">
        <v>0</v>
      </c>
      <c r="AA469" s="193">
        <v>0</v>
      </c>
      <c r="AB469" s="224">
        <v>0</v>
      </c>
      <c r="AC469" s="224">
        <f t="shared" si="26"/>
        <v>0</v>
      </c>
    </row>
    <row r="470" spans="1:29" s="10" customFormat="1" ht="15" customHeight="1">
      <c r="A470" s="201" t="s">
        <v>769</v>
      </c>
      <c r="B470" s="232" t="s">
        <v>1701</v>
      </c>
      <c r="C470" s="28" t="s">
        <v>1242</v>
      </c>
      <c r="D470" s="28" t="s">
        <v>32</v>
      </c>
      <c r="E470" s="30" t="s">
        <v>2728</v>
      </c>
      <c r="F470" s="30" t="s">
        <v>2729</v>
      </c>
      <c r="G470" s="30" t="s">
        <v>35</v>
      </c>
      <c r="H470" s="33" t="s">
        <v>2730</v>
      </c>
      <c r="I470" s="33" t="e">
        <f>VLOOKUP(H470,'合同高级查询数据-8月返'!A:A,1,FALSE)</f>
        <v>#N/A</v>
      </c>
      <c r="J470" s="167" t="s">
        <v>37</v>
      </c>
      <c r="K470" s="30" t="s">
        <v>1753</v>
      </c>
      <c r="L470" s="168" t="s">
        <v>2731</v>
      </c>
      <c r="M470" s="107" t="s">
        <v>2732</v>
      </c>
      <c r="N470" s="74" t="s">
        <v>2733</v>
      </c>
      <c r="O470" s="28" t="s">
        <v>1748</v>
      </c>
      <c r="P470" s="207">
        <v>4600</v>
      </c>
      <c r="Q470" s="217">
        <v>0</v>
      </c>
      <c r="R470" s="218">
        <f t="shared" si="25"/>
        <v>0</v>
      </c>
      <c r="S470" s="59">
        <v>202308</v>
      </c>
      <c r="T470" s="184" t="s">
        <v>2734</v>
      </c>
      <c r="U470" s="228"/>
      <c r="V470" s="224">
        <v>0</v>
      </c>
      <c r="W470" s="227"/>
      <c r="X470" s="74">
        <v>44409</v>
      </c>
      <c r="Y470" s="74">
        <v>44773</v>
      </c>
      <c r="Z470" s="224">
        <v>0</v>
      </c>
      <c r="AA470" s="193">
        <v>0</v>
      </c>
      <c r="AB470" s="224">
        <v>0</v>
      </c>
      <c r="AC470" s="224">
        <f t="shared" si="26"/>
        <v>0</v>
      </c>
    </row>
    <row r="471" spans="1:29" s="10" customFormat="1" ht="15" customHeight="1">
      <c r="A471" s="30" t="s">
        <v>769</v>
      </c>
      <c r="B471" s="232" t="s">
        <v>1701</v>
      </c>
      <c r="C471" s="28" t="s">
        <v>1321</v>
      </c>
      <c r="D471" s="28" t="s">
        <v>1760</v>
      </c>
      <c r="E471" s="30" t="s">
        <v>2735</v>
      </c>
      <c r="F471" s="30" t="s">
        <v>2736</v>
      </c>
      <c r="G471" s="30" t="s">
        <v>35</v>
      </c>
      <c r="H471" s="33" t="s">
        <v>2737</v>
      </c>
      <c r="I471" s="33" t="e">
        <f>VLOOKUP(H471,'合同高级查询数据-8月返'!A:A,1,FALSE)</f>
        <v>#N/A</v>
      </c>
      <c r="J471" s="167" t="s">
        <v>37</v>
      </c>
      <c r="K471" s="30" t="s">
        <v>1361</v>
      </c>
      <c r="L471" s="168" t="s">
        <v>2738</v>
      </c>
      <c r="M471" s="107" t="s">
        <v>2532</v>
      </c>
      <c r="N471" s="74" t="s">
        <v>2739</v>
      </c>
      <c r="O471" s="28" t="s">
        <v>1263</v>
      </c>
      <c r="P471" s="207">
        <v>5500</v>
      </c>
      <c r="Q471" s="217">
        <v>0</v>
      </c>
      <c r="R471" s="218">
        <f t="shared" si="25"/>
        <v>0</v>
      </c>
      <c r="S471" s="59">
        <v>202308</v>
      </c>
      <c r="T471" s="184" t="s">
        <v>2740</v>
      </c>
      <c r="U471" s="228"/>
      <c r="V471" s="224">
        <v>0</v>
      </c>
      <c r="W471" s="227"/>
      <c r="X471" s="74">
        <v>44409</v>
      </c>
      <c r="Y471" s="74">
        <v>44773</v>
      </c>
      <c r="Z471" s="224">
        <v>0</v>
      </c>
      <c r="AA471" s="193">
        <v>0</v>
      </c>
      <c r="AB471" s="224">
        <v>0</v>
      </c>
      <c r="AC471" s="224">
        <f t="shared" si="26"/>
        <v>0</v>
      </c>
    </row>
    <row r="472" spans="1:29" s="10" customFormat="1" ht="15" customHeight="1">
      <c r="A472" s="30" t="s">
        <v>769</v>
      </c>
      <c r="B472" s="232" t="s">
        <v>1701</v>
      </c>
      <c r="C472" s="232" t="s">
        <v>1321</v>
      </c>
      <c r="D472" s="28" t="s">
        <v>1760</v>
      </c>
      <c r="E472" s="30" t="s">
        <v>2735</v>
      </c>
      <c r="F472" s="30" t="s">
        <v>2736</v>
      </c>
      <c r="G472" s="30" t="s">
        <v>35</v>
      </c>
      <c r="H472" s="33" t="s">
        <v>2737</v>
      </c>
      <c r="I472" s="33" t="e">
        <f>VLOOKUP(H472,'合同高级查询数据-8月返'!A:A,1,FALSE)</f>
        <v>#N/A</v>
      </c>
      <c r="J472" s="167" t="s">
        <v>37</v>
      </c>
      <c r="K472" s="30" t="s">
        <v>1361</v>
      </c>
      <c r="L472" s="168" t="s">
        <v>2741</v>
      </c>
      <c r="M472" s="107" t="s">
        <v>2742</v>
      </c>
      <c r="N472" s="74" t="s">
        <v>2743</v>
      </c>
      <c r="O472" s="28" t="s">
        <v>1263</v>
      </c>
      <c r="P472" s="207">
        <v>5500</v>
      </c>
      <c r="Q472" s="217">
        <v>0</v>
      </c>
      <c r="R472" s="218">
        <f t="shared" si="25"/>
        <v>0</v>
      </c>
      <c r="S472" s="59">
        <v>202308</v>
      </c>
      <c r="T472" s="184" t="s">
        <v>2744</v>
      </c>
      <c r="U472" s="228"/>
      <c r="V472" s="224">
        <v>0</v>
      </c>
      <c r="W472" s="227"/>
      <c r="X472" s="74">
        <v>44409</v>
      </c>
      <c r="Y472" s="74">
        <v>44773</v>
      </c>
      <c r="Z472" s="224">
        <v>0</v>
      </c>
      <c r="AA472" s="193">
        <v>0</v>
      </c>
      <c r="AB472" s="224">
        <v>0</v>
      </c>
      <c r="AC472" s="224">
        <f t="shared" si="26"/>
        <v>0</v>
      </c>
    </row>
    <row r="473" spans="1:29" s="10" customFormat="1" ht="15" customHeight="1">
      <c r="A473" s="30" t="s">
        <v>762</v>
      </c>
      <c r="B473" s="28" t="s">
        <v>1701</v>
      </c>
      <c r="C473" s="28" t="s">
        <v>1321</v>
      </c>
      <c r="D473" s="28" t="s">
        <v>1760</v>
      </c>
      <c r="E473" s="30" t="s">
        <v>2745</v>
      </c>
      <c r="F473" s="30" t="s">
        <v>2746</v>
      </c>
      <c r="G473" s="30" t="s">
        <v>35</v>
      </c>
      <c r="H473" s="33" t="s">
        <v>2747</v>
      </c>
      <c r="I473" s="33" t="e">
        <f>VLOOKUP(H473,'合同高级查询数据-8月返'!A:A,1,FALSE)</f>
        <v>#N/A</v>
      </c>
      <c r="J473" s="167" t="s">
        <v>37</v>
      </c>
      <c r="K473" s="30" t="s">
        <v>2748</v>
      </c>
      <c r="L473" s="168" t="s">
        <v>2749</v>
      </c>
      <c r="M473" s="107" t="s">
        <v>2750</v>
      </c>
      <c r="N473" s="74" t="s">
        <v>2751</v>
      </c>
      <c r="O473" s="28" t="s">
        <v>1436</v>
      </c>
      <c r="P473" s="207">
        <v>6833.33</v>
      </c>
      <c r="Q473" s="217">
        <v>0</v>
      </c>
      <c r="R473" s="218">
        <f t="shared" si="25"/>
        <v>0</v>
      </c>
      <c r="S473" s="59">
        <v>202308</v>
      </c>
      <c r="T473" s="184" t="s">
        <v>2752</v>
      </c>
      <c r="U473" s="228"/>
      <c r="V473" s="224">
        <v>0</v>
      </c>
      <c r="W473" s="227"/>
      <c r="X473" s="237">
        <v>44440</v>
      </c>
      <c r="Y473" s="237">
        <v>44804</v>
      </c>
      <c r="Z473" s="224">
        <v>0</v>
      </c>
      <c r="AA473" s="193">
        <v>0</v>
      </c>
      <c r="AB473" s="224">
        <v>0</v>
      </c>
      <c r="AC473" s="224">
        <f t="shared" si="26"/>
        <v>0</v>
      </c>
    </row>
    <row r="474" spans="1:29" s="10" customFormat="1" ht="15" customHeight="1">
      <c r="A474" s="30" t="s">
        <v>762</v>
      </c>
      <c r="B474" s="28" t="s">
        <v>1701</v>
      </c>
      <c r="C474" s="28" t="s">
        <v>2753</v>
      </c>
      <c r="D474" s="28" t="s">
        <v>1760</v>
      </c>
      <c r="E474" s="30" t="s">
        <v>2754</v>
      </c>
      <c r="F474" s="30" t="s">
        <v>2755</v>
      </c>
      <c r="G474" s="30" t="s">
        <v>35</v>
      </c>
      <c r="H474" s="33" t="s">
        <v>2756</v>
      </c>
      <c r="I474" s="33" t="e">
        <f>VLOOKUP(H474,'合同高级查询数据-8月返'!A:A,1,FALSE)</f>
        <v>#N/A</v>
      </c>
      <c r="J474" s="167" t="s">
        <v>37</v>
      </c>
      <c r="K474" s="30" t="s">
        <v>2757</v>
      </c>
      <c r="L474" s="168" t="s">
        <v>2758</v>
      </c>
      <c r="M474" s="107" t="s">
        <v>2759</v>
      </c>
      <c r="N474" s="74" t="s">
        <v>2760</v>
      </c>
      <c r="O474" s="28" t="s">
        <v>2761</v>
      </c>
      <c r="P474" s="207">
        <v>6666.67</v>
      </c>
      <c r="Q474" s="217">
        <v>0</v>
      </c>
      <c r="R474" s="218">
        <f t="shared" si="25"/>
        <v>0</v>
      </c>
      <c r="S474" s="59">
        <v>202308</v>
      </c>
      <c r="T474" s="184" t="s">
        <v>2762</v>
      </c>
      <c r="U474" s="228"/>
      <c r="V474" s="224">
        <v>0</v>
      </c>
      <c r="W474" s="227"/>
      <c r="X474" s="74">
        <v>44593</v>
      </c>
      <c r="Y474" s="74">
        <v>44957</v>
      </c>
      <c r="Z474" s="224">
        <v>0</v>
      </c>
      <c r="AA474" s="193">
        <v>0</v>
      </c>
      <c r="AB474" s="224">
        <v>0</v>
      </c>
      <c r="AC474" s="224">
        <f t="shared" si="26"/>
        <v>0</v>
      </c>
    </row>
    <row r="475" spans="1:29" s="10" customFormat="1" ht="15" customHeight="1">
      <c r="A475" s="30" t="s">
        <v>769</v>
      </c>
      <c r="B475" s="28" t="s">
        <v>1701</v>
      </c>
      <c r="C475" s="28" t="s">
        <v>138</v>
      </c>
      <c r="D475" s="28" t="s">
        <v>32</v>
      </c>
      <c r="E475" s="30" t="s">
        <v>2763</v>
      </c>
      <c r="F475" s="30" t="s">
        <v>2764</v>
      </c>
      <c r="G475" s="30" t="s">
        <v>35</v>
      </c>
      <c r="H475" s="33" t="s">
        <v>2765</v>
      </c>
      <c r="I475" s="33" t="str">
        <f>VLOOKUP(H475,'合同高级查询数据-8月返'!A:A,1,FALSE)</f>
        <v>182315IDC00398</v>
      </c>
      <c r="J475" s="167" t="s">
        <v>37</v>
      </c>
      <c r="K475" s="30" t="s">
        <v>610</v>
      </c>
      <c r="L475" s="28" t="s">
        <v>608</v>
      </c>
      <c r="M475" s="107" t="s">
        <v>2766</v>
      </c>
      <c r="N475" s="74" t="s">
        <v>2767</v>
      </c>
      <c r="O475" s="28" t="s">
        <v>2768</v>
      </c>
      <c r="P475" s="207">
        <v>4350</v>
      </c>
      <c r="Q475" s="217">
        <v>92.7</v>
      </c>
      <c r="R475" s="218">
        <f t="shared" si="25"/>
        <v>403245</v>
      </c>
      <c r="S475" s="59">
        <v>202308</v>
      </c>
      <c r="T475" s="184" t="s">
        <v>2769</v>
      </c>
      <c r="U475" s="228"/>
      <c r="V475" s="224">
        <v>92.634162903000004</v>
      </c>
      <c r="W475" s="227"/>
      <c r="X475" s="74">
        <v>45078</v>
      </c>
      <c r="Y475" s="74">
        <v>45199</v>
      </c>
      <c r="Z475" s="28" t="s">
        <v>2770</v>
      </c>
      <c r="AA475" s="194">
        <v>0.4</v>
      </c>
      <c r="AB475" s="227">
        <v>150</v>
      </c>
      <c r="AC475" s="224">
        <f t="shared" si="26"/>
        <v>60</v>
      </c>
    </row>
    <row r="476" spans="1:29" s="10" customFormat="1" ht="15" customHeight="1">
      <c r="A476" s="30" t="s">
        <v>769</v>
      </c>
      <c r="B476" s="28" t="s">
        <v>1701</v>
      </c>
      <c r="C476" s="28" t="s">
        <v>138</v>
      </c>
      <c r="D476" s="28" t="s">
        <v>32</v>
      </c>
      <c r="E476" s="30" t="s">
        <v>2763</v>
      </c>
      <c r="F476" s="30" t="s">
        <v>2764</v>
      </c>
      <c r="G476" s="30" t="s">
        <v>35</v>
      </c>
      <c r="H476" s="33" t="s">
        <v>2765</v>
      </c>
      <c r="I476" s="33" t="str">
        <f>VLOOKUP(H476,'合同高级查询数据-8月返'!A:A,1,FALSE)</f>
        <v>182315IDC00398</v>
      </c>
      <c r="J476" s="167" t="s">
        <v>37</v>
      </c>
      <c r="K476" s="30" t="s">
        <v>610</v>
      </c>
      <c r="L476" s="28" t="s">
        <v>2771</v>
      </c>
      <c r="M476" s="107" t="s">
        <v>2766</v>
      </c>
      <c r="N476" s="74">
        <v>44805</v>
      </c>
      <c r="O476" s="28" t="s">
        <v>711</v>
      </c>
      <c r="P476" s="207">
        <v>4350</v>
      </c>
      <c r="Q476" s="217">
        <v>87.7</v>
      </c>
      <c r="R476" s="218">
        <f t="shared" si="25"/>
        <v>381495</v>
      </c>
      <c r="S476" s="59">
        <v>202308</v>
      </c>
      <c r="T476" s="184" t="s">
        <v>2772</v>
      </c>
      <c r="U476" s="228"/>
      <c r="V476" s="224">
        <v>87.656448363999999</v>
      </c>
      <c r="W476" s="227"/>
      <c r="X476" s="74">
        <v>45078</v>
      </c>
      <c r="Y476" s="74">
        <v>45199</v>
      </c>
      <c r="Z476" s="28" t="s">
        <v>2773</v>
      </c>
      <c r="AA476" s="194">
        <v>0.4</v>
      </c>
      <c r="AB476" s="227">
        <v>150</v>
      </c>
      <c r="AC476" s="224">
        <f t="shared" si="26"/>
        <v>60</v>
      </c>
    </row>
    <row r="477" spans="1:29" s="10" customFormat="1" ht="15" customHeight="1">
      <c r="A477" s="30" t="s">
        <v>769</v>
      </c>
      <c r="B477" s="28" t="s">
        <v>1701</v>
      </c>
      <c r="C477" s="28" t="s">
        <v>138</v>
      </c>
      <c r="D477" s="28" t="s">
        <v>32</v>
      </c>
      <c r="E477" s="30" t="s">
        <v>2763</v>
      </c>
      <c r="F477" s="30" t="s">
        <v>2764</v>
      </c>
      <c r="G477" s="30" t="s">
        <v>35</v>
      </c>
      <c r="H477" s="33" t="s">
        <v>2774</v>
      </c>
      <c r="I477" s="33" t="e">
        <f>VLOOKUP(H477,'合同高级查询数据-8月返'!A:A,1,FALSE)</f>
        <v>#N/A</v>
      </c>
      <c r="J477" s="167" t="s">
        <v>37</v>
      </c>
      <c r="K477" s="30" t="s">
        <v>610</v>
      </c>
      <c r="L477" s="28" t="s">
        <v>2775</v>
      </c>
      <c r="M477" s="107" t="s">
        <v>2766</v>
      </c>
      <c r="N477" s="74">
        <v>44682</v>
      </c>
      <c r="O477" s="28" t="s">
        <v>319</v>
      </c>
      <c r="P477" s="207">
        <v>4350</v>
      </c>
      <c r="Q477" s="217">
        <v>105.7</v>
      </c>
      <c r="R477" s="218">
        <f t="shared" si="25"/>
        <v>459795</v>
      </c>
      <c r="S477" s="59">
        <v>202308</v>
      </c>
      <c r="T477" s="184" t="s">
        <v>2776</v>
      </c>
      <c r="U477" s="228"/>
      <c r="V477" s="224">
        <v>105.69628906299999</v>
      </c>
      <c r="W477" s="227"/>
      <c r="X477" s="74">
        <v>45047</v>
      </c>
      <c r="Y477" s="74">
        <v>45412</v>
      </c>
      <c r="Z477" s="28" t="s">
        <v>2777</v>
      </c>
      <c r="AA477" s="194">
        <v>0.4</v>
      </c>
      <c r="AB477" s="227">
        <v>200</v>
      </c>
      <c r="AC477" s="224">
        <f t="shared" si="26"/>
        <v>80</v>
      </c>
    </row>
    <row r="478" spans="1:29" s="10" customFormat="1" ht="15" customHeight="1">
      <c r="A478" s="30" t="s">
        <v>762</v>
      </c>
      <c r="B478" s="28" t="s">
        <v>1701</v>
      </c>
      <c r="C478" s="28" t="s">
        <v>2230</v>
      </c>
      <c r="D478" s="28" t="s">
        <v>1717</v>
      </c>
      <c r="E478" s="30" t="s">
        <v>2778</v>
      </c>
      <c r="F478" s="30" t="s">
        <v>2779</v>
      </c>
      <c r="G478" s="30" t="s">
        <v>35</v>
      </c>
      <c r="H478" s="33" t="s">
        <v>2780</v>
      </c>
      <c r="I478" s="33" t="e">
        <f>VLOOKUP(H478,'合同高级查询数据-8月返'!A:A,1,FALSE)</f>
        <v>#N/A</v>
      </c>
      <c r="J478" s="167" t="s">
        <v>37</v>
      </c>
      <c r="K478" s="30" t="s">
        <v>2781</v>
      </c>
      <c r="L478" s="168" t="s">
        <v>2782</v>
      </c>
      <c r="M478" s="107" t="s">
        <v>2783</v>
      </c>
      <c r="N478" s="74">
        <v>44470</v>
      </c>
      <c r="O478" s="28" t="s">
        <v>447</v>
      </c>
      <c r="P478" s="207">
        <v>4167</v>
      </c>
      <c r="Q478" s="217">
        <v>44.5</v>
      </c>
      <c r="R478" s="218">
        <f t="shared" si="25"/>
        <v>185431.5</v>
      </c>
      <c r="S478" s="59">
        <v>202308</v>
      </c>
      <c r="T478" s="184" t="s">
        <v>2784</v>
      </c>
      <c r="U478" s="228"/>
      <c r="V478" s="224">
        <v>44.423664092999999</v>
      </c>
      <c r="W478" s="227"/>
      <c r="X478" s="74">
        <v>45108</v>
      </c>
      <c r="Y478" s="74">
        <v>45473</v>
      </c>
      <c r="Z478" s="28" t="s">
        <v>2785</v>
      </c>
      <c r="AA478" s="194">
        <v>0.3</v>
      </c>
      <c r="AB478" s="227">
        <v>100</v>
      </c>
      <c r="AC478" s="224">
        <f t="shared" si="26"/>
        <v>30</v>
      </c>
    </row>
    <row r="479" spans="1:29" s="10" customFormat="1" ht="15" customHeight="1">
      <c r="A479" s="30" t="s">
        <v>769</v>
      </c>
      <c r="B479" s="28" t="s">
        <v>1701</v>
      </c>
      <c r="C479" s="28" t="s">
        <v>1806</v>
      </c>
      <c r="D479" s="28" t="s">
        <v>1717</v>
      </c>
      <c r="E479" s="30" t="s">
        <v>2786</v>
      </c>
      <c r="F479" s="30" t="s">
        <v>2787</v>
      </c>
      <c r="G479" s="30" t="s">
        <v>35</v>
      </c>
      <c r="H479" s="33" t="s">
        <v>2788</v>
      </c>
      <c r="I479" s="33" t="e">
        <f>VLOOKUP(H479,'合同高级查询数据-8月返'!A:A,1,FALSE)</f>
        <v>#N/A</v>
      </c>
      <c r="J479" s="167" t="s">
        <v>37</v>
      </c>
      <c r="K479" s="30" t="s">
        <v>2789</v>
      </c>
      <c r="L479" s="168" t="s">
        <v>2790</v>
      </c>
      <c r="M479" s="107" t="s">
        <v>2791</v>
      </c>
      <c r="N479" s="74" t="s">
        <v>2792</v>
      </c>
      <c r="O479" s="28" t="s">
        <v>1714</v>
      </c>
      <c r="P479" s="207">
        <v>5200</v>
      </c>
      <c r="Q479" s="217">
        <v>0</v>
      </c>
      <c r="R479" s="218">
        <f t="shared" si="25"/>
        <v>0</v>
      </c>
      <c r="S479" s="59">
        <v>202308</v>
      </c>
      <c r="T479" s="184" t="s">
        <v>2793</v>
      </c>
      <c r="U479" s="228"/>
      <c r="V479" s="224">
        <v>0</v>
      </c>
      <c r="W479" s="227"/>
      <c r="X479" s="74">
        <v>44470</v>
      </c>
      <c r="Y479" s="74">
        <v>44834</v>
      </c>
      <c r="Z479" s="224">
        <v>0</v>
      </c>
      <c r="AA479" s="193">
        <v>0</v>
      </c>
      <c r="AB479" s="224">
        <v>0</v>
      </c>
      <c r="AC479" s="224">
        <f t="shared" si="26"/>
        <v>0</v>
      </c>
    </row>
    <row r="480" spans="1:29" s="10" customFormat="1" ht="15" customHeight="1">
      <c r="A480" s="30" t="s">
        <v>769</v>
      </c>
      <c r="B480" s="28" t="s">
        <v>1701</v>
      </c>
      <c r="C480" s="28" t="s">
        <v>1806</v>
      </c>
      <c r="D480" s="28" t="s">
        <v>1717</v>
      </c>
      <c r="E480" s="30" t="s">
        <v>2786</v>
      </c>
      <c r="F480" s="30" t="s">
        <v>2787</v>
      </c>
      <c r="G480" s="30" t="s">
        <v>35</v>
      </c>
      <c r="H480" s="33" t="s">
        <v>2794</v>
      </c>
      <c r="I480" s="33" t="e">
        <f>VLOOKUP(H480,'合同高级查询数据-8月返'!A:A,1,FALSE)</f>
        <v>#N/A</v>
      </c>
      <c r="J480" s="167" t="s">
        <v>37</v>
      </c>
      <c r="K480" s="30" t="s">
        <v>2789</v>
      </c>
      <c r="L480" s="168" t="s">
        <v>2795</v>
      </c>
      <c r="M480" s="107" t="s">
        <v>2791</v>
      </c>
      <c r="N480" s="74" t="s">
        <v>758</v>
      </c>
      <c r="O480" s="28" t="s">
        <v>853</v>
      </c>
      <c r="P480" s="207">
        <v>5200</v>
      </c>
      <c r="Q480" s="217">
        <v>53.4</v>
      </c>
      <c r="R480" s="218">
        <f t="shared" si="25"/>
        <v>277680</v>
      </c>
      <c r="S480" s="59">
        <v>202308</v>
      </c>
      <c r="T480" s="184" t="s">
        <v>2796</v>
      </c>
      <c r="U480" s="228"/>
      <c r="V480" s="224">
        <v>53.329662323000001</v>
      </c>
      <c r="W480" s="227"/>
      <c r="X480" s="74">
        <v>45078</v>
      </c>
      <c r="Y480" s="74">
        <v>45443</v>
      </c>
      <c r="Z480" s="28" t="s">
        <v>2797</v>
      </c>
      <c r="AA480" s="194">
        <v>0.2</v>
      </c>
      <c r="AB480" s="227">
        <v>200</v>
      </c>
      <c r="AC480" s="224">
        <f t="shared" si="26"/>
        <v>40</v>
      </c>
    </row>
    <row r="481" spans="1:29" s="10" customFormat="1" ht="15" customHeight="1">
      <c r="A481" s="30" t="s">
        <v>769</v>
      </c>
      <c r="B481" s="28" t="s">
        <v>1701</v>
      </c>
      <c r="C481" s="28" t="s">
        <v>1806</v>
      </c>
      <c r="D481" s="28" t="s">
        <v>1717</v>
      </c>
      <c r="E481" s="30" t="s">
        <v>2786</v>
      </c>
      <c r="F481" s="30" t="s">
        <v>2787</v>
      </c>
      <c r="G481" s="30" t="s">
        <v>35</v>
      </c>
      <c r="H481" s="33" t="s">
        <v>2794</v>
      </c>
      <c r="I481" s="33" t="e">
        <f>VLOOKUP(H481,'合同高级查询数据-8月返'!A:A,1,FALSE)</f>
        <v>#N/A</v>
      </c>
      <c r="J481" s="167" t="s">
        <v>37</v>
      </c>
      <c r="K481" s="30" t="s">
        <v>2789</v>
      </c>
      <c r="L481" s="168" t="s">
        <v>2795</v>
      </c>
      <c r="M481" s="107" t="s">
        <v>2791</v>
      </c>
      <c r="N481" s="74" t="s">
        <v>758</v>
      </c>
      <c r="O481" s="28" t="s">
        <v>853</v>
      </c>
      <c r="P481" s="207">
        <v>5200</v>
      </c>
      <c r="Q481" s="217">
        <v>0.75</v>
      </c>
      <c r="R481" s="218">
        <f t="shared" si="25"/>
        <v>3900</v>
      </c>
      <c r="S481" s="59">
        <v>202307</v>
      </c>
      <c r="T481" s="184" t="s">
        <v>2798</v>
      </c>
      <c r="U481" s="228"/>
      <c r="V481" s="227"/>
      <c r="W481" s="227"/>
      <c r="X481" s="74"/>
      <c r="Y481" s="74"/>
      <c r="Z481" s="28"/>
      <c r="AA481" s="194"/>
      <c r="AB481" s="227"/>
      <c r="AC481" s="227"/>
    </row>
    <row r="482" spans="1:29" s="10" customFormat="1" ht="15" customHeight="1">
      <c r="A482" s="30" t="s">
        <v>762</v>
      </c>
      <c r="B482" s="28" t="s">
        <v>1701</v>
      </c>
      <c r="C482" s="28" t="s">
        <v>1716</v>
      </c>
      <c r="D482" s="28" t="s">
        <v>1717</v>
      </c>
      <c r="E482" s="30" t="s">
        <v>63</v>
      </c>
      <c r="F482" s="30" t="s">
        <v>64</v>
      </c>
      <c r="G482" s="30" t="s">
        <v>35</v>
      </c>
      <c r="H482" s="33" t="s">
        <v>2799</v>
      </c>
      <c r="I482" s="33" t="e">
        <f>VLOOKUP(H482,'合同高级查询数据-8月返'!A:A,1,FALSE)</f>
        <v>#N/A</v>
      </c>
      <c r="J482" s="167" t="s">
        <v>37</v>
      </c>
      <c r="K482" s="30" t="s">
        <v>1951</v>
      </c>
      <c r="L482" s="168" t="s">
        <v>2800</v>
      </c>
      <c r="M482" s="107" t="s">
        <v>2801</v>
      </c>
      <c r="N482" s="74">
        <v>44501</v>
      </c>
      <c r="O482" s="28" t="s">
        <v>319</v>
      </c>
      <c r="P482" s="207">
        <v>4200</v>
      </c>
      <c r="Q482" s="217">
        <v>85.6</v>
      </c>
      <c r="R482" s="218">
        <f t="shared" ref="R482:R545" si="27">ROUND(P482*Q482,2)</f>
        <v>359520</v>
      </c>
      <c r="S482" s="59">
        <v>202308</v>
      </c>
      <c r="T482" s="184" t="s">
        <v>2802</v>
      </c>
      <c r="U482" s="228"/>
      <c r="V482" s="224">
        <v>85.562294006000002</v>
      </c>
      <c r="W482" s="227"/>
      <c r="X482" s="187">
        <v>45017</v>
      </c>
      <c r="Y482" s="187">
        <v>45382</v>
      </c>
      <c r="Z482" s="224" t="s">
        <v>2803</v>
      </c>
      <c r="AA482" s="194">
        <v>0.25</v>
      </c>
      <c r="AB482" s="224">
        <v>200</v>
      </c>
      <c r="AC482" s="224">
        <f t="shared" ref="AC482:AC516" si="28">AA482*AB482</f>
        <v>50</v>
      </c>
    </row>
    <row r="483" spans="1:29" s="10" customFormat="1" ht="15" customHeight="1">
      <c r="A483" s="30" t="s">
        <v>762</v>
      </c>
      <c r="B483" s="28" t="s">
        <v>1701</v>
      </c>
      <c r="C483" s="28" t="s">
        <v>1716</v>
      </c>
      <c r="D483" s="28" t="s">
        <v>1717</v>
      </c>
      <c r="E483" s="28" t="s">
        <v>63</v>
      </c>
      <c r="F483" s="28" t="s">
        <v>64</v>
      </c>
      <c r="G483" s="30" t="s">
        <v>35</v>
      </c>
      <c r="H483" s="33" t="s">
        <v>2799</v>
      </c>
      <c r="I483" s="33" t="e">
        <f>VLOOKUP(H483,'合同高级查询数据-8月返'!A:A,1,FALSE)</f>
        <v>#N/A</v>
      </c>
      <c r="J483" s="167" t="s">
        <v>37</v>
      </c>
      <c r="K483" s="30" t="s">
        <v>1951</v>
      </c>
      <c r="L483" s="28" t="s">
        <v>2804</v>
      </c>
      <c r="M483" s="28" t="s">
        <v>2801</v>
      </c>
      <c r="N483" s="74">
        <v>44593</v>
      </c>
      <c r="O483" s="28" t="s">
        <v>319</v>
      </c>
      <c r="P483" s="207">
        <v>4200</v>
      </c>
      <c r="Q483" s="217">
        <v>64.5</v>
      </c>
      <c r="R483" s="218">
        <f t="shared" si="27"/>
        <v>270900</v>
      </c>
      <c r="S483" s="59">
        <v>202308</v>
      </c>
      <c r="T483" s="184" t="s">
        <v>2805</v>
      </c>
      <c r="U483" s="28"/>
      <c r="V483" s="224">
        <v>64.443153381000002</v>
      </c>
      <c r="W483" s="227"/>
      <c r="X483" s="187">
        <v>45017</v>
      </c>
      <c r="Y483" s="187">
        <v>45382</v>
      </c>
      <c r="Z483" s="28" t="s">
        <v>2806</v>
      </c>
      <c r="AA483" s="194">
        <v>0.25</v>
      </c>
      <c r="AB483" s="227">
        <v>200</v>
      </c>
      <c r="AC483" s="224">
        <f t="shared" si="28"/>
        <v>50</v>
      </c>
    </row>
    <row r="484" spans="1:29" s="10" customFormat="1" ht="15" customHeight="1">
      <c r="A484" s="30" t="s">
        <v>762</v>
      </c>
      <c r="B484" s="28" t="s">
        <v>1701</v>
      </c>
      <c r="C484" s="28" t="s">
        <v>1716</v>
      </c>
      <c r="D484" s="28" t="s">
        <v>1717</v>
      </c>
      <c r="E484" s="28" t="s">
        <v>63</v>
      </c>
      <c r="F484" s="28" t="s">
        <v>64</v>
      </c>
      <c r="G484" s="30" t="s">
        <v>35</v>
      </c>
      <c r="H484" s="167" t="s">
        <v>2807</v>
      </c>
      <c r="I484" s="33" t="e">
        <f>VLOOKUP(H484,'合同高级查询数据-8月返'!A:A,1,FALSE)</f>
        <v>#N/A</v>
      </c>
      <c r="J484" s="167" t="s">
        <v>37</v>
      </c>
      <c r="K484" s="30" t="s">
        <v>1721</v>
      </c>
      <c r="L484" s="28" t="s">
        <v>2808</v>
      </c>
      <c r="M484" s="28" t="s">
        <v>1723</v>
      </c>
      <c r="N484" s="74" t="s">
        <v>2809</v>
      </c>
      <c r="O484" s="28" t="s">
        <v>1848</v>
      </c>
      <c r="P484" s="211">
        <v>4200</v>
      </c>
      <c r="Q484" s="217">
        <v>0</v>
      </c>
      <c r="R484" s="218">
        <f t="shared" si="27"/>
        <v>0</v>
      </c>
      <c r="S484" s="59">
        <v>202308</v>
      </c>
      <c r="T484" s="184" t="s">
        <v>2810</v>
      </c>
      <c r="U484" s="28"/>
      <c r="V484" s="224">
        <v>0</v>
      </c>
      <c r="W484" s="227"/>
      <c r="X484" s="74">
        <v>44654</v>
      </c>
      <c r="Y484" s="74">
        <v>45016</v>
      </c>
      <c r="Z484" s="224">
        <v>0</v>
      </c>
      <c r="AA484" s="193">
        <v>0</v>
      </c>
      <c r="AB484" s="224">
        <v>0</v>
      </c>
      <c r="AC484" s="224">
        <f t="shared" si="28"/>
        <v>0</v>
      </c>
    </row>
    <row r="485" spans="1:29" s="10" customFormat="1" ht="15" customHeight="1">
      <c r="A485" s="30" t="s">
        <v>750</v>
      </c>
      <c r="B485" s="28" t="s">
        <v>1701</v>
      </c>
      <c r="C485" s="28" t="s">
        <v>1716</v>
      </c>
      <c r="D485" s="28" t="s">
        <v>1717</v>
      </c>
      <c r="E485" s="28" t="s">
        <v>63</v>
      </c>
      <c r="F485" s="28" t="s">
        <v>64</v>
      </c>
      <c r="G485" s="30" t="s">
        <v>35</v>
      </c>
      <c r="H485" s="167" t="s">
        <v>2811</v>
      </c>
      <c r="I485" s="33" t="e">
        <f>VLOOKUP(H485,'合同高级查询数据-8月返'!A:A,1,FALSE)</f>
        <v>#N/A</v>
      </c>
      <c r="J485" s="167" t="s">
        <v>37</v>
      </c>
      <c r="K485" s="30" t="s">
        <v>2812</v>
      </c>
      <c r="L485" s="28" t="s">
        <v>2813</v>
      </c>
      <c r="M485" s="28" t="s">
        <v>2814</v>
      </c>
      <c r="N485" s="74" t="s">
        <v>2815</v>
      </c>
      <c r="O485" s="28" t="s">
        <v>1263</v>
      </c>
      <c r="P485" s="211">
        <v>4200</v>
      </c>
      <c r="Q485" s="217">
        <v>0</v>
      </c>
      <c r="R485" s="218">
        <f t="shared" si="27"/>
        <v>0</v>
      </c>
      <c r="S485" s="59">
        <v>202308</v>
      </c>
      <c r="T485" s="184" t="s">
        <v>2816</v>
      </c>
      <c r="U485" s="28"/>
      <c r="V485" s="224">
        <v>0</v>
      </c>
      <c r="W485" s="28"/>
      <c r="X485" s="74">
        <v>44744</v>
      </c>
      <c r="Y485" s="74">
        <v>45016</v>
      </c>
      <c r="Z485" s="224">
        <v>0</v>
      </c>
      <c r="AA485" s="193">
        <v>0</v>
      </c>
      <c r="AB485" s="224">
        <v>0</v>
      </c>
      <c r="AC485" s="224">
        <f t="shared" si="28"/>
        <v>0</v>
      </c>
    </row>
    <row r="486" spans="1:29" s="10" customFormat="1" ht="15" customHeight="1">
      <c r="A486" s="30" t="s">
        <v>762</v>
      </c>
      <c r="B486" s="28" t="s">
        <v>1701</v>
      </c>
      <c r="C486" s="28" t="s">
        <v>1716</v>
      </c>
      <c r="D486" s="28" t="s">
        <v>1717</v>
      </c>
      <c r="E486" s="28" t="s">
        <v>63</v>
      </c>
      <c r="F486" s="28" t="s">
        <v>64</v>
      </c>
      <c r="G486" s="30" t="s">
        <v>35</v>
      </c>
      <c r="H486" s="167" t="s">
        <v>2817</v>
      </c>
      <c r="I486" s="33" t="e">
        <f>VLOOKUP(H486,'合同高级查询数据-8月返'!A:A,1,FALSE)</f>
        <v>#N/A</v>
      </c>
      <c r="J486" s="167" t="s">
        <v>37</v>
      </c>
      <c r="K486" s="30" t="s">
        <v>2818</v>
      </c>
      <c r="L486" s="28" t="s">
        <v>2819</v>
      </c>
      <c r="M486" s="28" t="s">
        <v>2820</v>
      </c>
      <c r="N486" s="74" t="s">
        <v>2821</v>
      </c>
      <c r="O486" s="28" t="s">
        <v>1848</v>
      </c>
      <c r="P486" s="211">
        <v>4200</v>
      </c>
      <c r="Q486" s="217">
        <v>0</v>
      </c>
      <c r="R486" s="218">
        <f t="shared" si="27"/>
        <v>0</v>
      </c>
      <c r="S486" s="59">
        <v>202308</v>
      </c>
      <c r="T486" s="184" t="s">
        <v>2822</v>
      </c>
      <c r="U486" s="28"/>
      <c r="V486" s="224">
        <v>0</v>
      </c>
      <c r="W486" s="28"/>
      <c r="X486" s="187">
        <v>45017</v>
      </c>
      <c r="Y486" s="187">
        <v>45382</v>
      </c>
      <c r="Z486" s="224">
        <v>0</v>
      </c>
      <c r="AA486" s="193">
        <v>0</v>
      </c>
      <c r="AB486" s="224">
        <v>0</v>
      </c>
      <c r="AC486" s="224">
        <f t="shared" si="28"/>
        <v>0</v>
      </c>
    </row>
    <row r="487" spans="1:29" s="10" customFormat="1" ht="15" customHeight="1">
      <c r="A487" s="30" t="s">
        <v>750</v>
      </c>
      <c r="B487" s="28" t="s">
        <v>1701</v>
      </c>
      <c r="C487" s="28" t="s">
        <v>1716</v>
      </c>
      <c r="D487" s="28" t="s">
        <v>1717</v>
      </c>
      <c r="E487" s="28" t="s">
        <v>63</v>
      </c>
      <c r="F487" s="28" t="s">
        <v>64</v>
      </c>
      <c r="G487" s="30" t="s">
        <v>35</v>
      </c>
      <c r="H487" s="167" t="s">
        <v>2823</v>
      </c>
      <c r="I487" s="33" t="e">
        <f>VLOOKUP(H487,'合同高级查询数据-8月返'!A:A,1,FALSE)</f>
        <v>#N/A</v>
      </c>
      <c r="J487" s="167" t="s">
        <v>37</v>
      </c>
      <c r="K487" s="30" t="s">
        <v>2818</v>
      </c>
      <c r="L487" s="28" t="s">
        <v>2824</v>
      </c>
      <c r="M487" s="28" t="s">
        <v>2825</v>
      </c>
      <c r="N487" s="74" t="s">
        <v>2826</v>
      </c>
      <c r="O487" s="227" t="s">
        <v>1848</v>
      </c>
      <c r="P487" s="211">
        <v>4200</v>
      </c>
      <c r="Q487" s="217">
        <v>0</v>
      </c>
      <c r="R487" s="218">
        <f t="shared" si="27"/>
        <v>0</v>
      </c>
      <c r="S487" s="59">
        <v>202308</v>
      </c>
      <c r="T487" s="184" t="s">
        <v>2827</v>
      </c>
      <c r="U487" s="28"/>
      <c r="V487" s="224">
        <v>0</v>
      </c>
      <c r="W487" s="28"/>
      <c r="X487" s="74">
        <v>44805</v>
      </c>
      <c r="Y487" s="187">
        <v>45016</v>
      </c>
      <c r="Z487" s="224">
        <v>0</v>
      </c>
      <c r="AA487" s="193">
        <v>0</v>
      </c>
      <c r="AB487" s="224">
        <v>0</v>
      </c>
      <c r="AC487" s="224">
        <f t="shared" si="28"/>
        <v>0</v>
      </c>
    </row>
    <row r="488" spans="1:29" s="10" customFormat="1" ht="15" customHeight="1">
      <c r="A488" s="30" t="s">
        <v>750</v>
      </c>
      <c r="B488" s="28" t="s">
        <v>1701</v>
      </c>
      <c r="C488" s="28" t="s">
        <v>1242</v>
      </c>
      <c r="D488" s="28" t="s">
        <v>32</v>
      </c>
      <c r="E488" s="30" t="s">
        <v>2828</v>
      </c>
      <c r="F488" s="30" t="s">
        <v>2829</v>
      </c>
      <c r="G488" s="30" t="s">
        <v>35</v>
      </c>
      <c r="H488" s="33" t="s">
        <v>2830</v>
      </c>
      <c r="I488" s="33" t="e">
        <f>VLOOKUP(H488,'合同高级查询数据-8月返'!A:A,1,FALSE)</f>
        <v>#N/A</v>
      </c>
      <c r="J488" s="167" t="s">
        <v>37</v>
      </c>
      <c r="K488" s="28" t="s">
        <v>1753</v>
      </c>
      <c r="L488" s="28" t="s">
        <v>1997</v>
      </c>
      <c r="M488" s="28" t="s">
        <v>1998</v>
      </c>
      <c r="N488" s="74" t="s">
        <v>2831</v>
      </c>
      <c r="O488" s="28" t="s">
        <v>2000</v>
      </c>
      <c r="P488" s="211">
        <v>10417</v>
      </c>
      <c r="Q488" s="217">
        <v>0</v>
      </c>
      <c r="R488" s="218">
        <f t="shared" si="27"/>
        <v>0</v>
      </c>
      <c r="S488" s="59">
        <v>202308</v>
      </c>
      <c r="T488" s="184" t="s">
        <v>2832</v>
      </c>
      <c r="U488" s="228"/>
      <c r="V488" s="224">
        <v>0</v>
      </c>
      <c r="W488" s="227"/>
      <c r="X488" s="74">
        <v>44470</v>
      </c>
      <c r="Y488" s="74">
        <v>44834</v>
      </c>
      <c r="Z488" s="224">
        <v>0</v>
      </c>
      <c r="AA488" s="193">
        <v>0</v>
      </c>
      <c r="AB488" s="224">
        <v>0</v>
      </c>
      <c r="AC488" s="224">
        <f t="shared" si="28"/>
        <v>0</v>
      </c>
    </row>
    <row r="489" spans="1:29" s="10" customFormat="1" ht="15" customHeight="1">
      <c r="A489" s="30" t="s">
        <v>750</v>
      </c>
      <c r="B489" s="28" t="s">
        <v>1701</v>
      </c>
      <c r="C489" s="28" t="s">
        <v>1242</v>
      </c>
      <c r="D489" s="28" t="s">
        <v>32</v>
      </c>
      <c r="E489" s="30" t="s">
        <v>2828</v>
      </c>
      <c r="F489" s="30" t="s">
        <v>2829</v>
      </c>
      <c r="G489" s="30" t="s">
        <v>35</v>
      </c>
      <c r="H489" s="33" t="s">
        <v>2830</v>
      </c>
      <c r="I489" s="33" t="e">
        <f>VLOOKUP(H489,'合同高级查询数据-8月返'!A:A,1,FALSE)</f>
        <v>#N/A</v>
      </c>
      <c r="J489" s="167" t="s">
        <v>37</v>
      </c>
      <c r="K489" s="30" t="s">
        <v>1753</v>
      </c>
      <c r="L489" s="168" t="s">
        <v>2002</v>
      </c>
      <c r="M489" s="107" t="s">
        <v>2003</v>
      </c>
      <c r="N489" s="74" t="s">
        <v>2833</v>
      </c>
      <c r="O489" s="28" t="s">
        <v>2834</v>
      </c>
      <c r="P489" s="211">
        <v>10417</v>
      </c>
      <c r="Q489" s="217">
        <v>0</v>
      </c>
      <c r="R489" s="218">
        <f t="shared" si="27"/>
        <v>0</v>
      </c>
      <c r="S489" s="59">
        <v>202308</v>
      </c>
      <c r="T489" s="184" t="s">
        <v>2835</v>
      </c>
      <c r="U489" s="228"/>
      <c r="V489" s="224">
        <v>0</v>
      </c>
      <c r="W489" s="227"/>
      <c r="X489" s="74">
        <v>44470</v>
      </c>
      <c r="Y489" s="74">
        <v>44834</v>
      </c>
      <c r="Z489" s="224">
        <v>0</v>
      </c>
      <c r="AA489" s="193">
        <v>0</v>
      </c>
      <c r="AB489" s="224">
        <v>0</v>
      </c>
      <c r="AC489" s="224">
        <f t="shared" si="28"/>
        <v>0</v>
      </c>
    </row>
    <row r="490" spans="1:29" s="10" customFormat="1" ht="15" customHeight="1">
      <c r="A490" s="30" t="s">
        <v>750</v>
      </c>
      <c r="B490" s="28" t="s">
        <v>1701</v>
      </c>
      <c r="C490" s="28" t="s">
        <v>1242</v>
      </c>
      <c r="D490" s="28" t="s">
        <v>32</v>
      </c>
      <c r="E490" s="30" t="s">
        <v>2828</v>
      </c>
      <c r="F490" s="30" t="s">
        <v>2829</v>
      </c>
      <c r="G490" s="29" t="s">
        <v>35</v>
      </c>
      <c r="H490" s="33" t="s">
        <v>2836</v>
      </c>
      <c r="I490" s="33" t="e">
        <f>VLOOKUP(H490,'合同高级查询数据-8月返'!A:A,1,FALSE)</f>
        <v>#N/A</v>
      </c>
      <c r="J490" s="167" t="s">
        <v>37</v>
      </c>
      <c r="K490" s="29" t="s">
        <v>1276</v>
      </c>
      <c r="L490" s="234" t="s">
        <v>2037</v>
      </c>
      <c r="M490" s="107" t="s">
        <v>2038</v>
      </c>
      <c r="N490" s="74" t="s">
        <v>2837</v>
      </c>
      <c r="O490" s="129" t="s">
        <v>2838</v>
      </c>
      <c r="P490" s="211">
        <v>10417</v>
      </c>
      <c r="Q490" s="217">
        <v>0</v>
      </c>
      <c r="R490" s="218">
        <f t="shared" si="27"/>
        <v>0</v>
      </c>
      <c r="S490" s="59">
        <v>202308</v>
      </c>
      <c r="T490" s="240" t="s">
        <v>2839</v>
      </c>
      <c r="U490" s="228"/>
      <c r="V490" s="224">
        <v>0</v>
      </c>
      <c r="W490" s="227"/>
      <c r="X490" s="74">
        <v>44593</v>
      </c>
      <c r="Y490" s="74">
        <v>44834</v>
      </c>
      <c r="Z490" s="224">
        <v>0</v>
      </c>
      <c r="AA490" s="193">
        <v>0</v>
      </c>
      <c r="AB490" s="224">
        <v>0</v>
      </c>
      <c r="AC490" s="224">
        <f t="shared" si="28"/>
        <v>0</v>
      </c>
    </row>
    <row r="491" spans="1:29" s="9" customFormat="1" ht="15" customHeight="1">
      <c r="A491" s="233" t="s">
        <v>750</v>
      </c>
      <c r="B491" s="25" t="s">
        <v>1701</v>
      </c>
      <c r="C491" s="25" t="s">
        <v>1942</v>
      </c>
      <c r="D491" s="25" t="s">
        <v>32</v>
      </c>
      <c r="E491" s="27" t="s">
        <v>2828</v>
      </c>
      <c r="F491" s="27" t="s">
        <v>2829</v>
      </c>
      <c r="G491" s="27" t="s">
        <v>35</v>
      </c>
      <c r="H491" s="32" t="s">
        <v>2840</v>
      </c>
      <c r="I491" s="32" t="e">
        <f>VLOOKUP(H491,'合同高级查询数据-8月返'!A:A,1,FALSE)</f>
        <v>#N/A</v>
      </c>
      <c r="J491" s="169" t="s">
        <v>37</v>
      </c>
      <c r="K491" s="27" t="s">
        <v>2063</v>
      </c>
      <c r="L491" s="170" t="s">
        <v>2064</v>
      </c>
      <c r="M491" s="49" t="s">
        <v>2065</v>
      </c>
      <c r="N491" s="70">
        <v>44958</v>
      </c>
      <c r="O491" s="25" t="s">
        <v>447</v>
      </c>
      <c r="P491" s="208">
        <v>5000</v>
      </c>
      <c r="Q491" s="219">
        <v>36.299999999999997</v>
      </c>
      <c r="R491" s="220">
        <f t="shared" si="27"/>
        <v>181500</v>
      </c>
      <c r="S491" s="55">
        <v>202308</v>
      </c>
      <c r="T491" s="185" t="s">
        <v>2841</v>
      </c>
      <c r="U491" s="229"/>
      <c r="V491" s="225">
        <v>36.275356293000002</v>
      </c>
      <c r="W491" s="226"/>
      <c r="X491" s="70"/>
      <c r="Y491" s="192"/>
      <c r="Z491" s="25" t="s">
        <v>2842</v>
      </c>
      <c r="AA491" s="195">
        <v>0.3</v>
      </c>
      <c r="AB491" s="226">
        <v>100</v>
      </c>
      <c r="AC491" s="225">
        <f t="shared" si="28"/>
        <v>30</v>
      </c>
    </row>
    <row r="492" spans="1:29" s="10" customFormat="1" ht="15" customHeight="1">
      <c r="A492" s="201" t="s">
        <v>750</v>
      </c>
      <c r="B492" s="28" t="s">
        <v>1701</v>
      </c>
      <c r="C492" s="28" t="s">
        <v>751</v>
      </c>
      <c r="D492" s="28" t="s">
        <v>32</v>
      </c>
      <c r="E492" s="30" t="s">
        <v>2828</v>
      </c>
      <c r="F492" s="30" t="s">
        <v>2829</v>
      </c>
      <c r="G492" s="30" t="s">
        <v>35</v>
      </c>
      <c r="H492" s="33" t="s">
        <v>2843</v>
      </c>
      <c r="I492" s="33" t="str">
        <f>VLOOKUP(H492,'合同高级查询数据-8月返'!A:A,1,FALSE)</f>
        <v>182315IDC00401</v>
      </c>
      <c r="J492" s="167" t="s">
        <v>37</v>
      </c>
      <c r="K492" s="30" t="s">
        <v>2069</v>
      </c>
      <c r="L492" s="168" t="s">
        <v>2070</v>
      </c>
      <c r="M492" s="107" t="s">
        <v>2071</v>
      </c>
      <c r="N492" s="74">
        <v>44958</v>
      </c>
      <c r="O492" s="28" t="s">
        <v>319</v>
      </c>
      <c r="P492" s="207">
        <v>5000</v>
      </c>
      <c r="Q492" s="217">
        <v>66.599999999999994</v>
      </c>
      <c r="R492" s="218">
        <f t="shared" si="27"/>
        <v>333000</v>
      </c>
      <c r="S492" s="59">
        <v>202308</v>
      </c>
      <c r="T492" s="184" t="s">
        <v>2844</v>
      </c>
      <c r="U492" s="228"/>
      <c r="V492" s="224">
        <v>66.571594238000003</v>
      </c>
      <c r="W492" s="227"/>
      <c r="X492" s="74">
        <v>45078</v>
      </c>
      <c r="Y492" s="74">
        <v>45199</v>
      </c>
      <c r="Z492" s="28" t="s">
        <v>2845</v>
      </c>
      <c r="AA492" s="194">
        <v>0.3</v>
      </c>
      <c r="AB492" s="227">
        <v>200</v>
      </c>
      <c r="AC492" s="224">
        <f t="shared" si="28"/>
        <v>60</v>
      </c>
    </row>
    <row r="493" spans="1:29" s="10" customFormat="1" ht="15" customHeight="1">
      <c r="A493" s="201" t="s">
        <v>750</v>
      </c>
      <c r="B493" s="28" t="s">
        <v>1701</v>
      </c>
      <c r="C493" s="28" t="s">
        <v>1242</v>
      </c>
      <c r="D493" s="28" t="s">
        <v>32</v>
      </c>
      <c r="E493" s="30" t="s">
        <v>2828</v>
      </c>
      <c r="F493" s="30" t="s">
        <v>2829</v>
      </c>
      <c r="G493" s="30" t="s">
        <v>35</v>
      </c>
      <c r="H493" s="33" t="s">
        <v>2846</v>
      </c>
      <c r="I493" s="33" t="e">
        <f>VLOOKUP(H493,'合同高级查询数据-8月返'!A:A,1,FALSE)</f>
        <v>#N/A</v>
      </c>
      <c r="J493" s="167" t="s">
        <v>37</v>
      </c>
      <c r="K493" s="30" t="s">
        <v>1276</v>
      </c>
      <c r="L493" s="168" t="s">
        <v>2079</v>
      </c>
      <c r="M493" s="107" t="s">
        <v>2080</v>
      </c>
      <c r="N493" s="74">
        <v>44958</v>
      </c>
      <c r="O493" s="28" t="s">
        <v>447</v>
      </c>
      <c r="P493" s="207">
        <v>8333</v>
      </c>
      <c r="Q493" s="217">
        <v>44.3</v>
      </c>
      <c r="R493" s="218">
        <f t="shared" si="27"/>
        <v>369151.9</v>
      </c>
      <c r="S493" s="59">
        <v>202308</v>
      </c>
      <c r="T493" s="184" t="s">
        <v>2847</v>
      </c>
      <c r="U493" s="228"/>
      <c r="V493" s="224">
        <v>44.262653350999997</v>
      </c>
      <c r="W493" s="227"/>
      <c r="X493" s="74">
        <v>44958</v>
      </c>
      <c r="Y493" s="187">
        <v>45230</v>
      </c>
      <c r="Z493" s="28" t="s">
        <v>2848</v>
      </c>
      <c r="AA493" s="194">
        <v>0.3</v>
      </c>
      <c r="AB493" s="227">
        <v>100</v>
      </c>
      <c r="AC493" s="224">
        <f t="shared" si="28"/>
        <v>30</v>
      </c>
    </row>
    <row r="494" spans="1:29" s="10" customFormat="1" ht="15" customHeight="1">
      <c r="A494" s="30" t="s">
        <v>750</v>
      </c>
      <c r="B494" s="28" t="s">
        <v>1701</v>
      </c>
      <c r="C494" s="28" t="s">
        <v>1806</v>
      </c>
      <c r="D494" s="28" t="s">
        <v>1717</v>
      </c>
      <c r="E494" s="30" t="s">
        <v>2849</v>
      </c>
      <c r="F494" s="30" t="s">
        <v>2850</v>
      </c>
      <c r="G494" s="29" t="s">
        <v>35</v>
      </c>
      <c r="H494" s="33" t="s">
        <v>2851</v>
      </c>
      <c r="I494" s="33" t="e">
        <f>VLOOKUP(H494,'合同高级查询数据-8月返'!A:A,1,FALSE)</f>
        <v>#N/A</v>
      </c>
      <c r="J494" s="167" t="s">
        <v>37</v>
      </c>
      <c r="K494" s="29" t="s">
        <v>2852</v>
      </c>
      <c r="L494" s="234" t="s">
        <v>2853</v>
      </c>
      <c r="M494" s="107" t="s">
        <v>2854</v>
      </c>
      <c r="N494" s="74" t="s">
        <v>2855</v>
      </c>
      <c r="O494" s="129" t="s">
        <v>1848</v>
      </c>
      <c r="P494" s="207">
        <v>5416.67</v>
      </c>
      <c r="Q494" s="217">
        <v>0</v>
      </c>
      <c r="R494" s="218">
        <f t="shared" si="27"/>
        <v>0</v>
      </c>
      <c r="S494" s="59">
        <v>202308</v>
      </c>
      <c r="T494" s="240" t="s">
        <v>2856</v>
      </c>
      <c r="U494" s="228"/>
      <c r="V494" s="224">
        <v>0</v>
      </c>
      <c r="W494" s="227"/>
      <c r="X494" s="74">
        <v>45017</v>
      </c>
      <c r="Y494" s="74">
        <v>45107</v>
      </c>
      <c r="Z494" s="224">
        <v>0</v>
      </c>
      <c r="AA494" s="193">
        <v>0</v>
      </c>
      <c r="AB494" s="224">
        <v>0</v>
      </c>
      <c r="AC494" s="224">
        <f t="shared" si="28"/>
        <v>0</v>
      </c>
    </row>
    <row r="495" spans="1:29" s="9" customFormat="1" ht="15" customHeight="1">
      <c r="A495" s="27" t="s">
        <v>750</v>
      </c>
      <c r="B495" s="25" t="s">
        <v>1701</v>
      </c>
      <c r="C495" s="25" t="s">
        <v>1759</v>
      </c>
      <c r="D495" s="25" t="s">
        <v>1760</v>
      </c>
      <c r="E495" s="27" t="s">
        <v>2857</v>
      </c>
      <c r="F495" s="27" t="s">
        <v>2858</v>
      </c>
      <c r="G495" s="26" t="s">
        <v>35</v>
      </c>
      <c r="H495" s="32" t="s">
        <v>2859</v>
      </c>
      <c r="I495" s="32" t="e">
        <f>VLOOKUP(H495,'合同高级查询数据-8月返'!A:A,1,FALSE)</f>
        <v>#N/A</v>
      </c>
      <c r="J495" s="169" t="s">
        <v>1293</v>
      </c>
      <c r="K495" s="26" t="s">
        <v>2860</v>
      </c>
      <c r="L495" s="245" t="s">
        <v>2861</v>
      </c>
      <c r="M495" s="49" t="s">
        <v>2862</v>
      </c>
      <c r="N495" s="70">
        <v>44545</v>
      </c>
      <c r="O495" s="97" t="s">
        <v>1767</v>
      </c>
      <c r="P495" s="208">
        <v>11750</v>
      </c>
      <c r="Q495" s="219">
        <v>12</v>
      </c>
      <c r="R495" s="220">
        <f t="shared" si="27"/>
        <v>141000</v>
      </c>
      <c r="S495" s="55">
        <v>202308</v>
      </c>
      <c r="T495" s="246" t="s">
        <v>2863</v>
      </c>
      <c r="U495" s="229"/>
      <c r="V495" s="225">
        <v>8.4243804299999994</v>
      </c>
      <c r="W495" s="226"/>
      <c r="X495" s="70"/>
      <c r="Y495" s="70"/>
      <c r="Z495" s="25" t="s">
        <v>2864</v>
      </c>
      <c r="AA495" s="195">
        <v>0.3</v>
      </c>
      <c r="AB495" s="226">
        <v>40</v>
      </c>
      <c r="AC495" s="226">
        <f t="shared" si="28"/>
        <v>12</v>
      </c>
    </row>
    <row r="496" spans="1:29" s="9" customFormat="1" ht="15" customHeight="1">
      <c r="A496" s="27" t="s">
        <v>762</v>
      </c>
      <c r="B496" s="25" t="s">
        <v>1701</v>
      </c>
      <c r="C496" s="25" t="s">
        <v>1759</v>
      </c>
      <c r="D496" s="25" t="s">
        <v>1760</v>
      </c>
      <c r="E496" s="27" t="s">
        <v>2857</v>
      </c>
      <c r="F496" s="27" t="s">
        <v>2858</v>
      </c>
      <c r="G496" s="26" t="s">
        <v>35</v>
      </c>
      <c r="H496" s="32" t="s">
        <v>2859</v>
      </c>
      <c r="I496" s="32" t="e">
        <f>VLOOKUP(H496,'合同高级查询数据-8月返'!A:A,1,FALSE)</f>
        <v>#N/A</v>
      </c>
      <c r="J496" s="169" t="s">
        <v>1293</v>
      </c>
      <c r="K496" s="26" t="s">
        <v>2860</v>
      </c>
      <c r="L496" s="245" t="s">
        <v>2865</v>
      </c>
      <c r="M496" s="49" t="s">
        <v>2862</v>
      </c>
      <c r="N496" s="70">
        <v>44545</v>
      </c>
      <c r="O496" s="97" t="s">
        <v>1767</v>
      </c>
      <c r="P496" s="208">
        <v>7560</v>
      </c>
      <c r="Q496" s="219">
        <v>16.2</v>
      </c>
      <c r="R496" s="220">
        <f t="shared" si="27"/>
        <v>122472</v>
      </c>
      <c r="S496" s="55">
        <v>202308</v>
      </c>
      <c r="T496" s="246" t="s">
        <v>2863</v>
      </c>
      <c r="U496" s="229"/>
      <c r="V496" s="225">
        <v>16.159425881000001</v>
      </c>
      <c r="W496" s="226"/>
      <c r="X496" s="70"/>
      <c r="Y496" s="70"/>
      <c r="Z496" s="25" t="s">
        <v>2866</v>
      </c>
      <c r="AA496" s="195">
        <v>0.3</v>
      </c>
      <c r="AB496" s="226">
        <v>40</v>
      </c>
      <c r="AC496" s="226">
        <f t="shared" si="28"/>
        <v>12</v>
      </c>
    </row>
    <row r="497" spans="1:29" s="9" customFormat="1" ht="15" customHeight="1">
      <c r="A497" s="27" t="s">
        <v>769</v>
      </c>
      <c r="B497" s="25" t="s">
        <v>1701</v>
      </c>
      <c r="C497" s="25" t="s">
        <v>1759</v>
      </c>
      <c r="D497" s="25" t="s">
        <v>1760</v>
      </c>
      <c r="E497" s="27" t="s">
        <v>2857</v>
      </c>
      <c r="F497" s="27" t="s">
        <v>2858</v>
      </c>
      <c r="G497" s="26" t="s">
        <v>35</v>
      </c>
      <c r="H497" s="32" t="s">
        <v>2859</v>
      </c>
      <c r="I497" s="32" t="e">
        <f>VLOOKUP(H497,'合同高级查询数据-8月返'!A:A,1,FALSE)</f>
        <v>#N/A</v>
      </c>
      <c r="J497" s="169" t="s">
        <v>1293</v>
      </c>
      <c r="K497" s="26" t="s">
        <v>2860</v>
      </c>
      <c r="L497" s="245" t="s">
        <v>2867</v>
      </c>
      <c r="M497" s="49" t="s">
        <v>2862</v>
      </c>
      <c r="N497" s="70" t="s">
        <v>2868</v>
      </c>
      <c r="O497" s="97" t="s">
        <v>1436</v>
      </c>
      <c r="P497" s="208">
        <v>7560</v>
      </c>
      <c r="Q497" s="219">
        <v>0</v>
      </c>
      <c r="R497" s="220">
        <f t="shared" si="27"/>
        <v>0</v>
      </c>
      <c r="S497" s="55">
        <v>202308</v>
      </c>
      <c r="T497" s="246" t="s">
        <v>2869</v>
      </c>
      <c r="U497" s="229"/>
      <c r="V497" s="225">
        <v>0</v>
      </c>
      <c r="W497" s="226"/>
      <c r="X497" s="70"/>
      <c r="Y497" s="70"/>
      <c r="Z497" s="225">
        <v>0</v>
      </c>
      <c r="AA497" s="196">
        <v>0</v>
      </c>
      <c r="AB497" s="225">
        <v>0</v>
      </c>
      <c r="AC497" s="226">
        <f t="shared" si="28"/>
        <v>0</v>
      </c>
    </row>
    <row r="498" spans="1:29" s="10" customFormat="1" ht="15" customHeight="1">
      <c r="A498" s="30" t="s">
        <v>762</v>
      </c>
      <c r="B498" s="28" t="s">
        <v>1701</v>
      </c>
      <c r="C498" s="28" t="s">
        <v>302</v>
      </c>
      <c r="D498" s="28" t="s">
        <v>1717</v>
      </c>
      <c r="E498" s="30" t="s">
        <v>2870</v>
      </c>
      <c r="F498" s="30" t="s">
        <v>2871</v>
      </c>
      <c r="G498" s="29" t="s">
        <v>35</v>
      </c>
      <c r="H498" s="33" t="s">
        <v>2872</v>
      </c>
      <c r="I498" s="33" t="e">
        <f>VLOOKUP(H498,'合同高级查询数据-8月返'!A:A,1,FALSE)</f>
        <v>#N/A</v>
      </c>
      <c r="J498" s="167" t="s">
        <v>37</v>
      </c>
      <c r="K498" s="29" t="s">
        <v>460</v>
      </c>
      <c r="L498" s="234" t="s">
        <v>2873</v>
      </c>
      <c r="M498" s="107" t="s">
        <v>2874</v>
      </c>
      <c r="N498" s="74" t="s">
        <v>2875</v>
      </c>
      <c r="O498" s="129" t="s">
        <v>1848</v>
      </c>
      <c r="P498" s="207">
        <v>5500</v>
      </c>
      <c r="Q498" s="217">
        <v>0</v>
      </c>
      <c r="R498" s="218">
        <f t="shared" si="27"/>
        <v>0</v>
      </c>
      <c r="S498" s="59">
        <v>202308</v>
      </c>
      <c r="T498" s="240" t="s">
        <v>2876</v>
      </c>
      <c r="U498" s="228"/>
      <c r="V498" s="224">
        <v>0</v>
      </c>
      <c r="W498" s="227"/>
      <c r="X498" s="74">
        <v>44652</v>
      </c>
      <c r="Y498" s="74">
        <v>44681</v>
      </c>
      <c r="Z498" s="224">
        <v>0</v>
      </c>
      <c r="AA498" s="193">
        <v>0</v>
      </c>
      <c r="AB498" s="224">
        <v>0</v>
      </c>
      <c r="AC498" s="224">
        <f t="shared" si="28"/>
        <v>0</v>
      </c>
    </row>
    <row r="499" spans="1:29" s="10" customFormat="1" ht="15" customHeight="1">
      <c r="A499" s="30" t="s">
        <v>769</v>
      </c>
      <c r="B499" s="28" t="s">
        <v>1701</v>
      </c>
      <c r="C499" s="28" t="s">
        <v>2515</v>
      </c>
      <c r="D499" s="28" t="s">
        <v>1760</v>
      </c>
      <c r="E499" s="30" t="s">
        <v>2877</v>
      </c>
      <c r="F499" s="30" t="s">
        <v>2878</v>
      </c>
      <c r="G499" s="29" t="s">
        <v>35</v>
      </c>
      <c r="H499" s="33" t="s">
        <v>2879</v>
      </c>
      <c r="I499" s="33" t="e">
        <f>VLOOKUP(H499,'合同高级查询数据-8月返'!A:A,1,FALSE)</f>
        <v>#N/A</v>
      </c>
      <c r="J499" s="167" t="s">
        <v>37</v>
      </c>
      <c r="K499" s="29" t="s">
        <v>2517</v>
      </c>
      <c r="L499" s="234" t="s">
        <v>2880</v>
      </c>
      <c r="M499" s="107" t="s">
        <v>2881</v>
      </c>
      <c r="N499" s="74" t="s">
        <v>2882</v>
      </c>
      <c r="O499" s="129" t="s">
        <v>1263</v>
      </c>
      <c r="P499" s="207">
        <v>4800</v>
      </c>
      <c r="Q499" s="217">
        <v>0</v>
      </c>
      <c r="R499" s="218">
        <f t="shared" si="27"/>
        <v>0</v>
      </c>
      <c r="S499" s="59">
        <v>202308</v>
      </c>
      <c r="T499" s="240" t="s">
        <v>2883</v>
      </c>
      <c r="U499" s="228"/>
      <c r="V499" s="224">
        <v>0</v>
      </c>
      <c r="W499" s="227"/>
      <c r="X499" s="74">
        <v>44562</v>
      </c>
      <c r="Y499" s="74">
        <v>44592</v>
      </c>
      <c r="Z499" s="224">
        <v>0</v>
      </c>
      <c r="AA499" s="193">
        <v>0</v>
      </c>
      <c r="AB499" s="224">
        <v>0</v>
      </c>
      <c r="AC499" s="224">
        <f t="shared" si="28"/>
        <v>0</v>
      </c>
    </row>
    <row r="500" spans="1:29" s="10" customFormat="1" ht="15" customHeight="1">
      <c r="A500" s="30" t="s">
        <v>750</v>
      </c>
      <c r="B500" s="28" t="s">
        <v>1701</v>
      </c>
      <c r="C500" s="28" t="s">
        <v>1242</v>
      </c>
      <c r="D500" s="28" t="s">
        <v>32</v>
      </c>
      <c r="E500" s="30" t="s">
        <v>2884</v>
      </c>
      <c r="F500" s="30" t="s">
        <v>2885</v>
      </c>
      <c r="G500" s="29" t="s">
        <v>35</v>
      </c>
      <c r="H500" s="33" t="s">
        <v>2886</v>
      </c>
      <c r="I500" s="33" t="e">
        <f>VLOOKUP(H500,'合同高级查询数据-8月返'!A:A,1,FALSE)</f>
        <v>#N/A</v>
      </c>
      <c r="J500" s="167" t="s">
        <v>37</v>
      </c>
      <c r="K500" s="29" t="s">
        <v>1458</v>
      </c>
      <c r="L500" s="234" t="s">
        <v>2887</v>
      </c>
      <c r="M500" s="107" t="s">
        <v>2888</v>
      </c>
      <c r="N500" s="74" t="s">
        <v>2889</v>
      </c>
      <c r="O500" s="129" t="s">
        <v>1263</v>
      </c>
      <c r="P500" s="207">
        <v>9600</v>
      </c>
      <c r="Q500" s="217">
        <v>0</v>
      </c>
      <c r="R500" s="218">
        <f t="shared" si="27"/>
        <v>0</v>
      </c>
      <c r="S500" s="59">
        <v>202308</v>
      </c>
      <c r="T500" s="240" t="s">
        <v>2890</v>
      </c>
      <c r="U500" s="228"/>
      <c r="V500" s="224">
        <v>0</v>
      </c>
      <c r="W500" s="227"/>
      <c r="X500" s="74">
        <v>44593</v>
      </c>
      <c r="Y500" s="74">
        <v>44773</v>
      </c>
      <c r="Z500" s="224">
        <v>0</v>
      </c>
      <c r="AA500" s="193">
        <v>0</v>
      </c>
      <c r="AB500" s="224">
        <v>0</v>
      </c>
      <c r="AC500" s="224">
        <f t="shared" si="28"/>
        <v>0</v>
      </c>
    </row>
    <row r="501" spans="1:29" s="10" customFormat="1" ht="15" customHeight="1">
      <c r="A501" s="30" t="s">
        <v>769</v>
      </c>
      <c r="B501" s="28" t="s">
        <v>1701</v>
      </c>
      <c r="C501" s="28" t="s">
        <v>2359</v>
      </c>
      <c r="D501" s="28" t="s">
        <v>1760</v>
      </c>
      <c r="E501" s="28" t="s">
        <v>2891</v>
      </c>
      <c r="F501" s="28" t="s">
        <v>2892</v>
      </c>
      <c r="G501" s="30" t="s">
        <v>35</v>
      </c>
      <c r="H501" s="167" t="s">
        <v>2893</v>
      </c>
      <c r="I501" s="33" t="e">
        <f>VLOOKUP(H501,'合同高级查询数据-8月返'!A:A,1,FALSE)</f>
        <v>#N/A</v>
      </c>
      <c r="J501" s="167" t="s">
        <v>37</v>
      </c>
      <c r="K501" s="28" t="s">
        <v>2361</v>
      </c>
      <c r="L501" s="28" t="s">
        <v>2894</v>
      </c>
      <c r="M501" s="28" t="s">
        <v>2895</v>
      </c>
      <c r="N501" s="74">
        <v>44593</v>
      </c>
      <c r="O501" s="28" t="s">
        <v>447</v>
      </c>
      <c r="P501" s="211">
        <v>4200</v>
      </c>
      <c r="Q501" s="217">
        <v>100</v>
      </c>
      <c r="R501" s="218">
        <f t="shared" si="27"/>
        <v>420000</v>
      </c>
      <c r="S501" s="59">
        <v>202308</v>
      </c>
      <c r="T501" s="184" t="s">
        <v>2896</v>
      </c>
      <c r="U501" s="28"/>
      <c r="V501" s="224">
        <v>81.312652588000006</v>
      </c>
      <c r="W501" s="227"/>
      <c r="X501" s="74">
        <v>44958</v>
      </c>
      <c r="Y501" s="74">
        <v>45322</v>
      </c>
      <c r="Z501" s="28" t="s">
        <v>2897</v>
      </c>
      <c r="AA501" s="194">
        <v>1</v>
      </c>
      <c r="AB501" s="227">
        <v>100</v>
      </c>
      <c r="AC501" s="224">
        <f t="shared" si="28"/>
        <v>100</v>
      </c>
    </row>
    <row r="502" spans="1:29" s="10" customFormat="1" ht="15" customHeight="1">
      <c r="A502" s="30" t="s">
        <v>762</v>
      </c>
      <c r="B502" s="28" t="s">
        <v>1701</v>
      </c>
      <c r="C502" s="28" t="s">
        <v>429</v>
      </c>
      <c r="D502" s="28" t="s">
        <v>32</v>
      </c>
      <c r="E502" s="28" t="s">
        <v>2898</v>
      </c>
      <c r="F502" s="28" t="s">
        <v>2899</v>
      </c>
      <c r="G502" s="30" t="s">
        <v>35</v>
      </c>
      <c r="H502" s="28" t="s">
        <v>2900</v>
      </c>
      <c r="I502" s="33" t="e">
        <f>VLOOKUP(H502,'合同高级查询数据-8月返'!A:A,1,FALSE)</f>
        <v>#N/A</v>
      </c>
      <c r="J502" s="167" t="s">
        <v>37</v>
      </c>
      <c r="K502" s="28" t="s">
        <v>429</v>
      </c>
      <c r="L502" s="28" t="s">
        <v>2901</v>
      </c>
      <c r="M502" s="28" t="s">
        <v>2902</v>
      </c>
      <c r="N502" s="74">
        <v>44593</v>
      </c>
      <c r="O502" s="28" t="s">
        <v>2113</v>
      </c>
      <c r="P502" s="211">
        <v>7000</v>
      </c>
      <c r="Q502" s="217">
        <v>20.100000000000001</v>
      </c>
      <c r="R502" s="247">
        <f t="shared" si="27"/>
        <v>140700</v>
      </c>
      <c r="S502" s="59">
        <v>202308</v>
      </c>
      <c r="T502" s="184" t="s">
        <v>2903</v>
      </c>
      <c r="U502" s="28"/>
      <c r="V502" s="224">
        <v>20.074857712</v>
      </c>
      <c r="W502" s="227"/>
      <c r="X502" s="74">
        <v>44958</v>
      </c>
      <c r="Y502" s="74">
        <v>45322</v>
      </c>
      <c r="Z502" s="28" t="s">
        <v>2904</v>
      </c>
      <c r="AA502" s="194">
        <v>0.25</v>
      </c>
      <c r="AB502" s="227">
        <v>80</v>
      </c>
      <c r="AC502" s="224">
        <f t="shared" si="28"/>
        <v>20</v>
      </c>
    </row>
    <row r="503" spans="1:29" s="10" customFormat="1" ht="15" customHeight="1">
      <c r="A503" s="201" t="s">
        <v>750</v>
      </c>
      <c r="B503" s="28" t="s">
        <v>1701</v>
      </c>
      <c r="C503" s="28" t="s">
        <v>1759</v>
      </c>
      <c r="D503" s="28" t="s">
        <v>1760</v>
      </c>
      <c r="E503" s="28" t="s">
        <v>2905</v>
      </c>
      <c r="F503" s="28" t="s">
        <v>2906</v>
      </c>
      <c r="G503" s="30" t="s">
        <v>35</v>
      </c>
      <c r="H503" s="28" t="s">
        <v>2907</v>
      </c>
      <c r="I503" s="33" t="e">
        <f>VLOOKUP(H503,'合同高级查询数据-8月返'!A:A,1,FALSE)</f>
        <v>#N/A</v>
      </c>
      <c r="J503" s="167" t="s">
        <v>37</v>
      </c>
      <c r="K503" s="28" t="s">
        <v>2860</v>
      </c>
      <c r="L503" s="28" t="s">
        <v>2908</v>
      </c>
      <c r="M503" s="28" t="s">
        <v>2909</v>
      </c>
      <c r="N503" s="74">
        <v>44652</v>
      </c>
      <c r="O503" s="28" t="s">
        <v>319</v>
      </c>
      <c r="P503" s="211">
        <v>5083.33</v>
      </c>
      <c r="Q503" s="217">
        <v>78.8</v>
      </c>
      <c r="R503" s="247">
        <f t="shared" si="27"/>
        <v>400566.4</v>
      </c>
      <c r="S503" s="59">
        <v>202308</v>
      </c>
      <c r="T503" s="184" t="s">
        <v>2910</v>
      </c>
      <c r="U503" s="28"/>
      <c r="V503" s="224">
        <v>78.751235961999996</v>
      </c>
      <c r="W503" s="28"/>
      <c r="X503" s="74">
        <v>45017</v>
      </c>
      <c r="Y503" s="74">
        <v>45382</v>
      </c>
      <c r="Z503" s="28" t="s">
        <v>2911</v>
      </c>
      <c r="AA503" s="194">
        <v>0.3</v>
      </c>
      <c r="AB503" s="227">
        <v>200</v>
      </c>
      <c r="AC503" s="224">
        <f t="shared" si="28"/>
        <v>60</v>
      </c>
    </row>
    <row r="504" spans="1:29" s="10" customFormat="1" ht="15" customHeight="1">
      <c r="A504" s="201" t="s">
        <v>750</v>
      </c>
      <c r="B504" s="28" t="s">
        <v>1701</v>
      </c>
      <c r="C504" s="28" t="s">
        <v>2159</v>
      </c>
      <c r="D504" s="28" t="s">
        <v>1717</v>
      </c>
      <c r="E504" s="28" t="s">
        <v>2905</v>
      </c>
      <c r="F504" s="28" t="s">
        <v>2906</v>
      </c>
      <c r="G504" s="30" t="s">
        <v>35</v>
      </c>
      <c r="H504" s="28" t="s">
        <v>2912</v>
      </c>
      <c r="I504" s="33" t="e">
        <f>VLOOKUP(H504,'合同高级查询数据-8月返'!A:A,1,FALSE)</f>
        <v>#N/A</v>
      </c>
      <c r="J504" s="167" t="s">
        <v>37</v>
      </c>
      <c r="K504" s="28" t="s">
        <v>2159</v>
      </c>
      <c r="L504" s="28" t="s">
        <v>2913</v>
      </c>
      <c r="M504" s="28" t="s">
        <v>2914</v>
      </c>
      <c r="N504" s="74">
        <v>44835</v>
      </c>
      <c r="O504" s="28" t="s">
        <v>447</v>
      </c>
      <c r="P504" s="211">
        <v>6000</v>
      </c>
      <c r="Q504" s="217">
        <v>39.5</v>
      </c>
      <c r="R504" s="247">
        <f t="shared" si="27"/>
        <v>237000</v>
      </c>
      <c r="S504" s="59">
        <v>202308</v>
      </c>
      <c r="T504" s="184" t="s">
        <v>2915</v>
      </c>
      <c r="U504" s="28"/>
      <c r="V504" s="224">
        <v>39.430599213000001</v>
      </c>
      <c r="W504" s="28"/>
      <c r="X504" s="74">
        <v>44835</v>
      </c>
      <c r="Y504" s="74">
        <v>45199</v>
      </c>
      <c r="Z504" s="28" t="s">
        <v>2916</v>
      </c>
      <c r="AA504" s="194">
        <v>0.3</v>
      </c>
      <c r="AB504" s="227">
        <v>100</v>
      </c>
      <c r="AC504" s="224">
        <f t="shared" si="28"/>
        <v>30</v>
      </c>
    </row>
    <row r="505" spans="1:29" s="10" customFormat="1" ht="15" customHeight="1">
      <c r="A505" s="28" t="s">
        <v>762</v>
      </c>
      <c r="B505" s="28" t="s">
        <v>1701</v>
      </c>
      <c r="C505" s="28" t="s">
        <v>1321</v>
      </c>
      <c r="D505" s="28" t="s">
        <v>1760</v>
      </c>
      <c r="E505" s="28" t="s">
        <v>2905</v>
      </c>
      <c r="F505" s="28" t="s">
        <v>2906</v>
      </c>
      <c r="G505" s="28" t="s">
        <v>35</v>
      </c>
      <c r="H505" s="28" t="s">
        <v>2917</v>
      </c>
      <c r="I505" s="33" t="e">
        <f>VLOOKUP(H505,'合同高级查询数据-8月返'!A:A,1,FALSE)</f>
        <v>#N/A</v>
      </c>
      <c r="J505" s="28" t="s">
        <v>37</v>
      </c>
      <c r="K505" s="204" t="s">
        <v>1361</v>
      </c>
      <c r="L505" s="204" t="s">
        <v>1711</v>
      </c>
      <c r="M505" s="28" t="s">
        <v>1712</v>
      </c>
      <c r="N505" s="74">
        <v>44986</v>
      </c>
      <c r="O505" s="28" t="s">
        <v>2193</v>
      </c>
      <c r="P505" s="212">
        <v>6500</v>
      </c>
      <c r="Q505" s="217">
        <v>18</v>
      </c>
      <c r="R505" s="247">
        <f t="shared" si="27"/>
        <v>117000</v>
      </c>
      <c r="S505" s="59">
        <v>202308</v>
      </c>
      <c r="T505" s="222" t="s">
        <v>2918</v>
      </c>
      <c r="U505" s="222"/>
      <c r="V505" s="224">
        <v>18.001993178999999</v>
      </c>
      <c r="W505" s="227"/>
      <c r="X505" s="74">
        <v>44986</v>
      </c>
      <c r="Y505" s="74">
        <v>45351</v>
      </c>
      <c r="Z505" s="28" t="s">
        <v>2919</v>
      </c>
      <c r="AA505" s="194">
        <v>0.3</v>
      </c>
      <c r="AB505" s="227">
        <v>60</v>
      </c>
      <c r="AC505" s="224">
        <f t="shared" si="28"/>
        <v>18</v>
      </c>
    </row>
    <row r="506" spans="1:29" s="10" customFormat="1" ht="15" customHeight="1">
      <c r="A506" s="30" t="s">
        <v>762</v>
      </c>
      <c r="B506" s="28" t="s">
        <v>1701</v>
      </c>
      <c r="C506" s="28" t="s">
        <v>2753</v>
      </c>
      <c r="D506" s="28" t="s">
        <v>1760</v>
      </c>
      <c r="E506" s="28" t="s">
        <v>2920</v>
      </c>
      <c r="F506" s="28" t="s">
        <v>2921</v>
      </c>
      <c r="G506" s="30" t="s">
        <v>35</v>
      </c>
      <c r="H506" s="28" t="s">
        <v>2922</v>
      </c>
      <c r="I506" s="33" t="e">
        <f>VLOOKUP(H506,'合同高级查询数据-8月返'!A:A,1,FALSE)</f>
        <v>#N/A</v>
      </c>
      <c r="J506" s="167" t="s">
        <v>37</v>
      </c>
      <c r="K506" s="28" t="s">
        <v>2923</v>
      </c>
      <c r="L506" s="28" t="s">
        <v>2924</v>
      </c>
      <c r="M506" s="28" t="s">
        <v>2925</v>
      </c>
      <c r="N506" s="74">
        <v>44714</v>
      </c>
      <c r="O506" s="28" t="s">
        <v>447</v>
      </c>
      <c r="P506" s="211">
        <v>5200</v>
      </c>
      <c r="Q506" s="217">
        <v>45.7</v>
      </c>
      <c r="R506" s="247">
        <f t="shared" si="27"/>
        <v>237640</v>
      </c>
      <c r="S506" s="59">
        <v>202308</v>
      </c>
      <c r="T506" s="184" t="s">
        <v>2926</v>
      </c>
      <c r="U506" s="28"/>
      <c r="V506" s="224">
        <v>45.607868195000002</v>
      </c>
      <c r="W506" s="28"/>
      <c r="X506" s="74">
        <v>45078</v>
      </c>
      <c r="Y506" s="74">
        <v>45443</v>
      </c>
      <c r="Z506" s="28" t="s">
        <v>2927</v>
      </c>
      <c r="AA506" s="194">
        <v>0.25</v>
      </c>
      <c r="AB506" s="227">
        <v>100</v>
      </c>
      <c r="AC506" s="224">
        <f t="shared" si="28"/>
        <v>25</v>
      </c>
    </row>
    <row r="507" spans="1:29" s="10" customFormat="1" ht="15" customHeight="1">
      <c r="A507" s="30" t="s">
        <v>769</v>
      </c>
      <c r="B507" s="28" t="s">
        <v>1701</v>
      </c>
      <c r="C507" s="28" t="s">
        <v>1321</v>
      </c>
      <c r="D507" s="28" t="s">
        <v>1760</v>
      </c>
      <c r="E507" s="28" t="s">
        <v>2928</v>
      </c>
      <c r="F507" s="28" t="s">
        <v>2929</v>
      </c>
      <c r="G507" s="30" t="s">
        <v>35</v>
      </c>
      <c r="H507" s="28" t="s">
        <v>2930</v>
      </c>
      <c r="I507" s="33" t="e">
        <f>VLOOKUP(H507,'合同高级查询数据-8月返'!A:A,1,FALSE)</f>
        <v>#N/A</v>
      </c>
      <c r="J507" s="167" t="s">
        <v>37</v>
      </c>
      <c r="K507" s="28" t="s">
        <v>1361</v>
      </c>
      <c r="L507" s="28" t="s">
        <v>2931</v>
      </c>
      <c r="M507" s="28" t="s">
        <v>2932</v>
      </c>
      <c r="N507" s="74" t="s">
        <v>2933</v>
      </c>
      <c r="O507" s="28" t="s">
        <v>1848</v>
      </c>
      <c r="P507" s="211">
        <v>4700</v>
      </c>
      <c r="Q507" s="217">
        <v>0</v>
      </c>
      <c r="R507" s="247">
        <f t="shared" si="27"/>
        <v>0</v>
      </c>
      <c r="S507" s="59">
        <v>202308</v>
      </c>
      <c r="T507" s="184" t="s">
        <v>2934</v>
      </c>
      <c r="U507" s="28"/>
      <c r="V507" s="224">
        <v>0</v>
      </c>
      <c r="W507" s="28"/>
      <c r="X507" s="74">
        <v>44713</v>
      </c>
      <c r="Y507" s="74">
        <v>45077</v>
      </c>
      <c r="Z507" s="224">
        <v>0</v>
      </c>
      <c r="AA507" s="193">
        <v>0</v>
      </c>
      <c r="AB507" s="224">
        <v>0</v>
      </c>
      <c r="AC507" s="224">
        <f t="shared" si="28"/>
        <v>0</v>
      </c>
    </row>
    <row r="508" spans="1:29" s="10" customFormat="1" ht="15" customHeight="1">
      <c r="A508" s="201" t="s">
        <v>750</v>
      </c>
      <c r="B508" s="28" t="s">
        <v>1701</v>
      </c>
      <c r="C508" s="28" t="s">
        <v>138</v>
      </c>
      <c r="D508" s="28" t="s">
        <v>32</v>
      </c>
      <c r="E508" s="28" t="s">
        <v>2935</v>
      </c>
      <c r="F508" s="28" t="s">
        <v>2936</v>
      </c>
      <c r="G508" s="30" t="s">
        <v>35</v>
      </c>
      <c r="H508" s="28" t="s">
        <v>2937</v>
      </c>
      <c r="I508" s="33" t="e">
        <f>VLOOKUP(H508,'合同高级查询数据-8月返'!A:A,1,FALSE)</f>
        <v>#N/A</v>
      </c>
      <c r="J508" s="167" t="s">
        <v>37</v>
      </c>
      <c r="K508" s="28" t="s">
        <v>619</v>
      </c>
      <c r="L508" s="28" t="s">
        <v>2938</v>
      </c>
      <c r="M508" s="28" t="s">
        <v>2939</v>
      </c>
      <c r="N508" s="74" t="s">
        <v>2940</v>
      </c>
      <c r="O508" s="28" t="s">
        <v>2941</v>
      </c>
      <c r="P508" s="211">
        <v>7000</v>
      </c>
      <c r="Q508" s="217">
        <v>0</v>
      </c>
      <c r="R508" s="247">
        <f t="shared" si="27"/>
        <v>0</v>
      </c>
      <c r="S508" s="59">
        <v>202308</v>
      </c>
      <c r="T508" s="184" t="s">
        <v>2942</v>
      </c>
      <c r="U508" s="28"/>
      <c r="V508" s="224">
        <v>0</v>
      </c>
      <c r="W508" s="28"/>
      <c r="X508" s="74">
        <v>44774</v>
      </c>
      <c r="Y508" s="74">
        <v>45138</v>
      </c>
      <c r="Z508" s="224">
        <v>0</v>
      </c>
      <c r="AA508" s="193">
        <v>0</v>
      </c>
      <c r="AB508" s="224">
        <v>0</v>
      </c>
      <c r="AC508" s="224">
        <f t="shared" si="28"/>
        <v>0</v>
      </c>
    </row>
    <row r="509" spans="1:29" s="10" customFormat="1" ht="15" customHeight="1">
      <c r="A509" s="201" t="s">
        <v>750</v>
      </c>
      <c r="B509" s="28" t="s">
        <v>1701</v>
      </c>
      <c r="C509" s="28" t="s">
        <v>138</v>
      </c>
      <c r="D509" s="28" t="s">
        <v>32</v>
      </c>
      <c r="E509" s="30" t="s">
        <v>2943</v>
      </c>
      <c r="F509" s="30" t="s">
        <v>2944</v>
      </c>
      <c r="G509" s="30" t="s">
        <v>35</v>
      </c>
      <c r="H509" s="33" t="s">
        <v>2945</v>
      </c>
      <c r="I509" s="33" t="e">
        <f>VLOOKUP(H509,'合同高级查询数据-8月返'!A:A,1,FALSE)</f>
        <v>#N/A</v>
      </c>
      <c r="J509" s="167" t="s">
        <v>37</v>
      </c>
      <c r="K509" s="30" t="s">
        <v>1982</v>
      </c>
      <c r="L509" s="168" t="s">
        <v>2946</v>
      </c>
      <c r="M509" s="107" t="s">
        <v>2947</v>
      </c>
      <c r="N509" s="74" t="s">
        <v>2948</v>
      </c>
      <c r="O509" s="28" t="s">
        <v>1848</v>
      </c>
      <c r="P509" s="207">
        <v>6000</v>
      </c>
      <c r="Q509" s="217">
        <v>0</v>
      </c>
      <c r="R509" s="247">
        <f t="shared" si="27"/>
        <v>0</v>
      </c>
      <c r="S509" s="59">
        <v>202308</v>
      </c>
      <c r="T509" s="184" t="s">
        <v>2949</v>
      </c>
      <c r="U509" s="228"/>
      <c r="V509" s="224">
        <v>0</v>
      </c>
      <c r="W509" s="227"/>
      <c r="X509" s="74">
        <v>44835</v>
      </c>
      <c r="Y509" s="74">
        <v>45199</v>
      </c>
      <c r="Z509" s="224">
        <v>0</v>
      </c>
      <c r="AA509" s="193">
        <v>0</v>
      </c>
      <c r="AB509" s="224">
        <v>0</v>
      </c>
      <c r="AC509" s="224">
        <f t="shared" si="28"/>
        <v>0</v>
      </c>
    </row>
    <row r="510" spans="1:29" s="10" customFormat="1" ht="15" customHeight="1">
      <c r="A510" s="201" t="s">
        <v>769</v>
      </c>
      <c r="B510" s="28" t="s">
        <v>1701</v>
      </c>
      <c r="C510" s="28" t="s">
        <v>138</v>
      </c>
      <c r="D510" s="28" t="s">
        <v>32</v>
      </c>
      <c r="E510" s="30" t="s">
        <v>2943</v>
      </c>
      <c r="F510" s="30" t="s">
        <v>2944</v>
      </c>
      <c r="G510" s="30" t="s">
        <v>35</v>
      </c>
      <c r="H510" s="33" t="s">
        <v>2950</v>
      </c>
      <c r="I510" s="33" t="e">
        <f>VLOOKUP(H510,'合同高级查询数据-8月返'!A:A,1,FALSE)</f>
        <v>#N/A</v>
      </c>
      <c r="J510" s="167" t="s">
        <v>37</v>
      </c>
      <c r="K510" s="30" t="s">
        <v>1982</v>
      </c>
      <c r="L510" s="168" t="s">
        <v>2951</v>
      </c>
      <c r="M510" s="28" t="s">
        <v>2952</v>
      </c>
      <c r="N510" s="74" t="s">
        <v>2948</v>
      </c>
      <c r="O510" s="28" t="s">
        <v>1848</v>
      </c>
      <c r="P510" s="207">
        <v>4445.83</v>
      </c>
      <c r="Q510" s="217">
        <v>0</v>
      </c>
      <c r="R510" s="247">
        <f t="shared" si="27"/>
        <v>0</v>
      </c>
      <c r="S510" s="59">
        <v>202308</v>
      </c>
      <c r="T510" s="184" t="s">
        <v>2915</v>
      </c>
      <c r="U510" s="228"/>
      <c r="V510" s="224">
        <v>0</v>
      </c>
      <c r="W510" s="227"/>
      <c r="X510" s="74">
        <v>44835</v>
      </c>
      <c r="Y510" s="74">
        <v>45199</v>
      </c>
      <c r="Z510" s="224">
        <v>0</v>
      </c>
      <c r="AA510" s="193">
        <v>0</v>
      </c>
      <c r="AB510" s="224">
        <v>0</v>
      </c>
      <c r="AC510" s="224">
        <f t="shared" si="28"/>
        <v>0</v>
      </c>
    </row>
    <row r="511" spans="1:29" s="10" customFormat="1" ht="15" customHeight="1">
      <c r="A511" s="201" t="s">
        <v>762</v>
      </c>
      <c r="B511" s="28" t="s">
        <v>1701</v>
      </c>
      <c r="C511" s="28" t="s">
        <v>138</v>
      </c>
      <c r="D511" s="28" t="s">
        <v>32</v>
      </c>
      <c r="E511" s="30" t="s">
        <v>2943</v>
      </c>
      <c r="F511" s="30" t="s">
        <v>2944</v>
      </c>
      <c r="G511" s="30" t="s">
        <v>35</v>
      </c>
      <c r="H511" s="33" t="s">
        <v>2953</v>
      </c>
      <c r="I511" s="33" t="e">
        <f>VLOOKUP(H511,'合同高级查询数据-8月返'!A:A,1,FALSE)</f>
        <v>#N/A</v>
      </c>
      <c r="J511" s="167" t="s">
        <v>37</v>
      </c>
      <c r="K511" s="30" t="s">
        <v>1982</v>
      </c>
      <c r="L511" s="168" t="s">
        <v>2954</v>
      </c>
      <c r="M511" s="28" t="s">
        <v>2955</v>
      </c>
      <c r="N511" s="74" t="s">
        <v>2948</v>
      </c>
      <c r="O511" s="28" t="s">
        <v>1436</v>
      </c>
      <c r="P511" s="207">
        <v>5254.17</v>
      </c>
      <c r="Q511" s="217">
        <v>0</v>
      </c>
      <c r="R511" s="247">
        <f t="shared" si="27"/>
        <v>0</v>
      </c>
      <c r="S511" s="59">
        <v>202308</v>
      </c>
      <c r="T511" s="184" t="s">
        <v>2956</v>
      </c>
      <c r="U511" s="228"/>
      <c r="V511" s="224">
        <v>0</v>
      </c>
      <c r="W511" s="227"/>
      <c r="X511" s="74">
        <v>44835</v>
      </c>
      <c r="Y511" s="74">
        <v>45199</v>
      </c>
      <c r="Z511" s="224">
        <v>0</v>
      </c>
      <c r="AA511" s="193">
        <v>0</v>
      </c>
      <c r="AB511" s="224">
        <v>0</v>
      </c>
      <c r="AC511" s="224">
        <f t="shared" si="28"/>
        <v>0</v>
      </c>
    </row>
    <row r="512" spans="1:29" s="9" customFormat="1" ht="15" customHeight="1">
      <c r="A512" s="233" t="s">
        <v>750</v>
      </c>
      <c r="B512" s="25" t="s">
        <v>1701</v>
      </c>
      <c r="C512" s="25" t="s">
        <v>138</v>
      </c>
      <c r="D512" s="25" t="s">
        <v>32</v>
      </c>
      <c r="E512" s="27" t="s">
        <v>2943</v>
      </c>
      <c r="F512" s="27" t="s">
        <v>2944</v>
      </c>
      <c r="G512" s="27" t="s">
        <v>35</v>
      </c>
      <c r="H512" s="32" t="s">
        <v>2957</v>
      </c>
      <c r="I512" s="32" t="e">
        <f>VLOOKUP(H512,'合同高级查询数据-8月返'!A:A,1,FALSE)</f>
        <v>#N/A</v>
      </c>
      <c r="J512" s="169" t="s">
        <v>37</v>
      </c>
      <c r="K512" s="27" t="s">
        <v>1982</v>
      </c>
      <c r="L512" s="170" t="s">
        <v>2958</v>
      </c>
      <c r="M512" s="25" t="s">
        <v>2959</v>
      </c>
      <c r="N512" s="70">
        <v>45078</v>
      </c>
      <c r="O512" s="25" t="s">
        <v>146</v>
      </c>
      <c r="P512" s="208">
        <v>6200</v>
      </c>
      <c r="Q512" s="219">
        <v>8.6999999999999993</v>
      </c>
      <c r="R512" s="243">
        <f t="shared" si="27"/>
        <v>53940</v>
      </c>
      <c r="S512" s="55">
        <v>202308</v>
      </c>
      <c r="T512" s="185" t="s">
        <v>1398</v>
      </c>
      <c r="U512" s="229"/>
      <c r="V512" s="225">
        <v>8.6579351429999996</v>
      </c>
      <c r="W512" s="226"/>
      <c r="X512" s="70"/>
      <c r="Y512" s="70"/>
      <c r="Z512" s="25" t="s">
        <v>2960</v>
      </c>
      <c r="AA512" s="195">
        <v>0.3</v>
      </c>
      <c r="AB512" s="226">
        <v>20</v>
      </c>
      <c r="AC512" s="226">
        <f t="shared" si="28"/>
        <v>6</v>
      </c>
    </row>
    <row r="513" spans="1:29" s="9" customFormat="1" ht="15" customHeight="1">
      <c r="A513" s="233" t="s">
        <v>769</v>
      </c>
      <c r="B513" s="25" t="s">
        <v>1701</v>
      </c>
      <c r="C513" s="25" t="s">
        <v>138</v>
      </c>
      <c r="D513" s="25" t="s">
        <v>32</v>
      </c>
      <c r="E513" s="27" t="s">
        <v>2943</v>
      </c>
      <c r="F513" s="27" t="s">
        <v>2944</v>
      </c>
      <c r="G513" s="27" t="s">
        <v>35</v>
      </c>
      <c r="H513" s="32" t="s">
        <v>2957</v>
      </c>
      <c r="I513" s="32" t="e">
        <f>VLOOKUP(H513,'合同高级查询数据-8月返'!A:A,1,FALSE)</f>
        <v>#N/A</v>
      </c>
      <c r="J513" s="169" t="s">
        <v>37</v>
      </c>
      <c r="K513" s="27" t="s">
        <v>1982</v>
      </c>
      <c r="L513" s="170" t="s">
        <v>2961</v>
      </c>
      <c r="M513" s="25" t="s">
        <v>2959</v>
      </c>
      <c r="N513" s="70">
        <v>45078</v>
      </c>
      <c r="O513" s="25" t="s">
        <v>146</v>
      </c>
      <c r="P513" s="208">
        <v>5000</v>
      </c>
      <c r="Q513" s="219">
        <v>6.5</v>
      </c>
      <c r="R513" s="243">
        <f t="shared" si="27"/>
        <v>32500</v>
      </c>
      <c r="S513" s="55">
        <v>202308</v>
      </c>
      <c r="T513" s="185" t="s">
        <v>1398</v>
      </c>
      <c r="U513" s="229"/>
      <c r="V513" s="225">
        <v>6.4633002279999996</v>
      </c>
      <c r="W513" s="226"/>
      <c r="X513" s="70"/>
      <c r="Y513" s="70"/>
      <c r="Z513" s="25" t="s">
        <v>2962</v>
      </c>
      <c r="AA513" s="195">
        <v>0.3</v>
      </c>
      <c r="AB513" s="226">
        <v>20</v>
      </c>
      <c r="AC513" s="226">
        <f t="shared" si="28"/>
        <v>6</v>
      </c>
    </row>
    <row r="514" spans="1:29" s="9" customFormat="1" ht="15" customHeight="1">
      <c r="A514" s="233" t="s">
        <v>762</v>
      </c>
      <c r="B514" s="25" t="s">
        <v>1701</v>
      </c>
      <c r="C514" s="25" t="s">
        <v>138</v>
      </c>
      <c r="D514" s="25" t="s">
        <v>32</v>
      </c>
      <c r="E514" s="27" t="s">
        <v>2943</v>
      </c>
      <c r="F514" s="27" t="s">
        <v>2944</v>
      </c>
      <c r="G514" s="27" t="s">
        <v>35</v>
      </c>
      <c r="H514" s="32" t="s">
        <v>2957</v>
      </c>
      <c r="I514" s="32" t="e">
        <f>VLOOKUP(H514,'合同高级查询数据-8月返'!A:A,1,FALSE)</f>
        <v>#N/A</v>
      </c>
      <c r="J514" s="169" t="s">
        <v>37</v>
      </c>
      <c r="K514" s="27" t="s">
        <v>1982</v>
      </c>
      <c r="L514" s="170" t="s">
        <v>2963</v>
      </c>
      <c r="M514" s="25" t="s">
        <v>2959</v>
      </c>
      <c r="N514" s="70">
        <v>45078</v>
      </c>
      <c r="O514" s="25" t="s">
        <v>426</v>
      </c>
      <c r="P514" s="208">
        <v>6200</v>
      </c>
      <c r="Q514" s="219">
        <v>3.9</v>
      </c>
      <c r="R514" s="243">
        <f t="shared" si="27"/>
        <v>24180</v>
      </c>
      <c r="S514" s="55">
        <v>202308</v>
      </c>
      <c r="T514" s="185" t="s">
        <v>2964</v>
      </c>
      <c r="U514" s="229"/>
      <c r="V514" s="225">
        <v>3.8877942559999998</v>
      </c>
      <c r="W514" s="226"/>
      <c r="X514" s="70"/>
      <c r="Y514" s="70"/>
      <c r="Z514" s="25" t="s">
        <v>2965</v>
      </c>
      <c r="AA514" s="195">
        <v>0.3</v>
      </c>
      <c r="AB514" s="226">
        <v>10</v>
      </c>
      <c r="AC514" s="226">
        <f t="shared" si="28"/>
        <v>3</v>
      </c>
    </row>
    <row r="515" spans="1:29" s="9" customFormat="1" ht="15" customHeight="1">
      <c r="A515" s="27" t="s">
        <v>769</v>
      </c>
      <c r="B515" s="25" t="s">
        <v>1701</v>
      </c>
      <c r="C515" s="25" t="s">
        <v>138</v>
      </c>
      <c r="D515" s="25" t="s">
        <v>32</v>
      </c>
      <c r="E515" s="27" t="s">
        <v>2966</v>
      </c>
      <c r="F515" s="27" t="s">
        <v>2967</v>
      </c>
      <c r="G515" s="27" t="s">
        <v>35</v>
      </c>
      <c r="H515" s="32" t="s">
        <v>2968</v>
      </c>
      <c r="I515" s="32" t="e">
        <f>VLOOKUP(H515,'合同高级查询数据-8月返'!A:A,1,FALSE)</f>
        <v>#N/A</v>
      </c>
      <c r="J515" s="169" t="s">
        <v>37</v>
      </c>
      <c r="K515" s="27" t="s">
        <v>653</v>
      </c>
      <c r="L515" s="225" t="s">
        <v>2969</v>
      </c>
      <c r="M515" s="49" t="s">
        <v>2970</v>
      </c>
      <c r="N515" s="70">
        <v>44835</v>
      </c>
      <c r="O515" s="25" t="s">
        <v>447</v>
      </c>
      <c r="P515" s="208">
        <v>4200</v>
      </c>
      <c r="Q515" s="219">
        <v>41.7</v>
      </c>
      <c r="R515" s="243">
        <f t="shared" si="27"/>
        <v>175140</v>
      </c>
      <c r="S515" s="55">
        <v>202308</v>
      </c>
      <c r="T515" s="185" t="s">
        <v>2971</v>
      </c>
      <c r="U515" s="229"/>
      <c r="V515" s="225">
        <v>41.703483581999997</v>
      </c>
      <c r="W515" s="226"/>
      <c r="X515" s="70"/>
      <c r="Y515" s="70"/>
      <c r="Z515" s="25" t="s">
        <v>2972</v>
      </c>
      <c r="AA515" s="195">
        <v>0.4</v>
      </c>
      <c r="AB515" s="226">
        <v>100</v>
      </c>
      <c r="AC515" s="225">
        <f t="shared" si="28"/>
        <v>40</v>
      </c>
    </row>
    <row r="516" spans="1:29" s="10" customFormat="1" ht="15" customHeight="1">
      <c r="A516" s="201" t="s">
        <v>769</v>
      </c>
      <c r="B516" s="28" t="s">
        <v>1701</v>
      </c>
      <c r="C516" s="28" t="s">
        <v>302</v>
      </c>
      <c r="D516" s="28" t="s">
        <v>1717</v>
      </c>
      <c r="E516" s="30" t="s">
        <v>2973</v>
      </c>
      <c r="F516" s="30" t="s">
        <v>2974</v>
      </c>
      <c r="G516" s="30" t="s">
        <v>35</v>
      </c>
      <c r="H516" s="33" t="s">
        <v>2975</v>
      </c>
      <c r="I516" s="33" t="e">
        <f>VLOOKUP(H516,'合同高级查询数据-8月返'!A:A,1,FALSE)</f>
        <v>#N/A</v>
      </c>
      <c r="J516" s="167" t="s">
        <v>37</v>
      </c>
      <c r="K516" s="30" t="s">
        <v>460</v>
      </c>
      <c r="L516" s="224" t="s">
        <v>2976</v>
      </c>
      <c r="M516" s="107" t="s">
        <v>2977</v>
      </c>
      <c r="N516" s="74">
        <v>44927</v>
      </c>
      <c r="O516" s="28" t="s">
        <v>2978</v>
      </c>
      <c r="P516" s="207">
        <v>8100</v>
      </c>
      <c r="Q516" s="217">
        <v>0.1</v>
      </c>
      <c r="R516" s="247">
        <f t="shared" si="27"/>
        <v>810</v>
      </c>
      <c r="S516" s="59">
        <v>202308</v>
      </c>
      <c r="T516" s="184" t="s">
        <v>2979</v>
      </c>
      <c r="U516" s="228"/>
      <c r="V516" s="224">
        <v>5.0949354000000002E-2</v>
      </c>
      <c r="W516" s="227"/>
      <c r="X516" s="187">
        <v>44927</v>
      </c>
      <c r="Y516" s="187">
        <v>45291</v>
      </c>
      <c r="Z516" s="28" t="s">
        <v>2980</v>
      </c>
      <c r="AA516" s="194">
        <v>0.1</v>
      </c>
      <c r="AB516" s="227">
        <v>0.3</v>
      </c>
      <c r="AC516" s="224">
        <f t="shared" si="28"/>
        <v>0.03</v>
      </c>
    </row>
    <row r="517" spans="1:29" s="10" customFormat="1" ht="15" customHeight="1">
      <c r="A517" s="201" t="s">
        <v>750</v>
      </c>
      <c r="B517" s="28" t="s">
        <v>1701</v>
      </c>
      <c r="C517" s="28" t="s">
        <v>751</v>
      </c>
      <c r="D517" s="28" t="s">
        <v>32</v>
      </c>
      <c r="E517" s="30" t="s">
        <v>2981</v>
      </c>
      <c r="F517" s="30" t="s">
        <v>2982</v>
      </c>
      <c r="G517" s="30" t="s">
        <v>35</v>
      </c>
      <c r="H517" s="33" t="s">
        <v>2983</v>
      </c>
      <c r="I517" s="33" t="e">
        <f>VLOOKUP(H517,'合同高级查询数据-8月返'!A:A,1,FALSE)</f>
        <v>#N/A</v>
      </c>
      <c r="J517" s="167" t="s">
        <v>37</v>
      </c>
      <c r="K517" s="30" t="s">
        <v>2167</v>
      </c>
      <c r="L517" s="168" t="s">
        <v>2984</v>
      </c>
      <c r="M517" s="107" t="s">
        <v>2985</v>
      </c>
      <c r="N517" s="74" t="s">
        <v>2986</v>
      </c>
      <c r="O517" s="28" t="s">
        <v>2987</v>
      </c>
      <c r="P517" s="207">
        <v>4166</v>
      </c>
      <c r="Q517" s="217">
        <v>0</v>
      </c>
      <c r="R517" s="247">
        <f t="shared" si="27"/>
        <v>0</v>
      </c>
      <c r="S517" s="59">
        <v>202308</v>
      </c>
      <c r="T517" s="184" t="s">
        <v>2988</v>
      </c>
      <c r="U517" s="228"/>
      <c r="V517" s="224">
        <v>0</v>
      </c>
      <c r="W517" s="210"/>
      <c r="X517" s="187">
        <v>44986</v>
      </c>
      <c r="Y517" s="187">
        <v>45351</v>
      </c>
      <c r="Z517" s="224">
        <v>0</v>
      </c>
      <c r="AA517" s="193">
        <v>0</v>
      </c>
      <c r="AB517" s="224">
        <v>0</v>
      </c>
      <c r="AC517" s="227">
        <v>0</v>
      </c>
    </row>
    <row r="518" spans="1:29" s="10" customFormat="1" ht="15" customHeight="1">
      <c r="A518" s="201" t="s">
        <v>750</v>
      </c>
      <c r="B518" s="28" t="s">
        <v>1701</v>
      </c>
      <c r="C518" s="28" t="s">
        <v>751</v>
      </c>
      <c r="D518" s="28" t="s">
        <v>32</v>
      </c>
      <c r="E518" s="30" t="s">
        <v>2981</v>
      </c>
      <c r="F518" s="30" t="s">
        <v>2982</v>
      </c>
      <c r="G518" s="30" t="s">
        <v>35</v>
      </c>
      <c r="H518" s="33" t="s">
        <v>2989</v>
      </c>
      <c r="I518" s="33" t="e">
        <f>VLOOKUP(H518,'合同高级查询数据-8月返'!A:A,1,FALSE)</f>
        <v>#N/A</v>
      </c>
      <c r="J518" s="167" t="s">
        <v>37</v>
      </c>
      <c r="K518" s="30" t="s">
        <v>2167</v>
      </c>
      <c r="L518" s="168" t="s">
        <v>2990</v>
      </c>
      <c r="M518" s="107" t="s">
        <v>2991</v>
      </c>
      <c r="N518" s="74" t="s">
        <v>2992</v>
      </c>
      <c r="O518" s="28" t="s">
        <v>1911</v>
      </c>
      <c r="P518" s="207">
        <v>4000</v>
      </c>
      <c r="Q518" s="217">
        <v>0</v>
      </c>
      <c r="R518" s="247">
        <f t="shared" si="27"/>
        <v>0</v>
      </c>
      <c r="S518" s="59">
        <v>202308</v>
      </c>
      <c r="T518" s="184" t="s">
        <v>2993</v>
      </c>
      <c r="U518" s="228"/>
      <c r="V518" s="224">
        <v>0</v>
      </c>
      <c r="W518" s="210"/>
      <c r="X518" s="74">
        <v>44805</v>
      </c>
      <c r="Y518" s="74">
        <v>45169</v>
      </c>
      <c r="Z518" s="224">
        <v>0</v>
      </c>
      <c r="AA518" s="193">
        <v>0</v>
      </c>
      <c r="AB518" s="224">
        <v>0</v>
      </c>
      <c r="AC518" s="227">
        <v>0</v>
      </c>
    </row>
    <row r="519" spans="1:29" s="10" customFormat="1" ht="15" customHeight="1">
      <c r="A519" s="201" t="s">
        <v>750</v>
      </c>
      <c r="B519" s="28" t="s">
        <v>1701</v>
      </c>
      <c r="C519" s="28" t="s">
        <v>1716</v>
      </c>
      <c r="D519" s="28" t="s">
        <v>1717</v>
      </c>
      <c r="E519" s="30" t="s">
        <v>2994</v>
      </c>
      <c r="F519" s="30" t="s">
        <v>2995</v>
      </c>
      <c r="G519" s="30" t="s">
        <v>35</v>
      </c>
      <c r="H519" s="33" t="s">
        <v>2996</v>
      </c>
      <c r="I519" s="33" t="e">
        <f>VLOOKUP(H519,'合同高级查询数据-8月返'!A:A,1,FALSE)</f>
        <v>#N/A</v>
      </c>
      <c r="J519" s="167" t="s">
        <v>37</v>
      </c>
      <c r="K519" s="33" t="s">
        <v>2997</v>
      </c>
      <c r="L519" s="33" t="s">
        <v>2998</v>
      </c>
      <c r="M519" s="33" t="s">
        <v>2999</v>
      </c>
      <c r="N519" s="74">
        <v>45017</v>
      </c>
      <c r="O519" s="28" t="s">
        <v>711</v>
      </c>
      <c r="P519" s="207">
        <v>4100</v>
      </c>
      <c r="Q519" s="217">
        <v>68.400000000000006</v>
      </c>
      <c r="R519" s="247">
        <f t="shared" si="27"/>
        <v>280440</v>
      </c>
      <c r="S519" s="59">
        <v>202308</v>
      </c>
      <c r="T519" s="184" t="s">
        <v>3000</v>
      </c>
      <c r="U519" s="228"/>
      <c r="V519" s="224">
        <v>68.310752868999998</v>
      </c>
      <c r="W519" s="227"/>
      <c r="X519" s="74">
        <v>45017</v>
      </c>
      <c r="Y519" s="74">
        <v>45382</v>
      </c>
      <c r="Z519" s="224" t="s">
        <v>3001</v>
      </c>
      <c r="AA519" s="193">
        <v>0.4</v>
      </c>
      <c r="AB519" s="224">
        <v>150</v>
      </c>
      <c r="AC519" s="224">
        <f t="shared" ref="AC519:AC582" si="29">AA519*AB519</f>
        <v>60</v>
      </c>
    </row>
    <row r="520" spans="1:29" s="10" customFormat="1" ht="15" customHeight="1">
      <c r="A520" s="201" t="s">
        <v>750</v>
      </c>
      <c r="B520" s="28" t="s">
        <v>1701</v>
      </c>
      <c r="C520" s="28" t="s">
        <v>1716</v>
      </c>
      <c r="D520" s="28" t="s">
        <v>1717</v>
      </c>
      <c r="E520" s="30" t="s">
        <v>2994</v>
      </c>
      <c r="F520" s="30" t="s">
        <v>2995</v>
      </c>
      <c r="G520" s="30" t="s">
        <v>35</v>
      </c>
      <c r="H520" s="33" t="s">
        <v>2996</v>
      </c>
      <c r="I520" s="33" t="e">
        <f>VLOOKUP(H520,'合同高级查询数据-8月返'!A:A,1,FALSE)</f>
        <v>#N/A</v>
      </c>
      <c r="J520" s="167" t="s">
        <v>37</v>
      </c>
      <c r="K520" s="33" t="s">
        <v>2997</v>
      </c>
      <c r="L520" s="33" t="s">
        <v>3002</v>
      </c>
      <c r="M520" s="33" t="s">
        <v>2999</v>
      </c>
      <c r="N520" s="74">
        <v>45017</v>
      </c>
      <c r="O520" s="28" t="s">
        <v>711</v>
      </c>
      <c r="P520" s="207">
        <v>4100</v>
      </c>
      <c r="Q520" s="217">
        <v>68.5</v>
      </c>
      <c r="R520" s="247">
        <f t="shared" si="27"/>
        <v>280850</v>
      </c>
      <c r="S520" s="59">
        <v>202308</v>
      </c>
      <c r="T520" s="184" t="s">
        <v>3000</v>
      </c>
      <c r="U520" s="228"/>
      <c r="V520" s="224">
        <v>68.496864318999997</v>
      </c>
      <c r="W520" s="227"/>
      <c r="X520" s="74">
        <v>45017</v>
      </c>
      <c r="Y520" s="74">
        <v>45382</v>
      </c>
      <c r="Z520" s="224" t="s">
        <v>3003</v>
      </c>
      <c r="AA520" s="193">
        <v>0.4</v>
      </c>
      <c r="AB520" s="224">
        <v>150</v>
      </c>
      <c r="AC520" s="224">
        <f t="shared" si="29"/>
        <v>60</v>
      </c>
    </row>
    <row r="521" spans="1:29" s="9" customFormat="1" ht="15" customHeight="1">
      <c r="A521" s="233" t="s">
        <v>750</v>
      </c>
      <c r="B521" s="25" t="s">
        <v>1701</v>
      </c>
      <c r="C521" s="25" t="s">
        <v>302</v>
      </c>
      <c r="D521" s="25" t="s">
        <v>1717</v>
      </c>
      <c r="E521" s="27" t="s">
        <v>3004</v>
      </c>
      <c r="F521" s="27" t="s">
        <v>3005</v>
      </c>
      <c r="G521" s="27" t="s">
        <v>35</v>
      </c>
      <c r="H521" s="32" t="s">
        <v>3006</v>
      </c>
      <c r="I521" s="32" t="e">
        <f>VLOOKUP(H521,'合同高级查询数据-8月返'!A:A,1,FALSE)</f>
        <v>#N/A</v>
      </c>
      <c r="J521" s="169" t="s">
        <v>37</v>
      </c>
      <c r="K521" s="27" t="s">
        <v>730</v>
      </c>
      <c r="L521" s="170" t="s">
        <v>3007</v>
      </c>
      <c r="M521" s="49" t="s">
        <v>732</v>
      </c>
      <c r="N521" s="70">
        <v>45022</v>
      </c>
      <c r="O521" s="25" t="s">
        <v>319</v>
      </c>
      <c r="P521" s="208">
        <v>5416</v>
      </c>
      <c r="Q521" s="219">
        <v>84.6</v>
      </c>
      <c r="R521" s="243">
        <f t="shared" si="27"/>
        <v>458193.6</v>
      </c>
      <c r="S521" s="55">
        <v>202308</v>
      </c>
      <c r="T521" s="185" t="s">
        <v>3008</v>
      </c>
      <c r="U521" s="229"/>
      <c r="V521" s="225">
        <v>84.578773498999993</v>
      </c>
      <c r="W521" s="226"/>
      <c r="X521" s="70"/>
      <c r="Y521" s="70"/>
      <c r="Z521" s="225" t="s">
        <v>3009</v>
      </c>
      <c r="AA521" s="196">
        <v>0.4</v>
      </c>
      <c r="AB521" s="225">
        <v>200</v>
      </c>
      <c r="AC521" s="225">
        <f t="shared" si="29"/>
        <v>80</v>
      </c>
    </row>
    <row r="522" spans="1:29" s="9" customFormat="1" ht="15" customHeight="1">
      <c r="A522" s="233" t="s">
        <v>762</v>
      </c>
      <c r="B522" s="25" t="s">
        <v>1701</v>
      </c>
      <c r="C522" s="25" t="s">
        <v>302</v>
      </c>
      <c r="D522" s="25" t="s">
        <v>1717</v>
      </c>
      <c r="E522" s="27" t="s">
        <v>3004</v>
      </c>
      <c r="F522" s="27" t="s">
        <v>3005</v>
      </c>
      <c r="G522" s="27" t="s">
        <v>35</v>
      </c>
      <c r="H522" s="32" t="s">
        <v>3006</v>
      </c>
      <c r="I522" s="32" t="e">
        <f>VLOOKUP(H522,'合同高级查询数据-8月返'!A:A,1,FALSE)</f>
        <v>#N/A</v>
      </c>
      <c r="J522" s="169" t="s">
        <v>37</v>
      </c>
      <c r="K522" s="27" t="s">
        <v>730</v>
      </c>
      <c r="L522" s="170" t="s">
        <v>3010</v>
      </c>
      <c r="M522" s="49" t="s">
        <v>732</v>
      </c>
      <c r="N522" s="70">
        <v>45022</v>
      </c>
      <c r="O522" s="25" t="s">
        <v>3011</v>
      </c>
      <c r="P522" s="208">
        <v>5416</v>
      </c>
      <c r="Q522" s="219">
        <v>49.6</v>
      </c>
      <c r="R522" s="243">
        <f t="shared" si="27"/>
        <v>268633.59999999998</v>
      </c>
      <c r="S522" s="55">
        <v>202308</v>
      </c>
      <c r="T522" s="185" t="s">
        <v>3012</v>
      </c>
      <c r="U522" s="229"/>
      <c r="V522" s="225">
        <v>49.511264801000003</v>
      </c>
      <c r="W522" s="226"/>
      <c r="X522" s="70"/>
      <c r="Y522" s="70"/>
      <c r="Z522" s="225" t="s">
        <v>3013</v>
      </c>
      <c r="AA522" s="196">
        <v>0.4</v>
      </c>
      <c r="AB522" s="225">
        <v>120</v>
      </c>
      <c r="AC522" s="225">
        <f t="shared" si="29"/>
        <v>48</v>
      </c>
    </row>
    <row r="523" spans="1:29" s="10" customFormat="1" ht="15" customHeight="1">
      <c r="A523" s="201" t="s">
        <v>762</v>
      </c>
      <c r="B523" s="28" t="s">
        <v>1701</v>
      </c>
      <c r="C523" s="28" t="s">
        <v>302</v>
      </c>
      <c r="D523" s="28" t="s">
        <v>1717</v>
      </c>
      <c r="E523" s="30" t="s">
        <v>3014</v>
      </c>
      <c r="F523" s="30" t="s">
        <v>3015</v>
      </c>
      <c r="G523" s="30" t="s">
        <v>35</v>
      </c>
      <c r="H523" s="33" t="s">
        <v>3016</v>
      </c>
      <c r="I523" s="33" t="e">
        <f>VLOOKUP(H523,'合同高级查询数据-8月返'!A:A,1,FALSE)</f>
        <v>#N/A</v>
      </c>
      <c r="J523" s="167" t="s">
        <v>37</v>
      </c>
      <c r="K523" s="30" t="s">
        <v>460</v>
      </c>
      <c r="L523" s="224" t="s">
        <v>3017</v>
      </c>
      <c r="M523" s="107" t="s">
        <v>3018</v>
      </c>
      <c r="N523" s="74" t="s">
        <v>3019</v>
      </c>
      <c r="O523" s="28" t="s">
        <v>853</v>
      </c>
      <c r="P523" s="207">
        <v>5530</v>
      </c>
      <c r="Q523" s="217">
        <v>109.5</v>
      </c>
      <c r="R523" s="247">
        <f t="shared" si="27"/>
        <v>605535</v>
      </c>
      <c r="S523" s="59">
        <v>202308</v>
      </c>
      <c r="T523" s="184" t="s">
        <v>3020</v>
      </c>
      <c r="U523" s="228"/>
      <c r="V523" s="224">
        <v>109.490074783</v>
      </c>
      <c r="W523" s="227"/>
      <c r="X523" s="74">
        <v>45017</v>
      </c>
      <c r="Y523" s="74">
        <v>45382</v>
      </c>
      <c r="Z523" s="28" t="s">
        <v>3021</v>
      </c>
      <c r="AA523" s="194">
        <v>0.3</v>
      </c>
      <c r="AB523" s="227">
        <v>200</v>
      </c>
      <c r="AC523" s="224">
        <f t="shared" si="29"/>
        <v>60</v>
      </c>
    </row>
    <row r="524" spans="1:29" s="10" customFormat="1" ht="15" customHeight="1">
      <c r="A524" s="201" t="s">
        <v>769</v>
      </c>
      <c r="B524" s="28" t="s">
        <v>1701</v>
      </c>
      <c r="C524" s="28" t="s">
        <v>302</v>
      </c>
      <c r="D524" s="28" t="s">
        <v>1717</v>
      </c>
      <c r="E524" s="30" t="s">
        <v>3014</v>
      </c>
      <c r="F524" s="30" t="s">
        <v>3015</v>
      </c>
      <c r="G524" s="30" t="s">
        <v>35</v>
      </c>
      <c r="H524" s="33" t="s">
        <v>3022</v>
      </c>
      <c r="I524" s="33" t="e">
        <f>VLOOKUP(H524,'合同高级查询数据-8月返'!A:A,1,FALSE)</f>
        <v>#N/A</v>
      </c>
      <c r="J524" s="167" t="s">
        <v>37</v>
      </c>
      <c r="K524" s="30" t="s">
        <v>460</v>
      </c>
      <c r="L524" s="224" t="s">
        <v>3023</v>
      </c>
      <c r="M524" s="107" t="s">
        <v>3024</v>
      </c>
      <c r="N524" s="74" t="s">
        <v>3019</v>
      </c>
      <c r="O524" s="28" t="s">
        <v>853</v>
      </c>
      <c r="P524" s="207">
        <v>4810</v>
      </c>
      <c r="Q524" s="217">
        <v>95</v>
      </c>
      <c r="R524" s="247">
        <f t="shared" si="27"/>
        <v>456950</v>
      </c>
      <c r="S524" s="59">
        <v>202308</v>
      </c>
      <c r="T524" s="184" t="s">
        <v>3020</v>
      </c>
      <c r="U524" s="228"/>
      <c r="V524" s="224">
        <v>94.952510314999998</v>
      </c>
      <c r="W524" s="227"/>
      <c r="X524" s="187">
        <v>45017</v>
      </c>
      <c r="Y524" s="187">
        <v>45382</v>
      </c>
      <c r="Z524" s="224" t="s">
        <v>3025</v>
      </c>
      <c r="AA524" s="194">
        <v>0.3</v>
      </c>
      <c r="AB524" s="227">
        <v>200</v>
      </c>
      <c r="AC524" s="224">
        <f t="shared" si="29"/>
        <v>60</v>
      </c>
    </row>
    <row r="525" spans="1:29" s="10" customFormat="1" ht="15" customHeight="1">
      <c r="A525" s="30" t="s">
        <v>769</v>
      </c>
      <c r="B525" s="28" t="s">
        <v>1701</v>
      </c>
      <c r="C525" s="28" t="s">
        <v>1759</v>
      </c>
      <c r="D525" s="28" t="s">
        <v>1760</v>
      </c>
      <c r="E525" s="30" t="s">
        <v>3026</v>
      </c>
      <c r="F525" s="30" t="s">
        <v>3027</v>
      </c>
      <c r="G525" s="29" t="s">
        <v>35</v>
      </c>
      <c r="H525" s="33" t="s">
        <v>3028</v>
      </c>
      <c r="I525" s="33" t="e">
        <f>VLOOKUP(H525,'合同高级查询数据-8月返'!A:A,1,FALSE)</f>
        <v>#N/A</v>
      </c>
      <c r="J525" s="167" t="s">
        <v>1293</v>
      </c>
      <c r="K525" s="29" t="s">
        <v>2860</v>
      </c>
      <c r="L525" s="234" t="s">
        <v>3029</v>
      </c>
      <c r="M525" s="107" t="s">
        <v>3030</v>
      </c>
      <c r="N525" s="74" t="s">
        <v>3031</v>
      </c>
      <c r="O525" s="129" t="s">
        <v>3032</v>
      </c>
      <c r="P525" s="207">
        <v>6700</v>
      </c>
      <c r="Q525" s="217">
        <v>35.4</v>
      </c>
      <c r="R525" s="247">
        <f t="shared" si="27"/>
        <v>237180</v>
      </c>
      <c r="S525" s="59">
        <v>202308</v>
      </c>
      <c r="T525" s="240" t="s">
        <v>3033</v>
      </c>
      <c r="U525" s="228"/>
      <c r="V525" s="224">
        <v>33.730900476999999</v>
      </c>
      <c r="W525" s="227">
        <v>36.9</v>
      </c>
      <c r="X525" s="74">
        <v>45047</v>
      </c>
      <c r="Y525" s="74">
        <v>45412</v>
      </c>
      <c r="Z525" s="28" t="s">
        <v>3034</v>
      </c>
      <c r="AA525" s="194">
        <v>0.4</v>
      </c>
      <c r="AB525" s="227">
        <v>60</v>
      </c>
      <c r="AC525" s="227">
        <f t="shared" si="29"/>
        <v>24</v>
      </c>
    </row>
    <row r="526" spans="1:29" s="10" customFormat="1" ht="15" customHeight="1">
      <c r="A526" s="201" t="s">
        <v>769</v>
      </c>
      <c r="B526" s="28" t="s">
        <v>1701</v>
      </c>
      <c r="C526" s="28" t="s">
        <v>1242</v>
      </c>
      <c r="D526" s="28" t="s">
        <v>32</v>
      </c>
      <c r="E526" s="30" t="s">
        <v>3035</v>
      </c>
      <c r="F526" s="30" t="s">
        <v>3036</v>
      </c>
      <c r="G526" s="30" t="s">
        <v>35</v>
      </c>
      <c r="H526" s="33" t="s">
        <v>3037</v>
      </c>
      <c r="I526" s="33" t="str">
        <f>VLOOKUP(H526,'合同高级查询数据-8月返'!A:A,1,FALSE)</f>
        <v>182315IDC00375</v>
      </c>
      <c r="J526" s="167" t="s">
        <v>37</v>
      </c>
      <c r="K526" s="33" t="s">
        <v>1696</v>
      </c>
      <c r="L526" s="33" t="s">
        <v>3038</v>
      </c>
      <c r="M526" s="33" t="s">
        <v>3039</v>
      </c>
      <c r="N526" s="74">
        <v>45017</v>
      </c>
      <c r="O526" s="28" t="s">
        <v>319</v>
      </c>
      <c r="P526" s="207">
        <v>4500</v>
      </c>
      <c r="Q526" s="217">
        <v>112.5</v>
      </c>
      <c r="R526" s="247">
        <f t="shared" si="27"/>
        <v>506250</v>
      </c>
      <c r="S526" s="59">
        <v>202308</v>
      </c>
      <c r="T526" s="184" t="s">
        <v>3040</v>
      </c>
      <c r="U526" s="228"/>
      <c r="V526" s="224">
        <v>112.48236846899999</v>
      </c>
      <c r="W526" s="227"/>
      <c r="X526" s="74">
        <v>45017</v>
      </c>
      <c r="Y526" s="74">
        <v>45382</v>
      </c>
      <c r="Z526" s="224" t="s">
        <v>3041</v>
      </c>
      <c r="AA526" s="193">
        <v>0.4</v>
      </c>
      <c r="AB526" s="224">
        <v>200</v>
      </c>
      <c r="AC526" s="224">
        <f t="shared" si="29"/>
        <v>80</v>
      </c>
    </row>
    <row r="527" spans="1:29" s="9" customFormat="1" ht="15" customHeight="1">
      <c r="A527" s="233" t="s">
        <v>769</v>
      </c>
      <c r="B527" s="26" t="s">
        <v>1701</v>
      </c>
      <c r="C527" s="25" t="s">
        <v>2359</v>
      </c>
      <c r="D527" s="244" t="s">
        <v>1760</v>
      </c>
      <c r="E527" s="27" t="s">
        <v>3035</v>
      </c>
      <c r="F527" s="27" t="s">
        <v>3036</v>
      </c>
      <c r="G527" s="27" t="s">
        <v>35</v>
      </c>
      <c r="H527" s="25" t="s">
        <v>3042</v>
      </c>
      <c r="I527" s="32" t="e">
        <f>VLOOKUP(H527,'合同高级查询数据-8月返'!A:A,1,FALSE)</f>
        <v>#N/A</v>
      </c>
      <c r="J527" s="169" t="s">
        <v>37</v>
      </c>
      <c r="K527" s="25" t="s">
        <v>2361</v>
      </c>
      <c r="L527" s="25" t="s">
        <v>3043</v>
      </c>
      <c r="M527" s="25" t="s">
        <v>3044</v>
      </c>
      <c r="N527" s="70">
        <v>45078</v>
      </c>
      <c r="O527" s="25" t="s">
        <v>447</v>
      </c>
      <c r="P527" s="236">
        <v>4800</v>
      </c>
      <c r="Q527" s="219">
        <v>55.4</v>
      </c>
      <c r="R527" s="243">
        <f t="shared" si="27"/>
        <v>265920</v>
      </c>
      <c r="S527" s="55">
        <v>202308</v>
      </c>
      <c r="T527" s="185" t="s">
        <v>3045</v>
      </c>
      <c r="U527" s="229"/>
      <c r="V527" s="225">
        <v>55.377815247000001</v>
      </c>
      <c r="W527" s="25"/>
      <c r="X527" s="70"/>
      <c r="Y527" s="70"/>
      <c r="Z527" s="25" t="s">
        <v>3046</v>
      </c>
      <c r="AA527" s="195">
        <v>0.4</v>
      </c>
      <c r="AB527" s="226">
        <v>100</v>
      </c>
      <c r="AC527" s="253">
        <f t="shared" si="29"/>
        <v>40</v>
      </c>
    </row>
    <row r="528" spans="1:29" s="10" customFormat="1" ht="15" customHeight="1">
      <c r="A528" s="28" t="s">
        <v>750</v>
      </c>
      <c r="B528" s="29" t="s">
        <v>1701</v>
      </c>
      <c r="C528" s="30" t="s">
        <v>1987</v>
      </c>
      <c r="D528" s="232" t="s">
        <v>1717</v>
      </c>
      <c r="E528" s="28" t="s">
        <v>33</v>
      </c>
      <c r="F528" s="28" t="s">
        <v>34</v>
      </c>
      <c r="G528" s="28" t="s">
        <v>35</v>
      </c>
      <c r="H528" s="33" t="s">
        <v>3047</v>
      </c>
      <c r="I528" s="33" t="e">
        <f>VLOOKUP(H528,'合同高级查询数据-8月返'!A:A,1,FALSE)</f>
        <v>#N/A</v>
      </c>
      <c r="J528" s="38" t="s">
        <v>37</v>
      </c>
      <c r="K528" s="28" t="s">
        <v>1989</v>
      </c>
      <c r="L528" s="33" t="s">
        <v>3048</v>
      </c>
      <c r="M528" s="28" t="s">
        <v>3049</v>
      </c>
      <c r="N528" s="44">
        <v>44682</v>
      </c>
      <c r="O528" s="28" t="s">
        <v>447</v>
      </c>
      <c r="P528" s="211">
        <v>5700</v>
      </c>
      <c r="Q528" s="217">
        <v>35.799999999999997</v>
      </c>
      <c r="R528" s="218">
        <f t="shared" si="27"/>
        <v>204060</v>
      </c>
      <c r="S528" s="59">
        <v>202308</v>
      </c>
      <c r="T528" s="248" t="s">
        <v>3050</v>
      </c>
      <c r="U528" s="60"/>
      <c r="V528" s="224">
        <v>35.731468200999998</v>
      </c>
      <c r="W528" s="251"/>
      <c r="X528" s="74">
        <v>45047</v>
      </c>
      <c r="Y528" s="74">
        <v>45412</v>
      </c>
      <c r="Z528" s="28" t="s">
        <v>3051</v>
      </c>
      <c r="AA528" s="194">
        <v>0.3</v>
      </c>
      <c r="AB528" s="227">
        <v>100</v>
      </c>
      <c r="AC528" s="224">
        <f t="shared" si="29"/>
        <v>30</v>
      </c>
    </row>
    <row r="529" spans="1:29" s="10" customFormat="1" ht="15" customHeight="1">
      <c r="A529" s="28" t="s">
        <v>750</v>
      </c>
      <c r="B529" s="29" t="s">
        <v>1701</v>
      </c>
      <c r="C529" s="30" t="s">
        <v>751</v>
      </c>
      <c r="D529" s="232" t="s">
        <v>1717</v>
      </c>
      <c r="E529" s="28" t="s">
        <v>33</v>
      </c>
      <c r="F529" s="28" t="s">
        <v>34</v>
      </c>
      <c r="G529" s="28" t="s">
        <v>35</v>
      </c>
      <c r="H529" s="33" t="s">
        <v>3047</v>
      </c>
      <c r="I529" s="33" t="e">
        <f>VLOOKUP(H529,'合同高级查询数据-8月返'!A:A,1,FALSE)</f>
        <v>#N/A</v>
      </c>
      <c r="J529" s="38" t="s">
        <v>37</v>
      </c>
      <c r="K529" s="28" t="s">
        <v>983</v>
      </c>
      <c r="L529" s="33" t="s">
        <v>3052</v>
      </c>
      <c r="M529" s="28" t="s">
        <v>3053</v>
      </c>
      <c r="N529" s="44" t="s">
        <v>3054</v>
      </c>
      <c r="O529" s="28" t="s">
        <v>1848</v>
      </c>
      <c r="P529" s="211">
        <v>5000</v>
      </c>
      <c r="Q529" s="217">
        <v>0</v>
      </c>
      <c r="R529" s="218">
        <f t="shared" si="27"/>
        <v>0</v>
      </c>
      <c r="S529" s="59">
        <v>202308</v>
      </c>
      <c r="T529" s="248" t="s">
        <v>3055</v>
      </c>
      <c r="U529" s="60"/>
      <c r="V529" s="224">
        <v>0</v>
      </c>
      <c r="W529" s="251"/>
      <c r="X529" s="74">
        <v>45047</v>
      </c>
      <c r="Y529" s="74">
        <v>45412</v>
      </c>
      <c r="Z529" s="224">
        <v>0</v>
      </c>
      <c r="AA529" s="193">
        <v>0</v>
      </c>
      <c r="AB529" s="224">
        <v>0</v>
      </c>
      <c r="AC529" s="224">
        <f t="shared" si="29"/>
        <v>0</v>
      </c>
    </row>
    <row r="530" spans="1:29" s="10" customFormat="1" ht="15" customHeight="1">
      <c r="A530" s="28" t="s">
        <v>750</v>
      </c>
      <c r="B530" s="29" t="s">
        <v>1701</v>
      </c>
      <c r="C530" s="30" t="s">
        <v>2359</v>
      </c>
      <c r="D530" s="232" t="s">
        <v>1717</v>
      </c>
      <c r="E530" s="28" t="s">
        <v>33</v>
      </c>
      <c r="F530" s="28" t="s">
        <v>34</v>
      </c>
      <c r="G530" s="28" t="s">
        <v>35</v>
      </c>
      <c r="H530" s="33" t="s">
        <v>3047</v>
      </c>
      <c r="I530" s="33" t="e">
        <f>VLOOKUP(H530,'合同高级查询数据-8月返'!A:A,1,FALSE)</f>
        <v>#N/A</v>
      </c>
      <c r="J530" s="38" t="s">
        <v>37</v>
      </c>
      <c r="K530" s="28" t="s">
        <v>2361</v>
      </c>
      <c r="L530" s="33" t="s">
        <v>3056</v>
      </c>
      <c r="M530" s="28" t="s">
        <v>3057</v>
      </c>
      <c r="N530" s="44">
        <v>44682</v>
      </c>
      <c r="O530" s="28" t="s">
        <v>447</v>
      </c>
      <c r="P530" s="211">
        <v>5500</v>
      </c>
      <c r="Q530" s="217">
        <v>42.3</v>
      </c>
      <c r="R530" s="218">
        <f t="shared" si="27"/>
        <v>232650</v>
      </c>
      <c r="S530" s="59">
        <v>202308</v>
      </c>
      <c r="T530" s="248" t="s">
        <v>3050</v>
      </c>
      <c r="U530" s="60"/>
      <c r="V530" s="224">
        <v>42.263027190999999</v>
      </c>
      <c r="W530" s="251"/>
      <c r="X530" s="74">
        <v>45047</v>
      </c>
      <c r="Y530" s="74">
        <v>45412</v>
      </c>
      <c r="Z530" s="28" t="s">
        <v>3058</v>
      </c>
      <c r="AA530" s="194">
        <v>0.3</v>
      </c>
      <c r="AB530" s="227">
        <v>100</v>
      </c>
      <c r="AC530" s="224">
        <f t="shared" si="29"/>
        <v>30</v>
      </c>
    </row>
    <row r="531" spans="1:29" s="10" customFormat="1" ht="15" customHeight="1">
      <c r="A531" s="28" t="s">
        <v>750</v>
      </c>
      <c r="B531" s="29" t="s">
        <v>1701</v>
      </c>
      <c r="C531" s="30" t="s">
        <v>1759</v>
      </c>
      <c r="D531" s="232" t="s">
        <v>1717</v>
      </c>
      <c r="E531" s="28" t="s">
        <v>33</v>
      </c>
      <c r="F531" s="28" t="s">
        <v>34</v>
      </c>
      <c r="G531" s="28" t="s">
        <v>35</v>
      </c>
      <c r="H531" s="33" t="s">
        <v>3047</v>
      </c>
      <c r="I531" s="33" t="e">
        <f>VLOOKUP(H531,'合同高级查询数据-8月返'!A:A,1,FALSE)</f>
        <v>#N/A</v>
      </c>
      <c r="J531" s="38" t="s">
        <v>37</v>
      </c>
      <c r="K531" s="28" t="s">
        <v>2860</v>
      </c>
      <c r="L531" s="33" t="s">
        <v>3059</v>
      </c>
      <c r="M531" s="28" t="s">
        <v>3060</v>
      </c>
      <c r="N531" s="44" t="s">
        <v>3054</v>
      </c>
      <c r="O531" s="28" t="s">
        <v>1848</v>
      </c>
      <c r="P531" s="211">
        <v>5000</v>
      </c>
      <c r="Q531" s="217">
        <v>0</v>
      </c>
      <c r="R531" s="218">
        <f t="shared" si="27"/>
        <v>0</v>
      </c>
      <c r="S531" s="59">
        <v>202308</v>
      </c>
      <c r="T531" s="248" t="s">
        <v>3055</v>
      </c>
      <c r="U531" s="60"/>
      <c r="V531" s="224">
        <v>0</v>
      </c>
      <c r="W531" s="251"/>
      <c r="X531" s="74">
        <v>45047</v>
      </c>
      <c r="Y531" s="74">
        <v>45412</v>
      </c>
      <c r="Z531" s="224">
        <v>0</v>
      </c>
      <c r="AA531" s="193">
        <v>0</v>
      </c>
      <c r="AB531" s="224">
        <v>0</v>
      </c>
      <c r="AC531" s="224">
        <f t="shared" si="29"/>
        <v>0</v>
      </c>
    </row>
    <row r="532" spans="1:29" s="10" customFormat="1" ht="15" customHeight="1">
      <c r="A532" s="28" t="s">
        <v>750</v>
      </c>
      <c r="B532" s="29" t="s">
        <v>1701</v>
      </c>
      <c r="C532" s="30" t="s">
        <v>1987</v>
      </c>
      <c r="D532" s="232" t="s">
        <v>1717</v>
      </c>
      <c r="E532" s="28" t="s">
        <v>33</v>
      </c>
      <c r="F532" s="28" t="s">
        <v>34</v>
      </c>
      <c r="G532" s="28" t="s">
        <v>35</v>
      </c>
      <c r="H532" s="33" t="s">
        <v>3047</v>
      </c>
      <c r="I532" s="33" t="e">
        <f>VLOOKUP(H532,'合同高级查询数据-8月返'!A:A,1,FALSE)</f>
        <v>#N/A</v>
      </c>
      <c r="J532" s="38" t="s">
        <v>37</v>
      </c>
      <c r="K532" s="28" t="s">
        <v>1989</v>
      </c>
      <c r="L532" s="33" t="s">
        <v>3061</v>
      </c>
      <c r="M532" s="28" t="s">
        <v>3049</v>
      </c>
      <c r="N532" s="44">
        <v>44835</v>
      </c>
      <c r="O532" s="28" t="s">
        <v>319</v>
      </c>
      <c r="P532" s="211">
        <v>5700</v>
      </c>
      <c r="Q532" s="217">
        <v>65.900000000000006</v>
      </c>
      <c r="R532" s="218">
        <f t="shared" si="27"/>
        <v>375630</v>
      </c>
      <c r="S532" s="59">
        <v>202308</v>
      </c>
      <c r="T532" s="248" t="s">
        <v>3062</v>
      </c>
      <c r="U532" s="60"/>
      <c r="V532" s="224">
        <v>65.844299316000004</v>
      </c>
      <c r="W532" s="251"/>
      <c r="X532" s="74">
        <v>45047</v>
      </c>
      <c r="Y532" s="74">
        <v>45412</v>
      </c>
      <c r="Z532" s="28" t="s">
        <v>3063</v>
      </c>
      <c r="AA532" s="194">
        <v>0.3</v>
      </c>
      <c r="AB532" s="227">
        <v>200</v>
      </c>
      <c r="AC532" s="224">
        <f t="shared" si="29"/>
        <v>60</v>
      </c>
    </row>
    <row r="533" spans="1:29" s="10" customFormat="1" ht="15" customHeight="1">
      <c r="A533" s="28" t="s">
        <v>750</v>
      </c>
      <c r="B533" s="29" t="s">
        <v>1701</v>
      </c>
      <c r="C533" s="30" t="s">
        <v>751</v>
      </c>
      <c r="D533" s="232" t="s">
        <v>1717</v>
      </c>
      <c r="E533" s="28" t="s">
        <v>33</v>
      </c>
      <c r="F533" s="28" t="s">
        <v>34</v>
      </c>
      <c r="G533" s="28" t="s">
        <v>35</v>
      </c>
      <c r="H533" s="33" t="s">
        <v>3047</v>
      </c>
      <c r="I533" s="33" t="e">
        <f>VLOOKUP(H533,'合同高级查询数据-8月返'!A:A,1,FALSE)</f>
        <v>#N/A</v>
      </c>
      <c r="J533" s="38" t="s">
        <v>37</v>
      </c>
      <c r="K533" s="28" t="s">
        <v>983</v>
      </c>
      <c r="L533" s="33" t="s">
        <v>3064</v>
      </c>
      <c r="M533" s="28" t="s">
        <v>3065</v>
      </c>
      <c r="N533" s="44" t="s">
        <v>3066</v>
      </c>
      <c r="O533" s="28" t="s">
        <v>1263</v>
      </c>
      <c r="P533" s="211">
        <v>5000</v>
      </c>
      <c r="Q533" s="217">
        <v>0</v>
      </c>
      <c r="R533" s="218">
        <f t="shared" si="27"/>
        <v>0</v>
      </c>
      <c r="S533" s="59">
        <v>202308</v>
      </c>
      <c r="T533" s="248" t="s">
        <v>3067</v>
      </c>
      <c r="U533" s="60"/>
      <c r="V533" s="224">
        <v>0</v>
      </c>
      <c r="W533" s="251"/>
      <c r="X533" s="74">
        <v>45047</v>
      </c>
      <c r="Y533" s="74">
        <v>45412</v>
      </c>
      <c r="Z533" s="224">
        <v>0</v>
      </c>
      <c r="AA533" s="193">
        <v>0</v>
      </c>
      <c r="AB533" s="224">
        <v>0</v>
      </c>
      <c r="AC533" s="224">
        <f t="shared" si="29"/>
        <v>0</v>
      </c>
    </row>
    <row r="534" spans="1:29" s="10" customFormat="1" ht="15" customHeight="1">
      <c r="A534" s="28" t="s">
        <v>769</v>
      </c>
      <c r="B534" s="29" t="s">
        <v>1701</v>
      </c>
      <c r="C534" s="30" t="s">
        <v>1759</v>
      </c>
      <c r="D534" s="232" t="s">
        <v>1717</v>
      </c>
      <c r="E534" s="28" t="s">
        <v>83</v>
      </c>
      <c r="F534" s="28" t="s">
        <v>84</v>
      </c>
      <c r="G534" s="28" t="s">
        <v>35</v>
      </c>
      <c r="H534" s="33" t="s">
        <v>3068</v>
      </c>
      <c r="I534" s="33" t="e">
        <f>VLOOKUP(H534,'合同高级查询数据-8月返'!A:A,1,FALSE)</f>
        <v>#N/A</v>
      </c>
      <c r="J534" s="38" t="s">
        <v>37</v>
      </c>
      <c r="K534" s="28" t="s">
        <v>2860</v>
      </c>
      <c r="L534" s="33" t="s">
        <v>3069</v>
      </c>
      <c r="M534" s="28" t="s">
        <v>3070</v>
      </c>
      <c r="N534" s="44">
        <v>44927</v>
      </c>
      <c r="O534" s="28" t="s">
        <v>447</v>
      </c>
      <c r="P534" s="211">
        <v>5000</v>
      </c>
      <c r="Q534" s="217">
        <v>49.08</v>
      </c>
      <c r="R534" s="218">
        <f t="shared" si="27"/>
        <v>245400</v>
      </c>
      <c r="S534" s="59">
        <v>202308</v>
      </c>
      <c r="T534" s="60" t="s">
        <v>3071</v>
      </c>
      <c r="U534" s="60"/>
      <c r="V534" s="224">
        <v>49.075614928999997</v>
      </c>
      <c r="W534" s="251"/>
      <c r="X534" s="74">
        <v>44927</v>
      </c>
      <c r="Y534" s="74">
        <v>46022</v>
      </c>
      <c r="Z534" s="28" t="s">
        <v>3072</v>
      </c>
      <c r="AA534" s="194">
        <v>0</v>
      </c>
      <c r="AB534" s="227">
        <v>100</v>
      </c>
      <c r="AC534" s="224">
        <f t="shared" si="29"/>
        <v>0</v>
      </c>
    </row>
    <row r="535" spans="1:29" s="10" customFormat="1" ht="15" customHeight="1">
      <c r="A535" s="28" t="s">
        <v>769</v>
      </c>
      <c r="B535" s="29" t="s">
        <v>1701</v>
      </c>
      <c r="C535" s="30" t="s">
        <v>2753</v>
      </c>
      <c r="D535" s="232" t="s">
        <v>1717</v>
      </c>
      <c r="E535" s="28" t="s">
        <v>83</v>
      </c>
      <c r="F535" s="28" t="s">
        <v>84</v>
      </c>
      <c r="G535" s="28" t="s">
        <v>35</v>
      </c>
      <c r="H535" s="33" t="s">
        <v>3068</v>
      </c>
      <c r="I535" s="33" t="e">
        <f>VLOOKUP(H535,'合同高级查询数据-8月返'!A:A,1,FALSE)</f>
        <v>#N/A</v>
      </c>
      <c r="J535" s="38" t="s">
        <v>37</v>
      </c>
      <c r="K535" s="28" t="s">
        <v>3073</v>
      </c>
      <c r="L535" s="33" t="s">
        <v>3074</v>
      </c>
      <c r="M535" s="28" t="s">
        <v>3075</v>
      </c>
      <c r="N535" s="44" t="s">
        <v>3076</v>
      </c>
      <c r="O535" s="28" t="s">
        <v>3077</v>
      </c>
      <c r="P535" s="211">
        <v>5000</v>
      </c>
      <c r="Q535" s="217">
        <v>58.15</v>
      </c>
      <c r="R535" s="218">
        <f t="shared" si="27"/>
        <v>290750</v>
      </c>
      <c r="S535" s="59">
        <v>202308</v>
      </c>
      <c r="T535" s="60" t="s">
        <v>3078</v>
      </c>
      <c r="U535" s="60"/>
      <c r="V535" s="224">
        <v>58.146823883000003</v>
      </c>
      <c r="W535" s="251"/>
      <c r="X535" s="74">
        <v>44927</v>
      </c>
      <c r="Y535" s="74">
        <v>46022</v>
      </c>
      <c r="Z535" s="28" t="s">
        <v>3079</v>
      </c>
      <c r="AA535" s="194">
        <v>0</v>
      </c>
      <c r="AB535" s="227">
        <v>120</v>
      </c>
      <c r="AC535" s="224">
        <f t="shared" si="29"/>
        <v>0</v>
      </c>
    </row>
    <row r="536" spans="1:29" s="10" customFormat="1" ht="15" customHeight="1">
      <c r="A536" s="201" t="s">
        <v>769</v>
      </c>
      <c r="B536" s="29" t="s">
        <v>1701</v>
      </c>
      <c r="C536" s="28" t="s">
        <v>1212</v>
      </c>
      <c r="D536" s="232" t="s">
        <v>1717</v>
      </c>
      <c r="E536" s="30" t="s">
        <v>83</v>
      </c>
      <c r="F536" s="30" t="s">
        <v>84</v>
      </c>
      <c r="G536" s="30" t="s">
        <v>35</v>
      </c>
      <c r="H536" s="33" t="s">
        <v>3068</v>
      </c>
      <c r="I536" s="33" t="e">
        <f>VLOOKUP(H536,'合同高级查询数据-8月返'!A:A,1,FALSE)</f>
        <v>#N/A</v>
      </c>
      <c r="J536" s="167" t="s">
        <v>37</v>
      </c>
      <c r="K536" s="30" t="s">
        <v>1234</v>
      </c>
      <c r="L536" s="168" t="s">
        <v>3080</v>
      </c>
      <c r="M536" s="107" t="s">
        <v>3081</v>
      </c>
      <c r="N536" s="74">
        <v>44927</v>
      </c>
      <c r="O536" s="74" t="s">
        <v>3011</v>
      </c>
      <c r="P536" s="211">
        <v>5000</v>
      </c>
      <c r="Q536" s="217">
        <v>58.42</v>
      </c>
      <c r="R536" s="218">
        <f t="shared" si="27"/>
        <v>292100</v>
      </c>
      <c r="S536" s="59">
        <v>202308</v>
      </c>
      <c r="T536" s="184" t="s">
        <v>3071</v>
      </c>
      <c r="U536" s="228"/>
      <c r="V536" s="224">
        <v>58.417095183999997</v>
      </c>
      <c r="W536" s="28"/>
      <c r="X536" s="74">
        <v>44927</v>
      </c>
      <c r="Y536" s="74">
        <v>46022</v>
      </c>
      <c r="Z536" s="28" t="s">
        <v>3082</v>
      </c>
      <c r="AA536" s="194">
        <v>0</v>
      </c>
      <c r="AB536" s="227">
        <v>120</v>
      </c>
      <c r="AC536" s="224">
        <f t="shared" si="29"/>
        <v>0</v>
      </c>
    </row>
    <row r="537" spans="1:29" s="10" customFormat="1" ht="15" customHeight="1">
      <c r="A537" s="28" t="s">
        <v>769</v>
      </c>
      <c r="B537" s="29" t="s">
        <v>1701</v>
      </c>
      <c r="C537" s="30" t="s">
        <v>1987</v>
      </c>
      <c r="D537" s="232" t="s">
        <v>1717</v>
      </c>
      <c r="E537" s="28" t="s">
        <v>83</v>
      </c>
      <c r="F537" s="28" t="s">
        <v>84</v>
      </c>
      <c r="G537" s="28" t="s">
        <v>35</v>
      </c>
      <c r="H537" s="33" t="s">
        <v>3068</v>
      </c>
      <c r="I537" s="33" t="e">
        <f>VLOOKUP(H537,'合同高级查询数据-8月返'!A:A,1,FALSE)</f>
        <v>#N/A</v>
      </c>
      <c r="J537" s="38" t="s">
        <v>37</v>
      </c>
      <c r="K537" s="28" t="s">
        <v>1987</v>
      </c>
      <c r="L537" s="33" t="s">
        <v>3083</v>
      </c>
      <c r="M537" s="28" t="s">
        <v>3084</v>
      </c>
      <c r="N537" s="44">
        <v>44958</v>
      </c>
      <c r="O537" s="28" t="s">
        <v>343</v>
      </c>
      <c r="P537" s="211">
        <v>5000</v>
      </c>
      <c r="Q537" s="217">
        <v>70.540000000000006</v>
      </c>
      <c r="R537" s="218">
        <f t="shared" si="27"/>
        <v>352700</v>
      </c>
      <c r="S537" s="59">
        <v>202308</v>
      </c>
      <c r="T537" s="60" t="s">
        <v>3085</v>
      </c>
      <c r="U537" s="60"/>
      <c r="V537" s="224">
        <v>70.535491942999997</v>
      </c>
      <c r="W537" s="251"/>
      <c r="X537" s="74">
        <v>44927</v>
      </c>
      <c r="Y537" s="74">
        <v>46022</v>
      </c>
      <c r="Z537" s="28" t="s">
        <v>3086</v>
      </c>
      <c r="AA537" s="194">
        <v>0</v>
      </c>
      <c r="AB537" s="227">
        <v>140</v>
      </c>
      <c r="AC537" s="224">
        <f t="shared" si="29"/>
        <v>0</v>
      </c>
    </row>
    <row r="538" spans="1:29" s="9" customFormat="1" ht="15" customHeight="1">
      <c r="A538" s="25" t="s">
        <v>769</v>
      </c>
      <c r="B538" s="26" t="s">
        <v>1701</v>
      </c>
      <c r="C538" s="27" t="s">
        <v>1383</v>
      </c>
      <c r="D538" s="244" t="s">
        <v>1717</v>
      </c>
      <c r="E538" s="25" t="s">
        <v>83</v>
      </c>
      <c r="F538" s="25" t="s">
        <v>84</v>
      </c>
      <c r="G538" s="25" t="s">
        <v>35</v>
      </c>
      <c r="H538" s="32" t="s">
        <v>3087</v>
      </c>
      <c r="I538" s="32" t="e">
        <f>VLOOKUP(H538,'合同高级查询数据-8月返'!A:A,1,FALSE)</f>
        <v>#N/A</v>
      </c>
      <c r="J538" s="35" t="s">
        <v>37</v>
      </c>
      <c r="K538" s="25" t="s">
        <v>1383</v>
      </c>
      <c r="L538" s="32" t="s">
        <v>3088</v>
      </c>
      <c r="M538" s="25" t="s">
        <v>3089</v>
      </c>
      <c r="N538" s="42" t="s">
        <v>3090</v>
      </c>
      <c r="O538" s="25" t="s">
        <v>1776</v>
      </c>
      <c r="P538" s="236">
        <v>5000</v>
      </c>
      <c r="Q538" s="219">
        <v>59.38</v>
      </c>
      <c r="R538" s="220">
        <f t="shared" si="27"/>
        <v>296900</v>
      </c>
      <c r="S538" s="55">
        <v>202308</v>
      </c>
      <c r="T538" s="185" t="s">
        <v>3091</v>
      </c>
      <c r="U538" s="56"/>
      <c r="V538" s="225">
        <v>59.375095367</v>
      </c>
      <c r="W538" s="252"/>
      <c r="X538" s="70"/>
      <c r="Y538" s="70"/>
      <c r="Z538" s="25" t="s">
        <v>3092</v>
      </c>
      <c r="AA538" s="195">
        <v>0</v>
      </c>
      <c r="AB538" s="226">
        <v>120</v>
      </c>
      <c r="AC538" s="225">
        <f t="shared" si="29"/>
        <v>0</v>
      </c>
    </row>
    <row r="539" spans="1:29" s="10" customFormat="1" ht="15" customHeight="1">
      <c r="A539" s="28" t="s">
        <v>769</v>
      </c>
      <c r="B539" s="29" t="s">
        <v>1701</v>
      </c>
      <c r="C539" s="30" t="s">
        <v>1806</v>
      </c>
      <c r="D539" s="232" t="s">
        <v>1717</v>
      </c>
      <c r="E539" s="28" t="s">
        <v>3093</v>
      </c>
      <c r="F539" s="28" t="s">
        <v>3094</v>
      </c>
      <c r="G539" s="28" t="s">
        <v>35</v>
      </c>
      <c r="H539" s="33" t="s">
        <v>3095</v>
      </c>
      <c r="I539" s="33" t="e">
        <f>VLOOKUP(H539,'合同高级查询数据-8月返'!A:A,1,FALSE)</f>
        <v>#N/A</v>
      </c>
      <c r="J539" s="38" t="s">
        <v>37</v>
      </c>
      <c r="K539" s="28" t="s">
        <v>3096</v>
      </c>
      <c r="L539" s="33" t="s">
        <v>3097</v>
      </c>
      <c r="M539" s="28" t="s">
        <v>3098</v>
      </c>
      <c r="N539" s="44" t="s">
        <v>3099</v>
      </c>
      <c r="O539" s="28" t="s">
        <v>1848</v>
      </c>
      <c r="P539" s="211">
        <v>5200</v>
      </c>
      <c r="Q539" s="217">
        <v>0</v>
      </c>
      <c r="R539" s="218">
        <f t="shared" si="27"/>
        <v>0</v>
      </c>
      <c r="S539" s="59">
        <v>202308</v>
      </c>
      <c r="T539" s="60" t="s">
        <v>3100</v>
      </c>
      <c r="U539" s="60"/>
      <c r="V539" s="224">
        <v>0</v>
      </c>
      <c r="W539" s="251"/>
      <c r="X539" s="74">
        <v>44805</v>
      </c>
      <c r="Y539" s="74">
        <v>45169</v>
      </c>
      <c r="Z539" s="224">
        <v>0</v>
      </c>
      <c r="AA539" s="193">
        <v>0</v>
      </c>
      <c r="AB539" s="224">
        <v>0</v>
      </c>
      <c r="AC539" s="224">
        <f t="shared" si="29"/>
        <v>0</v>
      </c>
    </row>
    <row r="540" spans="1:29" s="10" customFormat="1" ht="15" customHeight="1">
      <c r="A540" s="28" t="s">
        <v>769</v>
      </c>
      <c r="B540" s="29" t="s">
        <v>1701</v>
      </c>
      <c r="C540" s="30" t="s">
        <v>2189</v>
      </c>
      <c r="D540" s="232" t="s">
        <v>1717</v>
      </c>
      <c r="E540" s="28" t="s">
        <v>99</v>
      </c>
      <c r="F540" s="28" t="s">
        <v>2709</v>
      </c>
      <c r="G540" s="28" t="s">
        <v>35</v>
      </c>
      <c r="H540" s="33" t="s">
        <v>3101</v>
      </c>
      <c r="I540" s="33" t="str">
        <f>VLOOKUP(H540,'合同高级查询数据-8月返'!A:A,1,FALSE)</f>
        <v>182315IDC00348</v>
      </c>
      <c r="J540" s="38" t="s">
        <v>37</v>
      </c>
      <c r="K540" s="28" t="s">
        <v>2344</v>
      </c>
      <c r="L540" s="33" t="s">
        <v>3102</v>
      </c>
      <c r="M540" s="28" t="s">
        <v>3103</v>
      </c>
      <c r="N540" s="44" t="s">
        <v>3104</v>
      </c>
      <c r="O540" s="28" t="s">
        <v>3105</v>
      </c>
      <c r="P540" s="211">
        <v>4500</v>
      </c>
      <c r="Q540" s="217">
        <v>0</v>
      </c>
      <c r="R540" s="218">
        <f t="shared" si="27"/>
        <v>0</v>
      </c>
      <c r="S540" s="59">
        <v>202308</v>
      </c>
      <c r="T540" s="60" t="s">
        <v>3106</v>
      </c>
      <c r="U540" s="60"/>
      <c r="V540" s="224">
        <v>0</v>
      </c>
      <c r="W540" s="251"/>
      <c r="X540" s="74">
        <v>44986</v>
      </c>
      <c r="Y540" s="74">
        <v>45382</v>
      </c>
      <c r="Z540" s="224">
        <v>0</v>
      </c>
      <c r="AA540" s="193">
        <v>0</v>
      </c>
      <c r="AB540" s="224">
        <v>0</v>
      </c>
      <c r="AC540" s="224">
        <f t="shared" si="29"/>
        <v>0</v>
      </c>
    </row>
    <row r="541" spans="1:29" s="10" customFormat="1" ht="15" customHeight="1">
      <c r="A541" s="28" t="s">
        <v>750</v>
      </c>
      <c r="B541" s="29" t="s">
        <v>1701</v>
      </c>
      <c r="C541" s="30" t="s">
        <v>302</v>
      </c>
      <c r="D541" s="232" t="s">
        <v>1717</v>
      </c>
      <c r="E541" s="28" t="s">
        <v>99</v>
      </c>
      <c r="F541" s="28" t="s">
        <v>2709</v>
      </c>
      <c r="G541" s="28" t="s">
        <v>35</v>
      </c>
      <c r="H541" s="33" t="s">
        <v>3107</v>
      </c>
      <c r="I541" s="33" t="e">
        <f>VLOOKUP(H541,'合同高级查询数据-8月返'!A:A,1,FALSE)</f>
        <v>#N/A</v>
      </c>
      <c r="J541" s="38" t="s">
        <v>37</v>
      </c>
      <c r="K541" s="28" t="s">
        <v>460</v>
      </c>
      <c r="L541" s="33" t="s">
        <v>3108</v>
      </c>
      <c r="M541" s="28" t="s">
        <v>3109</v>
      </c>
      <c r="N541" s="44" t="s">
        <v>3110</v>
      </c>
      <c r="O541" s="28" t="s">
        <v>1848</v>
      </c>
      <c r="P541" s="211">
        <v>6000</v>
      </c>
      <c r="Q541" s="217">
        <v>0</v>
      </c>
      <c r="R541" s="218">
        <f t="shared" si="27"/>
        <v>0</v>
      </c>
      <c r="S541" s="59">
        <v>202308</v>
      </c>
      <c r="T541" s="249" t="s">
        <v>3111</v>
      </c>
      <c r="U541" s="60"/>
      <c r="V541" s="224">
        <v>0</v>
      </c>
      <c r="W541" s="251"/>
      <c r="X541" s="74">
        <v>44713</v>
      </c>
      <c r="Y541" s="74">
        <v>45016</v>
      </c>
      <c r="Z541" s="224">
        <v>0</v>
      </c>
      <c r="AA541" s="193">
        <v>0</v>
      </c>
      <c r="AB541" s="224">
        <v>0</v>
      </c>
      <c r="AC541" s="224">
        <f t="shared" si="29"/>
        <v>0</v>
      </c>
    </row>
    <row r="542" spans="1:29" s="10" customFormat="1" ht="15" customHeight="1">
      <c r="A542" s="28" t="s">
        <v>769</v>
      </c>
      <c r="B542" s="29" t="s">
        <v>1701</v>
      </c>
      <c r="C542" s="30" t="s">
        <v>751</v>
      </c>
      <c r="D542" s="232" t="s">
        <v>1717</v>
      </c>
      <c r="E542" s="28" t="s">
        <v>99</v>
      </c>
      <c r="F542" s="28" t="s">
        <v>2709</v>
      </c>
      <c r="G542" s="28" t="s">
        <v>35</v>
      </c>
      <c r="H542" s="33" t="s">
        <v>3112</v>
      </c>
      <c r="I542" s="33" t="e">
        <f>VLOOKUP(H542,'合同高级查询数据-8月返'!A:A,1,FALSE)</f>
        <v>#N/A</v>
      </c>
      <c r="J542" s="38" t="s">
        <v>37</v>
      </c>
      <c r="K542" s="28" t="s">
        <v>2167</v>
      </c>
      <c r="L542" s="33" t="s">
        <v>3113</v>
      </c>
      <c r="M542" s="28" t="s">
        <v>3114</v>
      </c>
      <c r="N542" s="44" t="s">
        <v>3115</v>
      </c>
      <c r="O542" s="28" t="s">
        <v>531</v>
      </c>
      <c r="P542" s="211">
        <v>4400</v>
      </c>
      <c r="Q542" s="217">
        <v>0</v>
      </c>
      <c r="R542" s="218">
        <f t="shared" si="27"/>
        <v>0</v>
      </c>
      <c r="S542" s="59">
        <v>202308</v>
      </c>
      <c r="T542" s="60" t="s">
        <v>3116</v>
      </c>
      <c r="U542" s="60"/>
      <c r="V542" s="224">
        <v>0</v>
      </c>
      <c r="W542" s="251"/>
      <c r="X542" s="74">
        <v>44652</v>
      </c>
      <c r="Y542" s="74">
        <v>45016</v>
      </c>
      <c r="Z542" s="224">
        <v>0</v>
      </c>
      <c r="AA542" s="193">
        <v>0</v>
      </c>
      <c r="AB542" s="224">
        <v>0</v>
      </c>
      <c r="AC542" s="224">
        <f t="shared" si="29"/>
        <v>0</v>
      </c>
    </row>
    <row r="543" spans="1:29" s="10" customFormat="1" ht="15" customHeight="1">
      <c r="A543" s="28" t="s">
        <v>769</v>
      </c>
      <c r="B543" s="29" t="s">
        <v>1701</v>
      </c>
      <c r="C543" s="30" t="s">
        <v>751</v>
      </c>
      <c r="D543" s="232" t="s">
        <v>1717</v>
      </c>
      <c r="E543" s="28" t="s">
        <v>99</v>
      </c>
      <c r="F543" s="28" t="s">
        <v>2709</v>
      </c>
      <c r="G543" s="28" t="s">
        <v>35</v>
      </c>
      <c r="H543" s="33" t="s">
        <v>3117</v>
      </c>
      <c r="I543" s="33" t="e">
        <f>VLOOKUP(H543,'合同高级查询数据-8月返'!A:A,1,FALSE)</f>
        <v>#N/A</v>
      </c>
      <c r="J543" s="38" t="s">
        <v>37</v>
      </c>
      <c r="K543" s="28" t="s">
        <v>2167</v>
      </c>
      <c r="L543" s="33" t="s">
        <v>3118</v>
      </c>
      <c r="M543" s="28" t="s">
        <v>3114</v>
      </c>
      <c r="N543" s="44" t="s">
        <v>3119</v>
      </c>
      <c r="O543" s="28" t="s">
        <v>840</v>
      </c>
      <c r="P543" s="211">
        <v>4400</v>
      </c>
      <c r="Q543" s="217">
        <v>0</v>
      </c>
      <c r="R543" s="218">
        <f t="shared" si="27"/>
        <v>0</v>
      </c>
      <c r="S543" s="59">
        <v>202308</v>
      </c>
      <c r="T543" s="60" t="s">
        <v>3120</v>
      </c>
      <c r="U543" s="60"/>
      <c r="V543" s="224">
        <v>0</v>
      </c>
      <c r="W543" s="251"/>
      <c r="X543" s="74">
        <v>44652</v>
      </c>
      <c r="Y543" s="74">
        <v>45016</v>
      </c>
      <c r="Z543" s="224">
        <v>0</v>
      </c>
      <c r="AA543" s="193">
        <v>0</v>
      </c>
      <c r="AB543" s="224">
        <v>0</v>
      </c>
      <c r="AC543" s="224">
        <f t="shared" si="29"/>
        <v>0</v>
      </c>
    </row>
    <row r="544" spans="1:29" s="10" customFormat="1" ht="15" customHeight="1">
      <c r="A544" s="28" t="s">
        <v>750</v>
      </c>
      <c r="B544" s="29" t="s">
        <v>1701</v>
      </c>
      <c r="C544" s="30" t="s">
        <v>302</v>
      </c>
      <c r="D544" s="232" t="s">
        <v>1717</v>
      </c>
      <c r="E544" s="28" t="s">
        <v>99</v>
      </c>
      <c r="F544" s="28" t="s">
        <v>2709</v>
      </c>
      <c r="G544" s="28" t="s">
        <v>35</v>
      </c>
      <c r="H544" s="33" t="s">
        <v>3121</v>
      </c>
      <c r="I544" s="33" t="e">
        <f>VLOOKUP(H544,'合同高级查询数据-8月返'!A:A,1,FALSE)</f>
        <v>#N/A</v>
      </c>
      <c r="J544" s="38" t="s">
        <v>37</v>
      </c>
      <c r="K544" s="28" t="s">
        <v>460</v>
      </c>
      <c r="L544" s="33" t="s">
        <v>3122</v>
      </c>
      <c r="M544" s="28" t="s">
        <v>3109</v>
      </c>
      <c r="N544" s="44" t="s">
        <v>3123</v>
      </c>
      <c r="O544" s="28" t="s">
        <v>3124</v>
      </c>
      <c r="P544" s="211">
        <v>4900</v>
      </c>
      <c r="Q544" s="217">
        <v>0</v>
      </c>
      <c r="R544" s="218">
        <f t="shared" si="27"/>
        <v>0</v>
      </c>
      <c r="S544" s="59">
        <v>202308</v>
      </c>
      <c r="T544" s="60" t="s">
        <v>3125</v>
      </c>
      <c r="U544" s="60"/>
      <c r="V544" s="224">
        <v>0</v>
      </c>
      <c r="W544" s="251"/>
      <c r="X544" s="74">
        <v>44652</v>
      </c>
      <c r="Y544" s="74">
        <v>45016</v>
      </c>
      <c r="Z544" s="224">
        <v>0</v>
      </c>
      <c r="AA544" s="193">
        <v>0</v>
      </c>
      <c r="AB544" s="224">
        <v>0</v>
      </c>
      <c r="AC544" s="224">
        <f t="shared" si="29"/>
        <v>0</v>
      </c>
    </row>
    <row r="545" spans="1:29" s="10" customFormat="1" ht="15" customHeight="1">
      <c r="A545" s="28" t="s">
        <v>750</v>
      </c>
      <c r="B545" s="29" t="s">
        <v>1701</v>
      </c>
      <c r="C545" s="30" t="s">
        <v>302</v>
      </c>
      <c r="D545" s="232" t="s">
        <v>1717</v>
      </c>
      <c r="E545" s="28" t="s">
        <v>99</v>
      </c>
      <c r="F545" s="28" t="s">
        <v>2709</v>
      </c>
      <c r="G545" s="28" t="s">
        <v>35</v>
      </c>
      <c r="H545" s="33" t="s">
        <v>3126</v>
      </c>
      <c r="I545" s="33" t="e">
        <f>VLOOKUP(H545,'合同高级查询数据-8月返'!A:A,1,FALSE)</f>
        <v>#N/A</v>
      </c>
      <c r="J545" s="38" t="s">
        <v>37</v>
      </c>
      <c r="K545" s="28" t="s">
        <v>460</v>
      </c>
      <c r="L545" s="33" t="s">
        <v>3127</v>
      </c>
      <c r="M545" s="28" t="s">
        <v>3128</v>
      </c>
      <c r="N545" s="44" t="s">
        <v>3129</v>
      </c>
      <c r="O545" s="28" t="s">
        <v>1263</v>
      </c>
      <c r="P545" s="211">
        <v>6000</v>
      </c>
      <c r="Q545" s="217">
        <v>0</v>
      </c>
      <c r="R545" s="218">
        <f t="shared" si="27"/>
        <v>0</v>
      </c>
      <c r="S545" s="59">
        <v>202308</v>
      </c>
      <c r="T545" s="60" t="s">
        <v>3130</v>
      </c>
      <c r="U545" s="60"/>
      <c r="V545" s="224">
        <v>0</v>
      </c>
      <c r="W545" s="251"/>
      <c r="X545" s="74">
        <v>44658</v>
      </c>
      <c r="Y545" s="74">
        <v>45016</v>
      </c>
      <c r="Z545" s="224">
        <v>0</v>
      </c>
      <c r="AA545" s="193">
        <v>0</v>
      </c>
      <c r="AB545" s="224">
        <v>0</v>
      </c>
      <c r="AC545" s="224">
        <f t="shared" si="29"/>
        <v>0</v>
      </c>
    </row>
    <row r="546" spans="1:29" s="10" customFormat="1" ht="15" customHeight="1">
      <c r="A546" s="28" t="s">
        <v>762</v>
      </c>
      <c r="B546" s="29" t="s">
        <v>1701</v>
      </c>
      <c r="C546" s="30" t="s">
        <v>302</v>
      </c>
      <c r="D546" s="232" t="s">
        <v>1717</v>
      </c>
      <c r="E546" s="28" t="s">
        <v>99</v>
      </c>
      <c r="F546" s="28" t="s">
        <v>2709</v>
      </c>
      <c r="G546" s="28" t="s">
        <v>35</v>
      </c>
      <c r="H546" s="33" t="s">
        <v>3131</v>
      </c>
      <c r="I546" s="33" t="e">
        <f>VLOOKUP(H546,'合同高级查询数据-8月返'!A:A,1,FALSE)</f>
        <v>#N/A</v>
      </c>
      <c r="J546" s="38" t="s">
        <v>37</v>
      </c>
      <c r="K546" s="28" t="s">
        <v>460</v>
      </c>
      <c r="L546" s="33" t="s">
        <v>3132</v>
      </c>
      <c r="M546" s="28" t="s">
        <v>3133</v>
      </c>
      <c r="N546" s="44" t="s">
        <v>3134</v>
      </c>
      <c r="O546" s="28" t="s">
        <v>1848</v>
      </c>
      <c r="P546" s="211">
        <v>5800</v>
      </c>
      <c r="Q546" s="217">
        <v>0</v>
      </c>
      <c r="R546" s="218">
        <f t="shared" ref="R546:R590" si="30">ROUND(P546*Q546,2)</f>
        <v>0</v>
      </c>
      <c r="S546" s="59">
        <v>202308</v>
      </c>
      <c r="T546" s="60" t="s">
        <v>3135</v>
      </c>
      <c r="U546" s="60"/>
      <c r="V546" s="224">
        <v>0</v>
      </c>
      <c r="W546" s="251"/>
      <c r="X546" s="74">
        <v>44660</v>
      </c>
      <c r="Y546" s="74">
        <v>44712</v>
      </c>
      <c r="Z546" s="224">
        <v>0</v>
      </c>
      <c r="AA546" s="193">
        <v>0</v>
      </c>
      <c r="AB546" s="224">
        <v>0</v>
      </c>
      <c r="AC546" s="224">
        <f t="shared" si="29"/>
        <v>0</v>
      </c>
    </row>
    <row r="547" spans="1:29" s="10" customFormat="1" ht="15" customHeight="1">
      <c r="A547" s="28" t="s">
        <v>762</v>
      </c>
      <c r="B547" s="29" t="s">
        <v>1701</v>
      </c>
      <c r="C547" s="30" t="s">
        <v>302</v>
      </c>
      <c r="D547" s="232" t="s">
        <v>1717</v>
      </c>
      <c r="E547" s="28" t="s">
        <v>99</v>
      </c>
      <c r="F547" s="28" t="s">
        <v>2709</v>
      </c>
      <c r="G547" s="28" t="s">
        <v>35</v>
      </c>
      <c r="H547" s="33" t="s">
        <v>3136</v>
      </c>
      <c r="I547" s="33" t="e">
        <f>VLOOKUP(H547,'合同高级查询数据-8月返'!A:A,1,FALSE)</f>
        <v>#N/A</v>
      </c>
      <c r="J547" s="38" t="s">
        <v>37</v>
      </c>
      <c r="K547" s="28" t="s">
        <v>3137</v>
      </c>
      <c r="L547" s="33" t="s">
        <v>3138</v>
      </c>
      <c r="M547" s="28" t="s">
        <v>3139</v>
      </c>
      <c r="N547" s="44" t="s">
        <v>3140</v>
      </c>
      <c r="O547" s="28" t="s">
        <v>840</v>
      </c>
      <c r="P547" s="211">
        <v>4700</v>
      </c>
      <c r="Q547" s="217">
        <v>0</v>
      </c>
      <c r="R547" s="218">
        <f t="shared" si="30"/>
        <v>0</v>
      </c>
      <c r="S547" s="59">
        <v>202308</v>
      </c>
      <c r="T547" s="60" t="s">
        <v>3141</v>
      </c>
      <c r="U547" s="60"/>
      <c r="V547" s="224">
        <v>0</v>
      </c>
      <c r="W547" s="251"/>
      <c r="X547" s="74">
        <v>44682</v>
      </c>
      <c r="Y547" s="74">
        <v>45016</v>
      </c>
      <c r="Z547" s="224">
        <v>0</v>
      </c>
      <c r="AA547" s="193">
        <v>0</v>
      </c>
      <c r="AB547" s="224">
        <v>0</v>
      </c>
      <c r="AC547" s="224">
        <f t="shared" si="29"/>
        <v>0</v>
      </c>
    </row>
    <row r="548" spans="1:29" s="10" customFormat="1" ht="15" customHeight="1">
      <c r="A548" s="28" t="s">
        <v>750</v>
      </c>
      <c r="B548" s="29" t="s">
        <v>1701</v>
      </c>
      <c r="C548" s="30" t="s">
        <v>1716</v>
      </c>
      <c r="D548" s="232" t="s">
        <v>1717</v>
      </c>
      <c r="E548" s="28" t="s">
        <v>99</v>
      </c>
      <c r="F548" s="28" t="s">
        <v>2709</v>
      </c>
      <c r="G548" s="28" t="s">
        <v>35</v>
      </c>
      <c r="H548" s="33" t="s">
        <v>3142</v>
      </c>
      <c r="I548" s="33" t="str">
        <f>VLOOKUP(H548,'合同高级查询数据-8月返'!A:A,1,FALSE)</f>
        <v>182315IDC00380</v>
      </c>
      <c r="J548" s="38" t="s">
        <v>37</v>
      </c>
      <c r="K548" s="28" t="s">
        <v>2695</v>
      </c>
      <c r="L548" s="33" t="s">
        <v>3143</v>
      </c>
      <c r="M548" s="28" t="s">
        <v>3144</v>
      </c>
      <c r="N548" s="44" t="s">
        <v>3054</v>
      </c>
      <c r="O548" s="28" t="s">
        <v>840</v>
      </c>
      <c r="P548" s="211">
        <v>4600</v>
      </c>
      <c r="Q548" s="217">
        <v>0</v>
      </c>
      <c r="R548" s="218">
        <f t="shared" si="30"/>
        <v>0</v>
      </c>
      <c r="S548" s="59">
        <v>202308</v>
      </c>
      <c r="T548" s="60" t="s">
        <v>3145</v>
      </c>
      <c r="U548" s="60"/>
      <c r="V548" s="224">
        <v>0</v>
      </c>
      <c r="W548" s="251"/>
      <c r="X548" s="74">
        <v>45017</v>
      </c>
      <c r="Y548" s="74">
        <v>45382</v>
      </c>
      <c r="Z548" s="224">
        <v>0</v>
      </c>
      <c r="AA548" s="193">
        <v>0</v>
      </c>
      <c r="AB548" s="224">
        <v>0</v>
      </c>
      <c r="AC548" s="224">
        <f t="shared" si="29"/>
        <v>0</v>
      </c>
    </row>
    <row r="549" spans="1:29" s="10" customFormat="1" ht="15" customHeight="1">
      <c r="A549" s="28" t="s">
        <v>750</v>
      </c>
      <c r="B549" s="29" t="s">
        <v>1701</v>
      </c>
      <c r="C549" s="30" t="s">
        <v>1716</v>
      </c>
      <c r="D549" s="232" t="s">
        <v>1717</v>
      </c>
      <c r="E549" s="28" t="s">
        <v>99</v>
      </c>
      <c r="F549" s="28" t="s">
        <v>2709</v>
      </c>
      <c r="G549" s="28" t="s">
        <v>35</v>
      </c>
      <c r="H549" s="33" t="s">
        <v>3142</v>
      </c>
      <c r="I549" s="33" t="str">
        <f>VLOOKUP(H549,'合同高级查询数据-8月返'!A:A,1,FALSE)</f>
        <v>182315IDC00380</v>
      </c>
      <c r="J549" s="38" t="s">
        <v>37</v>
      </c>
      <c r="K549" s="28" t="s">
        <v>2695</v>
      </c>
      <c r="L549" s="33" t="s">
        <v>3146</v>
      </c>
      <c r="M549" s="28" t="s">
        <v>3144</v>
      </c>
      <c r="N549" s="44" t="s">
        <v>3054</v>
      </c>
      <c r="O549" s="28" t="s">
        <v>840</v>
      </c>
      <c r="P549" s="211">
        <v>4600</v>
      </c>
      <c r="Q549" s="217">
        <v>0</v>
      </c>
      <c r="R549" s="218">
        <f t="shared" si="30"/>
        <v>0</v>
      </c>
      <c r="S549" s="59">
        <v>202308</v>
      </c>
      <c r="T549" s="60" t="s">
        <v>3145</v>
      </c>
      <c r="U549" s="60"/>
      <c r="V549" s="224">
        <v>0</v>
      </c>
      <c r="W549" s="251"/>
      <c r="X549" s="74">
        <v>45017</v>
      </c>
      <c r="Y549" s="74">
        <v>45382</v>
      </c>
      <c r="Z549" s="224">
        <v>0</v>
      </c>
      <c r="AA549" s="193">
        <v>0</v>
      </c>
      <c r="AB549" s="224">
        <v>0</v>
      </c>
      <c r="AC549" s="224">
        <f t="shared" si="29"/>
        <v>0</v>
      </c>
    </row>
    <row r="550" spans="1:29" s="10" customFormat="1" ht="15" customHeight="1">
      <c r="A550" s="28" t="s">
        <v>750</v>
      </c>
      <c r="B550" s="29" t="s">
        <v>1701</v>
      </c>
      <c r="C550" s="30" t="s">
        <v>2515</v>
      </c>
      <c r="D550" s="232" t="s">
        <v>1717</v>
      </c>
      <c r="E550" s="28" t="s">
        <v>99</v>
      </c>
      <c r="F550" s="28" t="s">
        <v>2709</v>
      </c>
      <c r="G550" s="28" t="s">
        <v>35</v>
      </c>
      <c r="H550" s="33" t="s">
        <v>3147</v>
      </c>
      <c r="I550" s="33" t="str">
        <f>VLOOKUP(H550,'合同高级查询数据-8月返'!A:A,1,FALSE)</f>
        <v>182315IDC00339</v>
      </c>
      <c r="J550" s="38" t="s">
        <v>37</v>
      </c>
      <c r="K550" s="28" t="s">
        <v>2517</v>
      </c>
      <c r="L550" s="33" t="s">
        <v>3148</v>
      </c>
      <c r="M550" s="28" t="s">
        <v>3149</v>
      </c>
      <c r="N550" s="44" t="s">
        <v>3150</v>
      </c>
      <c r="O550" s="28" t="s">
        <v>840</v>
      </c>
      <c r="P550" s="211">
        <v>4800</v>
      </c>
      <c r="Q550" s="217">
        <v>0</v>
      </c>
      <c r="R550" s="218">
        <f t="shared" si="30"/>
        <v>0</v>
      </c>
      <c r="S550" s="59">
        <v>202308</v>
      </c>
      <c r="T550" s="60" t="s">
        <v>3151</v>
      </c>
      <c r="U550" s="60"/>
      <c r="V550" s="224">
        <v>0</v>
      </c>
      <c r="W550" s="251"/>
      <c r="X550" s="74">
        <v>45017</v>
      </c>
      <c r="Y550" s="74">
        <v>45382</v>
      </c>
      <c r="Z550" s="224">
        <v>0</v>
      </c>
      <c r="AA550" s="193">
        <v>0</v>
      </c>
      <c r="AB550" s="224">
        <v>0</v>
      </c>
      <c r="AC550" s="224">
        <f t="shared" si="29"/>
        <v>0</v>
      </c>
    </row>
    <row r="551" spans="1:29" s="10" customFormat="1" ht="15" customHeight="1">
      <c r="A551" s="28" t="s">
        <v>769</v>
      </c>
      <c r="B551" s="29" t="s">
        <v>1701</v>
      </c>
      <c r="C551" s="30" t="s">
        <v>138</v>
      </c>
      <c r="D551" s="232" t="s">
        <v>1717</v>
      </c>
      <c r="E551" s="28" t="s">
        <v>99</v>
      </c>
      <c r="F551" s="28" t="s">
        <v>2709</v>
      </c>
      <c r="G551" s="28" t="s">
        <v>35</v>
      </c>
      <c r="H551" s="33" t="s">
        <v>3152</v>
      </c>
      <c r="I551" s="33" t="str">
        <f>VLOOKUP(H551,'合同高级查询数据-8月返'!A:A,1,FALSE)</f>
        <v>182315IDC00345</v>
      </c>
      <c r="J551" s="38" t="s">
        <v>37</v>
      </c>
      <c r="K551" s="28" t="s">
        <v>206</v>
      </c>
      <c r="L551" s="33" t="s">
        <v>3153</v>
      </c>
      <c r="M551" s="28" t="s">
        <v>3154</v>
      </c>
      <c r="N551" s="44" t="s">
        <v>520</v>
      </c>
      <c r="O551" s="28" t="s">
        <v>840</v>
      </c>
      <c r="P551" s="211">
        <v>4500</v>
      </c>
      <c r="Q551" s="217">
        <v>0</v>
      </c>
      <c r="R551" s="218">
        <f t="shared" si="30"/>
        <v>0</v>
      </c>
      <c r="S551" s="59">
        <v>202308</v>
      </c>
      <c r="T551" s="248" t="s">
        <v>3155</v>
      </c>
      <c r="U551" s="60"/>
      <c r="V551" s="224">
        <v>0</v>
      </c>
      <c r="W551" s="251"/>
      <c r="X551" s="74">
        <v>45017</v>
      </c>
      <c r="Y551" s="74">
        <v>45382</v>
      </c>
      <c r="Z551" s="224">
        <v>0</v>
      </c>
      <c r="AA551" s="193">
        <v>0</v>
      </c>
      <c r="AB551" s="224">
        <v>0</v>
      </c>
      <c r="AC551" s="224">
        <f t="shared" si="29"/>
        <v>0</v>
      </c>
    </row>
    <row r="552" spans="1:29" s="10" customFormat="1" ht="15" customHeight="1">
      <c r="A552" s="28" t="s">
        <v>769</v>
      </c>
      <c r="B552" s="29" t="s">
        <v>1701</v>
      </c>
      <c r="C552" s="30" t="s">
        <v>138</v>
      </c>
      <c r="D552" s="232" t="s">
        <v>1717</v>
      </c>
      <c r="E552" s="28" t="s">
        <v>99</v>
      </c>
      <c r="F552" s="28" t="s">
        <v>2709</v>
      </c>
      <c r="G552" s="28" t="s">
        <v>35</v>
      </c>
      <c r="H552" s="33" t="s">
        <v>3152</v>
      </c>
      <c r="I552" s="33" t="str">
        <f>VLOOKUP(H552,'合同高级查询数据-8月返'!A:A,1,FALSE)</f>
        <v>182315IDC00345</v>
      </c>
      <c r="J552" s="38" t="s">
        <v>37</v>
      </c>
      <c r="K552" s="28" t="s">
        <v>206</v>
      </c>
      <c r="L552" s="33" t="s">
        <v>3156</v>
      </c>
      <c r="M552" s="28" t="s">
        <v>3154</v>
      </c>
      <c r="N552" s="44" t="s">
        <v>520</v>
      </c>
      <c r="O552" s="28" t="s">
        <v>840</v>
      </c>
      <c r="P552" s="211">
        <v>4500</v>
      </c>
      <c r="Q552" s="217">
        <v>0</v>
      </c>
      <c r="R552" s="218">
        <f t="shared" si="30"/>
        <v>0</v>
      </c>
      <c r="S552" s="59">
        <v>202308</v>
      </c>
      <c r="T552" s="248" t="s">
        <v>3155</v>
      </c>
      <c r="U552" s="60"/>
      <c r="V552" s="224">
        <v>0</v>
      </c>
      <c r="W552" s="251"/>
      <c r="X552" s="74">
        <v>45017</v>
      </c>
      <c r="Y552" s="74">
        <v>45382</v>
      </c>
      <c r="Z552" s="224">
        <v>0</v>
      </c>
      <c r="AA552" s="193">
        <v>0</v>
      </c>
      <c r="AB552" s="224">
        <v>0</v>
      </c>
      <c r="AC552" s="224">
        <f t="shared" si="29"/>
        <v>0</v>
      </c>
    </row>
    <row r="553" spans="1:29" s="10" customFormat="1" ht="15" customHeight="1">
      <c r="A553" s="28" t="s">
        <v>762</v>
      </c>
      <c r="B553" s="29" t="s">
        <v>1701</v>
      </c>
      <c r="C553" s="30" t="s">
        <v>302</v>
      </c>
      <c r="D553" s="232" t="s">
        <v>1717</v>
      </c>
      <c r="E553" s="28" t="s">
        <v>99</v>
      </c>
      <c r="F553" s="28" t="s">
        <v>2709</v>
      </c>
      <c r="G553" s="28" t="s">
        <v>35</v>
      </c>
      <c r="H553" s="33" t="s">
        <v>3157</v>
      </c>
      <c r="I553" s="33" t="e">
        <f>VLOOKUP(H553,'合同高级查询数据-8月返'!A:A,1,FALSE)</f>
        <v>#N/A</v>
      </c>
      <c r="J553" s="38" t="s">
        <v>37</v>
      </c>
      <c r="K553" s="28" t="s">
        <v>1831</v>
      </c>
      <c r="L553" s="33" t="s">
        <v>3158</v>
      </c>
      <c r="M553" s="28" t="s">
        <v>3159</v>
      </c>
      <c r="N553" s="44" t="s">
        <v>3160</v>
      </c>
      <c r="O553" s="28" t="s">
        <v>531</v>
      </c>
      <c r="P553" s="211">
        <v>4700</v>
      </c>
      <c r="Q553" s="217">
        <v>0</v>
      </c>
      <c r="R553" s="218">
        <f t="shared" si="30"/>
        <v>0</v>
      </c>
      <c r="S553" s="59">
        <v>202308</v>
      </c>
      <c r="T553" s="249" t="s">
        <v>3161</v>
      </c>
      <c r="U553" s="60"/>
      <c r="V553" s="224">
        <v>0</v>
      </c>
      <c r="W553" s="251"/>
      <c r="X553" s="74">
        <v>44774</v>
      </c>
      <c r="Y553" s="74">
        <v>45016</v>
      </c>
      <c r="Z553" s="224">
        <v>0</v>
      </c>
      <c r="AA553" s="193">
        <v>0</v>
      </c>
      <c r="AB553" s="224">
        <v>0</v>
      </c>
      <c r="AC553" s="224">
        <f t="shared" si="29"/>
        <v>0</v>
      </c>
    </row>
    <row r="554" spans="1:29" s="10" customFormat="1" ht="15" customHeight="1">
      <c r="A554" s="28" t="s">
        <v>769</v>
      </c>
      <c r="B554" s="29" t="s">
        <v>1701</v>
      </c>
      <c r="C554" s="30" t="s">
        <v>751</v>
      </c>
      <c r="D554" s="232" t="s">
        <v>1717</v>
      </c>
      <c r="E554" s="28" t="s">
        <v>99</v>
      </c>
      <c r="F554" s="28" t="s">
        <v>2709</v>
      </c>
      <c r="G554" s="28" t="s">
        <v>35</v>
      </c>
      <c r="H554" s="33" t="s">
        <v>3162</v>
      </c>
      <c r="I554" s="33" t="e">
        <f>VLOOKUP(H554,'合同高级查询数据-8月返'!A:A,1,FALSE)</f>
        <v>#N/A</v>
      </c>
      <c r="J554" s="38" t="s">
        <v>37</v>
      </c>
      <c r="K554" s="28" t="s">
        <v>2167</v>
      </c>
      <c r="L554" s="33" t="s">
        <v>3163</v>
      </c>
      <c r="M554" s="28" t="s">
        <v>3164</v>
      </c>
      <c r="N554" s="44" t="s">
        <v>3165</v>
      </c>
      <c r="O554" s="28" t="s">
        <v>531</v>
      </c>
      <c r="P554" s="211">
        <v>4600</v>
      </c>
      <c r="Q554" s="217">
        <v>0</v>
      </c>
      <c r="R554" s="218">
        <f t="shared" si="30"/>
        <v>0</v>
      </c>
      <c r="S554" s="59">
        <v>202308</v>
      </c>
      <c r="T554" s="249" t="s">
        <v>3166</v>
      </c>
      <c r="U554" s="60"/>
      <c r="V554" s="224">
        <v>0</v>
      </c>
      <c r="W554" s="251"/>
      <c r="X554" s="74">
        <v>44774</v>
      </c>
      <c r="Y554" s="74">
        <v>45016</v>
      </c>
      <c r="Z554" s="224">
        <v>0</v>
      </c>
      <c r="AA554" s="193">
        <v>0</v>
      </c>
      <c r="AB554" s="224">
        <v>0</v>
      </c>
      <c r="AC554" s="224">
        <f t="shared" si="29"/>
        <v>0</v>
      </c>
    </row>
    <row r="555" spans="1:29" s="10" customFormat="1" ht="15" customHeight="1">
      <c r="A555" s="28" t="s">
        <v>769</v>
      </c>
      <c r="B555" s="29" t="s">
        <v>1701</v>
      </c>
      <c r="C555" s="30" t="s">
        <v>2230</v>
      </c>
      <c r="D555" s="232" t="s">
        <v>1717</v>
      </c>
      <c r="E555" s="28" t="s">
        <v>99</v>
      </c>
      <c r="F555" s="28" t="s">
        <v>2709</v>
      </c>
      <c r="G555" s="28" t="s">
        <v>35</v>
      </c>
      <c r="H555" s="33" t="s">
        <v>3167</v>
      </c>
      <c r="I555" s="33" t="e">
        <f>VLOOKUP(H555,'合同高级查询数据-8月返'!A:A,1,FALSE)</f>
        <v>#N/A</v>
      </c>
      <c r="J555" s="38" t="s">
        <v>37</v>
      </c>
      <c r="K555" s="28" t="s">
        <v>3168</v>
      </c>
      <c r="L555" s="33" t="s">
        <v>3169</v>
      </c>
      <c r="M555" s="28" t="s">
        <v>3170</v>
      </c>
      <c r="N555" s="44" t="s">
        <v>3171</v>
      </c>
      <c r="O555" s="28" t="s">
        <v>531</v>
      </c>
      <c r="P555" s="211">
        <v>4500</v>
      </c>
      <c r="Q555" s="217">
        <v>0</v>
      </c>
      <c r="R555" s="218">
        <f t="shared" si="30"/>
        <v>0</v>
      </c>
      <c r="S555" s="59">
        <v>202308</v>
      </c>
      <c r="T555" s="249" t="s">
        <v>3172</v>
      </c>
      <c r="U555" s="60"/>
      <c r="V555" s="224">
        <v>0</v>
      </c>
      <c r="W555" s="251"/>
      <c r="X555" s="74">
        <v>44774</v>
      </c>
      <c r="Y555" s="74">
        <v>45016</v>
      </c>
      <c r="Z555" s="224">
        <v>0</v>
      </c>
      <c r="AA555" s="193">
        <v>0</v>
      </c>
      <c r="AB555" s="224">
        <v>0</v>
      </c>
      <c r="AC555" s="224">
        <f t="shared" si="29"/>
        <v>0</v>
      </c>
    </row>
    <row r="556" spans="1:29" s="10" customFormat="1" ht="15" customHeight="1">
      <c r="A556" s="28" t="s">
        <v>762</v>
      </c>
      <c r="B556" s="29" t="s">
        <v>1701</v>
      </c>
      <c r="C556" s="30" t="s">
        <v>1759</v>
      </c>
      <c r="D556" s="232" t="s">
        <v>1717</v>
      </c>
      <c r="E556" s="28" t="s">
        <v>99</v>
      </c>
      <c r="F556" s="28" t="s">
        <v>2709</v>
      </c>
      <c r="G556" s="28" t="s">
        <v>35</v>
      </c>
      <c r="H556" s="28" t="s">
        <v>3173</v>
      </c>
      <c r="I556" s="33" t="str">
        <f>VLOOKUP(H556,'合同高级查询数据-8月返'!A:A,1,FALSE)</f>
        <v>182315IDC00343</v>
      </c>
      <c r="J556" s="38" t="s">
        <v>37</v>
      </c>
      <c r="K556" s="28" t="s">
        <v>3174</v>
      </c>
      <c r="L556" s="33" t="s">
        <v>3175</v>
      </c>
      <c r="M556" s="28" t="s">
        <v>3176</v>
      </c>
      <c r="N556" s="44">
        <v>44774</v>
      </c>
      <c r="O556" s="28" t="s">
        <v>426</v>
      </c>
      <c r="P556" s="211">
        <v>4600</v>
      </c>
      <c r="Q556" s="217">
        <v>2.2000000000000002</v>
      </c>
      <c r="R556" s="218">
        <f t="shared" si="30"/>
        <v>10120</v>
      </c>
      <c r="S556" s="59">
        <v>202308</v>
      </c>
      <c r="T556" s="248" t="s">
        <v>3177</v>
      </c>
      <c r="U556" s="60"/>
      <c r="V556" s="224">
        <v>2.1263852120000002</v>
      </c>
      <c r="W556" s="251"/>
      <c r="X556" s="74">
        <v>45017</v>
      </c>
      <c r="Y556" s="74">
        <v>45382</v>
      </c>
      <c r="Z556" s="28" t="s">
        <v>3178</v>
      </c>
      <c r="AA556" s="194">
        <v>0</v>
      </c>
      <c r="AB556" s="227">
        <v>10</v>
      </c>
      <c r="AC556" s="224">
        <f t="shared" si="29"/>
        <v>0</v>
      </c>
    </row>
    <row r="557" spans="1:29" s="10" customFormat="1" ht="15" customHeight="1">
      <c r="A557" s="28" t="s">
        <v>769</v>
      </c>
      <c r="B557" s="29" t="s">
        <v>1701</v>
      </c>
      <c r="C557" s="30" t="s">
        <v>1727</v>
      </c>
      <c r="D557" s="232" t="s">
        <v>1717</v>
      </c>
      <c r="E557" s="28" t="s">
        <v>99</v>
      </c>
      <c r="F557" s="28" t="s">
        <v>2709</v>
      </c>
      <c r="G557" s="28" t="s">
        <v>35</v>
      </c>
      <c r="H557" s="33" t="s">
        <v>3179</v>
      </c>
      <c r="I557" s="33" t="str">
        <f>VLOOKUP(H557,'合同高级查询数据-8月返'!A:A,1,FALSE)</f>
        <v>182315IDC00336</v>
      </c>
      <c r="J557" s="38" t="s">
        <v>37</v>
      </c>
      <c r="K557" s="28" t="s">
        <v>2618</v>
      </c>
      <c r="L557" s="33" t="s">
        <v>3180</v>
      </c>
      <c r="M557" s="28" t="s">
        <v>3181</v>
      </c>
      <c r="N557" s="44" t="s">
        <v>2940</v>
      </c>
      <c r="O557" s="28" t="s">
        <v>840</v>
      </c>
      <c r="P557" s="211">
        <v>4500</v>
      </c>
      <c r="Q557" s="217">
        <v>0</v>
      </c>
      <c r="R557" s="218">
        <f t="shared" si="30"/>
        <v>0</v>
      </c>
      <c r="S557" s="59">
        <v>202308</v>
      </c>
      <c r="T557" s="248" t="s">
        <v>3177</v>
      </c>
      <c r="U557" s="60"/>
      <c r="V557" s="224">
        <v>0</v>
      </c>
      <c r="W557" s="251"/>
      <c r="X557" s="74">
        <v>45017</v>
      </c>
      <c r="Y557" s="74">
        <v>45382</v>
      </c>
      <c r="Z557" s="224">
        <v>0</v>
      </c>
      <c r="AA557" s="193">
        <v>0</v>
      </c>
      <c r="AB557" s="224">
        <v>0</v>
      </c>
      <c r="AC557" s="224">
        <f t="shared" si="29"/>
        <v>0</v>
      </c>
    </row>
    <row r="558" spans="1:29" s="10" customFormat="1" ht="15" customHeight="1">
      <c r="A558" s="28" t="s">
        <v>762</v>
      </c>
      <c r="B558" s="29" t="s">
        <v>1701</v>
      </c>
      <c r="C558" s="30" t="s">
        <v>302</v>
      </c>
      <c r="D558" s="232" t="s">
        <v>1717</v>
      </c>
      <c r="E558" s="28" t="s">
        <v>99</v>
      </c>
      <c r="F558" s="28" t="s">
        <v>2709</v>
      </c>
      <c r="G558" s="28" t="s">
        <v>35</v>
      </c>
      <c r="H558" s="33" t="s">
        <v>3182</v>
      </c>
      <c r="I558" s="33" t="e">
        <f>VLOOKUP(H558,'合同高级查询数据-8月返'!A:A,1,FALSE)</f>
        <v>#N/A</v>
      </c>
      <c r="J558" s="38" t="s">
        <v>37</v>
      </c>
      <c r="K558" s="28" t="s">
        <v>1831</v>
      </c>
      <c r="L558" s="33" t="s">
        <v>3183</v>
      </c>
      <c r="M558" s="28" t="s">
        <v>3184</v>
      </c>
      <c r="N558" s="44" t="s">
        <v>3185</v>
      </c>
      <c r="O558" s="28" t="s">
        <v>531</v>
      </c>
      <c r="P558" s="211">
        <v>4700</v>
      </c>
      <c r="Q558" s="217">
        <v>0</v>
      </c>
      <c r="R558" s="218">
        <f t="shared" si="30"/>
        <v>0</v>
      </c>
      <c r="S558" s="59">
        <v>202308</v>
      </c>
      <c r="T558" s="249" t="s">
        <v>3186</v>
      </c>
      <c r="U558" s="60"/>
      <c r="V558" s="224">
        <v>0</v>
      </c>
      <c r="W558" s="251"/>
      <c r="X558" s="74">
        <v>44775</v>
      </c>
      <c r="Y558" s="74">
        <v>45016</v>
      </c>
      <c r="Z558" s="224">
        <v>0</v>
      </c>
      <c r="AA558" s="193">
        <v>0</v>
      </c>
      <c r="AB558" s="224">
        <v>0</v>
      </c>
      <c r="AC558" s="224">
        <f t="shared" si="29"/>
        <v>0</v>
      </c>
    </row>
    <row r="559" spans="1:29" s="10" customFormat="1" ht="15" customHeight="1">
      <c r="A559" s="28" t="s">
        <v>769</v>
      </c>
      <c r="B559" s="29" t="s">
        <v>1701</v>
      </c>
      <c r="C559" s="30" t="s">
        <v>138</v>
      </c>
      <c r="D559" s="232" t="s">
        <v>1717</v>
      </c>
      <c r="E559" s="28" t="s">
        <v>99</v>
      </c>
      <c r="F559" s="28" t="s">
        <v>2709</v>
      </c>
      <c r="G559" s="28" t="s">
        <v>35</v>
      </c>
      <c r="H559" s="33" t="s">
        <v>3187</v>
      </c>
      <c r="I559" s="33" t="str">
        <f>VLOOKUP(H559,'合同高级查询数据-8月返'!A:A,1,FALSE)</f>
        <v>182315IDC00346</v>
      </c>
      <c r="J559" s="38" t="s">
        <v>37</v>
      </c>
      <c r="K559" s="28" t="s">
        <v>206</v>
      </c>
      <c r="L559" s="33" t="s">
        <v>3188</v>
      </c>
      <c r="M559" s="28" t="s">
        <v>3154</v>
      </c>
      <c r="N559" s="44" t="s">
        <v>3189</v>
      </c>
      <c r="O559" s="28" t="s">
        <v>840</v>
      </c>
      <c r="P559" s="211">
        <v>4500</v>
      </c>
      <c r="Q559" s="217">
        <v>0</v>
      </c>
      <c r="R559" s="218">
        <f t="shared" si="30"/>
        <v>0</v>
      </c>
      <c r="S559" s="59">
        <v>202308</v>
      </c>
      <c r="T559" s="248" t="s">
        <v>3190</v>
      </c>
      <c r="U559" s="60"/>
      <c r="V559" s="224">
        <v>0</v>
      </c>
      <c r="W559" s="251"/>
      <c r="X559" s="74">
        <v>45017</v>
      </c>
      <c r="Y559" s="74">
        <v>45382</v>
      </c>
      <c r="Z559" s="224">
        <v>0</v>
      </c>
      <c r="AA559" s="193">
        <v>0</v>
      </c>
      <c r="AB559" s="224">
        <v>0</v>
      </c>
      <c r="AC559" s="224">
        <f t="shared" si="29"/>
        <v>0</v>
      </c>
    </row>
    <row r="560" spans="1:29" s="10" customFormat="1" ht="15" customHeight="1">
      <c r="A560" s="28" t="s">
        <v>750</v>
      </c>
      <c r="B560" s="29" t="s">
        <v>1701</v>
      </c>
      <c r="C560" s="30" t="s">
        <v>2515</v>
      </c>
      <c r="D560" s="232" t="s">
        <v>1717</v>
      </c>
      <c r="E560" s="28" t="s">
        <v>99</v>
      </c>
      <c r="F560" s="28" t="s">
        <v>2709</v>
      </c>
      <c r="G560" s="28" t="s">
        <v>35</v>
      </c>
      <c r="H560" s="33" t="s">
        <v>3191</v>
      </c>
      <c r="I560" s="33" t="str">
        <f>VLOOKUP(H560,'合同高级查询数据-8月返'!A:A,1,FALSE)</f>
        <v>182315IDC00338</v>
      </c>
      <c r="J560" s="38" t="s">
        <v>37</v>
      </c>
      <c r="K560" s="28" t="s">
        <v>2517</v>
      </c>
      <c r="L560" s="33" t="s">
        <v>3192</v>
      </c>
      <c r="M560" s="28" t="s">
        <v>3193</v>
      </c>
      <c r="N560" s="44" t="s">
        <v>3194</v>
      </c>
      <c r="O560" s="28" t="s">
        <v>840</v>
      </c>
      <c r="P560" s="211">
        <v>4800</v>
      </c>
      <c r="Q560" s="217">
        <v>0</v>
      </c>
      <c r="R560" s="218">
        <f t="shared" si="30"/>
        <v>0</v>
      </c>
      <c r="S560" s="59">
        <v>202308</v>
      </c>
      <c r="T560" s="248" t="s">
        <v>3195</v>
      </c>
      <c r="U560" s="60"/>
      <c r="V560" s="224">
        <v>0</v>
      </c>
      <c r="W560" s="251"/>
      <c r="X560" s="74">
        <v>45017</v>
      </c>
      <c r="Y560" s="74">
        <v>45382</v>
      </c>
      <c r="Z560" s="224">
        <v>0</v>
      </c>
      <c r="AA560" s="193">
        <v>0</v>
      </c>
      <c r="AB560" s="224">
        <v>0</v>
      </c>
      <c r="AC560" s="224">
        <f t="shared" si="29"/>
        <v>0</v>
      </c>
    </row>
    <row r="561" spans="1:29" s="10" customFormat="1" ht="15" customHeight="1">
      <c r="A561" s="28" t="s">
        <v>750</v>
      </c>
      <c r="B561" s="29" t="s">
        <v>1701</v>
      </c>
      <c r="C561" s="30" t="s">
        <v>2515</v>
      </c>
      <c r="D561" s="232" t="s">
        <v>1717</v>
      </c>
      <c r="E561" s="28" t="s">
        <v>99</v>
      </c>
      <c r="F561" s="28" t="s">
        <v>2709</v>
      </c>
      <c r="G561" s="28" t="s">
        <v>35</v>
      </c>
      <c r="H561" s="33" t="s">
        <v>3191</v>
      </c>
      <c r="I561" s="33" t="str">
        <f>VLOOKUP(H561,'合同高级查询数据-8月返'!A:A,1,FALSE)</f>
        <v>182315IDC00338</v>
      </c>
      <c r="J561" s="38" t="s">
        <v>37</v>
      </c>
      <c r="K561" s="28" t="s">
        <v>2517</v>
      </c>
      <c r="L561" s="33" t="s">
        <v>3196</v>
      </c>
      <c r="M561" s="28" t="s">
        <v>3193</v>
      </c>
      <c r="N561" s="44" t="s">
        <v>3194</v>
      </c>
      <c r="O561" s="28" t="s">
        <v>840</v>
      </c>
      <c r="P561" s="211">
        <v>4800</v>
      </c>
      <c r="Q561" s="217">
        <v>0</v>
      </c>
      <c r="R561" s="218">
        <f t="shared" si="30"/>
        <v>0</v>
      </c>
      <c r="S561" s="59">
        <v>202308</v>
      </c>
      <c r="T561" s="248" t="s">
        <v>3195</v>
      </c>
      <c r="U561" s="60"/>
      <c r="V561" s="224">
        <v>0</v>
      </c>
      <c r="W561" s="251"/>
      <c r="X561" s="74">
        <v>45017</v>
      </c>
      <c r="Y561" s="74">
        <v>45382</v>
      </c>
      <c r="Z561" s="224">
        <v>0</v>
      </c>
      <c r="AA561" s="193">
        <v>0</v>
      </c>
      <c r="AB561" s="224">
        <v>0</v>
      </c>
      <c r="AC561" s="224">
        <f t="shared" si="29"/>
        <v>0</v>
      </c>
    </row>
    <row r="562" spans="1:29" s="10" customFormat="1" ht="15" customHeight="1">
      <c r="A562" s="28" t="s">
        <v>769</v>
      </c>
      <c r="B562" s="29" t="s">
        <v>1701</v>
      </c>
      <c r="C562" s="30" t="s">
        <v>1850</v>
      </c>
      <c r="D562" s="232" t="s">
        <v>1717</v>
      </c>
      <c r="E562" s="28" t="s">
        <v>99</v>
      </c>
      <c r="F562" s="28" t="s">
        <v>2709</v>
      </c>
      <c r="G562" s="28" t="s">
        <v>35</v>
      </c>
      <c r="H562" s="33" t="s">
        <v>3197</v>
      </c>
      <c r="I562" s="33" t="str">
        <f>VLOOKUP(H562,'合同高级查询数据-8月返'!A:A,1,FALSE)</f>
        <v>182315IDC00341</v>
      </c>
      <c r="J562" s="38" t="s">
        <v>37</v>
      </c>
      <c r="K562" s="28" t="s">
        <v>3198</v>
      </c>
      <c r="L562" s="33" t="s">
        <v>3199</v>
      </c>
      <c r="M562" s="28" t="s">
        <v>3200</v>
      </c>
      <c r="N562" s="44">
        <v>44805</v>
      </c>
      <c r="O562" s="28" t="s">
        <v>426</v>
      </c>
      <c r="P562" s="211">
        <v>4500</v>
      </c>
      <c r="Q562" s="217">
        <v>0</v>
      </c>
      <c r="R562" s="218">
        <f t="shared" si="30"/>
        <v>0</v>
      </c>
      <c r="S562" s="59">
        <v>202308</v>
      </c>
      <c r="T562" s="248" t="s">
        <v>3201</v>
      </c>
      <c r="U562" s="60"/>
      <c r="V562" s="224">
        <v>0</v>
      </c>
      <c r="W562" s="251"/>
      <c r="X562" s="74">
        <v>45017</v>
      </c>
      <c r="Y562" s="74">
        <v>45382</v>
      </c>
      <c r="Z562" s="28" t="s">
        <v>3202</v>
      </c>
      <c r="AA562" s="194">
        <v>0</v>
      </c>
      <c r="AB562" s="227">
        <v>10</v>
      </c>
      <c r="AC562" s="224">
        <f t="shared" si="29"/>
        <v>0</v>
      </c>
    </row>
    <row r="563" spans="1:29" s="10" customFormat="1" ht="15" customHeight="1">
      <c r="A563" s="28" t="s">
        <v>769</v>
      </c>
      <c r="B563" s="29" t="s">
        <v>1701</v>
      </c>
      <c r="C563" s="30" t="s">
        <v>1727</v>
      </c>
      <c r="D563" s="232" t="s">
        <v>1717</v>
      </c>
      <c r="E563" s="28" t="s">
        <v>99</v>
      </c>
      <c r="F563" s="28" t="s">
        <v>2709</v>
      </c>
      <c r="G563" s="28" t="s">
        <v>35</v>
      </c>
      <c r="H563" s="33" t="s">
        <v>3179</v>
      </c>
      <c r="I563" s="33" t="str">
        <f>VLOOKUP(H563,'合同高级查询数据-8月返'!A:A,1,FALSE)</f>
        <v>182315IDC00336</v>
      </c>
      <c r="J563" s="38" t="s">
        <v>37</v>
      </c>
      <c r="K563" s="28" t="s">
        <v>2618</v>
      </c>
      <c r="L563" s="33" t="s">
        <v>3203</v>
      </c>
      <c r="M563" s="28" t="s">
        <v>3204</v>
      </c>
      <c r="N563" s="44" t="s">
        <v>3205</v>
      </c>
      <c r="O563" s="28" t="s">
        <v>840</v>
      </c>
      <c r="P563" s="211">
        <v>4500</v>
      </c>
      <c r="Q563" s="217">
        <v>0</v>
      </c>
      <c r="R563" s="218">
        <f t="shared" si="30"/>
        <v>0</v>
      </c>
      <c r="S563" s="59">
        <v>202308</v>
      </c>
      <c r="T563" s="248" t="s">
        <v>3206</v>
      </c>
      <c r="U563" s="60"/>
      <c r="V563" s="224">
        <v>0</v>
      </c>
      <c r="W563" s="251"/>
      <c r="X563" s="74">
        <v>45017</v>
      </c>
      <c r="Y563" s="74">
        <v>45382</v>
      </c>
      <c r="Z563" s="224">
        <v>0</v>
      </c>
      <c r="AA563" s="193">
        <v>0</v>
      </c>
      <c r="AB563" s="224">
        <v>0</v>
      </c>
      <c r="AC563" s="224">
        <f t="shared" si="29"/>
        <v>0</v>
      </c>
    </row>
    <row r="564" spans="1:29" s="10" customFormat="1" ht="15" customHeight="1">
      <c r="A564" s="28" t="s">
        <v>769</v>
      </c>
      <c r="B564" s="29" t="s">
        <v>1701</v>
      </c>
      <c r="C564" s="30" t="s">
        <v>751</v>
      </c>
      <c r="D564" s="232" t="s">
        <v>1717</v>
      </c>
      <c r="E564" s="28" t="s">
        <v>99</v>
      </c>
      <c r="F564" s="28" t="s">
        <v>2709</v>
      </c>
      <c r="G564" s="28" t="s">
        <v>35</v>
      </c>
      <c r="H564" s="33" t="s">
        <v>3207</v>
      </c>
      <c r="I564" s="33" t="e">
        <f>VLOOKUP(H564,'合同高级查询数据-8月返'!A:A,1,FALSE)</f>
        <v>#N/A</v>
      </c>
      <c r="J564" s="38" t="s">
        <v>37</v>
      </c>
      <c r="K564" s="28" t="s">
        <v>2167</v>
      </c>
      <c r="L564" s="33" t="s">
        <v>3208</v>
      </c>
      <c r="M564" s="28" t="s">
        <v>3114</v>
      </c>
      <c r="N564" s="44" t="s">
        <v>542</v>
      </c>
      <c r="O564" s="28" t="s">
        <v>531</v>
      </c>
      <c r="P564" s="211">
        <v>4600</v>
      </c>
      <c r="Q564" s="217">
        <v>0</v>
      </c>
      <c r="R564" s="218">
        <f t="shared" si="30"/>
        <v>0</v>
      </c>
      <c r="S564" s="59">
        <v>202308</v>
      </c>
      <c r="T564" s="60" t="s">
        <v>3209</v>
      </c>
      <c r="U564" s="60"/>
      <c r="V564" s="224">
        <v>0</v>
      </c>
      <c r="W564" s="251"/>
      <c r="X564" s="74">
        <v>44805</v>
      </c>
      <c r="Y564" s="74">
        <v>45016</v>
      </c>
      <c r="Z564" s="224">
        <v>0</v>
      </c>
      <c r="AA564" s="193">
        <v>0</v>
      </c>
      <c r="AB564" s="224">
        <v>0</v>
      </c>
      <c r="AC564" s="224">
        <f t="shared" si="29"/>
        <v>0</v>
      </c>
    </row>
    <row r="565" spans="1:29" s="10" customFormat="1" ht="15" customHeight="1">
      <c r="A565" s="28" t="s">
        <v>769</v>
      </c>
      <c r="B565" s="29" t="s">
        <v>1701</v>
      </c>
      <c r="C565" s="30" t="s">
        <v>751</v>
      </c>
      <c r="D565" s="232" t="s">
        <v>1717</v>
      </c>
      <c r="E565" s="28" t="s">
        <v>99</v>
      </c>
      <c r="F565" s="28" t="s">
        <v>2709</v>
      </c>
      <c r="G565" s="28" t="s">
        <v>35</v>
      </c>
      <c r="H565" s="33" t="s">
        <v>3207</v>
      </c>
      <c r="I565" s="33" t="e">
        <f>VLOOKUP(H565,'合同高级查询数据-8月返'!A:A,1,FALSE)</f>
        <v>#N/A</v>
      </c>
      <c r="J565" s="38" t="s">
        <v>37</v>
      </c>
      <c r="K565" s="28" t="s">
        <v>2167</v>
      </c>
      <c r="L565" s="33" t="s">
        <v>3210</v>
      </c>
      <c r="M565" s="28" t="s">
        <v>3114</v>
      </c>
      <c r="N565" s="44" t="s">
        <v>3211</v>
      </c>
      <c r="O565" s="28" t="s">
        <v>531</v>
      </c>
      <c r="P565" s="211">
        <v>4600</v>
      </c>
      <c r="Q565" s="217">
        <v>0</v>
      </c>
      <c r="R565" s="218">
        <f t="shared" si="30"/>
        <v>0</v>
      </c>
      <c r="S565" s="59">
        <v>202308</v>
      </c>
      <c r="T565" s="60" t="s">
        <v>3212</v>
      </c>
      <c r="U565" s="60"/>
      <c r="V565" s="224">
        <v>0</v>
      </c>
      <c r="W565" s="251"/>
      <c r="X565" s="74">
        <v>44805</v>
      </c>
      <c r="Y565" s="74">
        <v>45016</v>
      </c>
      <c r="Z565" s="224">
        <v>0</v>
      </c>
      <c r="AA565" s="193">
        <v>0</v>
      </c>
      <c r="AB565" s="224">
        <v>0</v>
      </c>
      <c r="AC565" s="224">
        <f t="shared" si="29"/>
        <v>0</v>
      </c>
    </row>
    <row r="566" spans="1:29" s="10" customFormat="1" ht="15" customHeight="1">
      <c r="A566" s="28" t="s">
        <v>769</v>
      </c>
      <c r="B566" s="29" t="s">
        <v>1701</v>
      </c>
      <c r="C566" s="30" t="s">
        <v>751</v>
      </c>
      <c r="D566" s="232" t="s">
        <v>1717</v>
      </c>
      <c r="E566" s="28" t="s">
        <v>99</v>
      </c>
      <c r="F566" s="28" t="s">
        <v>2709</v>
      </c>
      <c r="G566" s="28" t="s">
        <v>35</v>
      </c>
      <c r="H566" s="33" t="s">
        <v>3207</v>
      </c>
      <c r="I566" s="33" t="e">
        <f>VLOOKUP(H566,'合同高级查询数据-8月返'!A:A,1,FALSE)</f>
        <v>#N/A</v>
      </c>
      <c r="J566" s="38" t="s">
        <v>37</v>
      </c>
      <c r="K566" s="28" t="s">
        <v>2167</v>
      </c>
      <c r="L566" s="33" t="s">
        <v>3213</v>
      </c>
      <c r="M566" s="28" t="s">
        <v>3114</v>
      </c>
      <c r="N566" s="44" t="s">
        <v>542</v>
      </c>
      <c r="O566" s="28" t="s">
        <v>531</v>
      </c>
      <c r="P566" s="211">
        <v>4600</v>
      </c>
      <c r="Q566" s="217">
        <v>0</v>
      </c>
      <c r="R566" s="218">
        <f t="shared" si="30"/>
        <v>0</v>
      </c>
      <c r="S566" s="59">
        <v>202308</v>
      </c>
      <c r="T566" s="60" t="s">
        <v>3209</v>
      </c>
      <c r="U566" s="60"/>
      <c r="V566" s="224">
        <v>0</v>
      </c>
      <c r="W566" s="251"/>
      <c r="X566" s="74">
        <v>44805</v>
      </c>
      <c r="Y566" s="74">
        <v>45016</v>
      </c>
      <c r="Z566" s="224">
        <v>0</v>
      </c>
      <c r="AA566" s="193">
        <v>0</v>
      </c>
      <c r="AB566" s="224">
        <v>0</v>
      </c>
      <c r="AC566" s="224">
        <f t="shared" si="29"/>
        <v>0</v>
      </c>
    </row>
    <row r="567" spans="1:29" s="10" customFormat="1" ht="15" customHeight="1">
      <c r="A567" s="28" t="s">
        <v>762</v>
      </c>
      <c r="B567" s="29" t="s">
        <v>1701</v>
      </c>
      <c r="C567" s="30" t="s">
        <v>302</v>
      </c>
      <c r="D567" s="232" t="s">
        <v>1717</v>
      </c>
      <c r="E567" s="28" t="s">
        <v>99</v>
      </c>
      <c r="F567" s="28" t="s">
        <v>2709</v>
      </c>
      <c r="G567" s="28" t="s">
        <v>35</v>
      </c>
      <c r="H567" s="33" t="s">
        <v>3214</v>
      </c>
      <c r="I567" s="33" t="e">
        <f>VLOOKUP(H567,'合同高级查询数据-8月返'!A:A,1,FALSE)</f>
        <v>#N/A</v>
      </c>
      <c r="J567" s="38" t="s">
        <v>37</v>
      </c>
      <c r="K567" s="28" t="s">
        <v>460</v>
      </c>
      <c r="L567" s="33" t="s">
        <v>3215</v>
      </c>
      <c r="M567" s="28" t="s">
        <v>3216</v>
      </c>
      <c r="N567" s="44" t="s">
        <v>3217</v>
      </c>
      <c r="O567" s="28" t="s">
        <v>531</v>
      </c>
      <c r="P567" s="211">
        <v>4700</v>
      </c>
      <c r="Q567" s="217">
        <v>0</v>
      </c>
      <c r="R567" s="218">
        <f t="shared" si="30"/>
        <v>0</v>
      </c>
      <c r="S567" s="59">
        <v>202308</v>
      </c>
      <c r="T567" s="60" t="s">
        <v>3218</v>
      </c>
      <c r="U567" s="60"/>
      <c r="V567" s="224">
        <v>0</v>
      </c>
      <c r="W567" s="251"/>
      <c r="X567" s="74">
        <v>44805</v>
      </c>
      <c r="Y567" s="74">
        <v>45016</v>
      </c>
      <c r="Z567" s="224">
        <v>0</v>
      </c>
      <c r="AA567" s="193">
        <v>0</v>
      </c>
      <c r="AB567" s="224">
        <v>0</v>
      </c>
      <c r="AC567" s="224">
        <f t="shared" si="29"/>
        <v>0</v>
      </c>
    </row>
    <row r="568" spans="1:29" s="10" customFormat="1" ht="15" customHeight="1">
      <c r="A568" s="28" t="s">
        <v>762</v>
      </c>
      <c r="B568" s="29" t="s">
        <v>1701</v>
      </c>
      <c r="C568" s="30" t="s">
        <v>302</v>
      </c>
      <c r="D568" s="232" t="s">
        <v>1717</v>
      </c>
      <c r="E568" s="28" t="s">
        <v>99</v>
      </c>
      <c r="F568" s="28" t="s">
        <v>2709</v>
      </c>
      <c r="G568" s="28" t="s">
        <v>35</v>
      </c>
      <c r="H568" s="33" t="s">
        <v>3214</v>
      </c>
      <c r="I568" s="33" t="e">
        <f>VLOOKUP(H568,'合同高级查询数据-8月返'!A:A,1,FALSE)</f>
        <v>#N/A</v>
      </c>
      <c r="J568" s="38" t="s">
        <v>37</v>
      </c>
      <c r="K568" s="28" t="s">
        <v>460</v>
      </c>
      <c r="L568" s="33" t="s">
        <v>3219</v>
      </c>
      <c r="M568" s="28" t="s">
        <v>3216</v>
      </c>
      <c r="N568" s="44" t="s">
        <v>3217</v>
      </c>
      <c r="O568" s="28" t="s">
        <v>531</v>
      </c>
      <c r="P568" s="211">
        <v>4700</v>
      </c>
      <c r="Q568" s="217">
        <v>0</v>
      </c>
      <c r="R568" s="218">
        <f t="shared" si="30"/>
        <v>0</v>
      </c>
      <c r="S568" s="59">
        <v>202308</v>
      </c>
      <c r="T568" s="60" t="s">
        <v>3218</v>
      </c>
      <c r="U568" s="60"/>
      <c r="V568" s="224">
        <v>0</v>
      </c>
      <c r="W568" s="251"/>
      <c r="X568" s="74">
        <v>44805</v>
      </c>
      <c r="Y568" s="74">
        <v>45016</v>
      </c>
      <c r="Z568" s="224">
        <v>0</v>
      </c>
      <c r="AA568" s="193">
        <v>0</v>
      </c>
      <c r="AB568" s="224">
        <v>0</v>
      </c>
      <c r="AC568" s="224">
        <f t="shared" si="29"/>
        <v>0</v>
      </c>
    </row>
    <row r="569" spans="1:29" s="10" customFormat="1" ht="15" customHeight="1">
      <c r="A569" s="28" t="s">
        <v>762</v>
      </c>
      <c r="B569" s="29" t="s">
        <v>1701</v>
      </c>
      <c r="C569" s="30" t="s">
        <v>302</v>
      </c>
      <c r="D569" s="232" t="s">
        <v>1717</v>
      </c>
      <c r="E569" s="28" t="s">
        <v>99</v>
      </c>
      <c r="F569" s="28" t="s">
        <v>2709</v>
      </c>
      <c r="G569" s="28" t="s">
        <v>35</v>
      </c>
      <c r="H569" s="33" t="s">
        <v>3220</v>
      </c>
      <c r="I569" s="33" t="e">
        <f>VLOOKUP(H569,'合同高级查询数据-8月返'!A:A,1,FALSE)</f>
        <v>#N/A</v>
      </c>
      <c r="J569" s="38" t="s">
        <v>37</v>
      </c>
      <c r="K569" s="28" t="s">
        <v>460</v>
      </c>
      <c r="L569" s="33" t="s">
        <v>3221</v>
      </c>
      <c r="M569" s="28" t="s">
        <v>3216</v>
      </c>
      <c r="N569" s="44" t="s">
        <v>3217</v>
      </c>
      <c r="O569" s="28" t="s">
        <v>531</v>
      </c>
      <c r="P569" s="211">
        <v>4700</v>
      </c>
      <c r="Q569" s="217">
        <v>0</v>
      </c>
      <c r="R569" s="218">
        <f t="shared" si="30"/>
        <v>0</v>
      </c>
      <c r="S569" s="59">
        <v>202308</v>
      </c>
      <c r="T569" s="60" t="s">
        <v>3222</v>
      </c>
      <c r="U569" s="60"/>
      <c r="V569" s="224">
        <v>0</v>
      </c>
      <c r="W569" s="251"/>
      <c r="X569" s="74">
        <v>44835</v>
      </c>
      <c r="Y569" s="74">
        <v>45016</v>
      </c>
      <c r="Z569" s="224">
        <v>0</v>
      </c>
      <c r="AA569" s="193">
        <v>0</v>
      </c>
      <c r="AB569" s="224">
        <v>0</v>
      </c>
      <c r="AC569" s="224">
        <f t="shared" si="29"/>
        <v>0</v>
      </c>
    </row>
    <row r="570" spans="1:29" s="10" customFormat="1" ht="15" customHeight="1">
      <c r="A570" s="28" t="s">
        <v>769</v>
      </c>
      <c r="B570" s="29" t="s">
        <v>1701</v>
      </c>
      <c r="C570" s="30" t="s">
        <v>751</v>
      </c>
      <c r="D570" s="232" t="s">
        <v>1717</v>
      </c>
      <c r="E570" s="28" t="s">
        <v>99</v>
      </c>
      <c r="F570" s="28" t="s">
        <v>2709</v>
      </c>
      <c r="G570" s="28" t="s">
        <v>35</v>
      </c>
      <c r="H570" s="33" t="s">
        <v>3223</v>
      </c>
      <c r="I570" s="33" t="e">
        <f>VLOOKUP(H570,'合同高级查询数据-8月返'!A:A,1,FALSE)</f>
        <v>#N/A</v>
      </c>
      <c r="J570" s="38" t="s">
        <v>37</v>
      </c>
      <c r="K570" s="28" t="s">
        <v>2069</v>
      </c>
      <c r="L570" s="33" t="s">
        <v>3224</v>
      </c>
      <c r="M570" s="28" t="s">
        <v>3225</v>
      </c>
      <c r="N570" s="44" t="s">
        <v>3099</v>
      </c>
      <c r="O570" s="28" t="s">
        <v>531</v>
      </c>
      <c r="P570" s="211">
        <v>4600</v>
      </c>
      <c r="Q570" s="217">
        <v>0</v>
      </c>
      <c r="R570" s="218">
        <f t="shared" si="30"/>
        <v>0</v>
      </c>
      <c r="S570" s="59">
        <v>202308</v>
      </c>
      <c r="T570" s="60" t="s">
        <v>3226</v>
      </c>
      <c r="U570" s="60"/>
      <c r="V570" s="224">
        <v>0</v>
      </c>
      <c r="W570" s="251"/>
      <c r="X570" s="74">
        <v>44805</v>
      </c>
      <c r="Y570" s="74">
        <v>45016</v>
      </c>
      <c r="Z570" s="224">
        <v>0</v>
      </c>
      <c r="AA570" s="193">
        <v>0</v>
      </c>
      <c r="AB570" s="224">
        <v>0</v>
      </c>
      <c r="AC570" s="224">
        <f t="shared" si="29"/>
        <v>0</v>
      </c>
    </row>
    <row r="571" spans="1:29" s="10" customFormat="1" ht="15" customHeight="1">
      <c r="A571" s="28" t="s">
        <v>762</v>
      </c>
      <c r="B571" s="29" t="s">
        <v>1701</v>
      </c>
      <c r="C571" s="30" t="s">
        <v>1759</v>
      </c>
      <c r="D571" s="232" t="s">
        <v>1717</v>
      </c>
      <c r="E571" s="28" t="s">
        <v>99</v>
      </c>
      <c r="F571" s="28" t="s">
        <v>2709</v>
      </c>
      <c r="G571" s="28" t="s">
        <v>35</v>
      </c>
      <c r="H571" s="33" t="s">
        <v>3227</v>
      </c>
      <c r="I571" s="33" t="str">
        <f>VLOOKUP(H571,'合同高级查询数据-8月返'!A:A,1,FALSE)</f>
        <v>182315IDC00342</v>
      </c>
      <c r="J571" s="38" t="s">
        <v>37</v>
      </c>
      <c r="K571" s="28" t="s">
        <v>3174</v>
      </c>
      <c r="L571" s="33" t="s">
        <v>3228</v>
      </c>
      <c r="M571" s="28" t="s">
        <v>3229</v>
      </c>
      <c r="N571" s="44">
        <v>44805</v>
      </c>
      <c r="O571" s="28" t="s">
        <v>426</v>
      </c>
      <c r="P571" s="211">
        <v>4600</v>
      </c>
      <c r="Q571" s="217">
        <v>1.9</v>
      </c>
      <c r="R571" s="218">
        <f t="shared" si="30"/>
        <v>8740</v>
      </c>
      <c r="S571" s="59">
        <v>202308</v>
      </c>
      <c r="T571" s="250" t="s">
        <v>3206</v>
      </c>
      <c r="U571" s="60"/>
      <c r="V571" s="224">
        <v>1.859478593</v>
      </c>
      <c r="W571" s="251"/>
      <c r="X571" s="74">
        <v>45017</v>
      </c>
      <c r="Y571" s="74">
        <v>45382</v>
      </c>
      <c r="Z571" s="28" t="s">
        <v>3230</v>
      </c>
      <c r="AA571" s="194">
        <v>0</v>
      </c>
      <c r="AB571" s="227">
        <v>10</v>
      </c>
      <c r="AC571" s="224">
        <f t="shared" si="29"/>
        <v>0</v>
      </c>
    </row>
    <row r="572" spans="1:29" s="10" customFormat="1" ht="15" customHeight="1">
      <c r="A572" s="28" t="s">
        <v>750</v>
      </c>
      <c r="B572" s="29" t="s">
        <v>1701</v>
      </c>
      <c r="C572" s="30" t="s">
        <v>2515</v>
      </c>
      <c r="D572" s="232" t="s">
        <v>1717</v>
      </c>
      <c r="E572" s="28" t="s">
        <v>99</v>
      </c>
      <c r="F572" s="28" t="s">
        <v>2709</v>
      </c>
      <c r="G572" s="28" t="s">
        <v>35</v>
      </c>
      <c r="H572" s="33" t="s">
        <v>3231</v>
      </c>
      <c r="I572" s="33" t="str">
        <f>VLOOKUP(H572,'合同高级查询数据-8月返'!A:A,1,FALSE)</f>
        <v>182315IDC00340</v>
      </c>
      <c r="J572" s="38" t="s">
        <v>37</v>
      </c>
      <c r="K572" s="28" t="s">
        <v>3232</v>
      </c>
      <c r="L572" s="33" t="s">
        <v>3233</v>
      </c>
      <c r="M572" s="28" t="s">
        <v>3234</v>
      </c>
      <c r="N572" s="44" t="s">
        <v>3235</v>
      </c>
      <c r="O572" s="28" t="s">
        <v>840</v>
      </c>
      <c r="P572" s="211">
        <v>4800</v>
      </c>
      <c r="Q572" s="217">
        <v>0</v>
      </c>
      <c r="R572" s="218">
        <f t="shared" si="30"/>
        <v>0</v>
      </c>
      <c r="S572" s="59">
        <v>202308</v>
      </c>
      <c r="T572" s="248" t="s">
        <v>3236</v>
      </c>
      <c r="U572" s="60"/>
      <c r="V572" s="224">
        <v>0</v>
      </c>
      <c r="W572" s="251"/>
      <c r="X572" s="74">
        <v>45017</v>
      </c>
      <c r="Y572" s="74">
        <v>45382</v>
      </c>
      <c r="Z572" s="224">
        <v>0</v>
      </c>
      <c r="AA572" s="193">
        <v>0</v>
      </c>
      <c r="AB572" s="224">
        <v>0</v>
      </c>
      <c r="AC572" s="224">
        <f t="shared" si="29"/>
        <v>0</v>
      </c>
    </row>
    <row r="573" spans="1:29" s="10" customFormat="1" ht="15" customHeight="1">
      <c r="A573" s="28" t="s">
        <v>769</v>
      </c>
      <c r="B573" s="29" t="s">
        <v>1701</v>
      </c>
      <c r="C573" s="30" t="s">
        <v>2230</v>
      </c>
      <c r="D573" s="232" t="s">
        <v>1717</v>
      </c>
      <c r="E573" s="28" t="s">
        <v>99</v>
      </c>
      <c r="F573" s="28" t="s">
        <v>2709</v>
      </c>
      <c r="G573" s="28" t="s">
        <v>35</v>
      </c>
      <c r="H573" s="28" t="s">
        <v>3237</v>
      </c>
      <c r="I573" s="33" t="e">
        <f>VLOOKUP(H573,'合同高级查询数据-8月返'!A:A,1,FALSE)</f>
        <v>#N/A</v>
      </c>
      <c r="J573" s="38" t="s">
        <v>37</v>
      </c>
      <c r="K573" s="28" t="s">
        <v>3238</v>
      </c>
      <c r="L573" s="33" t="s">
        <v>3239</v>
      </c>
      <c r="M573" s="28" t="s">
        <v>3240</v>
      </c>
      <c r="N573" s="44" t="s">
        <v>3241</v>
      </c>
      <c r="O573" s="28" t="s">
        <v>3242</v>
      </c>
      <c r="P573" s="211">
        <v>4600</v>
      </c>
      <c r="Q573" s="217">
        <v>0</v>
      </c>
      <c r="R573" s="218">
        <f t="shared" si="30"/>
        <v>0</v>
      </c>
      <c r="S573" s="59">
        <v>202308</v>
      </c>
      <c r="T573" s="60" t="s">
        <v>3243</v>
      </c>
      <c r="U573" s="60"/>
      <c r="V573" s="224">
        <v>0</v>
      </c>
      <c r="W573" s="251"/>
      <c r="X573" s="74">
        <v>44807</v>
      </c>
      <c r="Y573" s="74">
        <v>45016</v>
      </c>
      <c r="Z573" s="224">
        <v>0</v>
      </c>
      <c r="AA573" s="193">
        <v>0</v>
      </c>
      <c r="AB573" s="224">
        <v>0</v>
      </c>
      <c r="AC573" s="224">
        <f t="shared" si="29"/>
        <v>0</v>
      </c>
    </row>
    <row r="574" spans="1:29" s="10" customFormat="1" ht="15" customHeight="1">
      <c r="A574" s="28" t="s">
        <v>750</v>
      </c>
      <c r="B574" s="29" t="s">
        <v>1701</v>
      </c>
      <c r="C574" s="30" t="s">
        <v>2515</v>
      </c>
      <c r="D574" s="232" t="s">
        <v>1717</v>
      </c>
      <c r="E574" s="28" t="s">
        <v>99</v>
      </c>
      <c r="F574" s="28" t="s">
        <v>2709</v>
      </c>
      <c r="G574" s="28" t="s">
        <v>35</v>
      </c>
      <c r="H574" s="33" t="s">
        <v>3244</v>
      </c>
      <c r="I574" s="33" t="str">
        <f>VLOOKUP(H574,'合同高级查询数据-8月返'!A:A,1,FALSE)</f>
        <v>182315IDC00344</v>
      </c>
      <c r="J574" s="38" t="s">
        <v>37</v>
      </c>
      <c r="K574" s="28" t="s">
        <v>2517</v>
      </c>
      <c r="L574" s="33" t="s">
        <v>3245</v>
      </c>
      <c r="M574" s="28" t="s">
        <v>3193</v>
      </c>
      <c r="N574" s="44">
        <v>44807</v>
      </c>
      <c r="O574" s="28" t="s">
        <v>395</v>
      </c>
      <c r="P574" s="211">
        <v>5600</v>
      </c>
      <c r="Q574" s="217">
        <v>21.8</v>
      </c>
      <c r="R574" s="218">
        <f t="shared" si="30"/>
        <v>122080</v>
      </c>
      <c r="S574" s="59">
        <v>202308</v>
      </c>
      <c r="T574" s="248" t="s">
        <v>3246</v>
      </c>
      <c r="U574" s="60"/>
      <c r="V574" s="224">
        <v>21.791770934999999</v>
      </c>
      <c r="W574" s="251"/>
      <c r="X574" s="74">
        <v>45017</v>
      </c>
      <c r="Y574" s="74">
        <v>45382</v>
      </c>
      <c r="Z574" s="28" t="s">
        <v>3247</v>
      </c>
      <c r="AA574" s="194">
        <v>0.3</v>
      </c>
      <c r="AB574" s="227">
        <v>50</v>
      </c>
      <c r="AC574" s="224">
        <f t="shared" si="29"/>
        <v>15</v>
      </c>
    </row>
    <row r="575" spans="1:29" s="9" customFormat="1" ht="15" customHeight="1">
      <c r="A575" s="25" t="s">
        <v>762</v>
      </c>
      <c r="B575" s="26" t="s">
        <v>1701</v>
      </c>
      <c r="C575" s="27" t="s">
        <v>1870</v>
      </c>
      <c r="D575" s="244" t="s">
        <v>1717</v>
      </c>
      <c r="E575" s="25" t="s">
        <v>99</v>
      </c>
      <c r="F575" s="25" t="s">
        <v>2709</v>
      </c>
      <c r="G575" s="25" t="s">
        <v>35</v>
      </c>
      <c r="H575" s="32" t="s">
        <v>3248</v>
      </c>
      <c r="I575" s="32" t="e">
        <f>VLOOKUP(H575,'合同高级查询数据-8月返'!A:A,1,FALSE)</f>
        <v>#N/A</v>
      </c>
      <c r="J575" s="35" t="s">
        <v>37</v>
      </c>
      <c r="K575" s="25" t="s">
        <v>3249</v>
      </c>
      <c r="L575" s="32" t="s">
        <v>3250</v>
      </c>
      <c r="M575" s="25" t="s">
        <v>3251</v>
      </c>
      <c r="N575" s="42" t="s">
        <v>3252</v>
      </c>
      <c r="O575" s="25" t="s">
        <v>1436</v>
      </c>
      <c r="P575" s="236">
        <v>5600</v>
      </c>
      <c r="Q575" s="219">
        <v>0</v>
      </c>
      <c r="R575" s="220">
        <f t="shared" si="30"/>
        <v>0</v>
      </c>
      <c r="S575" s="55">
        <v>202308</v>
      </c>
      <c r="T575" s="56" t="s">
        <v>3253</v>
      </c>
      <c r="U575" s="56"/>
      <c r="V575" s="225">
        <v>0</v>
      </c>
      <c r="W575" s="252"/>
      <c r="X575" s="70"/>
      <c r="Y575" s="70"/>
      <c r="Z575" s="225">
        <v>0</v>
      </c>
      <c r="AA575" s="196">
        <v>0</v>
      </c>
      <c r="AB575" s="225">
        <v>0</v>
      </c>
      <c r="AC575" s="225">
        <f t="shared" si="29"/>
        <v>0</v>
      </c>
    </row>
    <row r="576" spans="1:29" s="10" customFormat="1" ht="15" customHeight="1">
      <c r="A576" s="28" t="s">
        <v>769</v>
      </c>
      <c r="B576" s="29" t="s">
        <v>1701</v>
      </c>
      <c r="C576" s="30" t="s">
        <v>751</v>
      </c>
      <c r="D576" s="232" t="s">
        <v>1717</v>
      </c>
      <c r="E576" s="28" t="s">
        <v>99</v>
      </c>
      <c r="F576" s="28" t="s">
        <v>2709</v>
      </c>
      <c r="G576" s="28" t="s">
        <v>35</v>
      </c>
      <c r="H576" s="33" t="s">
        <v>3117</v>
      </c>
      <c r="I576" s="33" t="e">
        <f>VLOOKUP(H576,'合同高级查询数据-8月返'!A:A,1,FALSE)</f>
        <v>#N/A</v>
      </c>
      <c r="J576" s="38" t="s">
        <v>37</v>
      </c>
      <c r="K576" s="28" t="s">
        <v>2167</v>
      </c>
      <c r="L576" s="33" t="s">
        <v>3254</v>
      </c>
      <c r="M576" s="28" t="s">
        <v>3114</v>
      </c>
      <c r="N576" s="44" t="s">
        <v>3255</v>
      </c>
      <c r="O576" s="28" t="s">
        <v>531</v>
      </c>
      <c r="P576" s="211">
        <v>4400</v>
      </c>
      <c r="Q576" s="217">
        <v>0</v>
      </c>
      <c r="R576" s="218">
        <f t="shared" si="30"/>
        <v>0</v>
      </c>
      <c r="S576" s="59">
        <v>202308</v>
      </c>
      <c r="T576" s="60" t="s">
        <v>3256</v>
      </c>
      <c r="U576" s="60"/>
      <c r="V576" s="224">
        <v>0</v>
      </c>
      <c r="W576" s="251"/>
      <c r="X576" s="74">
        <v>44652</v>
      </c>
      <c r="Y576" s="74">
        <v>45016</v>
      </c>
      <c r="Z576" s="224">
        <v>0</v>
      </c>
      <c r="AA576" s="193">
        <v>0</v>
      </c>
      <c r="AB576" s="224">
        <v>0</v>
      </c>
      <c r="AC576" s="224">
        <f t="shared" si="29"/>
        <v>0</v>
      </c>
    </row>
    <row r="577" spans="1:29" s="9" customFormat="1" ht="15" customHeight="1">
      <c r="A577" s="25" t="s">
        <v>762</v>
      </c>
      <c r="B577" s="26" t="s">
        <v>1701</v>
      </c>
      <c r="C577" s="27" t="s">
        <v>302</v>
      </c>
      <c r="D577" s="244" t="s">
        <v>1717</v>
      </c>
      <c r="E577" s="25" t="s">
        <v>99</v>
      </c>
      <c r="F577" s="25" t="s">
        <v>2709</v>
      </c>
      <c r="G577" s="25" t="s">
        <v>35</v>
      </c>
      <c r="H577" s="32" t="s">
        <v>3257</v>
      </c>
      <c r="I577" s="32" t="e">
        <f>VLOOKUP(H577,'合同高级查询数据-8月返'!A:A,1,FALSE)</f>
        <v>#N/A</v>
      </c>
      <c r="J577" s="35" t="s">
        <v>37</v>
      </c>
      <c r="K577" s="25" t="s">
        <v>460</v>
      </c>
      <c r="L577" s="25" t="s">
        <v>3258</v>
      </c>
      <c r="M577" s="25" t="s">
        <v>3259</v>
      </c>
      <c r="N577" s="70" t="s">
        <v>3260</v>
      </c>
      <c r="O577" s="25" t="s">
        <v>531</v>
      </c>
      <c r="P577" s="236">
        <v>4600</v>
      </c>
      <c r="Q577" s="219">
        <v>0</v>
      </c>
      <c r="R577" s="220">
        <f t="shared" si="30"/>
        <v>0</v>
      </c>
      <c r="S577" s="55">
        <v>202308</v>
      </c>
      <c r="T577" s="56" t="s">
        <v>3261</v>
      </c>
      <c r="U577" s="56"/>
      <c r="V577" s="225">
        <v>0</v>
      </c>
      <c r="W577" s="252"/>
      <c r="X577" s="70"/>
      <c r="Y577" s="70"/>
      <c r="Z577" s="225">
        <v>0</v>
      </c>
      <c r="AA577" s="196">
        <v>0</v>
      </c>
      <c r="AB577" s="225">
        <v>0</v>
      </c>
      <c r="AC577" s="225">
        <f t="shared" si="29"/>
        <v>0</v>
      </c>
    </row>
    <row r="578" spans="1:29" s="9" customFormat="1" ht="15" customHeight="1">
      <c r="A578" s="25" t="s">
        <v>762</v>
      </c>
      <c r="B578" s="26" t="s">
        <v>1701</v>
      </c>
      <c r="C578" s="27" t="s">
        <v>302</v>
      </c>
      <c r="D578" s="244" t="s">
        <v>1717</v>
      </c>
      <c r="E578" s="25" t="s">
        <v>99</v>
      </c>
      <c r="F578" s="25" t="s">
        <v>2709</v>
      </c>
      <c r="G578" s="25" t="s">
        <v>35</v>
      </c>
      <c r="H578" s="32" t="s">
        <v>3257</v>
      </c>
      <c r="I578" s="32" t="e">
        <f>VLOOKUP(H578,'合同高级查询数据-8月返'!A:A,1,FALSE)</f>
        <v>#N/A</v>
      </c>
      <c r="J578" s="35" t="s">
        <v>37</v>
      </c>
      <c r="K578" s="25" t="s">
        <v>460</v>
      </c>
      <c r="L578" s="25" t="s">
        <v>3262</v>
      </c>
      <c r="M578" s="25" t="s">
        <v>3259</v>
      </c>
      <c r="N578" s="70" t="s">
        <v>3260</v>
      </c>
      <c r="O578" s="25" t="s">
        <v>531</v>
      </c>
      <c r="P578" s="236">
        <v>4600</v>
      </c>
      <c r="Q578" s="219">
        <v>0</v>
      </c>
      <c r="R578" s="220">
        <f t="shared" si="30"/>
        <v>0</v>
      </c>
      <c r="S578" s="55">
        <v>202308</v>
      </c>
      <c r="T578" s="56" t="s">
        <v>3261</v>
      </c>
      <c r="U578" s="56"/>
      <c r="V578" s="225">
        <v>0</v>
      </c>
      <c r="W578" s="252"/>
      <c r="X578" s="70"/>
      <c r="Y578" s="70"/>
      <c r="Z578" s="225">
        <v>0</v>
      </c>
      <c r="AA578" s="196">
        <v>0</v>
      </c>
      <c r="AB578" s="225">
        <v>0</v>
      </c>
      <c r="AC578" s="225">
        <f t="shared" si="29"/>
        <v>0</v>
      </c>
    </row>
    <row r="579" spans="1:29" s="9" customFormat="1" ht="15" customHeight="1">
      <c r="A579" s="25" t="s">
        <v>762</v>
      </c>
      <c r="B579" s="26" t="s">
        <v>1701</v>
      </c>
      <c r="C579" s="27" t="s">
        <v>302</v>
      </c>
      <c r="D579" s="244" t="s">
        <v>1717</v>
      </c>
      <c r="E579" s="25" t="s">
        <v>99</v>
      </c>
      <c r="F579" s="25" t="s">
        <v>2709</v>
      </c>
      <c r="G579" s="25" t="s">
        <v>35</v>
      </c>
      <c r="H579" s="25" t="s">
        <v>3263</v>
      </c>
      <c r="I579" s="32" t="e">
        <f>VLOOKUP(H579,'合同高级查询数据-8月返'!A:A,1,FALSE)</f>
        <v>#N/A</v>
      </c>
      <c r="J579" s="35" t="s">
        <v>37</v>
      </c>
      <c r="K579" s="25" t="s">
        <v>460</v>
      </c>
      <c r="L579" s="25" t="s">
        <v>3264</v>
      </c>
      <c r="M579" s="25" t="s">
        <v>3259</v>
      </c>
      <c r="N579" s="70" t="s">
        <v>3260</v>
      </c>
      <c r="O579" s="25" t="s">
        <v>531</v>
      </c>
      <c r="P579" s="236">
        <v>4600</v>
      </c>
      <c r="Q579" s="219">
        <v>0</v>
      </c>
      <c r="R579" s="220">
        <f t="shared" si="30"/>
        <v>0</v>
      </c>
      <c r="S579" s="55">
        <v>202308</v>
      </c>
      <c r="T579" s="56" t="s">
        <v>3261</v>
      </c>
      <c r="U579" s="56"/>
      <c r="V579" s="225">
        <v>0</v>
      </c>
      <c r="W579" s="252"/>
      <c r="X579" s="70"/>
      <c r="Y579" s="70"/>
      <c r="Z579" s="225">
        <v>0</v>
      </c>
      <c r="AA579" s="196">
        <v>0</v>
      </c>
      <c r="AB579" s="225">
        <v>0</v>
      </c>
      <c r="AC579" s="225">
        <f t="shared" si="29"/>
        <v>0</v>
      </c>
    </row>
    <row r="580" spans="1:29" s="10" customFormat="1" ht="15" customHeight="1">
      <c r="A580" s="30" t="s">
        <v>762</v>
      </c>
      <c r="B580" s="29" t="s">
        <v>1701</v>
      </c>
      <c r="C580" s="28" t="s">
        <v>302</v>
      </c>
      <c r="D580" s="232" t="s">
        <v>1717</v>
      </c>
      <c r="E580" s="28" t="s">
        <v>99</v>
      </c>
      <c r="F580" s="28" t="s">
        <v>2709</v>
      </c>
      <c r="G580" s="30" t="s">
        <v>35</v>
      </c>
      <c r="H580" s="28" t="s">
        <v>3265</v>
      </c>
      <c r="I580" s="33" t="str">
        <f>VLOOKUP(H580,'合同高级查询数据-8月返'!A:A,1,FALSE)</f>
        <v>182315IDC00364</v>
      </c>
      <c r="J580" s="38" t="s">
        <v>37</v>
      </c>
      <c r="K580" s="28" t="s">
        <v>1831</v>
      </c>
      <c r="L580" s="28" t="s">
        <v>3266</v>
      </c>
      <c r="M580" s="28" t="s">
        <v>3184</v>
      </c>
      <c r="N580" s="74">
        <v>45023</v>
      </c>
      <c r="O580" s="28" t="s">
        <v>426</v>
      </c>
      <c r="P580" s="211">
        <v>4600</v>
      </c>
      <c r="Q580" s="217">
        <v>0.1</v>
      </c>
      <c r="R580" s="218">
        <f t="shared" si="30"/>
        <v>460</v>
      </c>
      <c r="S580" s="59">
        <v>202308</v>
      </c>
      <c r="T580" s="184" t="s">
        <v>3267</v>
      </c>
      <c r="U580" s="228"/>
      <c r="V580" s="224">
        <v>5.6231137E-2</v>
      </c>
      <c r="W580" s="28"/>
      <c r="X580" s="74">
        <v>45023</v>
      </c>
      <c r="Y580" s="74">
        <v>45382</v>
      </c>
      <c r="Z580" s="28" t="s">
        <v>3268</v>
      </c>
      <c r="AA580" s="194">
        <v>0</v>
      </c>
      <c r="AB580" s="227">
        <v>10</v>
      </c>
      <c r="AC580" s="224">
        <f t="shared" si="29"/>
        <v>0</v>
      </c>
    </row>
    <row r="581" spans="1:29" s="10" customFormat="1" ht="15" customHeight="1">
      <c r="A581" s="30" t="s">
        <v>762</v>
      </c>
      <c r="B581" s="29" t="s">
        <v>1701</v>
      </c>
      <c r="C581" s="28" t="s">
        <v>302</v>
      </c>
      <c r="D581" s="232" t="s">
        <v>1717</v>
      </c>
      <c r="E581" s="28" t="s">
        <v>99</v>
      </c>
      <c r="F581" s="28" t="s">
        <v>2709</v>
      </c>
      <c r="G581" s="30" t="s">
        <v>35</v>
      </c>
      <c r="H581" s="28" t="s">
        <v>3265</v>
      </c>
      <c r="I581" s="33" t="str">
        <f>VLOOKUP(H581,'合同高级查询数据-8月返'!A:A,1,FALSE)</f>
        <v>182315IDC00364</v>
      </c>
      <c r="J581" s="38" t="s">
        <v>37</v>
      </c>
      <c r="K581" s="28" t="s">
        <v>1831</v>
      </c>
      <c r="L581" s="28" t="s">
        <v>3269</v>
      </c>
      <c r="M581" s="28" t="s">
        <v>3184</v>
      </c>
      <c r="N581" s="74">
        <v>45023</v>
      </c>
      <c r="O581" s="28" t="s">
        <v>426</v>
      </c>
      <c r="P581" s="211">
        <v>4600</v>
      </c>
      <c r="Q581" s="217">
        <v>1.9</v>
      </c>
      <c r="R581" s="218">
        <f t="shared" si="30"/>
        <v>8740</v>
      </c>
      <c r="S581" s="59">
        <v>202308</v>
      </c>
      <c r="T581" s="184" t="s">
        <v>3267</v>
      </c>
      <c r="U581" s="228"/>
      <c r="V581" s="224">
        <v>1.8869483469999999</v>
      </c>
      <c r="W581" s="28"/>
      <c r="X581" s="74">
        <v>45023</v>
      </c>
      <c r="Y581" s="74">
        <v>45382</v>
      </c>
      <c r="Z581" s="28" t="s">
        <v>3270</v>
      </c>
      <c r="AA581" s="194">
        <v>0</v>
      </c>
      <c r="AB581" s="227">
        <v>10</v>
      </c>
      <c r="AC581" s="224">
        <f t="shared" si="29"/>
        <v>0</v>
      </c>
    </row>
    <row r="582" spans="1:29" s="10" customFormat="1" ht="15" customHeight="1">
      <c r="A582" s="30" t="s">
        <v>762</v>
      </c>
      <c r="B582" s="29" t="s">
        <v>1701</v>
      </c>
      <c r="C582" s="28" t="s">
        <v>302</v>
      </c>
      <c r="D582" s="232" t="s">
        <v>1717</v>
      </c>
      <c r="E582" s="28" t="s">
        <v>99</v>
      </c>
      <c r="F582" s="28" t="s">
        <v>2709</v>
      </c>
      <c r="G582" s="30" t="s">
        <v>35</v>
      </c>
      <c r="H582" s="28" t="s">
        <v>3265</v>
      </c>
      <c r="I582" s="33" t="str">
        <f>VLOOKUP(H582,'合同高级查询数据-8月返'!A:A,1,FALSE)</f>
        <v>182315IDC00364</v>
      </c>
      <c r="J582" s="38" t="s">
        <v>37</v>
      </c>
      <c r="K582" s="28" t="s">
        <v>1831</v>
      </c>
      <c r="L582" s="28" t="s">
        <v>3271</v>
      </c>
      <c r="M582" s="28" t="s">
        <v>3184</v>
      </c>
      <c r="N582" s="74">
        <v>45023</v>
      </c>
      <c r="O582" s="28" t="s">
        <v>426</v>
      </c>
      <c r="P582" s="211">
        <v>4600</v>
      </c>
      <c r="Q582" s="217">
        <v>2.9</v>
      </c>
      <c r="R582" s="218">
        <f t="shared" si="30"/>
        <v>13340</v>
      </c>
      <c r="S582" s="59">
        <v>202308</v>
      </c>
      <c r="T582" s="184" t="s">
        <v>3267</v>
      </c>
      <c r="U582" s="228"/>
      <c r="V582" s="224">
        <v>2.8898301119999998</v>
      </c>
      <c r="W582" s="28"/>
      <c r="X582" s="74">
        <v>45023</v>
      </c>
      <c r="Y582" s="74">
        <v>45382</v>
      </c>
      <c r="Z582" s="28" t="s">
        <v>3272</v>
      </c>
      <c r="AA582" s="194">
        <v>0</v>
      </c>
      <c r="AB582" s="227">
        <v>10</v>
      </c>
      <c r="AC582" s="224">
        <f t="shared" si="29"/>
        <v>0</v>
      </c>
    </row>
    <row r="583" spans="1:29" s="10" customFormat="1" ht="15" customHeight="1">
      <c r="A583" s="201" t="s">
        <v>769</v>
      </c>
      <c r="B583" s="29" t="s">
        <v>1701</v>
      </c>
      <c r="C583" s="28" t="s">
        <v>2189</v>
      </c>
      <c r="D583" s="232" t="s">
        <v>1717</v>
      </c>
      <c r="E583" s="30" t="s">
        <v>3273</v>
      </c>
      <c r="F583" s="30" t="s">
        <v>3274</v>
      </c>
      <c r="G583" s="30" t="s">
        <v>35</v>
      </c>
      <c r="H583" s="28" t="s">
        <v>3275</v>
      </c>
      <c r="I583" s="33" t="e">
        <f>VLOOKUP(H583,'合同高级查询数据-8月返'!A:A,1,FALSE)</f>
        <v>#N/A</v>
      </c>
      <c r="J583" s="167" t="s">
        <v>37</v>
      </c>
      <c r="K583" s="28" t="s">
        <v>2344</v>
      </c>
      <c r="L583" s="28" t="s">
        <v>3276</v>
      </c>
      <c r="M583" s="28" t="s">
        <v>3277</v>
      </c>
      <c r="N583" s="74" t="s">
        <v>3278</v>
      </c>
      <c r="O583" s="28" t="s">
        <v>1714</v>
      </c>
      <c r="P583" s="211">
        <v>3700</v>
      </c>
      <c r="Q583" s="217">
        <v>0</v>
      </c>
      <c r="R583" s="218">
        <f t="shared" si="30"/>
        <v>0</v>
      </c>
      <c r="S583" s="59">
        <v>202308</v>
      </c>
      <c r="T583" s="184" t="s">
        <v>3279</v>
      </c>
      <c r="U583" s="228"/>
      <c r="V583" s="224">
        <v>0</v>
      </c>
      <c r="W583" s="28"/>
      <c r="X583" s="74">
        <v>44682</v>
      </c>
      <c r="Y583" s="74">
        <v>44926</v>
      </c>
      <c r="Z583" s="224">
        <v>0</v>
      </c>
      <c r="AA583" s="193">
        <v>0</v>
      </c>
      <c r="AB583" s="224">
        <v>0</v>
      </c>
      <c r="AC583" s="224">
        <f t="shared" ref="AC583:AC645" si="31">AA583*AB583</f>
        <v>0</v>
      </c>
    </row>
    <row r="584" spans="1:29" s="10" customFormat="1" ht="15" customHeight="1">
      <c r="A584" s="201" t="s">
        <v>769</v>
      </c>
      <c r="B584" s="29" t="s">
        <v>1701</v>
      </c>
      <c r="C584" s="28" t="s">
        <v>2359</v>
      </c>
      <c r="D584" s="232" t="s">
        <v>1717</v>
      </c>
      <c r="E584" s="30" t="s">
        <v>3273</v>
      </c>
      <c r="F584" s="30" t="s">
        <v>3274</v>
      </c>
      <c r="G584" s="30" t="s">
        <v>35</v>
      </c>
      <c r="H584" s="28" t="s">
        <v>3275</v>
      </c>
      <c r="I584" s="33" t="e">
        <f>VLOOKUP(H584,'合同高级查询数据-8月返'!A:A,1,FALSE)</f>
        <v>#N/A</v>
      </c>
      <c r="J584" s="167" t="s">
        <v>37</v>
      </c>
      <c r="K584" s="28" t="s">
        <v>2668</v>
      </c>
      <c r="L584" s="28" t="s">
        <v>2669</v>
      </c>
      <c r="M584" s="28" t="s">
        <v>2670</v>
      </c>
      <c r="N584" s="74" t="s">
        <v>3278</v>
      </c>
      <c r="O584" s="28" t="s">
        <v>1848</v>
      </c>
      <c r="P584" s="211">
        <v>5600</v>
      </c>
      <c r="Q584" s="217">
        <v>0</v>
      </c>
      <c r="R584" s="247">
        <f t="shared" si="30"/>
        <v>0</v>
      </c>
      <c r="S584" s="59">
        <v>202308</v>
      </c>
      <c r="T584" s="184" t="s">
        <v>3280</v>
      </c>
      <c r="U584" s="228"/>
      <c r="V584" s="224">
        <v>0</v>
      </c>
      <c r="W584" s="28"/>
      <c r="X584" s="74">
        <v>44682</v>
      </c>
      <c r="Y584" s="74">
        <v>44926</v>
      </c>
      <c r="Z584" s="224">
        <v>0</v>
      </c>
      <c r="AA584" s="193">
        <v>0</v>
      </c>
      <c r="AB584" s="224">
        <v>0</v>
      </c>
      <c r="AC584" s="224">
        <f t="shared" si="31"/>
        <v>0</v>
      </c>
    </row>
    <row r="585" spans="1:29" s="10" customFormat="1" ht="15" customHeight="1">
      <c r="A585" s="201" t="s">
        <v>769</v>
      </c>
      <c r="B585" s="29" t="s">
        <v>1701</v>
      </c>
      <c r="C585" s="28" t="s">
        <v>1242</v>
      </c>
      <c r="D585" s="232" t="s">
        <v>32</v>
      </c>
      <c r="E585" s="30" t="s">
        <v>3281</v>
      </c>
      <c r="F585" s="30" t="s">
        <v>3282</v>
      </c>
      <c r="G585" s="30" t="s">
        <v>35</v>
      </c>
      <c r="H585" s="28" t="s">
        <v>3283</v>
      </c>
      <c r="I585" s="33" t="e">
        <f>VLOOKUP(H585,'合同高级查询数据-8月返'!A:A,1,FALSE)</f>
        <v>#N/A</v>
      </c>
      <c r="J585" s="167" t="s">
        <v>37</v>
      </c>
      <c r="K585" s="28" t="s">
        <v>1276</v>
      </c>
      <c r="L585" s="28" t="s">
        <v>3284</v>
      </c>
      <c r="M585" s="28" t="s">
        <v>3285</v>
      </c>
      <c r="N585" s="74">
        <v>45078</v>
      </c>
      <c r="O585" s="28" t="s">
        <v>319</v>
      </c>
      <c r="P585" s="211">
        <v>4300</v>
      </c>
      <c r="Q585" s="217">
        <v>111.5</v>
      </c>
      <c r="R585" s="247">
        <f t="shared" si="30"/>
        <v>479450</v>
      </c>
      <c r="S585" s="59">
        <v>202308</v>
      </c>
      <c r="T585" s="184" t="s">
        <v>3040</v>
      </c>
      <c r="U585" s="228"/>
      <c r="V585" s="224">
        <v>111.43535614</v>
      </c>
      <c r="W585" s="28"/>
      <c r="X585" s="74">
        <v>45078</v>
      </c>
      <c r="Y585" s="74">
        <v>45443</v>
      </c>
      <c r="Z585" s="28" t="s">
        <v>3286</v>
      </c>
      <c r="AA585" s="194">
        <v>0.4</v>
      </c>
      <c r="AB585" s="227">
        <v>200</v>
      </c>
      <c r="AC585" s="241">
        <f t="shared" si="31"/>
        <v>80</v>
      </c>
    </row>
    <row r="586" spans="1:29" s="10" customFormat="1" ht="15" customHeight="1">
      <c r="A586" s="201" t="s">
        <v>750</v>
      </c>
      <c r="B586" s="29" t="s">
        <v>1701</v>
      </c>
      <c r="C586" s="28" t="s">
        <v>1716</v>
      </c>
      <c r="D586" s="232" t="s">
        <v>1717</v>
      </c>
      <c r="E586" s="30" t="s">
        <v>3287</v>
      </c>
      <c r="F586" s="30" t="s">
        <v>3288</v>
      </c>
      <c r="G586" s="30" t="s">
        <v>35</v>
      </c>
      <c r="H586" s="28" t="s">
        <v>3289</v>
      </c>
      <c r="I586" s="33" t="e">
        <f>VLOOKUP(H586,'合同高级查询数据-8月返'!A:A,1,FALSE)</f>
        <v>#N/A</v>
      </c>
      <c r="J586" s="167" t="s">
        <v>37</v>
      </c>
      <c r="K586" s="28" t="s">
        <v>2252</v>
      </c>
      <c r="L586" s="28" t="s">
        <v>3290</v>
      </c>
      <c r="M586" s="28" t="s">
        <v>3291</v>
      </c>
      <c r="N586" s="74">
        <v>45078</v>
      </c>
      <c r="O586" s="28" t="s">
        <v>2113</v>
      </c>
      <c r="P586" s="211">
        <v>4167</v>
      </c>
      <c r="Q586" s="217">
        <v>32.4</v>
      </c>
      <c r="R586" s="247">
        <f t="shared" si="30"/>
        <v>135010.79999999999</v>
      </c>
      <c r="S586" s="59">
        <v>202308</v>
      </c>
      <c r="T586" s="184" t="s">
        <v>3292</v>
      </c>
      <c r="U586" s="228"/>
      <c r="V586" s="224">
        <v>32.388607024999999</v>
      </c>
      <c r="W586" s="28"/>
      <c r="X586" s="74">
        <v>45078</v>
      </c>
      <c r="Y586" s="74">
        <v>45443</v>
      </c>
      <c r="Z586" s="28" t="s">
        <v>3293</v>
      </c>
      <c r="AA586" s="194">
        <v>0.3</v>
      </c>
      <c r="AB586" s="227">
        <v>80</v>
      </c>
      <c r="AC586" s="241">
        <f t="shared" si="31"/>
        <v>24</v>
      </c>
    </row>
    <row r="587" spans="1:29" s="10" customFormat="1" ht="15" customHeight="1">
      <c r="A587" s="201" t="s">
        <v>769</v>
      </c>
      <c r="B587" s="29" t="s">
        <v>1701</v>
      </c>
      <c r="C587" s="28" t="s">
        <v>751</v>
      </c>
      <c r="D587" s="232" t="s">
        <v>32</v>
      </c>
      <c r="E587" s="30" t="s">
        <v>3294</v>
      </c>
      <c r="F587" s="30" t="s">
        <v>3295</v>
      </c>
      <c r="G587" s="30" t="s">
        <v>35</v>
      </c>
      <c r="H587" s="28" t="s">
        <v>3296</v>
      </c>
      <c r="I587" s="33" t="e">
        <f>VLOOKUP(H587,'合同高级查询数据-8月返'!A:A,1,FALSE)</f>
        <v>#N/A</v>
      </c>
      <c r="J587" s="167" t="s">
        <v>37</v>
      </c>
      <c r="K587" s="28" t="s">
        <v>2579</v>
      </c>
      <c r="L587" s="28" t="s">
        <v>3297</v>
      </c>
      <c r="M587" s="28" t="s">
        <v>3298</v>
      </c>
      <c r="N587" s="74">
        <v>45078</v>
      </c>
      <c r="O587" s="28" t="s">
        <v>447</v>
      </c>
      <c r="P587" s="211">
        <v>3900</v>
      </c>
      <c r="Q587" s="217">
        <v>51.2</v>
      </c>
      <c r="R587" s="247">
        <f t="shared" si="30"/>
        <v>199680</v>
      </c>
      <c r="S587" s="59">
        <v>202308</v>
      </c>
      <c r="T587" s="184" t="s">
        <v>3299</v>
      </c>
      <c r="U587" s="228"/>
      <c r="V587" s="224">
        <v>51.151126861999998</v>
      </c>
      <c r="W587" s="28"/>
      <c r="X587" s="74">
        <v>45078</v>
      </c>
      <c r="Y587" s="74">
        <v>45443</v>
      </c>
      <c r="Z587" s="28" t="s">
        <v>3300</v>
      </c>
      <c r="AA587" s="194">
        <v>0.3</v>
      </c>
      <c r="AB587" s="227">
        <v>100</v>
      </c>
      <c r="AC587" s="241">
        <f t="shared" si="31"/>
        <v>30</v>
      </c>
    </row>
    <row r="588" spans="1:29" s="10" customFormat="1" ht="15" customHeight="1">
      <c r="A588" s="201" t="s">
        <v>769</v>
      </c>
      <c r="B588" s="29" t="s">
        <v>1701</v>
      </c>
      <c r="C588" s="28" t="s">
        <v>1007</v>
      </c>
      <c r="D588" s="232" t="s">
        <v>32</v>
      </c>
      <c r="E588" s="30" t="s">
        <v>3301</v>
      </c>
      <c r="F588" s="30" t="s">
        <v>3302</v>
      </c>
      <c r="G588" s="30" t="s">
        <v>35</v>
      </c>
      <c r="H588" s="28" t="s">
        <v>3303</v>
      </c>
      <c r="I588" s="33" t="str">
        <f>VLOOKUP(H588,'合同高级查询数据-8月返'!A:A,1,FALSE)</f>
        <v>182315IDC00390</v>
      </c>
      <c r="J588" s="167" t="s">
        <v>37</v>
      </c>
      <c r="K588" s="28" t="s">
        <v>1968</v>
      </c>
      <c r="L588" s="28" t="s">
        <v>3304</v>
      </c>
      <c r="M588" s="28" t="s">
        <v>3305</v>
      </c>
      <c r="N588" s="74">
        <v>45078</v>
      </c>
      <c r="O588" s="28" t="s">
        <v>319</v>
      </c>
      <c r="P588" s="211">
        <v>4300</v>
      </c>
      <c r="Q588" s="217">
        <v>110.1</v>
      </c>
      <c r="R588" s="247">
        <f t="shared" si="30"/>
        <v>473430</v>
      </c>
      <c r="S588" s="59">
        <v>202308</v>
      </c>
      <c r="T588" s="184" t="s">
        <v>3040</v>
      </c>
      <c r="U588" s="228"/>
      <c r="V588" s="224">
        <v>110.031616211</v>
      </c>
      <c r="W588" s="28"/>
      <c r="X588" s="74">
        <v>45078</v>
      </c>
      <c r="Y588" s="74">
        <v>45443</v>
      </c>
      <c r="Z588" s="28" t="s">
        <v>3306</v>
      </c>
      <c r="AA588" s="194">
        <v>0.4</v>
      </c>
      <c r="AB588" s="227">
        <v>200</v>
      </c>
      <c r="AC588" s="241">
        <f t="shared" si="31"/>
        <v>80</v>
      </c>
    </row>
    <row r="589" spans="1:29" s="10" customFormat="1" ht="15" customHeight="1">
      <c r="A589" s="201" t="s">
        <v>750</v>
      </c>
      <c r="B589" s="29" t="s">
        <v>1701</v>
      </c>
      <c r="C589" s="28" t="s">
        <v>751</v>
      </c>
      <c r="D589" s="232" t="s">
        <v>32</v>
      </c>
      <c r="E589" s="30" t="s">
        <v>3307</v>
      </c>
      <c r="F589" s="30" t="s">
        <v>3308</v>
      </c>
      <c r="G589" s="30" t="s">
        <v>35</v>
      </c>
      <c r="H589" s="28" t="s">
        <v>3309</v>
      </c>
      <c r="I589" s="33" t="str">
        <f>VLOOKUP(H589,'合同高级查询数据-8月返'!A:A,1,FALSE)</f>
        <v>182315IDC00399</v>
      </c>
      <c r="J589" s="167" t="s">
        <v>37</v>
      </c>
      <c r="K589" s="28" t="s">
        <v>2031</v>
      </c>
      <c r="L589" s="28" t="s">
        <v>3310</v>
      </c>
      <c r="M589" s="28" t="s">
        <v>3311</v>
      </c>
      <c r="N589" s="74">
        <v>45108</v>
      </c>
      <c r="O589" s="28" t="s">
        <v>447</v>
      </c>
      <c r="P589" s="211">
        <v>4600</v>
      </c>
      <c r="Q589" s="217">
        <v>41.8</v>
      </c>
      <c r="R589" s="247">
        <f t="shared" si="30"/>
        <v>192280</v>
      </c>
      <c r="S589" s="59">
        <v>202308</v>
      </c>
      <c r="T589" s="184" t="s">
        <v>3312</v>
      </c>
      <c r="U589" s="228"/>
      <c r="V589" s="224">
        <v>41.748962401999997</v>
      </c>
      <c r="W589" s="28"/>
      <c r="X589" s="74">
        <v>45108</v>
      </c>
      <c r="Y589" s="74">
        <v>45473</v>
      </c>
      <c r="Z589" s="28" t="s">
        <v>3313</v>
      </c>
      <c r="AA589" s="194">
        <v>0.3</v>
      </c>
      <c r="AB589" s="227">
        <v>100</v>
      </c>
      <c r="AC589" s="241">
        <f t="shared" si="31"/>
        <v>30</v>
      </c>
    </row>
    <row r="590" spans="1:29" s="9" customFormat="1" ht="15" customHeight="1">
      <c r="A590" s="27" t="s">
        <v>769</v>
      </c>
      <c r="B590" s="25" t="s">
        <v>1701</v>
      </c>
      <c r="C590" s="25" t="s">
        <v>1987</v>
      </c>
      <c r="D590" s="25" t="s">
        <v>1760</v>
      </c>
      <c r="E590" s="25" t="s">
        <v>3314</v>
      </c>
      <c r="F590" s="25" t="s">
        <v>3315</v>
      </c>
      <c r="G590" s="27" t="s">
        <v>35</v>
      </c>
      <c r="H590" s="169" t="s">
        <v>3316</v>
      </c>
      <c r="I590" s="32" t="e">
        <f>VLOOKUP(H590,'合同高级查询数据-8月返'!A:A,1,FALSE)</f>
        <v>#N/A</v>
      </c>
      <c r="J590" s="169" t="s">
        <v>37</v>
      </c>
      <c r="K590" s="27" t="s">
        <v>1989</v>
      </c>
      <c r="L590" s="25" t="s">
        <v>3317</v>
      </c>
      <c r="M590" s="25" t="s">
        <v>3318</v>
      </c>
      <c r="N590" s="70">
        <v>45139</v>
      </c>
      <c r="O590" s="226" t="s">
        <v>319</v>
      </c>
      <c r="P590" s="236">
        <v>4900</v>
      </c>
      <c r="Q590" s="243">
        <v>105.6</v>
      </c>
      <c r="R590" s="220">
        <f t="shared" si="30"/>
        <v>517440</v>
      </c>
      <c r="S590" s="55">
        <v>202308</v>
      </c>
      <c r="T590" s="185" t="s">
        <v>2150</v>
      </c>
      <c r="U590" s="25"/>
      <c r="V590" s="225">
        <v>105.51452713</v>
      </c>
      <c r="W590" s="25"/>
      <c r="X590" s="70"/>
      <c r="Y590" s="192"/>
      <c r="Z590" s="25" t="s">
        <v>3319</v>
      </c>
      <c r="AA590" s="195">
        <v>0.4</v>
      </c>
      <c r="AB590" s="226">
        <v>200</v>
      </c>
      <c r="AC590" s="226">
        <f t="shared" si="31"/>
        <v>80</v>
      </c>
    </row>
    <row r="591" spans="1:29" s="10" customFormat="1" ht="15" customHeight="1">
      <c r="A591" s="28" t="s">
        <v>29</v>
      </c>
      <c r="B591" s="29" t="s">
        <v>1701</v>
      </c>
      <c r="C591" s="30" t="s">
        <v>31</v>
      </c>
      <c r="D591" s="30" t="s">
        <v>1717</v>
      </c>
      <c r="E591" s="28" t="s">
        <v>2763</v>
      </c>
      <c r="F591" s="28" t="s">
        <v>3320</v>
      </c>
      <c r="G591" s="28" t="s">
        <v>35</v>
      </c>
      <c r="H591" s="33" t="s">
        <v>3321</v>
      </c>
      <c r="I591" s="33" t="e">
        <f>VLOOKUP(H591,'合同高级查询数据-8月返'!A:A,1,FALSE)</f>
        <v>#N/A</v>
      </c>
      <c r="J591" s="38" t="s">
        <v>3322</v>
      </c>
      <c r="K591" s="28"/>
      <c r="L591" s="33" t="s">
        <v>3323</v>
      </c>
      <c r="M591" s="28"/>
      <c r="N591" s="44">
        <v>44348</v>
      </c>
      <c r="O591" s="28"/>
      <c r="P591" s="211">
        <v>3300</v>
      </c>
      <c r="Q591" s="217">
        <v>0</v>
      </c>
      <c r="R591" s="218">
        <f t="shared" ref="R591:R597" si="32">ROUND(Q591*P591,2)</f>
        <v>0</v>
      </c>
      <c r="S591" s="59">
        <v>202308</v>
      </c>
      <c r="T591" s="60" t="s">
        <v>3324</v>
      </c>
      <c r="U591" s="60"/>
      <c r="V591" s="224">
        <v>0</v>
      </c>
      <c r="W591" s="251"/>
      <c r="X591" s="74">
        <v>45078</v>
      </c>
      <c r="Y591" s="74">
        <v>45443</v>
      </c>
      <c r="Z591" s="28" t="s">
        <v>3325</v>
      </c>
      <c r="AA591" s="194">
        <v>0</v>
      </c>
      <c r="AB591" s="227">
        <v>0</v>
      </c>
      <c r="AC591" s="224">
        <f t="shared" si="31"/>
        <v>0</v>
      </c>
    </row>
    <row r="592" spans="1:29" s="10" customFormat="1" ht="15" customHeight="1">
      <c r="A592" s="28" t="s">
        <v>29</v>
      </c>
      <c r="B592" s="29" t="s">
        <v>1701</v>
      </c>
      <c r="C592" s="30" t="s">
        <v>31</v>
      </c>
      <c r="D592" s="30" t="s">
        <v>1717</v>
      </c>
      <c r="E592" s="28" t="s">
        <v>2763</v>
      </c>
      <c r="F592" s="28" t="s">
        <v>3320</v>
      </c>
      <c r="G592" s="28" t="s">
        <v>35</v>
      </c>
      <c r="H592" s="33" t="s">
        <v>3321</v>
      </c>
      <c r="I592" s="33" t="e">
        <f>VLOOKUP(H592,'合同高级查询数据-8月返'!A:A,1,FALSE)</f>
        <v>#N/A</v>
      </c>
      <c r="J592" s="38" t="s">
        <v>3322</v>
      </c>
      <c r="K592" s="28" t="s">
        <v>3326</v>
      </c>
      <c r="L592" s="33" t="s">
        <v>3327</v>
      </c>
      <c r="M592" s="28"/>
      <c r="N592" s="44">
        <v>44197</v>
      </c>
      <c r="O592" s="28"/>
      <c r="P592" s="211">
        <v>2200</v>
      </c>
      <c r="Q592" s="217">
        <v>167.024</v>
      </c>
      <c r="R592" s="218">
        <f t="shared" si="32"/>
        <v>367452.8</v>
      </c>
      <c r="S592" s="59">
        <v>202308</v>
      </c>
      <c r="T592" s="60" t="s">
        <v>3328</v>
      </c>
      <c r="U592" s="60"/>
      <c r="V592" s="254">
        <v>167.023529053</v>
      </c>
      <c r="W592" s="251"/>
      <c r="X592" s="74">
        <v>45078</v>
      </c>
      <c r="Y592" s="74">
        <v>45443</v>
      </c>
      <c r="Z592" s="28" t="s">
        <v>3329</v>
      </c>
      <c r="AA592" s="194">
        <v>0</v>
      </c>
      <c r="AB592" s="227">
        <v>0</v>
      </c>
      <c r="AC592" s="224">
        <f t="shared" si="31"/>
        <v>0</v>
      </c>
    </row>
    <row r="593" spans="1:29" s="10" customFormat="1" ht="15" customHeight="1">
      <c r="A593" s="28" t="s">
        <v>29</v>
      </c>
      <c r="B593" s="29" t="s">
        <v>1701</v>
      </c>
      <c r="C593" s="30" t="s">
        <v>31</v>
      </c>
      <c r="D593" s="30" t="s">
        <v>1717</v>
      </c>
      <c r="E593" s="28" t="s">
        <v>2763</v>
      </c>
      <c r="F593" s="28" t="s">
        <v>3320</v>
      </c>
      <c r="G593" s="28" t="s">
        <v>35</v>
      </c>
      <c r="H593" s="33" t="s">
        <v>3321</v>
      </c>
      <c r="I593" s="33" t="e">
        <f>VLOOKUP(H593,'合同高级查询数据-8月返'!A:A,1,FALSE)</f>
        <v>#N/A</v>
      </c>
      <c r="J593" s="38" t="s">
        <v>3322</v>
      </c>
      <c r="K593" s="28" t="s">
        <v>3326</v>
      </c>
      <c r="L593" s="33" t="s">
        <v>3330</v>
      </c>
      <c r="M593" s="28"/>
      <c r="N593" s="44">
        <v>44197</v>
      </c>
      <c r="O593" s="28"/>
      <c r="P593" s="211">
        <v>3150</v>
      </c>
      <c r="Q593" s="217">
        <v>329.71499999999997</v>
      </c>
      <c r="R593" s="218">
        <f t="shared" si="32"/>
        <v>1038602.25</v>
      </c>
      <c r="S593" s="59">
        <v>202308</v>
      </c>
      <c r="T593" s="60" t="s">
        <v>3328</v>
      </c>
      <c r="U593" s="60"/>
      <c r="V593" s="254">
        <v>329.71469116200001</v>
      </c>
      <c r="W593" s="251"/>
      <c r="X593" s="74">
        <v>45078</v>
      </c>
      <c r="Y593" s="74">
        <v>45443</v>
      </c>
      <c r="Z593" s="28" t="s">
        <v>3331</v>
      </c>
      <c r="AA593" s="194">
        <v>0</v>
      </c>
      <c r="AB593" s="227">
        <v>0</v>
      </c>
      <c r="AC593" s="224">
        <f t="shared" si="31"/>
        <v>0</v>
      </c>
    </row>
    <row r="594" spans="1:29" s="10" customFormat="1" ht="15" customHeight="1">
      <c r="A594" s="28" t="s">
        <v>29</v>
      </c>
      <c r="B594" s="29" t="s">
        <v>1701</v>
      </c>
      <c r="C594" s="30" t="s">
        <v>31</v>
      </c>
      <c r="D594" s="30" t="s">
        <v>1717</v>
      </c>
      <c r="E594" s="28" t="s">
        <v>2763</v>
      </c>
      <c r="F594" s="28" t="s">
        <v>3320</v>
      </c>
      <c r="G594" s="28" t="s">
        <v>35</v>
      </c>
      <c r="H594" s="33" t="s">
        <v>3321</v>
      </c>
      <c r="I594" s="33" t="e">
        <f>VLOOKUP(H594,'合同高级查询数据-8月返'!A:A,1,FALSE)</f>
        <v>#N/A</v>
      </c>
      <c r="J594" s="38" t="s">
        <v>3322</v>
      </c>
      <c r="K594" s="28" t="s">
        <v>3332</v>
      </c>
      <c r="L594" s="33" t="s">
        <v>3333</v>
      </c>
      <c r="M594" s="28"/>
      <c r="N594" s="44">
        <v>44197</v>
      </c>
      <c r="O594" s="28"/>
      <c r="P594" s="211">
        <v>2200</v>
      </c>
      <c r="Q594" s="217">
        <v>102.928</v>
      </c>
      <c r="R594" s="218">
        <f t="shared" si="32"/>
        <v>226441.60000000001</v>
      </c>
      <c r="S594" s="59">
        <v>202308</v>
      </c>
      <c r="T594" s="60" t="s">
        <v>3334</v>
      </c>
      <c r="U594" s="60"/>
      <c r="V594" s="254">
        <v>102.927073499</v>
      </c>
      <c r="W594" s="251"/>
      <c r="X594" s="74">
        <v>45078</v>
      </c>
      <c r="Y594" s="74">
        <v>45443</v>
      </c>
      <c r="Z594" s="28" t="s">
        <v>3335</v>
      </c>
      <c r="AA594" s="194">
        <v>0</v>
      </c>
      <c r="AB594" s="227">
        <v>0</v>
      </c>
      <c r="AC594" s="224">
        <f t="shared" si="31"/>
        <v>0</v>
      </c>
    </row>
    <row r="595" spans="1:29" s="10" customFormat="1" ht="15" customHeight="1">
      <c r="A595" s="28" t="s">
        <v>29</v>
      </c>
      <c r="B595" s="29" t="s">
        <v>1701</v>
      </c>
      <c r="C595" s="30" t="s">
        <v>31</v>
      </c>
      <c r="D595" s="30" t="s">
        <v>1717</v>
      </c>
      <c r="E595" s="28" t="s">
        <v>2763</v>
      </c>
      <c r="F595" s="28" t="s">
        <v>3320</v>
      </c>
      <c r="G595" s="28" t="s">
        <v>35</v>
      </c>
      <c r="H595" s="33" t="s">
        <v>3321</v>
      </c>
      <c r="I595" s="33" t="e">
        <f>VLOOKUP(H595,'合同高级查询数据-8月返'!A:A,1,FALSE)</f>
        <v>#N/A</v>
      </c>
      <c r="J595" s="38" t="s">
        <v>3322</v>
      </c>
      <c r="K595" s="28" t="s">
        <v>3332</v>
      </c>
      <c r="L595" s="33" t="s">
        <v>3336</v>
      </c>
      <c r="M595" s="28"/>
      <c r="N595" s="44">
        <v>44197</v>
      </c>
      <c r="O595" s="28"/>
      <c r="P595" s="211">
        <v>3150</v>
      </c>
      <c r="Q595" s="217">
        <v>478.00200000000001</v>
      </c>
      <c r="R595" s="218">
        <f t="shared" si="32"/>
        <v>1505706.3</v>
      </c>
      <c r="S595" s="59">
        <v>202308</v>
      </c>
      <c r="T595" s="60" t="s">
        <v>3334</v>
      </c>
      <c r="U595" s="60"/>
      <c r="V595" s="254">
        <v>478.00155568600002</v>
      </c>
      <c r="W595" s="251"/>
      <c r="X595" s="74">
        <v>45078</v>
      </c>
      <c r="Y595" s="74">
        <v>45443</v>
      </c>
      <c r="Z595" s="28" t="s">
        <v>3337</v>
      </c>
      <c r="AA595" s="194">
        <v>0</v>
      </c>
      <c r="AB595" s="227">
        <v>0</v>
      </c>
      <c r="AC595" s="224">
        <f t="shared" si="31"/>
        <v>0</v>
      </c>
    </row>
    <row r="596" spans="1:29" s="10" customFormat="1" ht="15" customHeight="1">
      <c r="A596" s="28" t="s">
        <v>29</v>
      </c>
      <c r="B596" s="29" t="s">
        <v>1701</v>
      </c>
      <c r="C596" s="30" t="s">
        <v>31</v>
      </c>
      <c r="D596" s="30" t="s">
        <v>1717</v>
      </c>
      <c r="E596" s="28" t="s">
        <v>2763</v>
      </c>
      <c r="F596" s="28" t="s">
        <v>3320</v>
      </c>
      <c r="G596" s="28" t="s">
        <v>35</v>
      </c>
      <c r="H596" s="33" t="s">
        <v>3321</v>
      </c>
      <c r="I596" s="33" t="e">
        <f>VLOOKUP(H596,'合同高级查询数据-8月返'!A:A,1,FALSE)</f>
        <v>#N/A</v>
      </c>
      <c r="J596" s="38" t="s">
        <v>3322</v>
      </c>
      <c r="K596" s="28" t="s">
        <v>3338</v>
      </c>
      <c r="L596" s="33" t="s">
        <v>3339</v>
      </c>
      <c r="M596" s="28"/>
      <c r="N596" s="44">
        <v>45078</v>
      </c>
      <c r="O596" s="28"/>
      <c r="P596" s="211">
        <v>3000</v>
      </c>
      <c r="Q596" s="217">
        <v>1.665</v>
      </c>
      <c r="R596" s="218">
        <f t="shared" si="32"/>
        <v>4995</v>
      </c>
      <c r="S596" s="59">
        <v>202308</v>
      </c>
      <c r="T596" s="60" t="s">
        <v>3340</v>
      </c>
      <c r="U596" s="60"/>
      <c r="V596" s="254">
        <v>1.664914287</v>
      </c>
      <c r="W596" s="251"/>
      <c r="X596" s="74">
        <v>45078</v>
      </c>
      <c r="Y596" s="74">
        <v>45443</v>
      </c>
      <c r="Z596" s="28" t="s">
        <v>3341</v>
      </c>
      <c r="AA596" s="194">
        <v>0</v>
      </c>
      <c r="AB596" s="224">
        <v>0</v>
      </c>
      <c r="AC596" s="224"/>
    </row>
    <row r="597" spans="1:29" s="10" customFormat="1" ht="15" customHeight="1">
      <c r="A597" s="28" t="s">
        <v>29</v>
      </c>
      <c r="B597" s="29" t="s">
        <v>1701</v>
      </c>
      <c r="C597" s="30" t="s">
        <v>31</v>
      </c>
      <c r="D597" s="30" t="s">
        <v>1717</v>
      </c>
      <c r="E597" s="28" t="s">
        <v>2763</v>
      </c>
      <c r="F597" s="28" t="s">
        <v>3320</v>
      </c>
      <c r="G597" s="28" t="s">
        <v>35</v>
      </c>
      <c r="H597" s="33" t="s">
        <v>3321</v>
      </c>
      <c r="I597" s="33" t="e">
        <f>VLOOKUP(H597,'合同高级查询数据-8月返'!A:A,1,FALSE)</f>
        <v>#N/A</v>
      </c>
      <c r="J597" s="38" t="s">
        <v>3322</v>
      </c>
      <c r="K597" s="28" t="s">
        <v>3342</v>
      </c>
      <c r="L597" s="33" t="s">
        <v>3343</v>
      </c>
      <c r="M597" s="28"/>
      <c r="N597" s="44">
        <v>45078</v>
      </c>
      <c r="O597" s="28"/>
      <c r="P597" s="211">
        <v>3900</v>
      </c>
      <c r="Q597" s="217">
        <v>22.45</v>
      </c>
      <c r="R597" s="218">
        <f t="shared" si="32"/>
        <v>87555</v>
      </c>
      <c r="S597" s="59">
        <v>202308</v>
      </c>
      <c r="T597" s="60" t="s">
        <v>3344</v>
      </c>
      <c r="U597" s="60"/>
      <c r="V597" s="254">
        <v>22.449392934999999</v>
      </c>
      <c r="W597" s="251"/>
      <c r="X597" s="74">
        <v>45078</v>
      </c>
      <c r="Y597" s="74">
        <v>45443</v>
      </c>
      <c r="Z597" s="28" t="s">
        <v>3345</v>
      </c>
      <c r="AA597" s="194">
        <v>0</v>
      </c>
      <c r="AB597" s="224">
        <v>0</v>
      </c>
      <c r="AC597" s="224"/>
    </row>
    <row r="598" spans="1:29" s="9" customFormat="1" ht="15" customHeight="1">
      <c r="A598" s="25" t="s">
        <v>29</v>
      </c>
      <c r="B598" s="26" t="s">
        <v>1701</v>
      </c>
      <c r="C598" s="27" t="s">
        <v>31</v>
      </c>
      <c r="D598" s="27" t="s">
        <v>1717</v>
      </c>
      <c r="E598" s="25" t="s">
        <v>99</v>
      </c>
      <c r="F598" s="25" t="s">
        <v>3346</v>
      </c>
      <c r="G598" s="25" t="s">
        <v>35</v>
      </c>
      <c r="H598" s="32" t="s">
        <v>3347</v>
      </c>
      <c r="I598" s="32" t="e">
        <f>VLOOKUP(H598,'合同高级查询数据-8月返'!A:A,1,FALSE)</f>
        <v>#N/A</v>
      </c>
      <c r="J598" s="35" t="s">
        <v>3322</v>
      </c>
      <c r="K598" s="25" t="s">
        <v>3348</v>
      </c>
      <c r="L598" s="32" t="s">
        <v>3349</v>
      </c>
      <c r="M598" s="25"/>
      <c r="N598" s="42">
        <v>44197</v>
      </c>
      <c r="O598" s="25"/>
      <c r="P598" s="236">
        <v>3600</v>
      </c>
      <c r="Q598" s="219">
        <v>0</v>
      </c>
      <c r="R598" s="220">
        <f t="shared" ref="R598:R661" si="33">ROUND(P598*Q598,2)</f>
        <v>0</v>
      </c>
      <c r="S598" s="55">
        <v>202308</v>
      </c>
      <c r="T598" s="56" t="s">
        <v>3350</v>
      </c>
      <c r="U598" s="56"/>
      <c r="V598" s="225">
        <v>0</v>
      </c>
      <c r="W598" s="252"/>
      <c r="X598" s="70"/>
      <c r="Y598" s="70"/>
      <c r="Z598" s="225">
        <v>0</v>
      </c>
      <c r="AA598" s="196">
        <v>0</v>
      </c>
      <c r="AB598" s="225">
        <v>0</v>
      </c>
      <c r="AC598" s="225">
        <f t="shared" si="31"/>
        <v>0</v>
      </c>
    </row>
    <row r="599" spans="1:29" s="9" customFormat="1" ht="15" customHeight="1">
      <c r="A599" s="25" t="s">
        <v>29</v>
      </c>
      <c r="B599" s="26" t="s">
        <v>1701</v>
      </c>
      <c r="C599" s="27" t="s">
        <v>31</v>
      </c>
      <c r="D599" s="27" t="s">
        <v>1717</v>
      </c>
      <c r="E599" s="25" t="s">
        <v>99</v>
      </c>
      <c r="F599" s="25" t="s">
        <v>3346</v>
      </c>
      <c r="G599" s="25" t="s">
        <v>35</v>
      </c>
      <c r="H599" s="32" t="s">
        <v>3347</v>
      </c>
      <c r="I599" s="32" t="e">
        <f>VLOOKUP(H599,'合同高级查询数据-8月返'!A:A,1,FALSE)</f>
        <v>#N/A</v>
      </c>
      <c r="J599" s="35" t="s">
        <v>3322</v>
      </c>
      <c r="K599" s="25" t="s">
        <v>3351</v>
      </c>
      <c r="L599" s="32" t="s">
        <v>3352</v>
      </c>
      <c r="M599" s="25"/>
      <c r="N599" s="42">
        <v>44197</v>
      </c>
      <c r="O599" s="25"/>
      <c r="P599" s="236">
        <v>2600</v>
      </c>
      <c r="Q599" s="219">
        <v>0</v>
      </c>
      <c r="R599" s="220">
        <f t="shared" si="33"/>
        <v>0</v>
      </c>
      <c r="S599" s="55">
        <v>202308</v>
      </c>
      <c r="T599" s="56" t="s">
        <v>3353</v>
      </c>
      <c r="U599" s="56"/>
      <c r="V599" s="225">
        <v>0</v>
      </c>
      <c r="W599" s="252"/>
      <c r="X599" s="70"/>
      <c r="Y599" s="70"/>
      <c r="Z599" s="225">
        <v>0</v>
      </c>
      <c r="AA599" s="196">
        <v>0</v>
      </c>
      <c r="AB599" s="225">
        <v>0</v>
      </c>
      <c r="AC599" s="225">
        <f t="shared" si="31"/>
        <v>0</v>
      </c>
    </row>
    <row r="600" spans="1:29" s="9" customFormat="1" ht="15" customHeight="1">
      <c r="A600" s="25" t="s">
        <v>29</v>
      </c>
      <c r="B600" s="26" t="s">
        <v>1701</v>
      </c>
      <c r="C600" s="27" t="s">
        <v>31</v>
      </c>
      <c r="D600" s="27" t="s">
        <v>1717</v>
      </c>
      <c r="E600" s="25" t="s">
        <v>99</v>
      </c>
      <c r="F600" s="25" t="s">
        <v>3346</v>
      </c>
      <c r="G600" s="25" t="s">
        <v>35</v>
      </c>
      <c r="H600" s="32" t="s">
        <v>3347</v>
      </c>
      <c r="I600" s="32" t="e">
        <f>VLOOKUP(H600,'合同高级查询数据-8月返'!A:A,1,FALSE)</f>
        <v>#N/A</v>
      </c>
      <c r="J600" s="35" t="s">
        <v>3322</v>
      </c>
      <c r="K600" s="25" t="s">
        <v>3351</v>
      </c>
      <c r="L600" s="32" t="s">
        <v>3354</v>
      </c>
      <c r="M600" s="25"/>
      <c r="N600" s="42">
        <v>44197</v>
      </c>
      <c r="O600" s="25"/>
      <c r="P600" s="236">
        <v>2600</v>
      </c>
      <c r="Q600" s="219">
        <v>0</v>
      </c>
      <c r="R600" s="220">
        <f t="shared" si="33"/>
        <v>0</v>
      </c>
      <c r="S600" s="55">
        <v>202308</v>
      </c>
      <c r="T600" s="56" t="s">
        <v>3353</v>
      </c>
      <c r="U600" s="56"/>
      <c r="V600" s="225">
        <v>0</v>
      </c>
      <c r="W600" s="252"/>
      <c r="X600" s="70"/>
      <c r="Y600" s="70"/>
      <c r="Z600" s="225">
        <v>0</v>
      </c>
      <c r="AA600" s="196">
        <v>0</v>
      </c>
      <c r="AB600" s="225">
        <v>0</v>
      </c>
      <c r="AC600" s="225">
        <f t="shared" si="31"/>
        <v>0</v>
      </c>
    </row>
    <row r="601" spans="1:29" s="10" customFormat="1" ht="15" customHeight="1">
      <c r="A601" s="28" t="s">
        <v>29</v>
      </c>
      <c r="B601" s="29" t="s">
        <v>1701</v>
      </c>
      <c r="C601" s="30" t="s">
        <v>31</v>
      </c>
      <c r="D601" s="30" t="s">
        <v>1717</v>
      </c>
      <c r="E601" s="28" t="s">
        <v>99</v>
      </c>
      <c r="F601" s="28" t="s">
        <v>3355</v>
      </c>
      <c r="G601" s="28" t="s">
        <v>35</v>
      </c>
      <c r="H601" s="33" t="s">
        <v>3356</v>
      </c>
      <c r="I601" s="33" t="str">
        <f>VLOOKUP(H601,'合同高级查询数据-8月返'!A:A,1,FALSE)</f>
        <v>182315IDC00377</v>
      </c>
      <c r="J601" s="38" t="s">
        <v>3357</v>
      </c>
      <c r="K601" s="28" t="s">
        <v>3358</v>
      </c>
      <c r="L601" s="33" t="s">
        <v>3359</v>
      </c>
      <c r="M601" s="28"/>
      <c r="N601" s="44">
        <v>44378</v>
      </c>
      <c r="O601" s="28"/>
      <c r="P601" s="211">
        <v>2350</v>
      </c>
      <c r="Q601" s="217">
        <v>68.597999999999999</v>
      </c>
      <c r="R601" s="218">
        <f t="shared" si="33"/>
        <v>161205.29999999999</v>
      </c>
      <c r="S601" s="59">
        <v>202308</v>
      </c>
      <c r="T601" s="60" t="s">
        <v>3360</v>
      </c>
      <c r="U601" s="60"/>
      <c r="V601" s="254">
        <v>68.59703064</v>
      </c>
      <c r="W601" s="251"/>
      <c r="X601" s="74">
        <v>45108</v>
      </c>
      <c r="Y601" s="74">
        <v>45473</v>
      </c>
      <c r="Z601" s="28" t="s">
        <v>3361</v>
      </c>
      <c r="AA601" s="194">
        <v>0</v>
      </c>
      <c r="AB601" s="227">
        <v>0</v>
      </c>
      <c r="AC601" s="224">
        <f t="shared" si="31"/>
        <v>0</v>
      </c>
    </row>
    <row r="602" spans="1:29" s="10" customFormat="1" ht="15" customHeight="1">
      <c r="A602" s="28" t="s">
        <v>29</v>
      </c>
      <c r="B602" s="29" t="s">
        <v>1701</v>
      </c>
      <c r="C602" s="30" t="s">
        <v>31</v>
      </c>
      <c r="D602" s="30" t="s">
        <v>1717</v>
      </c>
      <c r="E602" s="28" t="s">
        <v>99</v>
      </c>
      <c r="F602" s="28" t="s">
        <v>3355</v>
      </c>
      <c r="G602" s="28" t="s">
        <v>35</v>
      </c>
      <c r="H602" s="33" t="s">
        <v>3356</v>
      </c>
      <c r="I602" s="33" t="str">
        <f>VLOOKUP(H602,'合同高级查询数据-8月返'!A:A,1,FALSE)</f>
        <v>182315IDC00377</v>
      </c>
      <c r="J602" s="38" t="s">
        <v>3357</v>
      </c>
      <c r="K602" s="28" t="s">
        <v>3362</v>
      </c>
      <c r="L602" s="33" t="s">
        <v>3363</v>
      </c>
      <c r="M602" s="28"/>
      <c r="N602" s="44">
        <v>44378</v>
      </c>
      <c r="O602" s="28"/>
      <c r="P602" s="211">
        <v>3300</v>
      </c>
      <c r="Q602" s="217">
        <v>223.41399999999999</v>
      </c>
      <c r="R602" s="218">
        <f t="shared" si="33"/>
        <v>737266.2</v>
      </c>
      <c r="S602" s="59">
        <v>202308</v>
      </c>
      <c r="T602" s="60" t="s">
        <v>3360</v>
      </c>
      <c r="U602" s="60"/>
      <c r="V602" s="254">
        <v>223.41371154800001</v>
      </c>
      <c r="W602" s="251"/>
      <c r="X602" s="74">
        <v>45108</v>
      </c>
      <c r="Y602" s="74">
        <v>45473</v>
      </c>
      <c r="Z602" s="28" t="s">
        <v>3364</v>
      </c>
      <c r="AA602" s="194">
        <v>0</v>
      </c>
      <c r="AB602" s="227">
        <v>0</v>
      </c>
      <c r="AC602" s="224">
        <f t="shared" si="31"/>
        <v>0</v>
      </c>
    </row>
    <row r="603" spans="1:29" s="10" customFormat="1" ht="15" customHeight="1">
      <c r="A603" s="28" t="s">
        <v>29</v>
      </c>
      <c r="B603" s="29" t="s">
        <v>1701</v>
      </c>
      <c r="C603" s="30" t="s">
        <v>31</v>
      </c>
      <c r="D603" s="30" t="s">
        <v>1717</v>
      </c>
      <c r="E603" s="28" t="s">
        <v>99</v>
      </c>
      <c r="F603" s="28" t="s">
        <v>3355</v>
      </c>
      <c r="G603" s="28" t="s">
        <v>35</v>
      </c>
      <c r="H603" s="33" t="s">
        <v>3356</v>
      </c>
      <c r="I603" s="33" t="str">
        <f>VLOOKUP(H603,'合同高级查询数据-8月返'!A:A,1,FALSE)</f>
        <v>182315IDC00377</v>
      </c>
      <c r="J603" s="38" t="s">
        <v>3357</v>
      </c>
      <c r="K603" s="28" t="s">
        <v>3365</v>
      </c>
      <c r="L603" s="33" t="s">
        <v>3366</v>
      </c>
      <c r="M603" s="28"/>
      <c r="N603" s="44">
        <v>44378</v>
      </c>
      <c r="O603" s="28"/>
      <c r="P603" s="211">
        <v>3100</v>
      </c>
      <c r="Q603" s="217">
        <v>172.46700000000001</v>
      </c>
      <c r="R603" s="218">
        <f t="shared" si="33"/>
        <v>534647.69999999995</v>
      </c>
      <c r="S603" s="59">
        <v>202308</v>
      </c>
      <c r="T603" s="60" t="s">
        <v>3360</v>
      </c>
      <c r="U603" s="60"/>
      <c r="V603" s="254">
        <v>172.466522217</v>
      </c>
      <c r="W603" s="251"/>
      <c r="X603" s="74">
        <v>45108</v>
      </c>
      <c r="Y603" s="74">
        <v>45473</v>
      </c>
      <c r="Z603" s="28" t="s">
        <v>3367</v>
      </c>
      <c r="AA603" s="194">
        <v>0</v>
      </c>
      <c r="AB603" s="227">
        <v>0</v>
      </c>
      <c r="AC603" s="224">
        <f t="shared" si="31"/>
        <v>0</v>
      </c>
    </row>
    <row r="604" spans="1:29" s="10" customFormat="1" ht="15" customHeight="1">
      <c r="A604" s="28" t="s">
        <v>29</v>
      </c>
      <c r="B604" s="29" t="s">
        <v>1701</v>
      </c>
      <c r="C604" s="30" t="s">
        <v>31</v>
      </c>
      <c r="D604" s="30" t="s">
        <v>1717</v>
      </c>
      <c r="E604" s="28" t="s">
        <v>99</v>
      </c>
      <c r="F604" s="28" t="s">
        <v>3355</v>
      </c>
      <c r="G604" s="28" t="s">
        <v>35</v>
      </c>
      <c r="H604" s="33" t="s">
        <v>3356</v>
      </c>
      <c r="I604" s="33" t="str">
        <f>VLOOKUP(H604,'合同高级查询数据-8月返'!A:A,1,FALSE)</f>
        <v>182315IDC00377</v>
      </c>
      <c r="J604" s="38" t="s">
        <v>3357</v>
      </c>
      <c r="K604" s="28" t="s">
        <v>3368</v>
      </c>
      <c r="L604" s="33" t="s">
        <v>3369</v>
      </c>
      <c r="M604" s="28"/>
      <c r="N604" s="44">
        <v>44378</v>
      </c>
      <c r="O604" s="28"/>
      <c r="P604" s="211">
        <v>3950</v>
      </c>
      <c r="Q604" s="217">
        <v>66.281000000000006</v>
      </c>
      <c r="R604" s="218">
        <f t="shared" si="33"/>
        <v>261809.95</v>
      </c>
      <c r="S604" s="59">
        <v>202308</v>
      </c>
      <c r="T604" s="60" t="s">
        <v>3360</v>
      </c>
      <c r="U604" s="60"/>
      <c r="V604" s="254">
        <v>66.280166625999996</v>
      </c>
      <c r="W604" s="251"/>
      <c r="X604" s="74">
        <v>45108</v>
      </c>
      <c r="Y604" s="74">
        <v>45473</v>
      </c>
      <c r="Z604" s="28" t="s">
        <v>3370</v>
      </c>
      <c r="AA604" s="194">
        <v>0</v>
      </c>
      <c r="AB604" s="227">
        <v>0</v>
      </c>
      <c r="AC604" s="224">
        <f t="shared" si="31"/>
        <v>0</v>
      </c>
    </row>
    <row r="605" spans="1:29" s="10" customFormat="1" ht="15" customHeight="1">
      <c r="A605" s="28" t="s">
        <v>29</v>
      </c>
      <c r="B605" s="29" t="s">
        <v>1701</v>
      </c>
      <c r="C605" s="30" t="s">
        <v>31</v>
      </c>
      <c r="D605" s="30" t="s">
        <v>1717</v>
      </c>
      <c r="E605" s="28" t="s">
        <v>99</v>
      </c>
      <c r="F605" s="28" t="s">
        <v>3346</v>
      </c>
      <c r="G605" s="28" t="s">
        <v>35</v>
      </c>
      <c r="H605" s="33" t="s">
        <v>3371</v>
      </c>
      <c r="I605" s="33" t="e">
        <f>VLOOKUP(H605,'合同高级查询数据-8月返'!A:A,1,FALSE)</f>
        <v>#N/A</v>
      </c>
      <c r="J605" s="38" t="s">
        <v>3322</v>
      </c>
      <c r="K605" s="28" t="s">
        <v>3372</v>
      </c>
      <c r="L605" s="33" t="s">
        <v>3373</v>
      </c>
      <c r="M605" s="28"/>
      <c r="N605" s="44">
        <v>44197</v>
      </c>
      <c r="O605" s="28"/>
      <c r="P605" s="211">
        <v>2500</v>
      </c>
      <c r="Q605" s="217">
        <v>81.807000000000002</v>
      </c>
      <c r="R605" s="218">
        <f t="shared" si="33"/>
        <v>204517.5</v>
      </c>
      <c r="S605" s="59">
        <v>202308</v>
      </c>
      <c r="T605" s="60" t="s">
        <v>3374</v>
      </c>
      <c r="U605" s="60"/>
      <c r="V605" s="254">
        <v>81.806365967000005</v>
      </c>
      <c r="W605" s="251"/>
      <c r="X605" s="74">
        <v>44835</v>
      </c>
      <c r="Y605" s="74">
        <v>45199</v>
      </c>
      <c r="Z605" s="28" t="s">
        <v>3375</v>
      </c>
      <c r="AA605" s="194">
        <v>0</v>
      </c>
      <c r="AB605" s="227">
        <v>0</v>
      </c>
      <c r="AC605" s="224">
        <f t="shared" si="31"/>
        <v>0</v>
      </c>
    </row>
    <row r="606" spans="1:29" s="10" customFormat="1" ht="15" customHeight="1">
      <c r="A606" s="28" t="s">
        <v>29</v>
      </c>
      <c r="B606" s="29" t="s">
        <v>1701</v>
      </c>
      <c r="C606" s="30" t="s">
        <v>31</v>
      </c>
      <c r="D606" s="30" t="s">
        <v>1717</v>
      </c>
      <c r="E606" s="28" t="s">
        <v>99</v>
      </c>
      <c r="F606" s="28" t="s">
        <v>3346</v>
      </c>
      <c r="G606" s="28" t="s">
        <v>35</v>
      </c>
      <c r="H606" s="33" t="s">
        <v>3371</v>
      </c>
      <c r="I606" s="33" t="e">
        <f>VLOOKUP(H606,'合同高级查询数据-8月返'!A:A,1,FALSE)</f>
        <v>#N/A</v>
      </c>
      <c r="J606" s="38" t="s">
        <v>3322</v>
      </c>
      <c r="K606" s="28" t="s">
        <v>3376</v>
      </c>
      <c r="L606" s="33" t="s">
        <v>3377</v>
      </c>
      <c r="M606" s="28"/>
      <c r="N606" s="44">
        <v>44197</v>
      </c>
      <c r="O606" s="28"/>
      <c r="P606" s="211">
        <v>2000</v>
      </c>
      <c r="Q606" s="217">
        <v>6.6849999999999996</v>
      </c>
      <c r="R606" s="218">
        <f t="shared" si="33"/>
        <v>13370</v>
      </c>
      <c r="S606" s="59">
        <v>202308</v>
      </c>
      <c r="T606" s="60" t="s">
        <v>3374</v>
      </c>
      <c r="U606" s="60"/>
      <c r="V606" s="254">
        <v>6.6842584609999998</v>
      </c>
      <c r="W606" s="251"/>
      <c r="X606" s="74">
        <v>44835</v>
      </c>
      <c r="Y606" s="74">
        <v>45199</v>
      </c>
      <c r="Z606" s="28" t="s">
        <v>3378</v>
      </c>
      <c r="AA606" s="194">
        <v>0</v>
      </c>
      <c r="AB606" s="227">
        <v>0</v>
      </c>
      <c r="AC606" s="224">
        <f t="shared" si="31"/>
        <v>0</v>
      </c>
    </row>
    <row r="607" spans="1:29" s="10" customFormat="1" ht="15" customHeight="1">
      <c r="A607" s="28" t="s">
        <v>29</v>
      </c>
      <c r="B607" s="29" t="s">
        <v>1701</v>
      </c>
      <c r="C607" s="30" t="s">
        <v>31</v>
      </c>
      <c r="D607" s="30" t="s">
        <v>1717</v>
      </c>
      <c r="E607" s="28" t="s">
        <v>99</v>
      </c>
      <c r="F607" s="28" t="s">
        <v>3346</v>
      </c>
      <c r="G607" s="28" t="s">
        <v>35</v>
      </c>
      <c r="H607" s="33" t="s">
        <v>3356</v>
      </c>
      <c r="I607" s="33" t="str">
        <f>VLOOKUP(H607,'合同高级查询数据-8月返'!A:A,1,FALSE)</f>
        <v>182315IDC00377</v>
      </c>
      <c r="J607" s="38" t="s">
        <v>3322</v>
      </c>
      <c r="K607" s="28" t="s">
        <v>3379</v>
      </c>
      <c r="L607" s="33" t="s">
        <v>3380</v>
      </c>
      <c r="M607" s="28"/>
      <c r="N607" s="44">
        <v>44197</v>
      </c>
      <c r="O607" s="28"/>
      <c r="P607" s="211">
        <v>3300</v>
      </c>
      <c r="Q607" s="217">
        <v>110.149</v>
      </c>
      <c r="R607" s="218">
        <f t="shared" si="33"/>
        <v>363491.7</v>
      </c>
      <c r="S607" s="59">
        <v>202308</v>
      </c>
      <c r="T607" s="60" t="s">
        <v>3374</v>
      </c>
      <c r="U607" s="60"/>
      <c r="V607" s="254">
        <v>110.148612976</v>
      </c>
      <c r="W607" s="251"/>
      <c r="X607" s="74">
        <v>45108</v>
      </c>
      <c r="Y607" s="74">
        <v>45473</v>
      </c>
      <c r="Z607" s="28" t="s">
        <v>3381</v>
      </c>
      <c r="AA607" s="194">
        <v>0</v>
      </c>
      <c r="AB607" s="227">
        <v>0</v>
      </c>
      <c r="AC607" s="224">
        <f t="shared" si="31"/>
        <v>0</v>
      </c>
    </row>
    <row r="608" spans="1:29" s="10" customFormat="1" ht="15" customHeight="1">
      <c r="A608" s="28" t="s">
        <v>29</v>
      </c>
      <c r="B608" s="29" t="s">
        <v>1701</v>
      </c>
      <c r="C608" s="30" t="s">
        <v>31</v>
      </c>
      <c r="D608" s="30" t="s">
        <v>1717</v>
      </c>
      <c r="E608" s="28" t="s">
        <v>99</v>
      </c>
      <c r="F608" s="28" t="s">
        <v>3346</v>
      </c>
      <c r="G608" s="28" t="s">
        <v>35</v>
      </c>
      <c r="H608" s="33" t="s">
        <v>3356</v>
      </c>
      <c r="I608" s="33" t="str">
        <f>VLOOKUP(H608,'合同高级查询数据-8月返'!A:A,1,FALSE)</f>
        <v>182315IDC00377</v>
      </c>
      <c r="J608" s="38" t="s">
        <v>3322</v>
      </c>
      <c r="K608" s="28" t="s">
        <v>3382</v>
      </c>
      <c r="L608" s="33" t="s">
        <v>3383</v>
      </c>
      <c r="M608" s="28"/>
      <c r="N608" s="44">
        <v>44197</v>
      </c>
      <c r="O608" s="28"/>
      <c r="P608" s="211">
        <v>2350</v>
      </c>
      <c r="Q608" s="217">
        <v>106.96899999999999</v>
      </c>
      <c r="R608" s="218">
        <f t="shared" si="33"/>
        <v>251377.15</v>
      </c>
      <c r="S608" s="59">
        <v>202308</v>
      </c>
      <c r="T608" s="60" t="s">
        <v>3374</v>
      </c>
      <c r="U608" s="60"/>
      <c r="V608" s="254">
        <v>106.968162537</v>
      </c>
      <c r="W608" s="251"/>
      <c r="X608" s="74">
        <v>45108</v>
      </c>
      <c r="Y608" s="74">
        <v>45473</v>
      </c>
      <c r="Z608" s="28" t="s">
        <v>3384</v>
      </c>
      <c r="AA608" s="194">
        <v>0</v>
      </c>
      <c r="AB608" s="227">
        <v>0</v>
      </c>
      <c r="AC608" s="224">
        <f t="shared" si="31"/>
        <v>0</v>
      </c>
    </row>
    <row r="609" spans="1:29" s="9" customFormat="1" ht="15" customHeight="1">
      <c r="A609" s="25" t="s">
        <v>29</v>
      </c>
      <c r="B609" s="26" t="s">
        <v>1701</v>
      </c>
      <c r="C609" s="27" t="s">
        <v>31</v>
      </c>
      <c r="D609" s="27" t="s">
        <v>1717</v>
      </c>
      <c r="E609" s="25" t="s">
        <v>3385</v>
      </c>
      <c r="F609" s="25" t="s">
        <v>3386</v>
      </c>
      <c r="G609" s="25" t="s">
        <v>35</v>
      </c>
      <c r="H609" s="32" t="s">
        <v>3387</v>
      </c>
      <c r="I609" s="32" t="e">
        <f>VLOOKUP(H609,'合同高级查询数据-8月返'!A:A,1,FALSE)</f>
        <v>#N/A</v>
      </c>
      <c r="J609" s="35" t="s">
        <v>3322</v>
      </c>
      <c r="K609" s="25" t="s">
        <v>3388</v>
      </c>
      <c r="L609" s="32" t="s">
        <v>3388</v>
      </c>
      <c r="M609" s="25"/>
      <c r="N609" s="42">
        <v>44774</v>
      </c>
      <c r="O609" s="25"/>
      <c r="P609" s="236">
        <v>2200</v>
      </c>
      <c r="Q609" s="219">
        <v>21.486000000000001</v>
      </c>
      <c r="R609" s="220">
        <f t="shared" si="33"/>
        <v>47269.2</v>
      </c>
      <c r="S609" s="55">
        <v>202308</v>
      </c>
      <c r="T609" s="56" t="s">
        <v>3389</v>
      </c>
      <c r="U609" s="56"/>
      <c r="V609" s="255">
        <v>21.485105481000002</v>
      </c>
      <c r="W609" s="252"/>
      <c r="X609" s="70"/>
      <c r="Y609" s="70"/>
      <c r="Z609" s="25" t="s">
        <v>3390</v>
      </c>
      <c r="AA609" s="195">
        <v>0</v>
      </c>
      <c r="AB609" s="226">
        <v>0</v>
      </c>
      <c r="AC609" s="225">
        <f t="shared" si="31"/>
        <v>0</v>
      </c>
    </row>
    <row r="610" spans="1:29" s="9" customFormat="1" ht="15" customHeight="1">
      <c r="A610" s="25" t="s">
        <v>29</v>
      </c>
      <c r="B610" s="26" t="s">
        <v>1701</v>
      </c>
      <c r="C610" s="27" t="s">
        <v>31</v>
      </c>
      <c r="D610" s="27" t="s">
        <v>1717</v>
      </c>
      <c r="E610" s="25" t="s">
        <v>3385</v>
      </c>
      <c r="F610" s="25" t="s">
        <v>3386</v>
      </c>
      <c r="G610" s="25" t="s">
        <v>35</v>
      </c>
      <c r="H610" s="32" t="s">
        <v>3387</v>
      </c>
      <c r="I610" s="32" t="e">
        <f>VLOOKUP(H610,'合同高级查询数据-8月返'!A:A,1,FALSE)</f>
        <v>#N/A</v>
      </c>
      <c r="J610" s="35" t="s">
        <v>3322</v>
      </c>
      <c r="K610" s="25" t="s">
        <v>3391</v>
      </c>
      <c r="L610" s="32" t="s">
        <v>3391</v>
      </c>
      <c r="M610" s="25"/>
      <c r="N610" s="42">
        <v>44774</v>
      </c>
      <c r="O610" s="25"/>
      <c r="P610" s="236">
        <v>3200</v>
      </c>
      <c r="Q610" s="219">
        <v>146.65600000000001</v>
      </c>
      <c r="R610" s="220">
        <f t="shared" si="33"/>
        <v>469299.20000000001</v>
      </c>
      <c r="S610" s="55">
        <v>202308</v>
      </c>
      <c r="T610" s="56" t="s">
        <v>3389</v>
      </c>
      <c r="U610" s="56"/>
      <c r="V610" s="255">
        <v>146.65508419400001</v>
      </c>
      <c r="W610" s="252"/>
      <c r="X610" s="70"/>
      <c r="Y610" s="70"/>
      <c r="Z610" s="25" t="s">
        <v>3392</v>
      </c>
      <c r="AA610" s="195">
        <v>0</v>
      </c>
      <c r="AB610" s="226">
        <v>0</v>
      </c>
      <c r="AC610" s="225">
        <f t="shared" si="31"/>
        <v>0</v>
      </c>
    </row>
    <row r="611" spans="1:29" s="10" customFormat="1" ht="15" customHeight="1">
      <c r="A611" s="28" t="s">
        <v>29</v>
      </c>
      <c r="B611" s="29" t="s">
        <v>1701</v>
      </c>
      <c r="C611" s="30" t="s">
        <v>31</v>
      </c>
      <c r="D611" s="30" t="s">
        <v>1717</v>
      </c>
      <c r="E611" s="28" t="s">
        <v>3385</v>
      </c>
      <c r="F611" s="28" t="s">
        <v>3386</v>
      </c>
      <c r="G611" s="28" t="s">
        <v>35</v>
      </c>
      <c r="H611" s="33" t="s">
        <v>3393</v>
      </c>
      <c r="I611" s="33" t="e">
        <f>VLOOKUP(H611,'合同高级查询数据-8月返'!A:A,1,FALSE)</f>
        <v>#N/A</v>
      </c>
      <c r="J611" s="38" t="s">
        <v>3357</v>
      </c>
      <c r="K611" s="28" t="s">
        <v>3394</v>
      </c>
      <c r="L611" s="33" t="s">
        <v>3395</v>
      </c>
      <c r="M611" s="28"/>
      <c r="N611" s="44">
        <v>45078</v>
      </c>
      <c r="O611" s="28"/>
      <c r="P611" s="211">
        <v>2200</v>
      </c>
      <c r="Q611" s="217">
        <v>28.571000000000002</v>
      </c>
      <c r="R611" s="218">
        <f t="shared" si="33"/>
        <v>62856.2</v>
      </c>
      <c r="S611" s="59">
        <v>202308</v>
      </c>
      <c r="T611" s="60" t="s">
        <v>3396</v>
      </c>
      <c r="U611" s="60"/>
      <c r="V611" s="254">
        <v>28.570034026999998</v>
      </c>
      <c r="W611" s="251"/>
      <c r="X611" s="74">
        <v>45078</v>
      </c>
      <c r="Y611" s="74">
        <v>45443</v>
      </c>
      <c r="Z611" s="28" t="s">
        <v>3397</v>
      </c>
      <c r="AA611" s="194">
        <v>0</v>
      </c>
      <c r="AB611" s="224">
        <v>0</v>
      </c>
      <c r="AC611" s="224"/>
    </row>
    <row r="612" spans="1:29" s="10" customFormat="1" ht="15" customHeight="1">
      <c r="A612" s="28" t="s">
        <v>29</v>
      </c>
      <c r="B612" s="29" t="s">
        <v>1701</v>
      </c>
      <c r="C612" s="30" t="s">
        <v>31</v>
      </c>
      <c r="D612" s="30" t="s">
        <v>1717</v>
      </c>
      <c r="E612" s="28" t="s">
        <v>3385</v>
      </c>
      <c r="F612" s="28" t="s">
        <v>3386</v>
      </c>
      <c r="G612" s="28" t="s">
        <v>35</v>
      </c>
      <c r="H612" s="33" t="s">
        <v>3393</v>
      </c>
      <c r="I612" s="33" t="e">
        <f>VLOOKUP(H612,'合同高级查询数据-8月返'!A:A,1,FALSE)</f>
        <v>#N/A</v>
      </c>
      <c r="J612" s="38" t="s">
        <v>3357</v>
      </c>
      <c r="K612" s="28" t="s">
        <v>3398</v>
      </c>
      <c r="L612" s="33" t="s">
        <v>3399</v>
      </c>
      <c r="M612" s="28"/>
      <c r="N612" s="44">
        <v>45078</v>
      </c>
      <c r="O612" s="28"/>
      <c r="P612" s="211">
        <v>3200</v>
      </c>
      <c r="Q612" s="217">
        <v>1.4470000000000001</v>
      </c>
      <c r="R612" s="218">
        <f t="shared" si="33"/>
        <v>4630.3999999999996</v>
      </c>
      <c r="S612" s="59">
        <v>202308</v>
      </c>
      <c r="T612" s="60" t="s">
        <v>3400</v>
      </c>
      <c r="U612" s="60"/>
      <c r="V612" s="254">
        <v>1.4461098910000001</v>
      </c>
      <c r="W612" s="251"/>
      <c r="X612" s="74">
        <v>45078</v>
      </c>
      <c r="Y612" s="74">
        <v>45443</v>
      </c>
      <c r="Z612" s="28" t="s">
        <v>3401</v>
      </c>
      <c r="AA612" s="194">
        <v>0</v>
      </c>
      <c r="AB612" s="224">
        <v>0</v>
      </c>
      <c r="AC612" s="224"/>
    </row>
    <row r="613" spans="1:29" s="10" customFormat="1" ht="15" customHeight="1">
      <c r="A613" s="28" t="s">
        <v>29</v>
      </c>
      <c r="B613" s="29" t="s">
        <v>1701</v>
      </c>
      <c r="C613" s="30" t="s">
        <v>31</v>
      </c>
      <c r="D613" s="30" t="s">
        <v>1717</v>
      </c>
      <c r="E613" s="28" t="s">
        <v>3385</v>
      </c>
      <c r="F613" s="28" t="s">
        <v>3386</v>
      </c>
      <c r="G613" s="28" t="s">
        <v>35</v>
      </c>
      <c r="H613" s="33" t="s">
        <v>3393</v>
      </c>
      <c r="I613" s="33" t="e">
        <f>VLOOKUP(H613,'合同高级查询数据-8月返'!A:A,1,FALSE)</f>
        <v>#N/A</v>
      </c>
      <c r="J613" s="38" t="s">
        <v>3357</v>
      </c>
      <c r="K613" s="28" t="s">
        <v>3402</v>
      </c>
      <c r="L613" s="33" t="s">
        <v>3403</v>
      </c>
      <c r="M613" s="28"/>
      <c r="N613" s="44">
        <v>45078</v>
      </c>
      <c r="O613" s="28"/>
      <c r="P613" s="211">
        <v>3800</v>
      </c>
      <c r="Q613" s="217">
        <v>0</v>
      </c>
      <c r="R613" s="218">
        <f t="shared" si="33"/>
        <v>0</v>
      </c>
      <c r="S613" s="59">
        <v>202308</v>
      </c>
      <c r="T613" s="60" t="s">
        <v>3404</v>
      </c>
      <c r="U613" s="60"/>
      <c r="V613" s="224">
        <v>0</v>
      </c>
      <c r="W613" s="251"/>
      <c r="X613" s="74">
        <v>45078</v>
      </c>
      <c r="Y613" s="74">
        <v>45443</v>
      </c>
      <c r="Z613" s="28" t="s">
        <v>3405</v>
      </c>
      <c r="AA613" s="194">
        <v>0</v>
      </c>
      <c r="AB613" s="224">
        <v>0</v>
      </c>
      <c r="AC613" s="224"/>
    </row>
    <row r="614" spans="1:29" s="10" customFormat="1" ht="15" customHeight="1">
      <c r="A614" s="28" t="s">
        <v>29</v>
      </c>
      <c r="B614" s="29" t="s">
        <v>1701</v>
      </c>
      <c r="C614" s="30" t="s">
        <v>31</v>
      </c>
      <c r="D614" s="30" t="s">
        <v>1717</v>
      </c>
      <c r="E614" s="28" t="s">
        <v>3385</v>
      </c>
      <c r="F614" s="28" t="s">
        <v>3386</v>
      </c>
      <c r="G614" s="28" t="s">
        <v>35</v>
      </c>
      <c r="H614" s="33" t="s">
        <v>3393</v>
      </c>
      <c r="I614" s="33" t="e">
        <f>VLOOKUP(H614,'合同高级查询数据-8月返'!A:A,1,FALSE)</f>
        <v>#N/A</v>
      </c>
      <c r="J614" s="38" t="s">
        <v>3357</v>
      </c>
      <c r="K614" s="28" t="s">
        <v>3406</v>
      </c>
      <c r="L614" s="33" t="s">
        <v>3407</v>
      </c>
      <c r="M614" s="28"/>
      <c r="N614" s="44">
        <v>45078</v>
      </c>
      <c r="O614" s="28"/>
      <c r="P614" s="211">
        <v>3000</v>
      </c>
      <c r="Q614" s="217">
        <v>39.932000000000002</v>
      </c>
      <c r="R614" s="218">
        <f t="shared" si="33"/>
        <v>119796</v>
      </c>
      <c r="S614" s="59">
        <v>202308</v>
      </c>
      <c r="T614" s="60" t="s">
        <v>3408</v>
      </c>
      <c r="U614" s="60"/>
      <c r="V614" s="254">
        <v>39.931526183999999</v>
      </c>
      <c r="W614" s="251"/>
      <c r="X614" s="74">
        <v>45078</v>
      </c>
      <c r="Y614" s="74">
        <v>45443</v>
      </c>
      <c r="Z614" s="28" t="s">
        <v>3409</v>
      </c>
      <c r="AA614" s="194">
        <v>0</v>
      </c>
      <c r="AB614" s="224">
        <v>0</v>
      </c>
      <c r="AC614" s="224"/>
    </row>
    <row r="615" spans="1:29" s="10" customFormat="1" ht="15" customHeight="1">
      <c r="A615" s="28" t="s">
        <v>29</v>
      </c>
      <c r="B615" s="29" t="s">
        <v>1701</v>
      </c>
      <c r="C615" s="30" t="s">
        <v>31</v>
      </c>
      <c r="D615" s="30" t="s">
        <v>1717</v>
      </c>
      <c r="E615" s="28" t="s">
        <v>1166</v>
      </c>
      <c r="F615" s="28" t="s">
        <v>3410</v>
      </c>
      <c r="G615" s="28" t="s">
        <v>35</v>
      </c>
      <c r="H615" s="33" t="s">
        <v>3411</v>
      </c>
      <c r="I615" s="33" t="e">
        <f>VLOOKUP(H615,'合同高级查询数据-8月返'!A:A,1,FALSE)</f>
        <v>#N/A</v>
      </c>
      <c r="J615" s="38" t="s">
        <v>3322</v>
      </c>
      <c r="K615" s="28" t="s">
        <v>3412</v>
      </c>
      <c r="L615" s="33" t="s">
        <v>3412</v>
      </c>
      <c r="M615" s="28"/>
      <c r="N615" s="44">
        <v>44228</v>
      </c>
      <c r="O615" s="28"/>
      <c r="P615" s="211">
        <v>3100</v>
      </c>
      <c r="Q615" s="217">
        <v>252.40700000000001</v>
      </c>
      <c r="R615" s="218">
        <f t="shared" si="33"/>
        <v>782461.7</v>
      </c>
      <c r="S615" s="59">
        <v>202308</v>
      </c>
      <c r="T615" s="60" t="s">
        <v>3413</v>
      </c>
      <c r="U615" s="60"/>
      <c r="V615" s="254">
        <v>252.40611267099999</v>
      </c>
      <c r="W615" s="251"/>
      <c r="X615" s="74">
        <v>44866</v>
      </c>
      <c r="Y615" s="74">
        <v>45230</v>
      </c>
      <c r="Z615" s="28" t="s">
        <v>3414</v>
      </c>
      <c r="AA615" s="194">
        <v>0</v>
      </c>
      <c r="AB615" s="227">
        <v>0</v>
      </c>
      <c r="AC615" s="224">
        <f t="shared" si="31"/>
        <v>0</v>
      </c>
    </row>
    <row r="616" spans="1:29" s="9" customFormat="1" ht="15" customHeight="1">
      <c r="A616" s="25" t="s">
        <v>29</v>
      </c>
      <c r="B616" s="26" t="s">
        <v>1701</v>
      </c>
      <c r="C616" s="27" t="s">
        <v>31</v>
      </c>
      <c r="D616" s="27" t="s">
        <v>1717</v>
      </c>
      <c r="E616" s="25" t="s">
        <v>3415</v>
      </c>
      <c r="F616" s="25" t="s">
        <v>3416</v>
      </c>
      <c r="G616" s="25" t="s">
        <v>35</v>
      </c>
      <c r="H616" s="32" t="s">
        <v>3417</v>
      </c>
      <c r="I616" s="32" t="e">
        <f>VLOOKUP(H616,'合同高级查询数据-8月返'!A:A,1,FALSE)</f>
        <v>#N/A</v>
      </c>
      <c r="J616" s="35" t="s">
        <v>3322</v>
      </c>
      <c r="K616" s="25" t="s">
        <v>3418</v>
      </c>
      <c r="L616" s="32" t="s">
        <v>3419</v>
      </c>
      <c r="M616" s="25"/>
      <c r="N616" s="42">
        <v>44531</v>
      </c>
      <c r="O616" s="25"/>
      <c r="P616" s="236">
        <v>3200</v>
      </c>
      <c r="Q616" s="219">
        <v>0</v>
      </c>
      <c r="R616" s="220">
        <f t="shared" si="33"/>
        <v>0</v>
      </c>
      <c r="S616" s="55">
        <v>202308</v>
      </c>
      <c r="T616" s="56" t="s">
        <v>3420</v>
      </c>
      <c r="U616" s="56"/>
      <c r="V616" s="225">
        <v>0</v>
      </c>
      <c r="W616" s="252"/>
      <c r="X616" s="70"/>
      <c r="Y616" s="70"/>
      <c r="Z616" s="25" t="s">
        <v>3421</v>
      </c>
      <c r="AA616" s="195">
        <v>0</v>
      </c>
      <c r="AB616" s="226">
        <v>0</v>
      </c>
      <c r="AC616" s="225">
        <f t="shared" si="31"/>
        <v>0</v>
      </c>
    </row>
    <row r="617" spans="1:29" s="10" customFormat="1" ht="15" customHeight="1">
      <c r="A617" s="28" t="s">
        <v>29</v>
      </c>
      <c r="B617" s="29" t="s">
        <v>1701</v>
      </c>
      <c r="C617" s="30" t="s">
        <v>31</v>
      </c>
      <c r="D617" s="30" t="s">
        <v>1717</v>
      </c>
      <c r="E617" s="28" t="s">
        <v>3415</v>
      </c>
      <c r="F617" s="28" t="s">
        <v>3416</v>
      </c>
      <c r="G617" s="28" t="s">
        <v>35</v>
      </c>
      <c r="H617" s="33" t="s">
        <v>3422</v>
      </c>
      <c r="I617" s="33" t="e">
        <f>VLOOKUP(H617,'合同高级查询数据-8月返'!A:A,1,FALSE)</f>
        <v>#N/A</v>
      </c>
      <c r="J617" s="38" t="s">
        <v>3322</v>
      </c>
      <c r="K617" s="28" t="s">
        <v>3423</v>
      </c>
      <c r="L617" s="33" t="s">
        <v>3424</v>
      </c>
      <c r="M617" s="28"/>
      <c r="N617" s="44">
        <v>44197</v>
      </c>
      <c r="O617" s="28"/>
      <c r="P617" s="211">
        <v>3500</v>
      </c>
      <c r="Q617" s="217">
        <v>0</v>
      </c>
      <c r="R617" s="218">
        <f t="shared" si="33"/>
        <v>0</v>
      </c>
      <c r="S617" s="59">
        <v>202308</v>
      </c>
      <c r="T617" s="60" t="s">
        <v>3425</v>
      </c>
      <c r="U617" s="60"/>
      <c r="V617" s="224">
        <v>0</v>
      </c>
      <c r="W617" s="251"/>
      <c r="X617" s="74">
        <v>44713</v>
      </c>
      <c r="Y617" s="74">
        <v>45077</v>
      </c>
      <c r="Z617" s="28" t="s">
        <v>3426</v>
      </c>
      <c r="AA617" s="194">
        <v>0</v>
      </c>
      <c r="AB617" s="227">
        <v>0</v>
      </c>
      <c r="AC617" s="224">
        <f t="shared" si="31"/>
        <v>0</v>
      </c>
    </row>
    <row r="618" spans="1:29" s="10" customFormat="1" ht="15" customHeight="1">
      <c r="A618" s="28" t="s">
        <v>29</v>
      </c>
      <c r="B618" s="29" t="s">
        <v>1701</v>
      </c>
      <c r="C618" s="30" t="s">
        <v>31</v>
      </c>
      <c r="D618" s="30" t="s">
        <v>1717</v>
      </c>
      <c r="E618" s="28" t="s">
        <v>3415</v>
      </c>
      <c r="F618" s="28" t="s">
        <v>3416</v>
      </c>
      <c r="G618" s="28" t="s">
        <v>35</v>
      </c>
      <c r="H618" s="33" t="s">
        <v>3422</v>
      </c>
      <c r="I618" s="33" t="e">
        <f>VLOOKUP(H618,'合同高级查询数据-8月返'!A:A,1,FALSE)</f>
        <v>#N/A</v>
      </c>
      <c r="J618" s="38" t="s">
        <v>3322</v>
      </c>
      <c r="K618" s="28" t="s">
        <v>3423</v>
      </c>
      <c r="L618" s="33" t="s">
        <v>3427</v>
      </c>
      <c r="M618" s="28"/>
      <c r="N618" s="44">
        <v>44197</v>
      </c>
      <c r="O618" s="28"/>
      <c r="P618" s="211">
        <v>2500</v>
      </c>
      <c r="Q618" s="217">
        <v>0</v>
      </c>
      <c r="R618" s="218">
        <f t="shared" si="33"/>
        <v>0</v>
      </c>
      <c r="S618" s="59">
        <v>202308</v>
      </c>
      <c r="T618" s="60" t="s">
        <v>3428</v>
      </c>
      <c r="U618" s="60"/>
      <c r="V618" s="224">
        <v>0</v>
      </c>
      <c r="W618" s="251"/>
      <c r="X618" s="74">
        <v>44713</v>
      </c>
      <c r="Y618" s="74">
        <v>45077</v>
      </c>
      <c r="Z618" s="28" t="s">
        <v>3429</v>
      </c>
      <c r="AA618" s="194">
        <v>0</v>
      </c>
      <c r="AB618" s="227">
        <v>0</v>
      </c>
      <c r="AC618" s="224">
        <f t="shared" si="31"/>
        <v>0</v>
      </c>
    </row>
    <row r="619" spans="1:29" s="10" customFormat="1" ht="15" customHeight="1">
      <c r="A619" s="28" t="s">
        <v>29</v>
      </c>
      <c r="B619" s="29" t="s">
        <v>1701</v>
      </c>
      <c r="C619" s="30" t="s">
        <v>31</v>
      </c>
      <c r="D619" s="30" t="s">
        <v>1717</v>
      </c>
      <c r="E619" s="28" t="s">
        <v>3415</v>
      </c>
      <c r="F619" s="28" t="s">
        <v>3416</v>
      </c>
      <c r="G619" s="28" t="s">
        <v>35</v>
      </c>
      <c r="H619" s="33" t="s">
        <v>3430</v>
      </c>
      <c r="I619" s="33" t="e">
        <f>VLOOKUP(H619,'合同高级查询数据-8月返'!A:A,1,FALSE)</f>
        <v>#N/A</v>
      </c>
      <c r="J619" s="38" t="s">
        <v>3322</v>
      </c>
      <c r="K619" s="28" t="s">
        <v>3431</v>
      </c>
      <c r="L619" s="33" t="s">
        <v>3432</v>
      </c>
      <c r="M619" s="28"/>
      <c r="N619" s="44">
        <v>44428</v>
      </c>
      <c r="O619" s="28"/>
      <c r="P619" s="211">
        <v>2350</v>
      </c>
      <c r="Q619" s="217">
        <v>22.324999999999999</v>
      </c>
      <c r="R619" s="218">
        <f t="shared" si="33"/>
        <v>52463.75</v>
      </c>
      <c r="S619" s="59">
        <v>202308</v>
      </c>
      <c r="T619" s="60" t="s">
        <v>3425</v>
      </c>
      <c r="U619" s="60"/>
      <c r="V619" s="254">
        <v>22.324984692000001</v>
      </c>
      <c r="W619" s="251"/>
      <c r="X619" s="187">
        <v>45047</v>
      </c>
      <c r="Y619" s="187">
        <v>45412</v>
      </c>
      <c r="Z619" s="28" t="s">
        <v>3433</v>
      </c>
      <c r="AA619" s="194">
        <v>0</v>
      </c>
      <c r="AB619" s="227">
        <v>0</v>
      </c>
      <c r="AC619" s="224">
        <f t="shared" si="31"/>
        <v>0</v>
      </c>
    </row>
    <row r="620" spans="1:29" s="10" customFormat="1" ht="15" customHeight="1">
      <c r="A620" s="28" t="s">
        <v>29</v>
      </c>
      <c r="B620" s="29" t="s">
        <v>1701</v>
      </c>
      <c r="C620" s="30" t="s">
        <v>31</v>
      </c>
      <c r="D620" s="30" t="s">
        <v>1717</v>
      </c>
      <c r="E620" s="28" t="s">
        <v>3415</v>
      </c>
      <c r="F620" s="28" t="s">
        <v>3416</v>
      </c>
      <c r="G620" s="28" t="s">
        <v>35</v>
      </c>
      <c r="H620" s="33" t="s">
        <v>3430</v>
      </c>
      <c r="I620" s="33" t="e">
        <f>VLOOKUP(H620,'合同高级查询数据-8月返'!A:A,1,FALSE)</f>
        <v>#N/A</v>
      </c>
      <c r="J620" s="38" t="s">
        <v>3322</v>
      </c>
      <c r="K620" s="28" t="s">
        <v>3431</v>
      </c>
      <c r="L620" s="33" t="s">
        <v>3434</v>
      </c>
      <c r="M620" s="28"/>
      <c r="N620" s="44">
        <v>44428</v>
      </c>
      <c r="O620" s="28"/>
      <c r="P620" s="211">
        <v>3350</v>
      </c>
      <c r="Q620" s="217">
        <v>115.27500000000001</v>
      </c>
      <c r="R620" s="218">
        <f t="shared" si="33"/>
        <v>386171.25</v>
      </c>
      <c r="S620" s="59">
        <v>202308</v>
      </c>
      <c r="T620" s="60" t="s">
        <v>3425</v>
      </c>
      <c r="U620" s="60"/>
      <c r="V620" s="254">
        <v>115.27419055599999</v>
      </c>
      <c r="W620" s="251"/>
      <c r="X620" s="187">
        <v>45047</v>
      </c>
      <c r="Y620" s="187">
        <v>45412</v>
      </c>
      <c r="Z620" s="28" t="s">
        <v>3435</v>
      </c>
      <c r="AA620" s="194">
        <v>0</v>
      </c>
      <c r="AB620" s="227">
        <v>0</v>
      </c>
      <c r="AC620" s="224">
        <f t="shared" si="31"/>
        <v>0</v>
      </c>
    </row>
    <row r="621" spans="1:29" s="10" customFormat="1" ht="15" customHeight="1">
      <c r="A621" s="28" t="s">
        <v>29</v>
      </c>
      <c r="B621" s="29" t="s">
        <v>1701</v>
      </c>
      <c r="C621" s="30" t="s">
        <v>31</v>
      </c>
      <c r="D621" s="30" t="s">
        <v>1717</v>
      </c>
      <c r="E621" s="28" t="s">
        <v>3415</v>
      </c>
      <c r="F621" s="28" t="s">
        <v>3416</v>
      </c>
      <c r="G621" s="28" t="s">
        <v>35</v>
      </c>
      <c r="H621" s="33" t="s">
        <v>3422</v>
      </c>
      <c r="I621" s="33" t="e">
        <f>VLOOKUP(H621,'合同高级查询数据-8月返'!A:A,1,FALSE)</f>
        <v>#N/A</v>
      </c>
      <c r="J621" s="38" t="s">
        <v>3357</v>
      </c>
      <c r="K621" s="28" t="s">
        <v>3436</v>
      </c>
      <c r="L621" s="33" t="s">
        <v>3437</v>
      </c>
      <c r="M621" s="28"/>
      <c r="N621" s="44">
        <v>44562</v>
      </c>
      <c r="O621" s="28"/>
      <c r="P621" s="211">
        <v>2600</v>
      </c>
      <c r="Q621" s="217">
        <v>0</v>
      </c>
      <c r="R621" s="218">
        <f t="shared" si="33"/>
        <v>0</v>
      </c>
      <c r="S621" s="59">
        <v>202308</v>
      </c>
      <c r="T621" s="60" t="s">
        <v>3438</v>
      </c>
      <c r="U621" s="60"/>
      <c r="V621" s="224">
        <v>0</v>
      </c>
      <c r="W621" s="251"/>
      <c r="X621" s="74">
        <v>44713</v>
      </c>
      <c r="Y621" s="74">
        <v>45077</v>
      </c>
      <c r="Z621" s="28" t="s">
        <v>3439</v>
      </c>
      <c r="AA621" s="194">
        <v>0</v>
      </c>
      <c r="AB621" s="227">
        <v>0</v>
      </c>
      <c r="AC621" s="224">
        <f t="shared" si="31"/>
        <v>0</v>
      </c>
    </row>
    <row r="622" spans="1:29" s="10" customFormat="1" ht="15" customHeight="1">
      <c r="A622" s="28" t="s">
        <v>29</v>
      </c>
      <c r="B622" s="29" t="s">
        <v>1701</v>
      </c>
      <c r="C622" s="30" t="s">
        <v>31</v>
      </c>
      <c r="D622" s="30" t="s">
        <v>1717</v>
      </c>
      <c r="E622" s="28" t="s">
        <v>3415</v>
      </c>
      <c r="F622" s="28" t="s">
        <v>3416</v>
      </c>
      <c r="G622" s="28" t="s">
        <v>35</v>
      </c>
      <c r="H622" s="33" t="s">
        <v>3422</v>
      </c>
      <c r="I622" s="33" t="e">
        <f>VLOOKUP(H622,'合同高级查询数据-8月返'!A:A,1,FALSE)</f>
        <v>#N/A</v>
      </c>
      <c r="J622" s="38" t="s">
        <v>3357</v>
      </c>
      <c r="K622" s="28" t="s">
        <v>3436</v>
      </c>
      <c r="L622" s="33" t="s">
        <v>3440</v>
      </c>
      <c r="M622" s="28"/>
      <c r="N622" s="44">
        <v>44562</v>
      </c>
      <c r="O622" s="28"/>
      <c r="P622" s="211">
        <v>3600</v>
      </c>
      <c r="Q622" s="217">
        <v>0</v>
      </c>
      <c r="R622" s="218">
        <f t="shared" si="33"/>
        <v>0</v>
      </c>
      <c r="S622" s="59">
        <v>202308</v>
      </c>
      <c r="T622" s="60" t="s">
        <v>3438</v>
      </c>
      <c r="U622" s="60"/>
      <c r="V622" s="224">
        <v>0</v>
      </c>
      <c r="W622" s="251"/>
      <c r="X622" s="74">
        <v>44713</v>
      </c>
      <c r="Y622" s="74">
        <v>45077</v>
      </c>
      <c r="Z622" s="28" t="s">
        <v>3441</v>
      </c>
      <c r="AA622" s="194">
        <v>0</v>
      </c>
      <c r="AB622" s="227">
        <v>0</v>
      </c>
      <c r="AC622" s="224">
        <f t="shared" si="31"/>
        <v>0</v>
      </c>
    </row>
    <row r="623" spans="1:29" s="10" customFormat="1" ht="15" customHeight="1">
      <c r="A623" s="28" t="s">
        <v>29</v>
      </c>
      <c r="B623" s="29" t="s">
        <v>1701</v>
      </c>
      <c r="C623" s="30" t="s">
        <v>31</v>
      </c>
      <c r="D623" s="30" t="s">
        <v>1717</v>
      </c>
      <c r="E623" s="28" t="s">
        <v>3415</v>
      </c>
      <c r="F623" s="28" t="s">
        <v>3416</v>
      </c>
      <c r="G623" s="28" t="s">
        <v>35</v>
      </c>
      <c r="H623" s="33" t="s">
        <v>3442</v>
      </c>
      <c r="I623" s="33" t="e">
        <f>VLOOKUP(H623,'合同高级查询数据-8月返'!A:A,1,FALSE)</f>
        <v>#N/A</v>
      </c>
      <c r="J623" s="38" t="s">
        <v>3357</v>
      </c>
      <c r="K623" s="28" t="s">
        <v>3443</v>
      </c>
      <c r="L623" s="33" t="s">
        <v>3444</v>
      </c>
      <c r="M623" s="28"/>
      <c r="N623" s="44">
        <v>44562</v>
      </c>
      <c r="O623" s="28"/>
      <c r="P623" s="211">
        <v>2350</v>
      </c>
      <c r="Q623" s="217">
        <v>75.846999999999994</v>
      </c>
      <c r="R623" s="218">
        <f t="shared" si="33"/>
        <v>178240.45</v>
      </c>
      <c r="S623" s="59">
        <v>202308</v>
      </c>
      <c r="T623" s="60" t="s">
        <v>3445</v>
      </c>
      <c r="U623" s="60"/>
      <c r="V623" s="254">
        <v>75.846656799000002</v>
      </c>
      <c r="W623" s="251"/>
      <c r="X623" s="74">
        <v>44986</v>
      </c>
      <c r="Y623" s="74">
        <v>45351</v>
      </c>
      <c r="Z623" s="28" t="s">
        <v>3446</v>
      </c>
      <c r="AA623" s="194">
        <v>0</v>
      </c>
      <c r="AB623" s="227">
        <v>0</v>
      </c>
      <c r="AC623" s="224">
        <f t="shared" si="31"/>
        <v>0</v>
      </c>
    </row>
    <row r="624" spans="1:29" s="10" customFormat="1" ht="15" customHeight="1">
      <c r="A624" s="28" t="s">
        <v>29</v>
      </c>
      <c r="B624" s="29" t="s">
        <v>1701</v>
      </c>
      <c r="C624" s="30" t="s">
        <v>31</v>
      </c>
      <c r="D624" s="30" t="s">
        <v>1717</v>
      </c>
      <c r="E624" s="28" t="s">
        <v>3415</v>
      </c>
      <c r="F624" s="28" t="s">
        <v>3416</v>
      </c>
      <c r="G624" s="28" t="s">
        <v>35</v>
      </c>
      <c r="H624" s="33" t="s">
        <v>3442</v>
      </c>
      <c r="I624" s="33" t="e">
        <f>VLOOKUP(H624,'合同高级查询数据-8月返'!A:A,1,FALSE)</f>
        <v>#N/A</v>
      </c>
      <c r="J624" s="38" t="s">
        <v>3357</v>
      </c>
      <c r="K624" s="28" t="s">
        <v>3447</v>
      </c>
      <c r="L624" s="33" t="s">
        <v>3448</v>
      </c>
      <c r="M624" s="28"/>
      <c r="N624" s="44">
        <v>44562</v>
      </c>
      <c r="O624" s="28"/>
      <c r="P624" s="211">
        <v>3350</v>
      </c>
      <c r="Q624" s="217">
        <v>59.985999999999997</v>
      </c>
      <c r="R624" s="218">
        <f t="shared" si="33"/>
        <v>200953.1</v>
      </c>
      <c r="S624" s="59">
        <v>202308</v>
      </c>
      <c r="T624" s="60" t="s">
        <v>3445</v>
      </c>
      <c r="U624" s="60"/>
      <c r="V624" s="254">
        <v>59.985431671000001</v>
      </c>
      <c r="W624" s="251"/>
      <c r="X624" s="74">
        <v>44986</v>
      </c>
      <c r="Y624" s="74">
        <v>45351</v>
      </c>
      <c r="Z624" s="28" t="s">
        <v>3449</v>
      </c>
      <c r="AA624" s="194">
        <v>0</v>
      </c>
      <c r="AB624" s="227">
        <v>0</v>
      </c>
      <c r="AC624" s="224">
        <f t="shared" si="31"/>
        <v>0</v>
      </c>
    </row>
    <row r="625" spans="1:29" s="9" customFormat="1" ht="15" customHeight="1">
      <c r="A625" s="25" t="s">
        <v>29</v>
      </c>
      <c r="B625" s="26" t="s">
        <v>1701</v>
      </c>
      <c r="C625" s="27" t="s">
        <v>31</v>
      </c>
      <c r="D625" s="27" t="s">
        <v>1717</v>
      </c>
      <c r="E625" s="25" t="s">
        <v>3415</v>
      </c>
      <c r="F625" s="25" t="s">
        <v>3416</v>
      </c>
      <c r="G625" s="25" t="s">
        <v>35</v>
      </c>
      <c r="H625" s="32" t="s">
        <v>3450</v>
      </c>
      <c r="I625" s="32" t="e">
        <f>VLOOKUP(H625,'合同高级查询数据-8月返'!A:A,1,FALSE)</f>
        <v>#N/A</v>
      </c>
      <c r="J625" s="35" t="s">
        <v>3357</v>
      </c>
      <c r="K625" s="25" t="s">
        <v>3451</v>
      </c>
      <c r="L625" s="32" t="s">
        <v>3452</v>
      </c>
      <c r="M625" s="25"/>
      <c r="N625" s="42">
        <v>44562</v>
      </c>
      <c r="O625" s="25"/>
      <c r="P625" s="236">
        <v>3200</v>
      </c>
      <c r="Q625" s="219">
        <v>0</v>
      </c>
      <c r="R625" s="220">
        <f t="shared" si="33"/>
        <v>0</v>
      </c>
      <c r="S625" s="55">
        <v>202308</v>
      </c>
      <c r="T625" s="56" t="s">
        <v>3453</v>
      </c>
      <c r="U625" s="56"/>
      <c r="V625" s="225">
        <v>0</v>
      </c>
      <c r="W625" s="252"/>
      <c r="X625" s="70"/>
      <c r="Y625" s="70"/>
      <c r="Z625" s="25" t="s">
        <v>3454</v>
      </c>
      <c r="AA625" s="195">
        <v>0</v>
      </c>
      <c r="AB625" s="226">
        <v>0</v>
      </c>
      <c r="AC625" s="225">
        <f t="shared" si="31"/>
        <v>0</v>
      </c>
    </row>
    <row r="626" spans="1:29" s="9" customFormat="1" ht="15" customHeight="1">
      <c r="A626" s="25" t="s">
        <v>29</v>
      </c>
      <c r="B626" s="26" t="s">
        <v>1701</v>
      </c>
      <c r="C626" s="27" t="s">
        <v>31</v>
      </c>
      <c r="D626" s="27" t="s">
        <v>1717</v>
      </c>
      <c r="E626" s="25" t="s">
        <v>3415</v>
      </c>
      <c r="F626" s="25" t="s">
        <v>3416</v>
      </c>
      <c r="G626" s="25" t="s">
        <v>35</v>
      </c>
      <c r="H626" s="32" t="s">
        <v>3450</v>
      </c>
      <c r="I626" s="32" t="e">
        <f>VLOOKUP(H626,'合同高级查询数据-8月返'!A:A,1,FALSE)</f>
        <v>#N/A</v>
      </c>
      <c r="J626" s="35" t="s">
        <v>3357</v>
      </c>
      <c r="K626" s="25" t="s">
        <v>3455</v>
      </c>
      <c r="L626" s="32" t="s">
        <v>3456</v>
      </c>
      <c r="M626" s="25"/>
      <c r="N626" s="42">
        <v>44562</v>
      </c>
      <c r="O626" s="25"/>
      <c r="P626" s="236">
        <v>4200</v>
      </c>
      <c r="Q626" s="219">
        <v>0</v>
      </c>
      <c r="R626" s="220">
        <f t="shared" si="33"/>
        <v>0</v>
      </c>
      <c r="S626" s="55">
        <v>202308</v>
      </c>
      <c r="T626" s="56" t="s">
        <v>3453</v>
      </c>
      <c r="U626" s="56"/>
      <c r="V626" s="225">
        <v>0</v>
      </c>
      <c r="W626" s="252"/>
      <c r="X626" s="70"/>
      <c r="Y626" s="70"/>
      <c r="Z626" s="25" t="s">
        <v>3457</v>
      </c>
      <c r="AA626" s="195">
        <v>0</v>
      </c>
      <c r="AB626" s="226">
        <v>0</v>
      </c>
      <c r="AC626" s="225">
        <f t="shared" si="31"/>
        <v>0</v>
      </c>
    </row>
    <row r="627" spans="1:29" s="10" customFormat="1" ht="15" customHeight="1">
      <c r="A627" s="28" t="s">
        <v>29</v>
      </c>
      <c r="B627" s="29" t="s">
        <v>1701</v>
      </c>
      <c r="C627" s="30" t="s">
        <v>31</v>
      </c>
      <c r="D627" s="30" t="s">
        <v>1717</v>
      </c>
      <c r="E627" s="28" t="s">
        <v>3415</v>
      </c>
      <c r="F627" s="28" t="s">
        <v>3416</v>
      </c>
      <c r="G627" s="28" t="s">
        <v>35</v>
      </c>
      <c r="H627" s="33" t="s">
        <v>3422</v>
      </c>
      <c r="I627" s="33" t="e">
        <f>VLOOKUP(H627,'合同高级查询数据-8月返'!A:A,1,FALSE)</f>
        <v>#N/A</v>
      </c>
      <c r="J627" s="38" t="s">
        <v>3458</v>
      </c>
      <c r="K627" s="28" t="s">
        <v>3459</v>
      </c>
      <c r="L627" s="33"/>
      <c r="M627" s="28"/>
      <c r="N627" s="44">
        <v>44428</v>
      </c>
      <c r="O627" s="28"/>
      <c r="P627" s="211">
        <v>0.02</v>
      </c>
      <c r="Q627" s="217">
        <v>0</v>
      </c>
      <c r="R627" s="218">
        <f t="shared" si="33"/>
        <v>0</v>
      </c>
      <c r="S627" s="59">
        <v>202308</v>
      </c>
      <c r="T627" s="60" t="s">
        <v>3460</v>
      </c>
      <c r="U627" s="60"/>
      <c r="V627" s="224">
        <v>0</v>
      </c>
      <c r="W627" s="251"/>
      <c r="X627" s="74">
        <v>44713</v>
      </c>
      <c r="Y627" s="74">
        <v>45077</v>
      </c>
      <c r="Z627" s="224">
        <v>0</v>
      </c>
      <c r="AA627" s="193">
        <v>0</v>
      </c>
      <c r="AB627" s="224">
        <v>0</v>
      </c>
      <c r="AC627" s="224">
        <f t="shared" si="31"/>
        <v>0</v>
      </c>
    </row>
    <row r="628" spans="1:29" s="10" customFormat="1" ht="15" customHeight="1">
      <c r="A628" s="28" t="s">
        <v>29</v>
      </c>
      <c r="B628" s="29" t="s">
        <v>1701</v>
      </c>
      <c r="C628" s="30" t="s">
        <v>31</v>
      </c>
      <c r="D628" s="30" t="s">
        <v>1717</v>
      </c>
      <c r="E628" s="28" t="s">
        <v>3415</v>
      </c>
      <c r="F628" s="28" t="s">
        <v>3416</v>
      </c>
      <c r="G628" s="28" t="s">
        <v>35</v>
      </c>
      <c r="H628" s="33" t="s">
        <v>3461</v>
      </c>
      <c r="I628" s="33" t="e">
        <f>VLOOKUP(H628,'合同高级查询数据-8月返'!A:A,1,FALSE)</f>
        <v>#N/A</v>
      </c>
      <c r="J628" s="38" t="s">
        <v>3322</v>
      </c>
      <c r="K628" s="28" t="s">
        <v>3462</v>
      </c>
      <c r="L628" s="33" t="s">
        <v>3463</v>
      </c>
      <c r="M628" s="28"/>
      <c r="N628" s="44">
        <v>44197</v>
      </c>
      <c r="O628" s="28"/>
      <c r="P628" s="211">
        <v>3200</v>
      </c>
      <c r="Q628" s="217">
        <v>90.168000000000006</v>
      </c>
      <c r="R628" s="218">
        <f t="shared" si="33"/>
        <v>288537.59999999998</v>
      </c>
      <c r="S628" s="59">
        <v>202308</v>
      </c>
      <c r="T628" s="60" t="s">
        <v>3464</v>
      </c>
      <c r="U628" s="60"/>
      <c r="V628" s="254">
        <v>90.167045592999997</v>
      </c>
      <c r="W628" s="251"/>
      <c r="X628" s="74">
        <v>44835</v>
      </c>
      <c r="Y628" s="74">
        <v>45199</v>
      </c>
      <c r="Z628" s="28" t="s">
        <v>3465</v>
      </c>
      <c r="AA628" s="194">
        <v>0</v>
      </c>
      <c r="AB628" s="227">
        <v>0</v>
      </c>
      <c r="AC628" s="224">
        <f t="shared" si="31"/>
        <v>0</v>
      </c>
    </row>
    <row r="629" spans="1:29" s="10" customFormat="1" ht="15" customHeight="1">
      <c r="A629" s="28" t="s">
        <v>29</v>
      </c>
      <c r="B629" s="29" t="s">
        <v>1701</v>
      </c>
      <c r="C629" s="30" t="s">
        <v>31</v>
      </c>
      <c r="D629" s="30" t="s">
        <v>1717</v>
      </c>
      <c r="E629" s="28" t="s">
        <v>3466</v>
      </c>
      <c r="F629" s="28" t="s">
        <v>3467</v>
      </c>
      <c r="G629" s="28" t="s">
        <v>35</v>
      </c>
      <c r="H629" s="33" t="s">
        <v>3468</v>
      </c>
      <c r="I629" s="33" t="e">
        <f>VLOOKUP(H629,'合同高级查询数据-8月返'!A:A,1,FALSE)</f>
        <v>#N/A</v>
      </c>
      <c r="J629" s="38" t="s">
        <v>3357</v>
      </c>
      <c r="K629" s="28"/>
      <c r="L629" s="33" t="s">
        <v>3469</v>
      </c>
      <c r="M629" s="28"/>
      <c r="N629" s="44">
        <v>44866</v>
      </c>
      <c r="O629" s="28"/>
      <c r="P629" s="211">
        <v>2200</v>
      </c>
      <c r="Q629" s="217">
        <v>106.557</v>
      </c>
      <c r="R629" s="218">
        <f t="shared" si="33"/>
        <v>234425.4</v>
      </c>
      <c r="S629" s="59">
        <v>202308</v>
      </c>
      <c r="T629" s="60" t="s">
        <v>3470</v>
      </c>
      <c r="U629" s="60"/>
      <c r="V629" s="254">
        <v>106.55632018999999</v>
      </c>
      <c r="W629" s="251"/>
      <c r="X629" s="74">
        <v>44896</v>
      </c>
      <c r="Y629" s="74">
        <v>45260</v>
      </c>
      <c r="Z629" s="28" t="s">
        <v>3471</v>
      </c>
      <c r="AA629" s="194">
        <v>0</v>
      </c>
      <c r="AB629" s="227">
        <v>0</v>
      </c>
      <c r="AC629" s="224">
        <f t="shared" si="31"/>
        <v>0</v>
      </c>
    </row>
    <row r="630" spans="1:29" s="10" customFormat="1" ht="15" customHeight="1">
      <c r="A630" s="28" t="s">
        <v>29</v>
      </c>
      <c r="B630" s="29" t="s">
        <v>1701</v>
      </c>
      <c r="C630" s="30" t="s">
        <v>31</v>
      </c>
      <c r="D630" s="30" t="s">
        <v>1717</v>
      </c>
      <c r="E630" s="28" t="s">
        <v>3466</v>
      </c>
      <c r="F630" s="28" t="s">
        <v>3467</v>
      </c>
      <c r="G630" s="28" t="s">
        <v>35</v>
      </c>
      <c r="H630" s="33" t="s">
        <v>3468</v>
      </c>
      <c r="I630" s="33" t="e">
        <f>VLOOKUP(H630,'合同高级查询数据-8月返'!A:A,1,FALSE)</f>
        <v>#N/A</v>
      </c>
      <c r="J630" s="38" t="s">
        <v>3357</v>
      </c>
      <c r="K630" s="28"/>
      <c r="L630" s="33" t="s">
        <v>3472</v>
      </c>
      <c r="M630" s="28"/>
      <c r="N630" s="44">
        <v>44866</v>
      </c>
      <c r="O630" s="28"/>
      <c r="P630" s="211">
        <v>3200</v>
      </c>
      <c r="Q630" s="217">
        <v>130.596</v>
      </c>
      <c r="R630" s="218">
        <f t="shared" si="33"/>
        <v>417907.20000000001</v>
      </c>
      <c r="S630" s="59">
        <v>202308</v>
      </c>
      <c r="T630" s="60" t="s">
        <v>3470</v>
      </c>
      <c r="U630" s="60"/>
      <c r="V630" s="254">
        <v>130.59585571299999</v>
      </c>
      <c r="W630" s="251"/>
      <c r="X630" s="74">
        <v>44896</v>
      </c>
      <c r="Y630" s="74">
        <v>45260</v>
      </c>
      <c r="Z630" s="28" t="s">
        <v>3473</v>
      </c>
      <c r="AA630" s="194">
        <v>0</v>
      </c>
      <c r="AB630" s="227">
        <v>0</v>
      </c>
      <c r="AC630" s="224">
        <f t="shared" si="31"/>
        <v>0</v>
      </c>
    </row>
    <row r="631" spans="1:29" s="10" customFormat="1" ht="15" customHeight="1">
      <c r="A631" s="28" t="s">
        <v>29</v>
      </c>
      <c r="B631" s="29" t="s">
        <v>1701</v>
      </c>
      <c r="C631" s="30" t="s">
        <v>31</v>
      </c>
      <c r="D631" s="30" t="s">
        <v>1717</v>
      </c>
      <c r="E631" s="28" t="s">
        <v>219</v>
      </c>
      <c r="F631" s="28" t="s">
        <v>3474</v>
      </c>
      <c r="G631" s="28" t="s">
        <v>35</v>
      </c>
      <c r="H631" s="33" t="s">
        <v>3475</v>
      </c>
      <c r="I631" s="33" t="e">
        <f>VLOOKUP(H631,'合同高级查询数据-8月返'!A:A,1,FALSE)</f>
        <v>#N/A</v>
      </c>
      <c r="J631" s="38" t="s">
        <v>3322</v>
      </c>
      <c r="K631" s="28" t="s">
        <v>3351</v>
      </c>
      <c r="L631" s="33" t="s">
        <v>3476</v>
      </c>
      <c r="M631" s="28"/>
      <c r="N631" s="44">
        <v>44197</v>
      </c>
      <c r="O631" s="28"/>
      <c r="P631" s="211">
        <v>2800</v>
      </c>
      <c r="Q631" s="217">
        <v>0</v>
      </c>
      <c r="R631" s="218">
        <f t="shared" si="33"/>
        <v>0</v>
      </c>
      <c r="S631" s="59">
        <v>202308</v>
      </c>
      <c r="T631" s="60" t="s">
        <v>3477</v>
      </c>
      <c r="U631" s="60"/>
      <c r="V631" s="224">
        <v>0</v>
      </c>
      <c r="W631" s="251"/>
      <c r="X631" s="187">
        <v>44927</v>
      </c>
      <c r="Y631" s="187">
        <v>45291</v>
      </c>
      <c r="Z631" s="28" t="s">
        <v>3478</v>
      </c>
      <c r="AA631" s="194">
        <v>0</v>
      </c>
      <c r="AB631" s="227">
        <v>0</v>
      </c>
      <c r="AC631" s="224">
        <f t="shared" si="31"/>
        <v>0</v>
      </c>
    </row>
    <row r="632" spans="1:29" s="10" customFormat="1" ht="15" customHeight="1">
      <c r="A632" s="28" t="s">
        <v>29</v>
      </c>
      <c r="B632" s="29" t="s">
        <v>1701</v>
      </c>
      <c r="C632" s="30" t="s">
        <v>31</v>
      </c>
      <c r="D632" s="30" t="s">
        <v>1717</v>
      </c>
      <c r="E632" s="28" t="s">
        <v>219</v>
      </c>
      <c r="F632" s="28" t="s">
        <v>3474</v>
      </c>
      <c r="G632" s="28" t="s">
        <v>35</v>
      </c>
      <c r="H632" s="33" t="s">
        <v>3475</v>
      </c>
      <c r="I632" s="33" t="e">
        <f>VLOOKUP(H632,'合同高级查询数据-8月返'!A:A,1,FALSE)</f>
        <v>#N/A</v>
      </c>
      <c r="J632" s="38" t="s">
        <v>3322</v>
      </c>
      <c r="K632" s="28" t="s">
        <v>3351</v>
      </c>
      <c r="L632" s="33" t="s">
        <v>3479</v>
      </c>
      <c r="M632" s="28"/>
      <c r="N632" s="44">
        <v>44197</v>
      </c>
      <c r="O632" s="28"/>
      <c r="P632" s="211">
        <v>2800</v>
      </c>
      <c r="Q632" s="217">
        <v>0</v>
      </c>
      <c r="R632" s="218">
        <f t="shared" si="33"/>
        <v>0</v>
      </c>
      <c r="S632" s="59">
        <v>202308</v>
      </c>
      <c r="T632" s="60" t="s">
        <v>3480</v>
      </c>
      <c r="U632" s="60"/>
      <c r="V632" s="224">
        <v>0</v>
      </c>
      <c r="W632" s="251"/>
      <c r="X632" s="187">
        <v>44927</v>
      </c>
      <c r="Y632" s="187">
        <v>45291</v>
      </c>
      <c r="Z632" s="28" t="s">
        <v>3481</v>
      </c>
      <c r="AA632" s="194">
        <v>0</v>
      </c>
      <c r="AB632" s="227">
        <v>0</v>
      </c>
      <c r="AC632" s="224">
        <f t="shared" si="31"/>
        <v>0</v>
      </c>
    </row>
    <row r="633" spans="1:29" s="10" customFormat="1" ht="15" customHeight="1">
      <c r="A633" s="28" t="s">
        <v>29</v>
      </c>
      <c r="B633" s="29" t="s">
        <v>1701</v>
      </c>
      <c r="C633" s="30" t="s">
        <v>31</v>
      </c>
      <c r="D633" s="30" t="s">
        <v>1717</v>
      </c>
      <c r="E633" s="28" t="s">
        <v>219</v>
      </c>
      <c r="F633" s="28" t="s">
        <v>3474</v>
      </c>
      <c r="G633" s="28" t="s">
        <v>35</v>
      </c>
      <c r="H633" s="33" t="s">
        <v>3475</v>
      </c>
      <c r="I633" s="33" t="e">
        <f>VLOOKUP(H633,'合同高级查询数据-8月返'!A:A,1,FALSE)</f>
        <v>#N/A</v>
      </c>
      <c r="J633" s="38" t="s">
        <v>3322</v>
      </c>
      <c r="K633" s="28" t="s">
        <v>3348</v>
      </c>
      <c r="L633" s="33" t="s">
        <v>3482</v>
      </c>
      <c r="M633" s="28"/>
      <c r="N633" s="44">
        <v>44197</v>
      </c>
      <c r="O633" s="28"/>
      <c r="P633" s="211">
        <v>3400</v>
      </c>
      <c r="Q633" s="217">
        <v>107.13200000000001</v>
      </c>
      <c r="R633" s="218">
        <f t="shared" si="33"/>
        <v>364248.8</v>
      </c>
      <c r="S633" s="59">
        <v>202308</v>
      </c>
      <c r="T633" s="60" t="s">
        <v>3483</v>
      </c>
      <c r="U633" s="60"/>
      <c r="V633" s="254">
        <v>107.131674238</v>
      </c>
      <c r="W633" s="251"/>
      <c r="X633" s="187">
        <v>44927</v>
      </c>
      <c r="Y633" s="187">
        <v>45291</v>
      </c>
      <c r="Z633" s="28" t="s">
        <v>3484</v>
      </c>
      <c r="AA633" s="194">
        <v>0</v>
      </c>
      <c r="AB633" s="227">
        <v>0</v>
      </c>
      <c r="AC633" s="224">
        <f t="shared" si="31"/>
        <v>0</v>
      </c>
    </row>
    <row r="634" spans="1:29" s="10" customFormat="1" ht="15" customHeight="1">
      <c r="A634" s="28" t="s">
        <v>29</v>
      </c>
      <c r="B634" s="29" t="s">
        <v>1701</v>
      </c>
      <c r="C634" s="30" t="s">
        <v>31</v>
      </c>
      <c r="D634" s="30" t="s">
        <v>1717</v>
      </c>
      <c r="E634" s="28" t="s">
        <v>219</v>
      </c>
      <c r="F634" s="28" t="s">
        <v>3474</v>
      </c>
      <c r="G634" s="28" t="s">
        <v>35</v>
      </c>
      <c r="H634" s="33" t="s">
        <v>3475</v>
      </c>
      <c r="I634" s="33" t="e">
        <f>VLOOKUP(H634,'合同高级查询数据-8月返'!A:A,1,FALSE)</f>
        <v>#N/A</v>
      </c>
      <c r="J634" s="38" t="s">
        <v>3458</v>
      </c>
      <c r="K634" s="28" t="s">
        <v>3485</v>
      </c>
      <c r="L634" s="33"/>
      <c r="M634" s="28"/>
      <c r="N634" s="44">
        <v>44197</v>
      </c>
      <c r="O634" s="28"/>
      <c r="P634" s="211">
        <v>0.02</v>
      </c>
      <c r="Q634" s="217">
        <v>0</v>
      </c>
      <c r="R634" s="218">
        <f t="shared" si="33"/>
        <v>0</v>
      </c>
      <c r="S634" s="59">
        <v>202308</v>
      </c>
      <c r="T634" s="60" t="s">
        <v>3486</v>
      </c>
      <c r="U634" s="60"/>
      <c r="V634" s="224">
        <v>0</v>
      </c>
      <c r="W634" s="251"/>
      <c r="X634" s="187">
        <v>44927</v>
      </c>
      <c r="Y634" s="187">
        <v>45291</v>
      </c>
      <c r="Z634" s="224">
        <v>0</v>
      </c>
      <c r="AA634" s="193">
        <v>0</v>
      </c>
      <c r="AB634" s="224">
        <v>0</v>
      </c>
      <c r="AC634" s="224">
        <f t="shared" si="31"/>
        <v>0</v>
      </c>
    </row>
    <row r="635" spans="1:29" s="10" customFormat="1" ht="15" customHeight="1">
      <c r="A635" s="28" t="s">
        <v>29</v>
      </c>
      <c r="B635" s="29" t="s">
        <v>1701</v>
      </c>
      <c r="C635" s="30" t="s">
        <v>31</v>
      </c>
      <c r="D635" s="30" t="s">
        <v>1717</v>
      </c>
      <c r="E635" s="28" t="s">
        <v>219</v>
      </c>
      <c r="F635" s="28" t="s">
        <v>3474</v>
      </c>
      <c r="G635" s="28" t="s">
        <v>35</v>
      </c>
      <c r="H635" s="33" t="s">
        <v>3487</v>
      </c>
      <c r="I635" s="33" t="e">
        <f>VLOOKUP(H635,'合同高级查询数据-8月返'!A:A,1,FALSE)</f>
        <v>#N/A</v>
      </c>
      <c r="J635" s="38" t="s">
        <v>3458</v>
      </c>
      <c r="K635" s="28" t="s">
        <v>3485</v>
      </c>
      <c r="L635" s="33"/>
      <c r="M635" s="28"/>
      <c r="N635" s="44">
        <v>44197</v>
      </c>
      <c r="O635" s="28"/>
      <c r="P635" s="211">
        <v>0.02</v>
      </c>
      <c r="Q635" s="217">
        <v>0</v>
      </c>
      <c r="R635" s="218">
        <f t="shared" si="33"/>
        <v>0</v>
      </c>
      <c r="S635" s="59">
        <v>202308</v>
      </c>
      <c r="T635" s="60" t="s">
        <v>3488</v>
      </c>
      <c r="U635" s="60"/>
      <c r="V635" s="224">
        <v>0</v>
      </c>
      <c r="W635" s="251"/>
      <c r="X635" s="74">
        <v>44562</v>
      </c>
      <c r="Y635" s="74">
        <v>44926</v>
      </c>
      <c r="Z635" s="224">
        <v>0</v>
      </c>
      <c r="AA635" s="193">
        <v>0</v>
      </c>
      <c r="AB635" s="224">
        <v>0</v>
      </c>
      <c r="AC635" s="224">
        <f t="shared" si="31"/>
        <v>0</v>
      </c>
    </row>
    <row r="636" spans="1:29" s="9" customFormat="1" ht="15" customHeight="1">
      <c r="A636" s="25" t="s">
        <v>29</v>
      </c>
      <c r="B636" s="26" t="s">
        <v>1701</v>
      </c>
      <c r="C636" s="27" t="s">
        <v>31</v>
      </c>
      <c r="D636" s="27" t="s">
        <v>1717</v>
      </c>
      <c r="E636" s="25" t="s">
        <v>3489</v>
      </c>
      <c r="F636" s="25" t="s">
        <v>3490</v>
      </c>
      <c r="G636" s="25" t="s">
        <v>35</v>
      </c>
      <c r="H636" s="32" t="s">
        <v>3491</v>
      </c>
      <c r="I636" s="32" t="e">
        <f>VLOOKUP(H636,'合同高级查询数据-8月返'!A:A,1,FALSE)</f>
        <v>#N/A</v>
      </c>
      <c r="J636" s="35" t="s">
        <v>3357</v>
      </c>
      <c r="K636" s="25" t="s">
        <v>3492</v>
      </c>
      <c r="L636" s="32" t="s">
        <v>3493</v>
      </c>
      <c r="M636" s="25"/>
      <c r="N636" s="42">
        <v>44706</v>
      </c>
      <c r="O636" s="25"/>
      <c r="P636" s="236">
        <v>2350</v>
      </c>
      <c r="Q636" s="219">
        <v>0</v>
      </c>
      <c r="R636" s="220">
        <f t="shared" si="33"/>
        <v>0</v>
      </c>
      <c r="S636" s="55">
        <v>202308</v>
      </c>
      <c r="T636" s="56" t="s">
        <v>3494</v>
      </c>
      <c r="U636" s="56"/>
      <c r="V636" s="225">
        <v>0</v>
      </c>
      <c r="W636" s="252"/>
      <c r="X636" s="70"/>
      <c r="Y636" s="70"/>
      <c r="Z636" s="25" t="s">
        <v>3495</v>
      </c>
      <c r="AA636" s="195">
        <v>0</v>
      </c>
      <c r="AB636" s="226">
        <v>0</v>
      </c>
      <c r="AC636" s="225">
        <f t="shared" si="31"/>
        <v>0</v>
      </c>
    </row>
    <row r="637" spans="1:29" s="9" customFormat="1" ht="15" customHeight="1">
      <c r="A637" s="25" t="s">
        <v>29</v>
      </c>
      <c r="B637" s="26" t="s">
        <v>1701</v>
      </c>
      <c r="C637" s="27" t="s">
        <v>31</v>
      </c>
      <c r="D637" s="27" t="s">
        <v>1717</v>
      </c>
      <c r="E637" s="25" t="s">
        <v>3489</v>
      </c>
      <c r="F637" s="25" t="s">
        <v>3490</v>
      </c>
      <c r="G637" s="25" t="s">
        <v>35</v>
      </c>
      <c r="H637" s="32" t="s">
        <v>3491</v>
      </c>
      <c r="I637" s="32" t="e">
        <f>VLOOKUP(H637,'合同高级查询数据-8月返'!A:A,1,FALSE)</f>
        <v>#N/A</v>
      </c>
      <c r="J637" s="35" t="s">
        <v>3357</v>
      </c>
      <c r="K637" s="25" t="s">
        <v>3492</v>
      </c>
      <c r="L637" s="32" t="s">
        <v>3496</v>
      </c>
      <c r="M637" s="25"/>
      <c r="N637" s="42">
        <v>44706</v>
      </c>
      <c r="O637" s="25"/>
      <c r="P637" s="236">
        <v>3050</v>
      </c>
      <c r="Q637" s="219">
        <v>0</v>
      </c>
      <c r="R637" s="220">
        <f t="shared" si="33"/>
        <v>0</v>
      </c>
      <c r="S637" s="55">
        <v>202308</v>
      </c>
      <c r="T637" s="56" t="s">
        <v>3494</v>
      </c>
      <c r="U637" s="56"/>
      <c r="V637" s="225">
        <v>0</v>
      </c>
      <c r="W637" s="252"/>
      <c r="X637" s="70"/>
      <c r="Y637" s="70"/>
      <c r="Z637" s="25" t="s">
        <v>3497</v>
      </c>
      <c r="AA637" s="195">
        <v>0</v>
      </c>
      <c r="AB637" s="226">
        <v>0</v>
      </c>
      <c r="AC637" s="225">
        <f t="shared" si="31"/>
        <v>0</v>
      </c>
    </row>
    <row r="638" spans="1:29" s="10" customFormat="1" ht="15" customHeight="1">
      <c r="A638" s="28" t="s">
        <v>29</v>
      </c>
      <c r="B638" s="29" t="s">
        <v>1701</v>
      </c>
      <c r="C638" s="30" t="s">
        <v>31</v>
      </c>
      <c r="D638" s="30" t="s">
        <v>1717</v>
      </c>
      <c r="E638" s="28" t="s">
        <v>3498</v>
      </c>
      <c r="F638" s="28" t="s">
        <v>3499</v>
      </c>
      <c r="G638" s="28" t="s">
        <v>35</v>
      </c>
      <c r="H638" s="33" t="s">
        <v>3500</v>
      </c>
      <c r="I638" s="33" t="e">
        <f>VLOOKUP(H638,'合同高级查询数据-8月返'!A:A,1,FALSE)</f>
        <v>#N/A</v>
      </c>
      <c r="J638" s="38" t="s">
        <v>3322</v>
      </c>
      <c r="K638" s="28" t="s">
        <v>3501</v>
      </c>
      <c r="L638" s="33" t="s">
        <v>3501</v>
      </c>
      <c r="M638" s="28"/>
      <c r="N638" s="44">
        <v>44652</v>
      </c>
      <c r="O638" s="28"/>
      <c r="P638" s="211">
        <v>2300</v>
      </c>
      <c r="Q638" s="217">
        <v>5.7489999999999997</v>
      </c>
      <c r="R638" s="218">
        <f t="shared" si="33"/>
        <v>13222.7</v>
      </c>
      <c r="S638" s="59">
        <v>202308</v>
      </c>
      <c r="T638" s="60" t="s">
        <v>3502</v>
      </c>
      <c r="U638" s="60"/>
      <c r="V638" s="254">
        <v>5.7483537120000001</v>
      </c>
      <c r="W638" s="251"/>
      <c r="X638" s="74">
        <v>45017</v>
      </c>
      <c r="Y638" s="74">
        <v>45382</v>
      </c>
      <c r="Z638" s="28" t="s">
        <v>3503</v>
      </c>
      <c r="AA638" s="194">
        <v>0</v>
      </c>
      <c r="AB638" s="227">
        <v>0</v>
      </c>
      <c r="AC638" s="224">
        <f t="shared" si="31"/>
        <v>0</v>
      </c>
    </row>
    <row r="639" spans="1:29" s="10" customFormat="1" ht="15" customHeight="1">
      <c r="A639" s="28" t="s">
        <v>29</v>
      </c>
      <c r="B639" s="29" t="s">
        <v>1701</v>
      </c>
      <c r="C639" s="30" t="s">
        <v>31</v>
      </c>
      <c r="D639" s="30" t="s">
        <v>1717</v>
      </c>
      <c r="E639" s="28" t="s">
        <v>3498</v>
      </c>
      <c r="F639" s="28" t="s">
        <v>3499</v>
      </c>
      <c r="G639" s="28" t="s">
        <v>35</v>
      </c>
      <c r="H639" s="33" t="s">
        <v>3500</v>
      </c>
      <c r="I639" s="33" t="e">
        <f>VLOOKUP(H639,'合同高级查询数据-8月返'!A:A,1,FALSE)</f>
        <v>#N/A</v>
      </c>
      <c r="J639" s="38" t="s">
        <v>3322</v>
      </c>
      <c r="K639" s="28" t="s">
        <v>3504</v>
      </c>
      <c r="L639" s="33" t="s">
        <v>3504</v>
      </c>
      <c r="M639" s="28"/>
      <c r="N639" s="44">
        <v>44652</v>
      </c>
      <c r="O639" s="28"/>
      <c r="P639" s="211">
        <v>3300</v>
      </c>
      <c r="Q639" s="217">
        <v>127.623</v>
      </c>
      <c r="R639" s="218">
        <f t="shared" si="33"/>
        <v>421155.9</v>
      </c>
      <c r="S639" s="59">
        <v>202308</v>
      </c>
      <c r="T639" s="60" t="s">
        <v>3505</v>
      </c>
      <c r="U639" s="60"/>
      <c r="V639" s="254">
        <v>127.62235533499999</v>
      </c>
      <c r="W639" s="251"/>
      <c r="X639" s="74">
        <v>45017</v>
      </c>
      <c r="Y639" s="74">
        <v>45382</v>
      </c>
      <c r="Z639" s="28" t="s">
        <v>3506</v>
      </c>
      <c r="AA639" s="194">
        <v>0</v>
      </c>
      <c r="AB639" s="227">
        <v>0</v>
      </c>
      <c r="AC639" s="224">
        <f t="shared" si="31"/>
        <v>0</v>
      </c>
    </row>
    <row r="640" spans="1:29" s="9" customFormat="1" ht="15" customHeight="1">
      <c r="A640" s="25" t="s">
        <v>29</v>
      </c>
      <c r="B640" s="26" t="s">
        <v>1701</v>
      </c>
      <c r="C640" s="27" t="s">
        <v>31</v>
      </c>
      <c r="D640" s="27" t="s">
        <v>1717</v>
      </c>
      <c r="E640" s="25" t="s">
        <v>3498</v>
      </c>
      <c r="F640" s="25" t="s">
        <v>3499</v>
      </c>
      <c r="G640" s="25" t="s">
        <v>35</v>
      </c>
      <c r="H640" s="32" t="s">
        <v>3507</v>
      </c>
      <c r="I640" s="32" t="e">
        <f>VLOOKUP(H640,'合同高级查询数据-8月返'!A:A,1,FALSE)</f>
        <v>#N/A</v>
      </c>
      <c r="J640" s="35" t="s">
        <v>3322</v>
      </c>
      <c r="K640" s="25" t="s">
        <v>3338</v>
      </c>
      <c r="L640" s="32" t="s">
        <v>3508</v>
      </c>
      <c r="M640" s="25"/>
      <c r="N640" s="42">
        <v>45108</v>
      </c>
      <c r="O640" s="25"/>
      <c r="P640" s="236">
        <v>3000</v>
      </c>
      <c r="Q640" s="219">
        <v>22.783000000000001</v>
      </c>
      <c r="R640" s="220">
        <f t="shared" si="33"/>
        <v>68349</v>
      </c>
      <c r="S640" s="55">
        <v>202308</v>
      </c>
      <c r="T640" s="56" t="s">
        <v>3509</v>
      </c>
      <c r="U640" s="56"/>
      <c r="V640" s="255">
        <v>22.782134074999998</v>
      </c>
      <c r="W640" s="252"/>
      <c r="X640" s="70"/>
      <c r="Y640" s="70"/>
      <c r="Z640" s="25" t="s">
        <v>3510</v>
      </c>
      <c r="AA640" s="195">
        <v>0</v>
      </c>
      <c r="AB640" s="225">
        <v>0</v>
      </c>
      <c r="AC640" s="225"/>
    </row>
    <row r="641" spans="1:29" s="9" customFormat="1" ht="15" customHeight="1">
      <c r="A641" s="25" t="s">
        <v>29</v>
      </c>
      <c r="B641" s="26" t="s">
        <v>1701</v>
      </c>
      <c r="C641" s="27" t="s">
        <v>31</v>
      </c>
      <c r="D641" s="27" t="s">
        <v>1717</v>
      </c>
      <c r="E641" s="25" t="s">
        <v>3498</v>
      </c>
      <c r="F641" s="25" t="s">
        <v>3499</v>
      </c>
      <c r="G641" s="25" t="s">
        <v>35</v>
      </c>
      <c r="H641" s="32" t="s">
        <v>3507</v>
      </c>
      <c r="I641" s="32" t="e">
        <f>VLOOKUP(H641,'合同高级查询数据-8月返'!A:A,1,FALSE)</f>
        <v>#N/A</v>
      </c>
      <c r="J641" s="35" t="s">
        <v>3322</v>
      </c>
      <c r="K641" s="25" t="s">
        <v>3342</v>
      </c>
      <c r="L641" s="32" t="s">
        <v>3511</v>
      </c>
      <c r="M641" s="25"/>
      <c r="N641" s="42">
        <v>45108</v>
      </c>
      <c r="O641" s="25"/>
      <c r="P641" s="236">
        <v>3800</v>
      </c>
      <c r="Q641" s="219">
        <v>23.123999999999999</v>
      </c>
      <c r="R641" s="220">
        <f t="shared" si="33"/>
        <v>87871.2</v>
      </c>
      <c r="S641" s="55">
        <v>202308</v>
      </c>
      <c r="T641" s="56" t="s">
        <v>3512</v>
      </c>
      <c r="U641" s="56"/>
      <c r="V641" s="255">
        <v>23.123585453</v>
      </c>
      <c r="W641" s="252"/>
      <c r="X641" s="70"/>
      <c r="Y641" s="70"/>
      <c r="Z641" s="25" t="s">
        <v>3513</v>
      </c>
      <c r="AA641" s="195">
        <v>0</v>
      </c>
      <c r="AB641" s="225">
        <v>0</v>
      </c>
      <c r="AC641" s="225"/>
    </row>
    <row r="642" spans="1:29" s="10" customFormat="1" ht="15" customHeight="1">
      <c r="A642" s="28" t="s">
        <v>29</v>
      </c>
      <c r="B642" s="29" t="s">
        <v>1701</v>
      </c>
      <c r="C642" s="30" t="s">
        <v>31</v>
      </c>
      <c r="D642" s="30" t="s">
        <v>1717</v>
      </c>
      <c r="E642" s="28" t="s">
        <v>3514</v>
      </c>
      <c r="F642" s="28" t="s">
        <v>3515</v>
      </c>
      <c r="G642" s="28" t="s">
        <v>35</v>
      </c>
      <c r="H642" s="33" t="s">
        <v>3516</v>
      </c>
      <c r="I642" s="33" t="e">
        <f>VLOOKUP(H642,'合同高级查询数据-8月返'!A:A,1,FALSE)</f>
        <v>#N/A</v>
      </c>
      <c r="J642" s="38" t="s">
        <v>3357</v>
      </c>
      <c r="K642" s="28"/>
      <c r="L642" s="33" t="s">
        <v>3517</v>
      </c>
      <c r="M642" s="28"/>
      <c r="N642" s="44">
        <v>44866</v>
      </c>
      <c r="O642" s="28"/>
      <c r="P642" s="211">
        <v>2300</v>
      </c>
      <c r="Q642" s="217">
        <v>151.643</v>
      </c>
      <c r="R642" s="218">
        <f t="shared" si="33"/>
        <v>348778.9</v>
      </c>
      <c r="S642" s="59">
        <v>202308</v>
      </c>
      <c r="T642" s="60" t="s">
        <v>3470</v>
      </c>
      <c r="U642" s="60"/>
      <c r="V642" s="254">
        <v>151.642486572</v>
      </c>
      <c r="W642" s="251"/>
      <c r="X642" s="74">
        <v>44896</v>
      </c>
      <c r="Y642" s="74">
        <v>45260</v>
      </c>
      <c r="Z642" s="28" t="s">
        <v>3518</v>
      </c>
      <c r="AA642" s="194">
        <v>0</v>
      </c>
      <c r="AB642" s="227">
        <v>0</v>
      </c>
      <c r="AC642" s="224">
        <f t="shared" si="31"/>
        <v>0</v>
      </c>
    </row>
    <row r="643" spans="1:29" s="10" customFormat="1" ht="15" customHeight="1">
      <c r="A643" s="28" t="s">
        <v>29</v>
      </c>
      <c r="B643" s="29" t="s">
        <v>1701</v>
      </c>
      <c r="C643" s="30" t="s">
        <v>31</v>
      </c>
      <c r="D643" s="30" t="s">
        <v>1717</v>
      </c>
      <c r="E643" s="28" t="s">
        <v>3514</v>
      </c>
      <c r="F643" s="28" t="s">
        <v>3515</v>
      </c>
      <c r="G643" s="28" t="s">
        <v>35</v>
      </c>
      <c r="H643" s="33" t="s">
        <v>3516</v>
      </c>
      <c r="I643" s="33" t="e">
        <f>VLOOKUP(H643,'合同高级查询数据-8月返'!A:A,1,FALSE)</f>
        <v>#N/A</v>
      </c>
      <c r="J643" s="38" t="s">
        <v>3357</v>
      </c>
      <c r="K643" s="28"/>
      <c r="L643" s="33" t="s">
        <v>3519</v>
      </c>
      <c r="M643" s="28"/>
      <c r="N643" s="44">
        <v>44866</v>
      </c>
      <c r="O643" s="28"/>
      <c r="P643" s="211">
        <v>3300</v>
      </c>
      <c r="Q643" s="217">
        <v>225.37</v>
      </c>
      <c r="R643" s="218">
        <f t="shared" si="33"/>
        <v>743721</v>
      </c>
      <c r="S643" s="59">
        <v>202308</v>
      </c>
      <c r="T643" s="60" t="s">
        <v>3470</v>
      </c>
      <c r="U643" s="60"/>
      <c r="V643" s="254">
        <v>225.36920165999999</v>
      </c>
      <c r="W643" s="251"/>
      <c r="X643" s="74">
        <v>44896</v>
      </c>
      <c r="Y643" s="74">
        <v>45260</v>
      </c>
      <c r="Z643" s="28" t="s">
        <v>3520</v>
      </c>
      <c r="AA643" s="194">
        <v>0</v>
      </c>
      <c r="AB643" s="227">
        <v>0</v>
      </c>
      <c r="AC643" s="224">
        <f t="shared" si="31"/>
        <v>0</v>
      </c>
    </row>
    <row r="644" spans="1:29" s="10" customFormat="1" ht="15" customHeight="1">
      <c r="A644" s="28" t="s">
        <v>29</v>
      </c>
      <c r="B644" s="29" t="s">
        <v>1701</v>
      </c>
      <c r="C644" s="30" t="s">
        <v>31</v>
      </c>
      <c r="D644" s="30" t="s">
        <v>1717</v>
      </c>
      <c r="E644" s="28" t="s">
        <v>3514</v>
      </c>
      <c r="F644" s="28" t="s">
        <v>3515</v>
      </c>
      <c r="G644" s="28" t="s">
        <v>35</v>
      </c>
      <c r="H644" s="33" t="s">
        <v>3521</v>
      </c>
      <c r="I644" s="33" t="e">
        <f>VLOOKUP(H644,'合同高级查询数据-8月返'!A:A,1,FALSE)</f>
        <v>#N/A</v>
      </c>
      <c r="J644" s="38" t="s">
        <v>3322</v>
      </c>
      <c r="K644" s="28" t="s">
        <v>3522</v>
      </c>
      <c r="L644" s="33" t="s">
        <v>3523</v>
      </c>
      <c r="M644" s="28"/>
      <c r="N644" s="44">
        <v>44986</v>
      </c>
      <c r="O644" s="28"/>
      <c r="P644" s="211">
        <v>2200</v>
      </c>
      <c r="Q644" s="217">
        <v>7.51</v>
      </c>
      <c r="R644" s="218">
        <f t="shared" si="33"/>
        <v>16522</v>
      </c>
      <c r="S644" s="59">
        <v>202308</v>
      </c>
      <c r="T644" s="60" t="s">
        <v>3524</v>
      </c>
      <c r="U644" s="60"/>
      <c r="V644" s="254">
        <v>7.5097421850000003</v>
      </c>
      <c r="W644" s="251"/>
      <c r="X644" s="74">
        <v>44986</v>
      </c>
      <c r="Y644" s="74">
        <v>45260</v>
      </c>
      <c r="Z644" s="28" t="s">
        <v>3525</v>
      </c>
      <c r="AA644" s="194">
        <v>0</v>
      </c>
      <c r="AB644" s="227">
        <v>0</v>
      </c>
      <c r="AC644" s="224">
        <f t="shared" si="31"/>
        <v>0</v>
      </c>
    </row>
    <row r="645" spans="1:29" s="10" customFormat="1" ht="15" customHeight="1">
      <c r="A645" s="28" t="s">
        <v>29</v>
      </c>
      <c r="B645" s="29" t="s">
        <v>1701</v>
      </c>
      <c r="C645" s="30" t="s">
        <v>31</v>
      </c>
      <c r="D645" s="30" t="s">
        <v>1717</v>
      </c>
      <c r="E645" s="28" t="s">
        <v>3514</v>
      </c>
      <c r="F645" s="28" t="s">
        <v>3515</v>
      </c>
      <c r="G645" s="28" t="s">
        <v>35</v>
      </c>
      <c r="H645" s="33" t="s">
        <v>3521</v>
      </c>
      <c r="I645" s="33" t="e">
        <f>VLOOKUP(H645,'合同高级查询数据-8月返'!A:A,1,FALSE)</f>
        <v>#N/A</v>
      </c>
      <c r="J645" s="38" t="s">
        <v>3322</v>
      </c>
      <c r="K645" s="28" t="s">
        <v>3522</v>
      </c>
      <c r="L645" s="33" t="s">
        <v>3526</v>
      </c>
      <c r="M645" s="28"/>
      <c r="N645" s="44">
        <v>44986</v>
      </c>
      <c r="O645" s="28"/>
      <c r="P645" s="211">
        <v>3200</v>
      </c>
      <c r="Q645" s="217">
        <v>170.53100000000001</v>
      </c>
      <c r="R645" s="218">
        <f t="shared" si="33"/>
        <v>545699.19999999995</v>
      </c>
      <c r="S645" s="59">
        <v>202308</v>
      </c>
      <c r="T645" s="60" t="s">
        <v>3524</v>
      </c>
      <c r="U645" s="60"/>
      <c r="V645" s="254">
        <v>170.53068083900001</v>
      </c>
      <c r="W645" s="251"/>
      <c r="X645" s="74">
        <v>44986</v>
      </c>
      <c r="Y645" s="74">
        <v>45260</v>
      </c>
      <c r="Z645" s="28" t="s">
        <v>3527</v>
      </c>
      <c r="AA645" s="194">
        <v>0</v>
      </c>
      <c r="AB645" s="227">
        <v>0</v>
      </c>
      <c r="AC645" s="224">
        <f t="shared" si="31"/>
        <v>0</v>
      </c>
    </row>
    <row r="646" spans="1:29" s="9" customFormat="1" ht="15" customHeight="1">
      <c r="A646" s="25" t="s">
        <v>29</v>
      </c>
      <c r="B646" s="26" t="s">
        <v>1701</v>
      </c>
      <c r="C646" s="27" t="s">
        <v>31</v>
      </c>
      <c r="D646" s="27" t="s">
        <v>1717</v>
      </c>
      <c r="E646" s="25" t="s">
        <v>3514</v>
      </c>
      <c r="F646" s="25" t="s">
        <v>3515</v>
      </c>
      <c r="G646" s="25" t="s">
        <v>35</v>
      </c>
      <c r="H646" s="32" t="s">
        <v>3528</v>
      </c>
      <c r="I646" s="32" t="e">
        <f>VLOOKUP(H646,'合同高级查询数据-8月返'!A:A,1,FALSE)</f>
        <v>#N/A</v>
      </c>
      <c r="J646" s="35" t="s">
        <v>3357</v>
      </c>
      <c r="K646" s="25" t="s">
        <v>3529</v>
      </c>
      <c r="L646" s="32" t="s">
        <v>3530</v>
      </c>
      <c r="M646" s="25"/>
      <c r="N646" s="42">
        <v>45078</v>
      </c>
      <c r="O646" s="25"/>
      <c r="P646" s="236">
        <v>3050</v>
      </c>
      <c r="Q646" s="219">
        <v>98.941000000000003</v>
      </c>
      <c r="R646" s="220">
        <f t="shared" si="33"/>
        <v>301770.05</v>
      </c>
      <c r="S646" s="55">
        <v>202308</v>
      </c>
      <c r="T646" s="56" t="s">
        <v>3531</v>
      </c>
      <c r="U646" s="56"/>
      <c r="V646" s="255">
        <v>98.940361022999994</v>
      </c>
      <c r="W646" s="252"/>
      <c r="X646" s="70"/>
      <c r="Y646" s="70"/>
      <c r="Z646" s="25" t="s">
        <v>3532</v>
      </c>
      <c r="AA646" s="195">
        <v>0</v>
      </c>
      <c r="AB646" s="225">
        <v>0</v>
      </c>
      <c r="AC646" s="225"/>
    </row>
    <row r="647" spans="1:29" s="9" customFormat="1" ht="15" customHeight="1">
      <c r="A647" s="25" t="s">
        <v>29</v>
      </c>
      <c r="B647" s="26" t="s">
        <v>1701</v>
      </c>
      <c r="C647" s="27" t="s">
        <v>31</v>
      </c>
      <c r="D647" s="27" t="s">
        <v>1717</v>
      </c>
      <c r="E647" s="25" t="s">
        <v>3514</v>
      </c>
      <c r="F647" s="25" t="s">
        <v>3515</v>
      </c>
      <c r="G647" s="25" t="s">
        <v>35</v>
      </c>
      <c r="H647" s="32" t="s">
        <v>3528</v>
      </c>
      <c r="I647" s="32" t="e">
        <f>VLOOKUP(H647,'合同高级查询数据-8月返'!A:A,1,FALSE)</f>
        <v>#N/A</v>
      </c>
      <c r="J647" s="35" t="s">
        <v>3357</v>
      </c>
      <c r="K647" s="25" t="s">
        <v>3533</v>
      </c>
      <c r="L647" s="32" t="s">
        <v>3534</v>
      </c>
      <c r="M647" s="25"/>
      <c r="N647" s="42">
        <v>45078</v>
      </c>
      <c r="O647" s="25"/>
      <c r="P647" s="236">
        <v>4000</v>
      </c>
      <c r="Q647" s="219">
        <v>0</v>
      </c>
      <c r="R647" s="220">
        <f t="shared" si="33"/>
        <v>0</v>
      </c>
      <c r="S647" s="55">
        <v>202308</v>
      </c>
      <c r="T647" s="56" t="s">
        <v>3535</v>
      </c>
      <c r="U647" s="56"/>
      <c r="V647" s="225">
        <v>0</v>
      </c>
      <c r="W647" s="252"/>
      <c r="X647" s="70"/>
      <c r="Y647" s="70"/>
      <c r="Z647" s="25" t="s">
        <v>3536</v>
      </c>
      <c r="AA647" s="195">
        <v>0</v>
      </c>
      <c r="AB647" s="225">
        <v>0</v>
      </c>
      <c r="AC647" s="225"/>
    </row>
    <row r="648" spans="1:29" s="10" customFormat="1" ht="15" customHeight="1">
      <c r="A648" s="28" t="s">
        <v>29</v>
      </c>
      <c r="B648" s="29" t="s">
        <v>1701</v>
      </c>
      <c r="C648" s="30" t="s">
        <v>31</v>
      </c>
      <c r="D648" s="30" t="s">
        <v>1717</v>
      </c>
      <c r="E648" s="28" t="s">
        <v>3537</v>
      </c>
      <c r="F648" s="28" t="s">
        <v>3538</v>
      </c>
      <c r="G648" s="28" t="s">
        <v>35</v>
      </c>
      <c r="H648" s="33" t="s">
        <v>3539</v>
      </c>
      <c r="I648" s="33" t="e">
        <f>VLOOKUP(H648,'合同高级查询数据-8月返'!A:A,1,FALSE)</f>
        <v>#N/A</v>
      </c>
      <c r="J648" s="38" t="s">
        <v>3322</v>
      </c>
      <c r="K648" s="28" t="s">
        <v>3540</v>
      </c>
      <c r="L648" s="33" t="s">
        <v>3541</v>
      </c>
      <c r="M648" s="28"/>
      <c r="N648" s="44">
        <v>44531</v>
      </c>
      <c r="O648" s="28"/>
      <c r="P648" s="211">
        <v>3300</v>
      </c>
      <c r="Q648" s="217">
        <v>0</v>
      </c>
      <c r="R648" s="218">
        <f t="shared" si="33"/>
        <v>0</v>
      </c>
      <c r="S648" s="59">
        <v>202308</v>
      </c>
      <c r="T648" s="60" t="s">
        <v>3542</v>
      </c>
      <c r="U648" s="60"/>
      <c r="V648" s="224">
        <v>0</v>
      </c>
      <c r="W648" s="251"/>
      <c r="X648" s="187" t="s">
        <v>3543</v>
      </c>
      <c r="Y648" s="187">
        <v>45260</v>
      </c>
      <c r="Z648" s="28" t="s">
        <v>3544</v>
      </c>
      <c r="AA648" s="194">
        <v>0</v>
      </c>
      <c r="AB648" s="227">
        <v>0</v>
      </c>
      <c r="AC648" s="224">
        <f t="shared" ref="AC648:AC679" si="34">AA648*AB648</f>
        <v>0</v>
      </c>
    </row>
    <row r="649" spans="1:29" s="10" customFormat="1" ht="15" customHeight="1">
      <c r="A649" s="28" t="s">
        <v>29</v>
      </c>
      <c r="B649" s="29" t="s">
        <v>1701</v>
      </c>
      <c r="C649" s="30" t="s">
        <v>31</v>
      </c>
      <c r="D649" s="30" t="s">
        <v>1717</v>
      </c>
      <c r="E649" s="28" t="s">
        <v>3537</v>
      </c>
      <c r="F649" s="28" t="s">
        <v>3538</v>
      </c>
      <c r="G649" s="28" t="s">
        <v>35</v>
      </c>
      <c r="H649" s="33" t="s">
        <v>3539</v>
      </c>
      <c r="I649" s="33" t="e">
        <f>VLOOKUP(H649,'合同高级查询数据-8月返'!A:A,1,FALSE)</f>
        <v>#N/A</v>
      </c>
      <c r="J649" s="38" t="s">
        <v>3322</v>
      </c>
      <c r="K649" s="28" t="s">
        <v>3540</v>
      </c>
      <c r="L649" s="33" t="s">
        <v>3545</v>
      </c>
      <c r="M649" s="28"/>
      <c r="N649" s="44">
        <v>44197</v>
      </c>
      <c r="O649" s="28"/>
      <c r="P649" s="211">
        <v>3300</v>
      </c>
      <c r="Q649" s="217">
        <v>193.79</v>
      </c>
      <c r="R649" s="218">
        <f t="shared" si="33"/>
        <v>639507</v>
      </c>
      <c r="S649" s="59">
        <v>202308</v>
      </c>
      <c r="T649" s="60" t="s">
        <v>3546</v>
      </c>
      <c r="U649" s="60"/>
      <c r="V649" s="254">
        <v>193.78977966299999</v>
      </c>
      <c r="W649" s="251"/>
      <c r="X649" s="187" t="s">
        <v>3543</v>
      </c>
      <c r="Y649" s="187">
        <v>45260</v>
      </c>
      <c r="Z649" s="28" t="s">
        <v>3547</v>
      </c>
      <c r="AA649" s="194">
        <v>0</v>
      </c>
      <c r="AB649" s="227">
        <v>0</v>
      </c>
      <c r="AC649" s="224">
        <f t="shared" si="34"/>
        <v>0</v>
      </c>
    </row>
    <row r="650" spans="1:29" s="10" customFormat="1" ht="15" customHeight="1">
      <c r="A650" s="28" t="s">
        <v>29</v>
      </c>
      <c r="B650" s="29" t="s">
        <v>1701</v>
      </c>
      <c r="C650" s="30" t="s">
        <v>31</v>
      </c>
      <c r="D650" s="30" t="s">
        <v>1717</v>
      </c>
      <c r="E650" s="28" t="s">
        <v>3548</v>
      </c>
      <c r="F650" s="28" t="s">
        <v>3538</v>
      </c>
      <c r="G650" s="28" t="s">
        <v>35</v>
      </c>
      <c r="H650" s="33" t="s">
        <v>3549</v>
      </c>
      <c r="I650" s="33" t="e">
        <f>VLOOKUP(H650,'合同高级查询数据-8月返'!A:A,1,FALSE)</f>
        <v>#N/A</v>
      </c>
      <c r="J650" s="38" t="s">
        <v>3322</v>
      </c>
      <c r="K650" s="28" t="s">
        <v>3550</v>
      </c>
      <c r="L650" s="33" t="s">
        <v>3551</v>
      </c>
      <c r="M650" s="28"/>
      <c r="N650" s="44">
        <v>44228</v>
      </c>
      <c r="O650" s="28"/>
      <c r="P650" s="211">
        <v>3100</v>
      </c>
      <c r="Q650" s="217">
        <v>117.873</v>
      </c>
      <c r="R650" s="218">
        <f t="shared" si="33"/>
        <v>365406.3</v>
      </c>
      <c r="S650" s="59">
        <v>202308</v>
      </c>
      <c r="T650" s="60" t="s">
        <v>3552</v>
      </c>
      <c r="U650" s="60"/>
      <c r="V650" s="254">
        <v>117.872825623</v>
      </c>
      <c r="W650" s="251"/>
      <c r="X650" s="74">
        <v>44927</v>
      </c>
      <c r="Y650" s="74">
        <v>45291</v>
      </c>
      <c r="Z650" s="28" t="s">
        <v>3553</v>
      </c>
      <c r="AA650" s="194">
        <v>0</v>
      </c>
      <c r="AB650" s="227">
        <v>0</v>
      </c>
      <c r="AC650" s="224">
        <f t="shared" si="34"/>
        <v>0</v>
      </c>
    </row>
    <row r="651" spans="1:29" s="10" customFormat="1" ht="15" customHeight="1">
      <c r="A651" s="28" t="s">
        <v>29</v>
      </c>
      <c r="B651" s="29" t="s">
        <v>1701</v>
      </c>
      <c r="C651" s="30" t="s">
        <v>31</v>
      </c>
      <c r="D651" s="30" t="s">
        <v>1717</v>
      </c>
      <c r="E651" s="28" t="s">
        <v>3548</v>
      </c>
      <c r="F651" s="28" t="s">
        <v>3538</v>
      </c>
      <c r="G651" s="28" t="s">
        <v>35</v>
      </c>
      <c r="H651" s="33" t="s">
        <v>3549</v>
      </c>
      <c r="I651" s="33" t="e">
        <f>VLOOKUP(H651,'合同高级查询数据-8月返'!A:A,1,FALSE)</f>
        <v>#N/A</v>
      </c>
      <c r="J651" s="38" t="s">
        <v>3322</v>
      </c>
      <c r="K651" s="28" t="s">
        <v>3554</v>
      </c>
      <c r="L651" s="33" t="s">
        <v>3555</v>
      </c>
      <c r="M651" s="28"/>
      <c r="N651" s="44">
        <v>44228</v>
      </c>
      <c r="O651" s="28"/>
      <c r="P651" s="211">
        <v>2600</v>
      </c>
      <c r="Q651" s="217">
        <v>110.863</v>
      </c>
      <c r="R651" s="218">
        <f t="shared" si="33"/>
        <v>288243.8</v>
      </c>
      <c r="S651" s="59">
        <v>202308</v>
      </c>
      <c r="T651" s="60" t="s">
        <v>3552</v>
      </c>
      <c r="U651" s="60"/>
      <c r="V651" s="254">
        <v>110.862243652</v>
      </c>
      <c r="W651" s="251"/>
      <c r="X651" s="74">
        <v>44927</v>
      </c>
      <c r="Y651" s="74">
        <v>45291</v>
      </c>
      <c r="Z651" s="28" t="s">
        <v>3556</v>
      </c>
      <c r="AA651" s="194">
        <v>0</v>
      </c>
      <c r="AB651" s="227">
        <v>0</v>
      </c>
      <c r="AC651" s="224">
        <f t="shared" si="34"/>
        <v>0</v>
      </c>
    </row>
    <row r="652" spans="1:29" s="10" customFormat="1" ht="15" customHeight="1">
      <c r="A652" s="28" t="s">
        <v>29</v>
      </c>
      <c r="B652" s="29" t="s">
        <v>1701</v>
      </c>
      <c r="C652" s="30" t="s">
        <v>31</v>
      </c>
      <c r="D652" s="30" t="s">
        <v>1717</v>
      </c>
      <c r="E652" s="28" t="s">
        <v>3548</v>
      </c>
      <c r="F652" s="28" t="s">
        <v>3538</v>
      </c>
      <c r="G652" s="28" t="s">
        <v>35</v>
      </c>
      <c r="H652" s="33" t="s">
        <v>3549</v>
      </c>
      <c r="I652" s="33" t="e">
        <f>VLOOKUP(H652,'合同高级查询数据-8月返'!A:A,1,FALSE)</f>
        <v>#N/A</v>
      </c>
      <c r="J652" s="38" t="s">
        <v>3322</v>
      </c>
      <c r="K652" s="28" t="s">
        <v>3557</v>
      </c>
      <c r="L652" s="33" t="s">
        <v>3558</v>
      </c>
      <c r="M652" s="28"/>
      <c r="N652" s="44">
        <v>44197</v>
      </c>
      <c r="O652" s="28"/>
      <c r="P652" s="211">
        <v>2200</v>
      </c>
      <c r="Q652" s="217">
        <v>71.963999999999999</v>
      </c>
      <c r="R652" s="218">
        <f t="shared" si="33"/>
        <v>158320.79999999999</v>
      </c>
      <c r="S652" s="59">
        <v>202308</v>
      </c>
      <c r="T652" s="60" t="s">
        <v>3559</v>
      </c>
      <c r="U652" s="60"/>
      <c r="V652" s="254">
        <v>71.963506455000001</v>
      </c>
      <c r="W652" s="251"/>
      <c r="X652" s="74">
        <v>44927</v>
      </c>
      <c r="Y652" s="74">
        <v>45291</v>
      </c>
      <c r="Z652" s="28" t="s">
        <v>3560</v>
      </c>
      <c r="AA652" s="194">
        <v>0</v>
      </c>
      <c r="AB652" s="227">
        <v>0</v>
      </c>
      <c r="AC652" s="224">
        <f t="shared" si="34"/>
        <v>0</v>
      </c>
    </row>
    <row r="653" spans="1:29" s="10" customFormat="1" ht="15" customHeight="1">
      <c r="A653" s="28" t="s">
        <v>29</v>
      </c>
      <c r="B653" s="29" t="s">
        <v>1701</v>
      </c>
      <c r="C653" s="30" t="s">
        <v>31</v>
      </c>
      <c r="D653" s="30" t="s">
        <v>1717</v>
      </c>
      <c r="E653" s="28" t="s">
        <v>3548</v>
      </c>
      <c r="F653" s="28" t="s">
        <v>3538</v>
      </c>
      <c r="G653" s="28" t="s">
        <v>35</v>
      </c>
      <c r="H653" s="33" t="s">
        <v>3549</v>
      </c>
      <c r="I653" s="33" t="e">
        <f>VLOOKUP(H653,'合同高级查询数据-8月返'!A:A,1,FALSE)</f>
        <v>#N/A</v>
      </c>
      <c r="J653" s="38" t="s">
        <v>3322</v>
      </c>
      <c r="K653" s="28" t="s">
        <v>3557</v>
      </c>
      <c r="L653" s="33" t="s">
        <v>3561</v>
      </c>
      <c r="M653" s="28"/>
      <c r="N653" s="44">
        <v>44197</v>
      </c>
      <c r="O653" s="28"/>
      <c r="P653" s="211">
        <v>2200</v>
      </c>
      <c r="Q653" s="217">
        <v>0</v>
      </c>
      <c r="R653" s="218">
        <f t="shared" si="33"/>
        <v>0</v>
      </c>
      <c r="S653" s="59">
        <v>202308</v>
      </c>
      <c r="T653" s="60" t="s">
        <v>3562</v>
      </c>
      <c r="U653" s="60"/>
      <c r="V653" s="224">
        <v>0</v>
      </c>
      <c r="W653" s="251"/>
      <c r="X653" s="74">
        <v>44927</v>
      </c>
      <c r="Y653" s="74">
        <v>45291</v>
      </c>
      <c r="Z653" s="28" t="s">
        <v>3563</v>
      </c>
      <c r="AA653" s="194">
        <v>0</v>
      </c>
      <c r="AB653" s="227">
        <v>0</v>
      </c>
      <c r="AC653" s="224">
        <f t="shared" si="34"/>
        <v>0</v>
      </c>
    </row>
    <row r="654" spans="1:29" s="10" customFormat="1" ht="15" customHeight="1">
      <c r="A654" s="28" t="s">
        <v>29</v>
      </c>
      <c r="B654" s="29" t="s">
        <v>1701</v>
      </c>
      <c r="C654" s="30" t="s">
        <v>31</v>
      </c>
      <c r="D654" s="30" t="s">
        <v>1717</v>
      </c>
      <c r="E654" s="28" t="s">
        <v>3548</v>
      </c>
      <c r="F654" s="28" t="s">
        <v>3538</v>
      </c>
      <c r="G654" s="28" t="s">
        <v>35</v>
      </c>
      <c r="H654" s="33" t="s">
        <v>3549</v>
      </c>
      <c r="I654" s="33" t="e">
        <f>VLOOKUP(H654,'合同高级查询数据-8月返'!A:A,1,FALSE)</f>
        <v>#N/A</v>
      </c>
      <c r="J654" s="38" t="s">
        <v>3322</v>
      </c>
      <c r="K654" s="28" t="s">
        <v>3564</v>
      </c>
      <c r="L654" s="33" t="s">
        <v>3565</v>
      </c>
      <c r="M654" s="28"/>
      <c r="N654" s="44">
        <v>44197</v>
      </c>
      <c r="O654" s="28"/>
      <c r="P654" s="211">
        <v>3200</v>
      </c>
      <c r="Q654" s="217">
        <v>152.84899999999999</v>
      </c>
      <c r="R654" s="218">
        <f t="shared" si="33"/>
        <v>489116.8</v>
      </c>
      <c r="S654" s="59">
        <v>202308</v>
      </c>
      <c r="T654" s="60" t="s">
        <v>3559</v>
      </c>
      <c r="U654" s="60"/>
      <c r="V654" s="224">
        <v>152.848458427</v>
      </c>
      <c r="W654" s="251"/>
      <c r="X654" s="74">
        <v>44927</v>
      </c>
      <c r="Y654" s="74">
        <v>45291</v>
      </c>
      <c r="Z654" s="28" t="s">
        <v>3566</v>
      </c>
      <c r="AA654" s="194">
        <v>0</v>
      </c>
      <c r="AB654" s="227">
        <v>0</v>
      </c>
      <c r="AC654" s="224">
        <f t="shared" si="34"/>
        <v>0</v>
      </c>
    </row>
    <row r="655" spans="1:29" s="10" customFormat="1" ht="15" customHeight="1">
      <c r="A655" s="28" t="s">
        <v>29</v>
      </c>
      <c r="B655" s="29" t="s">
        <v>1701</v>
      </c>
      <c r="C655" s="30" t="s">
        <v>31</v>
      </c>
      <c r="D655" s="30" t="s">
        <v>1717</v>
      </c>
      <c r="E655" s="28" t="s">
        <v>3567</v>
      </c>
      <c r="F655" s="28" t="s">
        <v>3568</v>
      </c>
      <c r="G655" s="28" t="s">
        <v>35</v>
      </c>
      <c r="H655" s="33" t="s">
        <v>3569</v>
      </c>
      <c r="I655" s="33" t="e">
        <f>VLOOKUP(H655,'合同高级查询数据-8月返'!A:A,1,FALSE)</f>
        <v>#N/A</v>
      </c>
      <c r="J655" s="38" t="s">
        <v>3322</v>
      </c>
      <c r="K655" s="28" t="s">
        <v>3570</v>
      </c>
      <c r="L655" s="33" t="s">
        <v>3571</v>
      </c>
      <c r="M655" s="28"/>
      <c r="N655" s="44">
        <v>44713</v>
      </c>
      <c r="O655" s="28"/>
      <c r="P655" s="211">
        <v>2200</v>
      </c>
      <c r="Q655" s="217">
        <v>224.6</v>
      </c>
      <c r="R655" s="218">
        <f t="shared" si="33"/>
        <v>494120</v>
      </c>
      <c r="S655" s="59">
        <v>202308</v>
      </c>
      <c r="T655" s="60" t="s">
        <v>3572</v>
      </c>
      <c r="U655" s="60"/>
      <c r="V655" s="224">
        <v>224.599517822</v>
      </c>
      <c r="W655" s="251"/>
      <c r="X655" s="74">
        <v>45078</v>
      </c>
      <c r="Y655" s="74">
        <v>45443</v>
      </c>
      <c r="Z655" s="28" t="s">
        <v>3573</v>
      </c>
      <c r="AA655" s="194">
        <v>0</v>
      </c>
      <c r="AB655" s="227">
        <v>0</v>
      </c>
      <c r="AC655" s="224">
        <f t="shared" si="34"/>
        <v>0</v>
      </c>
    </row>
    <row r="656" spans="1:29" s="10" customFormat="1" ht="15" customHeight="1">
      <c r="A656" s="28" t="s">
        <v>29</v>
      </c>
      <c r="B656" s="29" t="s">
        <v>1701</v>
      </c>
      <c r="C656" s="30" t="s">
        <v>31</v>
      </c>
      <c r="D656" s="30" t="s">
        <v>1717</v>
      </c>
      <c r="E656" s="28" t="s">
        <v>3567</v>
      </c>
      <c r="F656" s="28" t="s">
        <v>3568</v>
      </c>
      <c r="G656" s="28" t="s">
        <v>35</v>
      </c>
      <c r="H656" s="33" t="s">
        <v>3569</v>
      </c>
      <c r="I656" s="33" t="e">
        <f>VLOOKUP(H656,'合同高级查询数据-8月返'!A:A,1,FALSE)</f>
        <v>#N/A</v>
      </c>
      <c r="J656" s="38" t="s">
        <v>3322</v>
      </c>
      <c r="K656" s="28" t="s">
        <v>3574</v>
      </c>
      <c r="L656" s="33" t="s">
        <v>3575</v>
      </c>
      <c r="M656" s="28"/>
      <c r="N656" s="44">
        <v>44713</v>
      </c>
      <c r="O656" s="28"/>
      <c r="P656" s="211">
        <v>2500</v>
      </c>
      <c r="Q656" s="217">
        <v>447.48</v>
      </c>
      <c r="R656" s="218">
        <f t="shared" si="33"/>
        <v>1118700</v>
      </c>
      <c r="S656" s="59">
        <v>202308</v>
      </c>
      <c r="T656" s="60" t="s">
        <v>3572</v>
      </c>
      <c r="U656" s="60"/>
      <c r="V656" s="224">
        <v>447.48181152299998</v>
      </c>
      <c r="W656" s="251"/>
      <c r="X656" s="74">
        <v>45078</v>
      </c>
      <c r="Y656" s="74">
        <v>45443</v>
      </c>
      <c r="Z656" s="28" t="s">
        <v>3576</v>
      </c>
      <c r="AA656" s="194">
        <v>0</v>
      </c>
      <c r="AB656" s="227">
        <v>0</v>
      </c>
      <c r="AC656" s="224">
        <f t="shared" si="34"/>
        <v>0</v>
      </c>
    </row>
    <row r="657" spans="1:29" s="10" customFormat="1" ht="15" customHeight="1">
      <c r="A657" s="28" t="s">
        <v>29</v>
      </c>
      <c r="B657" s="29" t="s">
        <v>1701</v>
      </c>
      <c r="C657" s="30" t="s">
        <v>31</v>
      </c>
      <c r="D657" s="30" t="s">
        <v>1717</v>
      </c>
      <c r="E657" s="28" t="s">
        <v>3567</v>
      </c>
      <c r="F657" s="28" t="s">
        <v>3568</v>
      </c>
      <c r="G657" s="28" t="s">
        <v>35</v>
      </c>
      <c r="H657" s="33" t="s">
        <v>3577</v>
      </c>
      <c r="I657" s="33" t="e">
        <f>VLOOKUP(H657,'合同高级查询数据-8月返'!A:A,1,FALSE)</f>
        <v>#N/A</v>
      </c>
      <c r="J657" s="38" t="s">
        <v>3322</v>
      </c>
      <c r="K657" s="28" t="s">
        <v>3578</v>
      </c>
      <c r="L657" s="33" t="s">
        <v>3578</v>
      </c>
      <c r="M657" s="28"/>
      <c r="N657" s="44">
        <v>44743</v>
      </c>
      <c r="O657" s="28"/>
      <c r="P657" s="211">
        <v>0.05</v>
      </c>
      <c r="Q657" s="218">
        <v>5381890</v>
      </c>
      <c r="R657" s="218">
        <f t="shared" si="33"/>
        <v>269094.5</v>
      </c>
      <c r="S657" s="59">
        <v>202308</v>
      </c>
      <c r="T657" s="60" t="s">
        <v>3579</v>
      </c>
      <c r="U657" s="60"/>
      <c r="V657" s="224">
        <v>5381890</v>
      </c>
      <c r="W657" s="251"/>
      <c r="X657" s="74">
        <v>45108</v>
      </c>
      <c r="Y657" s="74">
        <v>45473</v>
      </c>
      <c r="Z657" s="28" t="s">
        <v>3580</v>
      </c>
      <c r="AA657" s="194">
        <v>0</v>
      </c>
      <c r="AB657" s="227">
        <v>0</v>
      </c>
      <c r="AC657" s="224">
        <f t="shared" si="34"/>
        <v>0</v>
      </c>
    </row>
    <row r="658" spans="1:29" s="10" customFormat="1" ht="15" customHeight="1">
      <c r="A658" s="28" t="s">
        <v>29</v>
      </c>
      <c r="B658" s="29" t="s">
        <v>1701</v>
      </c>
      <c r="C658" s="30" t="s">
        <v>31</v>
      </c>
      <c r="D658" s="30" t="s">
        <v>1717</v>
      </c>
      <c r="E658" s="28" t="s">
        <v>3567</v>
      </c>
      <c r="F658" s="28" t="s">
        <v>3568</v>
      </c>
      <c r="G658" s="28" t="s">
        <v>35</v>
      </c>
      <c r="H658" s="33" t="s">
        <v>3569</v>
      </c>
      <c r="I658" s="33" t="e">
        <f>VLOOKUP(H658,'合同高级查询数据-8月返'!A:A,1,FALSE)</f>
        <v>#N/A</v>
      </c>
      <c r="J658" s="38" t="s">
        <v>3322</v>
      </c>
      <c r="K658" s="28"/>
      <c r="L658" s="33" t="s">
        <v>3581</v>
      </c>
      <c r="M658" s="28"/>
      <c r="N658" s="44">
        <v>44835</v>
      </c>
      <c r="O658" s="28"/>
      <c r="P658" s="211">
        <v>2500</v>
      </c>
      <c r="Q658" s="217">
        <v>79.38</v>
      </c>
      <c r="R658" s="218">
        <f t="shared" si="33"/>
        <v>198450</v>
      </c>
      <c r="S658" s="59">
        <v>202308</v>
      </c>
      <c r="T658" s="60" t="s">
        <v>3582</v>
      </c>
      <c r="U658" s="60"/>
      <c r="V658" s="224">
        <v>79.381874084000003</v>
      </c>
      <c r="W658" s="251"/>
      <c r="X658" s="74">
        <v>45078</v>
      </c>
      <c r="Y658" s="74">
        <v>45443</v>
      </c>
      <c r="Z658" s="28" t="s">
        <v>3583</v>
      </c>
      <c r="AA658" s="194">
        <v>0</v>
      </c>
      <c r="AB658" s="224">
        <v>0</v>
      </c>
      <c r="AC658" s="224">
        <f t="shared" si="34"/>
        <v>0</v>
      </c>
    </row>
    <row r="659" spans="1:29" s="10" customFormat="1" ht="15" customHeight="1">
      <c r="A659" s="28" t="s">
        <v>29</v>
      </c>
      <c r="B659" s="29" t="s">
        <v>1701</v>
      </c>
      <c r="C659" s="30" t="s">
        <v>31</v>
      </c>
      <c r="D659" s="30" t="s">
        <v>1717</v>
      </c>
      <c r="E659" s="28" t="s">
        <v>3567</v>
      </c>
      <c r="F659" s="28" t="s">
        <v>3568</v>
      </c>
      <c r="G659" s="28" t="s">
        <v>35</v>
      </c>
      <c r="H659" s="33" t="s">
        <v>3569</v>
      </c>
      <c r="I659" s="33" t="e">
        <f>VLOOKUP(H659,'合同高级查询数据-8月返'!A:A,1,FALSE)</f>
        <v>#N/A</v>
      </c>
      <c r="J659" s="38" t="s">
        <v>3322</v>
      </c>
      <c r="K659" s="28"/>
      <c r="L659" s="33" t="s">
        <v>3584</v>
      </c>
      <c r="M659" s="28"/>
      <c r="N659" s="44">
        <v>44835</v>
      </c>
      <c r="O659" s="28"/>
      <c r="P659" s="211">
        <v>2200</v>
      </c>
      <c r="Q659" s="217">
        <v>37.75</v>
      </c>
      <c r="R659" s="218">
        <f t="shared" si="33"/>
        <v>83050</v>
      </c>
      <c r="S659" s="59">
        <v>202308</v>
      </c>
      <c r="T659" s="60" t="s">
        <v>3582</v>
      </c>
      <c r="U659" s="60"/>
      <c r="V659" s="224">
        <v>37.752529144</v>
      </c>
      <c r="W659" s="251"/>
      <c r="X659" s="74">
        <v>45078</v>
      </c>
      <c r="Y659" s="74">
        <v>45443</v>
      </c>
      <c r="Z659" s="28" t="s">
        <v>3585</v>
      </c>
      <c r="AA659" s="194">
        <v>0</v>
      </c>
      <c r="AB659" s="224">
        <v>0</v>
      </c>
      <c r="AC659" s="224">
        <f t="shared" si="34"/>
        <v>0</v>
      </c>
    </row>
    <row r="660" spans="1:29" s="10" customFormat="1" ht="15" customHeight="1">
      <c r="A660" s="28" t="s">
        <v>29</v>
      </c>
      <c r="B660" s="29" t="s">
        <v>1701</v>
      </c>
      <c r="C660" s="30" t="s">
        <v>31</v>
      </c>
      <c r="D660" s="30" t="s">
        <v>1717</v>
      </c>
      <c r="E660" s="28" t="s">
        <v>3567</v>
      </c>
      <c r="F660" s="28" t="s">
        <v>3568</v>
      </c>
      <c r="G660" s="28" t="s">
        <v>35</v>
      </c>
      <c r="H660" s="33" t="s">
        <v>3569</v>
      </c>
      <c r="I660" s="33" t="e">
        <f>VLOOKUP(H660,'合同高级查询数据-8月返'!A:A,1,FALSE)</f>
        <v>#N/A</v>
      </c>
      <c r="J660" s="38" t="s">
        <v>3322</v>
      </c>
      <c r="K660" s="28"/>
      <c r="L660" s="33" t="s">
        <v>3586</v>
      </c>
      <c r="M660" s="28"/>
      <c r="N660" s="44">
        <v>44927</v>
      </c>
      <c r="O660" s="28"/>
      <c r="P660" s="211">
        <v>2080</v>
      </c>
      <c r="Q660" s="217">
        <v>36.549999999999997</v>
      </c>
      <c r="R660" s="218">
        <f t="shared" si="33"/>
        <v>76024</v>
      </c>
      <c r="S660" s="59">
        <v>202308</v>
      </c>
      <c r="T660" s="60" t="s">
        <v>3480</v>
      </c>
      <c r="U660" s="60"/>
      <c r="V660" s="224">
        <v>36.550600617000001</v>
      </c>
      <c r="W660" s="251"/>
      <c r="X660" s="74">
        <v>45078</v>
      </c>
      <c r="Y660" s="74">
        <v>45443</v>
      </c>
      <c r="Z660" s="28" t="s">
        <v>3587</v>
      </c>
      <c r="AA660" s="194">
        <v>0</v>
      </c>
      <c r="AB660" s="227">
        <v>0</v>
      </c>
      <c r="AC660" s="224">
        <f t="shared" si="34"/>
        <v>0</v>
      </c>
    </row>
    <row r="661" spans="1:29" s="10" customFormat="1" ht="15" customHeight="1">
      <c r="A661" s="28" t="s">
        <v>29</v>
      </c>
      <c r="B661" s="29" t="s">
        <v>1701</v>
      </c>
      <c r="C661" s="30" t="s">
        <v>31</v>
      </c>
      <c r="D661" s="30" t="s">
        <v>1717</v>
      </c>
      <c r="E661" s="28" t="s">
        <v>3567</v>
      </c>
      <c r="F661" s="28" t="s">
        <v>3568</v>
      </c>
      <c r="G661" s="28" t="s">
        <v>35</v>
      </c>
      <c r="H661" s="33" t="s">
        <v>3588</v>
      </c>
      <c r="I661" s="33" t="str">
        <f>VLOOKUP(H661,'合同高级查询数据-8月返'!A:A,1,FALSE)</f>
        <v>182315IDC00419</v>
      </c>
      <c r="J661" s="38" t="s">
        <v>3322</v>
      </c>
      <c r="K661" s="28"/>
      <c r="L661" s="33" t="s">
        <v>3589</v>
      </c>
      <c r="M661" s="28"/>
      <c r="N661" s="44">
        <v>45078</v>
      </c>
      <c r="O661" s="28"/>
      <c r="P661" s="211">
        <v>2241</v>
      </c>
      <c r="Q661" s="217">
        <v>142.41999999999999</v>
      </c>
      <c r="R661" s="218">
        <f t="shared" si="33"/>
        <v>319163.21999999997</v>
      </c>
      <c r="S661" s="59">
        <v>202308</v>
      </c>
      <c r="T661" s="60" t="s">
        <v>3590</v>
      </c>
      <c r="U661" s="60"/>
      <c r="V661" s="224">
        <v>142.416799142</v>
      </c>
      <c r="W661" s="251"/>
      <c r="X661" s="74">
        <v>45078</v>
      </c>
      <c r="Y661" s="74">
        <v>45382</v>
      </c>
      <c r="Z661" s="28" t="s">
        <v>3591</v>
      </c>
      <c r="AA661" s="194">
        <v>0</v>
      </c>
      <c r="AB661" s="227">
        <v>0</v>
      </c>
      <c r="AC661" s="224">
        <f t="shared" si="34"/>
        <v>0</v>
      </c>
    </row>
    <row r="662" spans="1:29" s="9" customFormat="1" ht="15" customHeight="1">
      <c r="A662" s="25" t="s">
        <v>29</v>
      </c>
      <c r="B662" s="26" t="s">
        <v>1701</v>
      </c>
      <c r="C662" s="27" t="s">
        <v>31</v>
      </c>
      <c r="D662" s="27" t="s">
        <v>1717</v>
      </c>
      <c r="E662" s="25" t="s">
        <v>3567</v>
      </c>
      <c r="F662" s="25" t="s">
        <v>3568</v>
      </c>
      <c r="G662" s="25" t="s">
        <v>35</v>
      </c>
      <c r="H662" s="32" t="s">
        <v>3592</v>
      </c>
      <c r="I662" s="32" t="e">
        <f>VLOOKUP(H662,'合同高级查询数据-8月返'!A:A,1,FALSE)</f>
        <v>#N/A</v>
      </c>
      <c r="J662" s="35" t="s">
        <v>3322</v>
      </c>
      <c r="K662" s="25"/>
      <c r="L662" s="32" t="s">
        <v>3593</v>
      </c>
      <c r="M662" s="25"/>
      <c r="N662" s="42">
        <v>45078</v>
      </c>
      <c r="O662" s="25" t="s">
        <v>3594</v>
      </c>
      <c r="P662" s="236">
        <v>2520</v>
      </c>
      <c r="Q662" s="219">
        <v>22.23</v>
      </c>
      <c r="R662" s="220">
        <f t="shared" ref="R662:R663" si="35">ROUND(P662*Q662,2)</f>
        <v>56019.6</v>
      </c>
      <c r="S662" s="55">
        <v>202308</v>
      </c>
      <c r="T662" s="56" t="s">
        <v>3595</v>
      </c>
      <c r="U662" s="56"/>
      <c r="V662" s="225">
        <v>22.231989198000001</v>
      </c>
      <c r="W662" s="252"/>
      <c r="X662" s="70"/>
      <c r="Y662" s="70"/>
      <c r="Z662" s="25" t="s">
        <v>3596</v>
      </c>
      <c r="AA662" s="195">
        <v>0</v>
      </c>
      <c r="AB662" s="225">
        <v>0</v>
      </c>
      <c r="AC662" s="225"/>
    </row>
    <row r="663" spans="1:29" s="9" customFormat="1" ht="15" customHeight="1">
      <c r="A663" s="25" t="s">
        <v>29</v>
      </c>
      <c r="B663" s="26" t="s">
        <v>1701</v>
      </c>
      <c r="C663" s="27" t="s">
        <v>31</v>
      </c>
      <c r="D663" s="27" t="s">
        <v>1717</v>
      </c>
      <c r="E663" s="25" t="s">
        <v>3567</v>
      </c>
      <c r="F663" s="25" t="s">
        <v>3568</v>
      </c>
      <c r="G663" s="25" t="s">
        <v>35</v>
      </c>
      <c r="H663" s="32" t="s">
        <v>3592</v>
      </c>
      <c r="I663" s="32" t="e">
        <f>VLOOKUP(H663,'合同高级查询数据-8月返'!A:A,1,FALSE)</f>
        <v>#N/A</v>
      </c>
      <c r="J663" s="35" t="s">
        <v>3322</v>
      </c>
      <c r="K663" s="25"/>
      <c r="L663" s="32" t="s">
        <v>3593</v>
      </c>
      <c r="M663" s="25"/>
      <c r="N663" s="42">
        <v>45078</v>
      </c>
      <c r="O663" s="25" t="s">
        <v>3597</v>
      </c>
      <c r="P663" s="236">
        <v>2340</v>
      </c>
      <c r="Q663" s="219">
        <v>0</v>
      </c>
      <c r="R663" s="220">
        <f t="shared" si="35"/>
        <v>0</v>
      </c>
      <c r="S663" s="55">
        <v>202308</v>
      </c>
      <c r="T663" s="56" t="s">
        <v>3595</v>
      </c>
      <c r="U663" s="56"/>
      <c r="V663" s="225">
        <v>22.231989198000001</v>
      </c>
      <c r="W663" s="252"/>
      <c r="X663" s="70"/>
      <c r="Y663" s="70"/>
      <c r="Z663" s="25" t="s">
        <v>3596</v>
      </c>
      <c r="AA663" s="195">
        <v>0</v>
      </c>
      <c r="AB663" s="225">
        <v>0</v>
      </c>
      <c r="AC663" s="225"/>
    </row>
    <row r="664" spans="1:29" s="9" customFormat="1" ht="15" customHeight="1">
      <c r="A664" s="25" t="s">
        <v>29</v>
      </c>
      <c r="B664" s="26" t="s">
        <v>1701</v>
      </c>
      <c r="C664" s="27" t="s">
        <v>31</v>
      </c>
      <c r="D664" s="27" t="s">
        <v>1717</v>
      </c>
      <c r="E664" s="25" t="s">
        <v>3598</v>
      </c>
      <c r="F664" s="25" t="s">
        <v>3599</v>
      </c>
      <c r="G664" s="25" t="s">
        <v>35</v>
      </c>
      <c r="H664" s="32" t="s">
        <v>3600</v>
      </c>
      <c r="I664" s="32" t="e">
        <f>VLOOKUP(H664,'合同高级查询数据-8月返'!A:A,1,FALSE)</f>
        <v>#N/A</v>
      </c>
      <c r="J664" s="35" t="s">
        <v>3322</v>
      </c>
      <c r="K664" s="25" t="s">
        <v>3601</v>
      </c>
      <c r="L664" s="32" t="s">
        <v>3602</v>
      </c>
      <c r="M664" s="25"/>
      <c r="N664" s="42">
        <v>44621</v>
      </c>
      <c r="O664" s="25"/>
      <c r="P664" s="236" t="s">
        <v>3603</v>
      </c>
      <c r="Q664" s="219">
        <v>0</v>
      </c>
      <c r="R664" s="220">
        <f>ROUND(Q664*3000,2)</f>
        <v>0</v>
      </c>
      <c r="S664" s="55">
        <v>202308</v>
      </c>
      <c r="T664" s="56" t="s">
        <v>3604</v>
      </c>
      <c r="U664" s="56"/>
      <c r="V664" s="225">
        <v>0</v>
      </c>
      <c r="W664" s="252"/>
      <c r="X664" s="70"/>
      <c r="Y664" s="70"/>
      <c r="Z664" s="25" t="s">
        <v>3605</v>
      </c>
      <c r="AA664" s="195">
        <v>0</v>
      </c>
      <c r="AB664" s="226">
        <v>0</v>
      </c>
      <c r="AC664" s="225">
        <f t="shared" si="34"/>
        <v>0</v>
      </c>
    </row>
    <row r="665" spans="1:29" s="10" customFormat="1" ht="15" customHeight="1">
      <c r="A665" s="28" t="s">
        <v>29</v>
      </c>
      <c r="B665" s="29" t="s">
        <v>1701</v>
      </c>
      <c r="C665" s="30" t="s">
        <v>31</v>
      </c>
      <c r="D665" s="30" t="s">
        <v>1717</v>
      </c>
      <c r="E665" s="28" t="s">
        <v>3606</v>
      </c>
      <c r="F665" s="28" t="s">
        <v>3607</v>
      </c>
      <c r="G665" s="28" t="s">
        <v>35</v>
      </c>
      <c r="H665" s="33" t="s">
        <v>3608</v>
      </c>
      <c r="I665" s="33" t="str">
        <f>VLOOKUP(H665,'合同高级查询数据-8月返'!A:A,1,FALSE)</f>
        <v>182315IDC00407</v>
      </c>
      <c r="J665" s="38" t="s">
        <v>3357</v>
      </c>
      <c r="K665" s="28" t="s">
        <v>3609</v>
      </c>
      <c r="L665" s="33" t="s">
        <v>3609</v>
      </c>
      <c r="M665" s="28"/>
      <c r="N665" s="44">
        <v>44774</v>
      </c>
      <c r="O665" s="28"/>
      <c r="P665" s="211">
        <v>2150</v>
      </c>
      <c r="Q665" s="217">
        <v>42.466999999999999</v>
      </c>
      <c r="R665" s="218">
        <f t="shared" ref="R665:R682" si="36">ROUND(P665*Q665,2)</f>
        <v>91304.05</v>
      </c>
      <c r="S665" s="59">
        <v>202308</v>
      </c>
      <c r="T665" s="60" t="s">
        <v>3610</v>
      </c>
      <c r="U665" s="60"/>
      <c r="V665" s="254">
        <v>42.466640472000002</v>
      </c>
      <c r="W665" s="251"/>
      <c r="X665" s="74">
        <v>45139</v>
      </c>
      <c r="Y665" s="74">
        <v>45504</v>
      </c>
      <c r="Z665" s="28" t="s">
        <v>3611</v>
      </c>
      <c r="AA665" s="194">
        <v>0</v>
      </c>
      <c r="AB665" s="227">
        <v>0</v>
      </c>
      <c r="AC665" s="224">
        <f t="shared" si="34"/>
        <v>0</v>
      </c>
    </row>
    <row r="666" spans="1:29" s="10" customFormat="1" ht="15" customHeight="1">
      <c r="A666" s="28" t="s">
        <v>29</v>
      </c>
      <c r="B666" s="29" t="s">
        <v>1701</v>
      </c>
      <c r="C666" s="30" t="s">
        <v>31</v>
      </c>
      <c r="D666" s="30" t="s">
        <v>1717</v>
      </c>
      <c r="E666" s="28" t="s">
        <v>3606</v>
      </c>
      <c r="F666" s="28" t="s">
        <v>3607</v>
      </c>
      <c r="G666" s="28" t="s">
        <v>35</v>
      </c>
      <c r="H666" s="33" t="s">
        <v>3608</v>
      </c>
      <c r="I666" s="33" t="str">
        <f>VLOOKUP(H666,'合同高级查询数据-8月返'!A:A,1,FALSE)</f>
        <v>182315IDC00407</v>
      </c>
      <c r="J666" s="38" t="s">
        <v>3357</v>
      </c>
      <c r="K666" s="28" t="s">
        <v>3612</v>
      </c>
      <c r="L666" s="33" t="s">
        <v>3612</v>
      </c>
      <c r="M666" s="28"/>
      <c r="N666" s="44">
        <v>44774</v>
      </c>
      <c r="O666" s="28"/>
      <c r="P666" s="211">
        <v>3100</v>
      </c>
      <c r="Q666" s="217">
        <v>296.93700000000001</v>
      </c>
      <c r="R666" s="218">
        <f t="shared" si="36"/>
        <v>920504.7</v>
      </c>
      <c r="S666" s="59">
        <v>202308</v>
      </c>
      <c r="T666" s="60" t="s">
        <v>3613</v>
      </c>
      <c r="U666" s="60"/>
      <c r="V666" s="254">
        <v>296.93624877899998</v>
      </c>
      <c r="W666" s="251"/>
      <c r="X666" s="74">
        <v>45139</v>
      </c>
      <c r="Y666" s="74">
        <v>45504</v>
      </c>
      <c r="Z666" s="28" t="s">
        <v>3614</v>
      </c>
      <c r="AA666" s="194">
        <v>0</v>
      </c>
      <c r="AB666" s="227">
        <v>0</v>
      </c>
      <c r="AC666" s="224">
        <f t="shared" si="34"/>
        <v>0</v>
      </c>
    </row>
    <row r="667" spans="1:29" s="9" customFormat="1" ht="15" customHeight="1">
      <c r="A667" s="25" t="s">
        <v>29</v>
      </c>
      <c r="B667" s="26" t="s">
        <v>1701</v>
      </c>
      <c r="C667" s="27" t="s">
        <v>31</v>
      </c>
      <c r="D667" s="27" t="s">
        <v>1717</v>
      </c>
      <c r="E667" s="25" t="s">
        <v>3606</v>
      </c>
      <c r="F667" s="25" t="s">
        <v>3607</v>
      </c>
      <c r="G667" s="25" t="s">
        <v>35</v>
      </c>
      <c r="H667" s="32" t="s">
        <v>3615</v>
      </c>
      <c r="I667" s="32" t="e">
        <f>VLOOKUP(H667,'合同高级查询数据-8月返'!A:A,1,FALSE)</f>
        <v>#N/A</v>
      </c>
      <c r="J667" s="35" t="s">
        <v>3357</v>
      </c>
      <c r="K667" s="25"/>
      <c r="L667" s="32" t="s">
        <v>3616</v>
      </c>
      <c r="M667" s="25"/>
      <c r="N667" s="42">
        <v>44866</v>
      </c>
      <c r="O667" s="25"/>
      <c r="P667" s="236">
        <v>2850</v>
      </c>
      <c r="Q667" s="219">
        <v>0</v>
      </c>
      <c r="R667" s="220">
        <f t="shared" si="36"/>
        <v>0</v>
      </c>
      <c r="S667" s="55">
        <v>202308</v>
      </c>
      <c r="T667" s="56" t="s">
        <v>3617</v>
      </c>
      <c r="U667" s="56"/>
      <c r="V667" s="225">
        <v>0</v>
      </c>
      <c r="W667" s="252"/>
      <c r="X667" s="70"/>
      <c r="Y667" s="70"/>
      <c r="Z667" s="25" t="s">
        <v>3618</v>
      </c>
      <c r="AA667" s="195">
        <v>0</v>
      </c>
      <c r="AB667" s="226">
        <v>0</v>
      </c>
      <c r="AC667" s="225">
        <f t="shared" si="34"/>
        <v>0</v>
      </c>
    </row>
    <row r="668" spans="1:29" s="10" customFormat="1" ht="15" customHeight="1">
      <c r="A668" s="28" t="s">
        <v>29</v>
      </c>
      <c r="B668" s="29" t="s">
        <v>1701</v>
      </c>
      <c r="C668" s="30" t="s">
        <v>31</v>
      </c>
      <c r="D668" s="30" t="s">
        <v>1717</v>
      </c>
      <c r="E668" s="28" t="s">
        <v>3606</v>
      </c>
      <c r="F668" s="28" t="s">
        <v>3607</v>
      </c>
      <c r="G668" s="28" t="s">
        <v>35</v>
      </c>
      <c r="H668" s="33" t="s">
        <v>3619</v>
      </c>
      <c r="I668" s="33" t="e">
        <f>VLOOKUP(H668,'合同高级查询数据-8月返'!A:A,1,FALSE)</f>
        <v>#N/A</v>
      </c>
      <c r="J668" s="38" t="s">
        <v>3322</v>
      </c>
      <c r="K668" s="28" t="s">
        <v>3620</v>
      </c>
      <c r="L668" s="33" t="s">
        <v>3621</v>
      </c>
      <c r="M668" s="28"/>
      <c r="N668" s="44">
        <v>44958</v>
      </c>
      <c r="O668" s="28"/>
      <c r="P668" s="211">
        <v>3100</v>
      </c>
      <c r="Q668" s="217">
        <v>276.32499999999999</v>
      </c>
      <c r="R668" s="218">
        <f t="shared" si="36"/>
        <v>856607.5</v>
      </c>
      <c r="S668" s="59">
        <v>202308</v>
      </c>
      <c r="T668" s="60" t="s">
        <v>3622</v>
      </c>
      <c r="U668" s="60"/>
      <c r="V668" s="254">
        <v>276.32476000100002</v>
      </c>
      <c r="W668" s="251"/>
      <c r="X668" s="74">
        <v>44958</v>
      </c>
      <c r="Y668" s="74">
        <v>45322</v>
      </c>
      <c r="Z668" s="28" t="s">
        <v>3623</v>
      </c>
      <c r="AA668" s="194">
        <v>0</v>
      </c>
      <c r="AB668" s="227">
        <v>0</v>
      </c>
      <c r="AC668" s="224">
        <f t="shared" si="34"/>
        <v>0</v>
      </c>
    </row>
    <row r="669" spans="1:29" s="10" customFormat="1" ht="15" customHeight="1">
      <c r="A669" s="28" t="s">
        <v>29</v>
      </c>
      <c r="B669" s="29" t="s">
        <v>1701</v>
      </c>
      <c r="C669" s="30" t="s">
        <v>31</v>
      </c>
      <c r="D669" s="30" t="s">
        <v>1717</v>
      </c>
      <c r="E669" s="28" t="s">
        <v>3606</v>
      </c>
      <c r="F669" s="28" t="s">
        <v>3607</v>
      </c>
      <c r="G669" s="28" t="s">
        <v>35</v>
      </c>
      <c r="H669" s="33" t="s">
        <v>3619</v>
      </c>
      <c r="I669" s="33" t="e">
        <f>VLOOKUP(H669,'合同高级查询数据-8月返'!A:A,1,FALSE)</f>
        <v>#N/A</v>
      </c>
      <c r="J669" s="38" t="s">
        <v>3322</v>
      </c>
      <c r="K669" s="28" t="s">
        <v>3624</v>
      </c>
      <c r="L669" s="33" t="s">
        <v>3625</v>
      </c>
      <c r="M669" s="28"/>
      <c r="N669" s="44">
        <v>44958</v>
      </c>
      <c r="O669" s="28"/>
      <c r="P669" s="211">
        <v>2100</v>
      </c>
      <c r="Q669" s="217">
        <v>6.4850000000000003</v>
      </c>
      <c r="R669" s="218">
        <f t="shared" si="36"/>
        <v>13618.5</v>
      </c>
      <c r="S669" s="59">
        <v>202308</v>
      </c>
      <c r="T669" s="60" t="s">
        <v>3626</v>
      </c>
      <c r="U669" s="60"/>
      <c r="V669" s="254">
        <v>6.4843288550000002</v>
      </c>
      <c r="W669" s="251"/>
      <c r="X669" s="74">
        <v>44958</v>
      </c>
      <c r="Y669" s="74">
        <v>45322</v>
      </c>
      <c r="Z669" s="28" t="s">
        <v>3627</v>
      </c>
      <c r="AA669" s="194">
        <v>0</v>
      </c>
      <c r="AB669" s="227">
        <v>0</v>
      </c>
      <c r="AC669" s="224">
        <f t="shared" si="34"/>
        <v>0</v>
      </c>
    </row>
    <row r="670" spans="1:29" s="10" customFormat="1" ht="15" customHeight="1">
      <c r="A670" s="28" t="s">
        <v>29</v>
      </c>
      <c r="B670" s="29" t="s">
        <v>1701</v>
      </c>
      <c r="C670" s="30" t="s">
        <v>31</v>
      </c>
      <c r="D670" s="30" t="s">
        <v>1717</v>
      </c>
      <c r="E670" s="28" t="s">
        <v>3606</v>
      </c>
      <c r="F670" s="28" t="s">
        <v>3607</v>
      </c>
      <c r="G670" s="28" t="s">
        <v>35</v>
      </c>
      <c r="H670" s="33" t="s">
        <v>3628</v>
      </c>
      <c r="I670" s="33" t="e">
        <f>VLOOKUP(H670,'合同高级查询数据-8月返'!A:A,1,FALSE)</f>
        <v>#N/A</v>
      </c>
      <c r="J670" s="38" t="s">
        <v>3357</v>
      </c>
      <c r="K670" s="28" t="s">
        <v>3612</v>
      </c>
      <c r="L670" s="33" t="s">
        <v>3612</v>
      </c>
      <c r="M670" s="28"/>
      <c r="N670" s="44">
        <v>44774</v>
      </c>
      <c r="O670" s="28"/>
      <c r="P670" s="211">
        <v>3200</v>
      </c>
      <c r="Q670" s="217">
        <v>2.117</v>
      </c>
      <c r="R670" s="218">
        <f t="shared" si="36"/>
        <v>6774.4</v>
      </c>
      <c r="S670" s="59">
        <v>202307</v>
      </c>
      <c r="T670" s="60" t="s">
        <v>3629</v>
      </c>
      <c r="U670" s="60"/>
      <c r="V670" s="267"/>
      <c r="W670" s="251"/>
      <c r="X670" s="74"/>
      <c r="Y670" s="74"/>
      <c r="Z670" s="28"/>
      <c r="AA670" s="194"/>
      <c r="AB670" s="227"/>
      <c r="AC670" s="224"/>
    </row>
    <row r="671" spans="1:29" s="10" customFormat="1" ht="15" customHeight="1">
      <c r="A671" s="28" t="s">
        <v>29</v>
      </c>
      <c r="B671" s="29" t="s">
        <v>1701</v>
      </c>
      <c r="C671" s="30" t="s">
        <v>31</v>
      </c>
      <c r="D671" s="30" t="s">
        <v>1717</v>
      </c>
      <c r="E671" s="28" t="s">
        <v>2981</v>
      </c>
      <c r="F671" s="28" t="s">
        <v>3630</v>
      </c>
      <c r="G671" s="28" t="s">
        <v>35</v>
      </c>
      <c r="H671" s="33" t="s">
        <v>3631</v>
      </c>
      <c r="I671" s="33" t="e">
        <f>VLOOKUP(H671,'合同高级查询数据-8月返'!A:A,1,FALSE)</f>
        <v>#N/A</v>
      </c>
      <c r="J671" s="38" t="s">
        <v>3322</v>
      </c>
      <c r="K671" s="28" t="s">
        <v>3632</v>
      </c>
      <c r="L671" s="33" t="s">
        <v>3633</v>
      </c>
      <c r="M671" s="28"/>
      <c r="N671" s="44">
        <v>44593</v>
      </c>
      <c r="O671" s="28"/>
      <c r="P671" s="211">
        <v>2100</v>
      </c>
      <c r="Q671" s="217">
        <v>249.12100000000001</v>
      </c>
      <c r="R671" s="218">
        <f t="shared" si="36"/>
        <v>523154.1</v>
      </c>
      <c r="S671" s="59">
        <v>202308</v>
      </c>
      <c r="T671" s="60" t="s">
        <v>3634</v>
      </c>
      <c r="U671" s="60"/>
      <c r="V671" s="254">
        <v>249.12049820999999</v>
      </c>
      <c r="W671" s="251"/>
      <c r="X671" s="74">
        <v>44958</v>
      </c>
      <c r="Y671" s="74">
        <v>45322</v>
      </c>
      <c r="Z671" s="28" t="s">
        <v>3635</v>
      </c>
      <c r="AA671" s="194">
        <v>0</v>
      </c>
      <c r="AB671" s="227">
        <v>0</v>
      </c>
      <c r="AC671" s="224">
        <f t="shared" si="34"/>
        <v>0</v>
      </c>
    </row>
    <row r="672" spans="1:29" s="10" customFormat="1" ht="15" customHeight="1">
      <c r="A672" s="28" t="s">
        <v>29</v>
      </c>
      <c r="B672" s="29" t="s">
        <v>1701</v>
      </c>
      <c r="C672" s="30" t="s">
        <v>31</v>
      </c>
      <c r="D672" s="30" t="s">
        <v>1717</v>
      </c>
      <c r="E672" s="28" t="s">
        <v>2981</v>
      </c>
      <c r="F672" s="28" t="s">
        <v>3630</v>
      </c>
      <c r="G672" s="28" t="s">
        <v>35</v>
      </c>
      <c r="H672" s="33" t="s">
        <v>3631</v>
      </c>
      <c r="I672" s="33" t="e">
        <f>VLOOKUP(H672,'合同高级查询数据-8月返'!A:A,1,FALSE)</f>
        <v>#N/A</v>
      </c>
      <c r="J672" s="38" t="s">
        <v>3322</v>
      </c>
      <c r="K672" s="28" t="s">
        <v>3632</v>
      </c>
      <c r="L672" s="33" t="s">
        <v>3636</v>
      </c>
      <c r="M672" s="28"/>
      <c r="N672" s="44">
        <v>44593</v>
      </c>
      <c r="O672" s="28"/>
      <c r="P672" s="211">
        <v>2100</v>
      </c>
      <c r="Q672" s="217">
        <v>0</v>
      </c>
      <c r="R672" s="218">
        <f t="shared" si="36"/>
        <v>0</v>
      </c>
      <c r="S672" s="59">
        <v>202308</v>
      </c>
      <c r="T672" s="60" t="s">
        <v>3637</v>
      </c>
      <c r="U672" s="60"/>
      <c r="V672" s="224">
        <v>0</v>
      </c>
      <c r="W672" s="251"/>
      <c r="X672" s="74">
        <v>44958</v>
      </c>
      <c r="Y672" s="74">
        <v>45322</v>
      </c>
      <c r="Z672" s="28" t="s">
        <v>3638</v>
      </c>
      <c r="AA672" s="194">
        <v>0</v>
      </c>
      <c r="AB672" s="227">
        <v>0</v>
      </c>
      <c r="AC672" s="224">
        <f t="shared" si="34"/>
        <v>0</v>
      </c>
    </row>
    <row r="673" spans="1:29" s="10" customFormat="1" ht="15" customHeight="1">
      <c r="A673" s="28" t="s">
        <v>29</v>
      </c>
      <c r="B673" s="29" t="s">
        <v>1701</v>
      </c>
      <c r="C673" s="30" t="s">
        <v>31</v>
      </c>
      <c r="D673" s="30" t="s">
        <v>1717</v>
      </c>
      <c r="E673" s="28" t="s">
        <v>2981</v>
      </c>
      <c r="F673" s="28" t="s">
        <v>3630</v>
      </c>
      <c r="G673" s="28" t="s">
        <v>35</v>
      </c>
      <c r="H673" s="33" t="s">
        <v>3631</v>
      </c>
      <c r="I673" s="33" t="e">
        <f>VLOOKUP(H673,'合同高级查询数据-8月返'!A:A,1,FALSE)</f>
        <v>#N/A</v>
      </c>
      <c r="J673" s="38" t="s">
        <v>3322</v>
      </c>
      <c r="K673" s="28" t="s">
        <v>3639</v>
      </c>
      <c r="L673" s="33" t="s">
        <v>3640</v>
      </c>
      <c r="M673" s="28"/>
      <c r="N673" s="44">
        <v>44593</v>
      </c>
      <c r="O673" s="28"/>
      <c r="P673" s="211">
        <v>3100</v>
      </c>
      <c r="Q673" s="217">
        <v>711.24900000000002</v>
      </c>
      <c r="R673" s="218">
        <f t="shared" si="36"/>
        <v>2204871.9</v>
      </c>
      <c r="S673" s="59">
        <v>202308</v>
      </c>
      <c r="T673" s="60" t="s">
        <v>3641</v>
      </c>
      <c r="U673" s="60"/>
      <c r="V673" s="254">
        <v>711.24840583900004</v>
      </c>
      <c r="W673" s="251"/>
      <c r="X673" s="74">
        <v>44958</v>
      </c>
      <c r="Y673" s="74">
        <v>45322</v>
      </c>
      <c r="Z673" s="28" t="s">
        <v>3642</v>
      </c>
      <c r="AA673" s="194">
        <v>0</v>
      </c>
      <c r="AB673" s="227">
        <v>0</v>
      </c>
      <c r="AC673" s="224">
        <f t="shared" si="34"/>
        <v>0</v>
      </c>
    </row>
    <row r="674" spans="1:29" s="9" customFormat="1" ht="15" customHeight="1">
      <c r="A674" s="25" t="s">
        <v>29</v>
      </c>
      <c r="B674" s="26" t="s">
        <v>1701</v>
      </c>
      <c r="C674" s="27" t="s">
        <v>31</v>
      </c>
      <c r="D674" s="27" t="s">
        <v>1717</v>
      </c>
      <c r="E674" s="25" t="s">
        <v>2981</v>
      </c>
      <c r="F674" s="25" t="s">
        <v>2982</v>
      </c>
      <c r="G674" s="25" t="s">
        <v>35</v>
      </c>
      <c r="H674" s="32" t="s">
        <v>3643</v>
      </c>
      <c r="I674" s="32" t="e">
        <f>VLOOKUP(H674,'合同高级查询数据-8月返'!A:A,1,FALSE)</f>
        <v>#N/A</v>
      </c>
      <c r="J674" s="35" t="s">
        <v>3357</v>
      </c>
      <c r="K674" s="25" t="s">
        <v>3644</v>
      </c>
      <c r="L674" s="32" t="s">
        <v>3645</v>
      </c>
      <c r="M674" s="25"/>
      <c r="N674" s="42">
        <v>44774</v>
      </c>
      <c r="O674" s="25"/>
      <c r="P674" s="236">
        <v>2400</v>
      </c>
      <c r="Q674" s="219">
        <v>0</v>
      </c>
      <c r="R674" s="220">
        <f t="shared" si="36"/>
        <v>0</v>
      </c>
      <c r="S674" s="55">
        <v>202308</v>
      </c>
      <c r="T674" s="56" t="s">
        <v>3646</v>
      </c>
      <c r="U674" s="56"/>
      <c r="V674" s="225">
        <v>0</v>
      </c>
      <c r="W674" s="252"/>
      <c r="X674" s="70"/>
      <c r="Y674" s="70"/>
      <c r="Z674" s="25" t="s">
        <v>3647</v>
      </c>
      <c r="AA674" s="195">
        <v>0</v>
      </c>
      <c r="AB674" s="226">
        <v>0</v>
      </c>
      <c r="AC674" s="225">
        <f t="shared" si="34"/>
        <v>0</v>
      </c>
    </row>
    <row r="675" spans="1:29" s="9" customFormat="1" ht="15" customHeight="1">
      <c r="A675" s="25" t="s">
        <v>29</v>
      </c>
      <c r="B675" s="26" t="s">
        <v>1701</v>
      </c>
      <c r="C675" s="27" t="s">
        <v>31</v>
      </c>
      <c r="D675" s="27" t="s">
        <v>1717</v>
      </c>
      <c r="E675" s="25" t="s">
        <v>2981</v>
      </c>
      <c r="F675" s="25" t="s">
        <v>2982</v>
      </c>
      <c r="G675" s="25" t="s">
        <v>35</v>
      </c>
      <c r="H675" s="32" t="s">
        <v>3643</v>
      </c>
      <c r="I675" s="32" t="e">
        <f>VLOOKUP(H675,'合同高级查询数据-8月返'!A:A,1,FALSE)</f>
        <v>#N/A</v>
      </c>
      <c r="J675" s="35" t="s">
        <v>3357</v>
      </c>
      <c r="K675" s="25" t="s">
        <v>3648</v>
      </c>
      <c r="L675" s="32" t="s">
        <v>3649</v>
      </c>
      <c r="M675" s="25"/>
      <c r="N675" s="42">
        <v>44774</v>
      </c>
      <c r="O675" s="25"/>
      <c r="P675" s="236">
        <v>3100</v>
      </c>
      <c r="Q675" s="219">
        <v>0</v>
      </c>
      <c r="R675" s="220">
        <f t="shared" si="36"/>
        <v>0</v>
      </c>
      <c r="S675" s="55">
        <v>202308</v>
      </c>
      <c r="T675" s="56" t="s">
        <v>3646</v>
      </c>
      <c r="U675" s="56"/>
      <c r="V675" s="225">
        <v>0</v>
      </c>
      <c r="W675" s="252"/>
      <c r="X675" s="70"/>
      <c r="Y675" s="70"/>
      <c r="Z675" s="25" t="s">
        <v>3650</v>
      </c>
      <c r="AA675" s="195">
        <v>0</v>
      </c>
      <c r="AB675" s="226">
        <v>0</v>
      </c>
      <c r="AC675" s="225">
        <f t="shared" si="34"/>
        <v>0</v>
      </c>
    </row>
    <row r="676" spans="1:29" s="9" customFormat="1" ht="15" customHeight="1">
      <c r="A676" s="25" t="s">
        <v>29</v>
      </c>
      <c r="B676" s="26" t="s">
        <v>1701</v>
      </c>
      <c r="C676" s="27" t="s">
        <v>31</v>
      </c>
      <c r="D676" s="27" t="s">
        <v>1717</v>
      </c>
      <c r="E676" s="25" t="s">
        <v>2981</v>
      </c>
      <c r="F676" s="25" t="s">
        <v>2982</v>
      </c>
      <c r="G676" s="25" t="s">
        <v>35</v>
      </c>
      <c r="H676" s="32" t="s">
        <v>3651</v>
      </c>
      <c r="I676" s="32" t="e">
        <f>VLOOKUP(H676,'合同高级查询数据-8月返'!A:A,1,FALSE)</f>
        <v>#N/A</v>
      </c>
      <c r="J676" s="35" t="s">
        <v>3322</v>
      </c>
      <c r="K676" s="25" t="s">
        <v>3652</v>
      </c>
      <c r="L676" s="32" t="s">
        <v>3653</v>
      </c>
      <c r="M676" s="25"/>
      <c r="N676" s="42">
        <v>45139</v>
      </c>
      <c r="O676" s="25"/>
      <c r="P676" s="236">
        <v>3000</v>
      </c>
      <c r="Q676" s="219">
        <v>13.013999999999999</v>
      </c>
      <c r="R676" s="220">
        <f t="shared" si="36"/>
        <v>39042</v>
      </c>
      <c r="S676" s="55">
        <v>202308</v>
      </c>
      <c r="T676" s="56" t="s">
        <v>3654</v>
      </c>
      <c r="U676" s="56"/>
      <c r="V676" s="255">
        <v>13.013923963</v>
      </c>
      <c r="W676" s="252"/>
      <c r="X676" s="70"/>
      <c r="Y676" s="70"/>
      <c r="Z676" s="25" t="s">
        <v>3655</v>
      </c>
      <c r="AA676" s="195">
        <v>0</v>
      </c>
      <c r="AB676" s="226"/>
      <c r="AC676" s="225"/>
    </row>
    <row r="677" spans="1:29" s="9" customFormat="1" ht="15" customHeight="1">
      <c r="A677" s="25" t="s">
        <v>29</v>
      </c>
      <c r="B677" s="26" t="s">
        <v>1701</v>
      </c>
      <c r="C677" s="27" t="s">
        <v>31</v>
      </c>
      <c r="D677" s="27" t="s">
        <v>1717</v>
      </c>
      <c r="E677" s="25" t="s">
        <v>2981</v>
      </c>
      <c r="F677" s="25" t="s">
        <v>2982</v>
      </c>
      <c r="G677" s="25" t="s">
        <v>35</v>
      </c>
      <c r="H677" s="32" t="s">
        <v>3651</v>
      </c>
      <c r="I677" s="32" t="e">
        <f>VLOOKUP(H677,'合同高级查询数据-8月返'!A:A,1,FALSE)</f>
        <v>#N/A</v>
      </c>
      <c r="J677" s="35" t="s">
        <v>3322</v>
      </c>
      <c r="K677" s="25" t="s">
        <v>3656</v>
      </c>
      <c r="L677" s="32" t="s">
        <v>3657</v>
      </c>
      <c r="M677" s="25"/>
      <c r="N677" s="42">
        <v>45139</v>
      </c>
      <c r="O677" s="25"/>
      <c r="P677" s="236">
        <v>3700</v>
      </c>
      <c r="Q677" s="219">
        <v>35.835000000000001</v>
      </c>
      <c r="R677" s="220">
        <f t="shared" si="36"/>
        <v>132589.5</v>
      </c>
      <c r="S677" s="55">
        <v>202308</v>
      </c>
      <c r="T677" s="56" t="s">
        <v>3654</v>
      </c>
      <c r="U677" s="56"/>
      <c r="V677" s="255">
        <v>35.834732735000003</v>
      </c>
      <c r="W677" s="252"/>
      <c r="X677" s="70"/>
      <c r="Y677" s="70"/>
      <c r="Z677" s="25" t="s">
        <v>3658</v>
      </c>
      <c r="AA677" s="195">
        <v>0</v>
      </c>
      <c r="AB677" s="226"/>
      <c r="AC677" s="225"/>
    </row>
    <row r="678" spans="1:29" s="10" customFormat="1" ht="15" customHeight="1">
      <c r="A678" s="28" t="s">
        <v>29</v>
      </c>
      <c r="B678" s="29" t="s">
        <v>1701</v>
      </c>
      <c r="C678" s="30" t="s">
        <v>31</v>
      </c>
      <c r="D678" s="30" t="s">
        <v>1717</v>
      </c>
      <c r="E678" s="28" t="s">
        <v>3659</v>
      </c>
      <c r="F678" s="28" t="s">
        <v>3660</v>
      </c>
      <c r="G678" s="28" t="s">
        <v>35</v>
      </c>
      <c r="H678" s="33" t="s">
        <v>3661</v>
      </c>
      <c r="I678" s="33" t="e">
        <f>VLOOKUP(H678,'合同高级查询数据-8月返'!A:A,1,FALSE)</f>
        <v>#N/A</v>
      </c>
      <c r="J678" s="38" t="s">
        <v>3322</v>
      </c>
      <c r="K678" s="28" t="s">
        <v>3662</v>
      </c>
      <c r="L678" s="33" t="s">
        <v>3663</v>
      </c>
      <c r="M678" s="28"/>
      <c r="N678" s="44">
        <v>44593</v>
      </c>
      <c r="O678" s="28"/>
      <c r="P678" s="211">
        <v>2300</v>
      </c>
      <c r="Q678" s="217">
        <v>23.169</v>
      </c>
      <c r="R678" s="218">
        <f t="shared" si="36"/>
        <v>53288.7</v>
      </c>
      <c r="S678" s="59">
        <v>202308</v>
      </c>
      <c r="T678" s="60" t="s">
        <v>3664</v>
      </c>
      <c r="U678" s="60"/>
      <c r="V678" s="254">
        <v>23.168941497999999</v>
      </c>
      <c r="W678" s="251"/>
      <c r="X678" s="74">
        <v>44958</v>
      </c>
      <c r="Y678" s="74">
        <v>45322</v>
      </c>
      <c r="Z678" s="28" t="s">
        <v>3665</v>
      </c>
      <c r="AA678" s="194">
        <v>0</v>
      </c>
      <c r="AB678" s="227">
        <v>0</v>
      </c>
      <c r="AC678" s="224">
        <f t="shared" si="34"/>
        <v>0</v>
      </c>
    </row>
    <row r="679" spans="1:29" s="10" customFormat="1" ht="15" customHeight="1">
      <c r="A679" s="28" t="s">
        <v>29</v>
      </c>
      <c r="B679" s="29" t="s">
        <v>1701</v>
      </c>
      <c r="C679" s="30" t="s">
        <v>31</v>
      </c>
      <c r="D679" s="30" t="s">
        <v>1717</v>
      </c>
      <c r="E679" s="28" t="s">
        <v>3659</v>
      </c>
      <c r="F679" s="28" t="s">
        <v>3660</v>
      </c>
      <c r="G679" s="28" t="s">
        <v>35</v>
      </c>
      <c r="H679" s="33" t="s">
        <v>3661</v>
      </c>
      <c r="I679" s="33" t="e">
        <f>VLOOKUP(H679,'合同高级查询数据-8月返'!A:A,1,FALSE)</f>
        <v>#N/A</v>
      </c>
      <c r="J679" s="38" t="s">
        <v>3322</v>
      </c>
      <c r="K679" s="28" t="s">
        <v>3666</v>
      </c>
      <c r="L679" s="33" t="s">
        <v>3667</v>
      </c>
      <c r="M679" s="28"/>
      <c r="N679" s="44">
        <v>44593</v>
      </c>
      <c r="O679" s="28"/>
      <c r="P679" s="211">
        <v>3300</v>
      </c>
      <c r="Q679" s="217">
        <v>42.79</v>
      </c>
      <c r="R679" s="218">
        <f t="shared" si="36"/>
        <v>141207</v>
      </c>
      <c r="S679" s="59">
        <v>202308</v>
      </c>
      <c r="T679" s="60" t="s">
        <v>3664</v>
      </c>
      <c r="U679" s="60"/>
      <c r="V679" s="254">
        <v>42.789489746000001</v>
      </c>
      <c r="W679" s="251"/>
      <c r="X679" s="74">
        <v>44958</v>
      </c>
      <c r="Y679" s="74">
        <v>45322</v>
      </c>
      <c r="Z679" s="28" t="s">
        <v>3668</v>
      </c>
      <c r="AA679" s="194">
        <v>0</v>
      </c>
      <c r="AB679" s="227">
        <v>0</v>
      </c>
      <c r="AC679" s="224">
        <f t="shared" si="34"/>
        <v>0</v>
      </c>
    </row>
    <row r="680" spans="1:29" s="9" customFormat="1" ht="15" customHeight="1">
      <c r="A680" s="25" t="s">
        <v>29</v>
      </c>
      <c r="B680" s="26" t="s">
        <v>1701</v>
      </c>
      <c r="C680" s="27" t="s">
        <v>31</v>
      </c>
      <c r="D680" s="27" t="s">
        <v>1717</v>
      </c>
      <c r="E680" s="25" t="s">
        <v>1098</v>
      </c>
      <c r="F680" s="25" t="s">
        <v>1099</v>
      </c>
      <c r="G680" s="25" t="s">
        <v>35</v>
      </c>
      <c r="H680" s="25" t="s">
        <v>3669</v>
      </c>
      <c r="I680" s="32" t="e">
        <f>VLOOKUP(H680,'合同高级查询数据-8月返'!A:A,1,FALSE)</f>
        <v>#N/A</v>
      </c>
      <c r="J680" s="35" t="s">
        <v>3357</v>
      </c>
      <c r="K680" s="25" t="s">
        <v>3670</v>
      </c>
      <c r="L680" s="25" t="s">
        <v>3671</v>
      </c>
      <c r="M680" s="25"/>
      <c r="N680" s="70">
        <v>45139</v>
      </c>
      <c r="O680" s="25"/>
      <c r="P680" s="236">
        <v>3300</v>
      </c>
      <c r="Q680" s="243">
        <v>0.95899999999999996</v>
      </c>
      <c r="R680" s="220">
        <f t="shared" si="36"/>
        <v>3164.7</v>
      </c>
      <c r="S680" s="55">
        <v>202308</v>
      </c>
      <c r="T680" s="185" t="s">
        <v>3672</v>
      </c>
      <c r="U680" s="229"/>
      <c r="V680" s="255">
        <v>0.95821869400000004</v>
      </c>
      <c r="W680" s="25"/>
      <c r="X680" s="25"/>
      <c r="Y680" s="25"/>
      <c r="Z680" s="25" t="s">
        <v>3673</v>
      </c>
      <c r="AA680" s="195">
        <v>0</v>
      </c>
      <c r="AB680" s="226"/>
      <c r="AC680" s="25"/>
    </row>
    <row r="681" spans="1:29" s="9" customFormat="1" ht="15" customHeight="1">
      <c r="A681" s="25" t="s">
        <v>29</v>
      </c>
      <c r="B681" s="26" t="s">
        <v>1701</v>
      </c>
      <c r="C681" s="27" t="s">
        <v>31</v>
      </c>
      <c r="D681" s="27" t="s">
        <v>1717</v>
      </c>
      <c r="E681" s="25" t="s">
        <v>1098</v>
      </c>
      <c r="F681" s="25" t="s">
        <v>1099</v>
      </c>
      <c r="G681" s="25" t="s">
        <v>35</v>
      </c>
      <c r="H681" s="25" t="s">
        <v>3669</v>
      </c>
      <c r="I681" s="32" t="e">
        <f>VLOOKUP(H681,'合同高级查询数据-8月返'!A:A,1,FALSE)</f>
        <v>#N/A</v>
      </c>
      <c r="J681" s="35" t="s">
        <v>3357</v>
      </c>
      <c r="K681" s="25" t="s">
        <v>3670</v>
      </c>
      <c r="L681" s="25" t="s">
        <v>3674</v>
      </c>
      <c r="M681" s="25"/>
      <c r="N681" s="70">
        <v>45139</v>
      </c>
      <c r="O681" s="25"/>
      <c r="P681" s="236">
        <v>2400</v>
      </c>
      <c r="Q681" s="243">
        <v>68.180999999999997</v>
      </c>
      <c r="R681" s="220">
        <f t="shared" si="36"/>
        <v>163634.4</v>
      </c>
      <c r="S681" s="55">
        <v>202308</v>
      </c>
      <c r="T681" s="185" t="s">
        <v>3672</v>
      </c>
      <c r="U681" s="229"/>
      <c r="V681" s="255">
        <v>68.180107117000006</v>
      </c>
      <c r="W681" s="25"/>
      <c r="X681" s="25"/>
      <c r="Y681" s="25"/>
      <c r="Z681" s="25" t="s">
        <v>3675</v>
      </c>
      <c r="AA681" s="195">
        <v>0</v>
      </c>
      <c r="AB681" s="226"/>
      <c r="AC681" s="25"/>
    </row>
    <row r="682" spans="1:29" s="9" customFormat="1" ht="15" customHeight="1">
      <c r="A682" s="25" t="s">
        <v>29</v>
      </c>
      <c r="B682" s="26" t="s">
        <v>1701</v>
      </c>
      <c r="C682" s="27" t="s">
        <v>31</v>
      </c>
      <c r="D682" s="25" t="s">
        <v>1760</v>
      </c>
      <c r="E682" s="25" t="s">
        <v>3035</v>
      </c>
      <c r="F682" s="27" t="s">
        <v>3036</v>
      </c>
      <c r="G682" s="27" t="s">
        <v>35</v>
      </c>
      <c r="H682" s="25" t="s">
        <v>3676</v>
      </c>
      <c r="I682" s="32" t="e">
        <f>VLOOKUP(H682,'合同高级查询数据-8月返'!A:A,1,FALSE)</f>
        <v>#N/A</v>
      </c>
      <c r="J682" s="25" t="s">
        <v>37</v>
      </c>
      <c r="K682" s="25"/>
      <c r="L682" s="25" t="s">
        <v>3677</v>
      </c>
      <c r="M682" s="25"/>
      <c r="N682" s="70">
        <v>45139</v>
      </c>
      <c r="O682" s="25"/>
      <c r="P682" s="236">
        <v>4800</v>
      </c>
      <c r="Q682" s="243">
        <v>84.611999999999995</v>
      </c>
      <c r="R682" s="220">
        <f t="shared" si="36"/>
        <v>406137.59999999998</v>
      </c>
      <c r="S682" s="261">
        <v>202308</v>
      </c>
      <c r="T682" s="185"/>
      <c r="U682" s="25"/>
      <c r="V682" s="255">
        <v>84.611709594999994</v>
      </c>
      <c r="W682" s="253"/>
      <c r="X682" s="25"/>
      <c r="Y682" s="25"/>
      <c r="Z682" s="25" t="s">
        <v>3678</v>
      </c>
      <c r="AA682" s="195">
        <v>0</v>
      </c>
      <c r="AB682" s="25"/>
      <c r="AC682" s="25"/>
    </row>
    <row r="683" spans="1:29" s="10" customFormat="1" ht="15" customHeight="1">
      <c r="A683" s="30" t="s">
        <v>136</v>
      </c>
      <c r="B683" s="95" t="s">
        <v>3679</v>
      </c>
      <c r="C683" s="28" t="s">
        <v>71</v>
      </c>
      <c r="D683" s="95" t="s">
        <v>3680</v>
      </c>
      <c r="E683" s="30" t="s">
        <v>3681</v>
      </c>
      <c r="F683" s="30" t="s">
        <v>3682</v>
      </c>
      <c r="G683" s="30" t="s">
        <v>35</v>
      </c>
      <c r="H683" s="33" t="s">
        <v>3683</v>
      </c>
      <c r="I683" s="33" t="e">
        <f>VLOOKUP(H683,'合同高级查询数据-8月返'!A:A,1,FALSE)</f>
        <v>#N/A</v>
      </c>
      <c r="J683" s="167" t="s">
        <v>37</v>
      </c>
      <c r="K683" s="30" t="s">
        <v>3684</v>
      </c>
      <c r="L683" s="168" t="s">
        <v>3685</v>
      </c>
      <c r="M683" s="107"/>
      <c r="N683" s="108" t="s">
        <v>3686</v>
      </c>
      <c r="O683" s="108" t="s">
        <v>3687</v>
      </c>
      <c r="P683" s="256">
        <v>10000</v>
      </c>
      <c r="Q683" s="115">
        <v>0</v>
      </c>
      <c r="R683" s="262">
        <f t="shared" ref="R683:R689" si="37">ROUND(P683*Q683,2)</f>
        <v>0</v>
      </c>
      <c r="S683" s="59">
        <v>202308</v>
      </c>
      <c r="T683" s="60" t="s">
        <v>3688</v>
      </c>
      <c r="U683" s="268"/>
      <c r="V683" s="269">
        <v>0</v>
      </c>
      <c r="W683" s="270"/>
      <c r="X683" s="271">
        <v>44593</v>
      </c>
      <c r="Y683" s="277">
        <v>44834</v>
      </c>
      <c r="Z683" s="95" t="s">
        <v>3689</v>
      </c>
      <c r="AA683" s="194">
        <v>0</v>
      </c>
      <c r="AB683" s="278">
        <v>0</v>
      </c>
      <c r="AC683" s="278">
        <f t="shared" ref="AC683:AC692" si="38">AA683*AB683</f>
        <v>0</v>
      </c>
    </row>
    <row r="684" spans="1:29" s="10" customFormat="1" ht="15" customHeight="1">
      <c r="A684" s="30" t="s">
        <v>136</v>
      </c>
      <c r="B684" s="95" t="s">
        <v>3679</v>
      </c>
      <c r="C684" s="28" t="s">
        <v>71</v>
      </c>
      <c r="D684" s="95" t="s">
        <v>3680</v>
      </c>
      <c r="E684" s="30" t="s">
        <v>3681</v>
      </c>
      <c r="F684" s="30" t="s">
        <v>3682</v>
      </c>
      <c r="G684" s="30" t="s">
        <v>35</v>
      </c>
      <c r="H684" s="33" t="s">
        <v>3690</v>
      </c>
      <c r="I684" s="33" t="e">
        <f>VLOOKUP(H684,'合同高级查询数据-8月返'!A:A,1,FALSE)</f>
        <v>#N/A</v>
      </c>
      <c r="J684" s="167" t="s">
        <v>76</v>
      </c>
      <c r="K684" s="30" t="s">
        <v>3684</v>
      </c>
      <c r="L684" s="168" t="s">
        <v>3691</v>
      </c>
      <c r="M684" s="107"/>
      <c r="N684" s="108"/>
      <c r="O684" s="108" t="s">
        <v>2193</v>
      </c>
      <c r="P684" s="257">
        <v>189000</v>
      </c>
      <c r="Q684" s="115">
        <v>0</v>
      </c>
      <c r="R684" s="263">
        <f t="shared" si="37"/>
        <v>0</v>
      </c>
      <c r="S684" s="59">
        <v>202308</v>
      </c>
      <c r="T684" s="60" t="s">
        <v>3692</v>
      </c>
      <c r="U684" s="268"/>
      <c r="V684" s="269"/>
      <c r="W684" s="269"/>
      <c r="X684" s="271">
        <v>44197</v>
      </c>
      <c r="Y684" s="277">
        <v>44561</v>
      </c>
      <c r="Z684" s="95" t="s">
        <v>3693</v>
      </c>
      <c r="AA684" s="194"/>
      <c r="AB684" s="278">
        <v>0</v>
      </c>
      <c r="AC684" s="278">
        <f t="shared" si="38"/>
        <v>0</v>
      </c>
    </row>
    <row r="685" spans="1:29" s="10" customFormat="1" ht="15" customHeight="1">
      <c r="A685" s="30" t="s">
        <v>136</v>
      </c>
      <c r="B685" s="95" t="s">
        <v>3679</v>
      </c>
      <c r="C685" s="28" t="s">
        <v>71</v>
      </c>
      <c r="D685" s="95" t="s">
        <v>3680</v>
      </c>
      <c r="E685" s="30" t="s">
        <v>3681</v>
      </c>
      <c r="F685" s="30" t="s">
        <v>3682</v>
      </c>
      <c r="G685" s="30" t="s">
        <v>35</v>
      </c>
      <c r="H685" s="33" t="s">
        <v>3690</v>
      </c>
      <c r="I685" s="33" t="e">
        <f>VLOOKUP(H685,'合同高级查询数据-8月返'!A:A,1,FALSE)</f>
        <v>#N/A</v>
      </c>
      <c r="J685" s="167" t="s">
        <v>76</v>
      </c>
      <c r="K685" s="30" t="s">
        <v>3684</v>
      </c>
      <c r="L685" s="168" t="s">
        <v>3691</v>
      </c>
      <c r="M685" s="107"/>
      <c r="N685" s="108">
        <v>44232</v>
      </c>
      <c r="O685" s="258">
        <v>-60</v>
      </c>
      <c r="P685" s="257">
        <v>189000</v>
      </c>
      <c r="Q685" s="115">
        <v>0</v>
      </c>
      <c r="R685" s="263">
        <f t="shared" si="37"/>
        <v>0</v>
      </c>
      <c r="S685" s="59">
        <v>202308</v>
      </c>
      <c r="T685" s="60" t="s">
        <v>3694</v>
      </c>
      <c r="U685" s="268"/>
      <c r="V685" s="269"/>
      <c r="W685" s="269"/>
      <c r="X685" s="271">
        <v>44197</v>
      </c>
      <c r="Y685" s="277">
        <v>44561</v>
      </c>
      <c r="Z685" s="95" t="s">
        <v>3693</v>
      </c>
      <c r="AA685" s="194"/>
      <c r="AB685" s="278">
        <v>0</v>
      </c>
      <c r="AC685" s="278">
        <f t="shared" si="38"/>
        <v>0</v>
      </c>
    </row>
    <row r="686" spans="1:29" s="10" customFormat="1" ht="15" customHeight="1">
      <c r="A686" s="30" t="s">
        <v>136</v>
      </c>
      <c r="B686" s="95" t="s">
        <v>3679</v>
      </c>
      <c r="C686" s="28" t="s">
        <v>71</v>
      </c>
      <c r="D686" s="95" t="s">
        <v>3680</v>
      </c>
      <c r="E686" s="30" t="s">
        <v>3681</v>
      </c>
      <c r="F686" s="30" t="s">
        <v>3682</v>
      </c>
      <c r="G686" s="30" t="s">
        <v>35</v>
      </c>
      <c r="H686" s="33" t="s">
        <v>3695</v>
      </c>
      <c r="I686" s="33" t="e">
        <f>VLOOKUP(H686,'合同高级查询数据-8月返'!A:A,1,FALSE)</f>
        <v>#N/A</v>
      </c>
      <c r="J686" s="167" t="s">
        <v>76</v>
      </c>
      <c r="K686" s="30" t="s">
        <v>3696</v>
      </c>
      <c r="L686" s="168" t="s">
        <v>3691</v>
      </c>
      <c r="M686" s="107"/>
      <c r="N686" s="108">
        <v>44232</v>
      </c>
      <c r="O686" s="108" t="s">
        <v>1767</v>
      </c>
      <c r="P686" s="257">
        <v>189000</v>
      </c>
      <c r="Q686" s="115">
        <v>4.5</v>
      </c>
      <c r="R686" s="263">
        <f t="shared" si="37"/>
        <v>850500</v>
      </c>
      <c r="S686" s="59">
        <v>202308</v>
      </c>
      <c r="T686" s="60" t="s">
        <v>3697</v>
      </c>
      <c r="U686" s="268"/>
      <c r="V686" s="269">
        <v>4.3053999129999996</v>
      </c>
      <c r="W686" s="269">
        <v>4.5999999999999996</v>
      </c>
      <c r="X686" s="271">
        <v>44256</v>
      </c>
      <c r="Y686" s="277">
        <v>45291</v>
      </c>
      <c r="Z686" s="95" t="s">
        <v>3698</v>
      </c>
      <c r="AA686" s="194">
        <v>0.1</v>
      </c>
      <c r="AB686" s="278">
        <v>40</v>
      </c>
      <c r="AC686" s="278">
        <f t="shared" si="38"/>
        <v>4</v>
      </c>
    </row>
    <row r="687" spans="1:29" s="9" customFormat="1" ht="15" customHeight="1">
      <c r="A687" s="92" t="s">
        <v>136</v>
      </c>
      <c r="B687" s="93" t="s">
        <v>3679</v>
      </c>
      <c r="C687" s="93" t="s">
        <v>71</v>
      </c>
      <c r="D687" s="93" t="s">
        <v>3680</v>
      </c>
      <c r="E687" s="92" t="s">
        <v>3681</v>
      </c>
      <c r="F687" s="92" t="s">
        <v>3682</v>
      </c>
      <c r="G687" s="92" t="s">
        <v>35</v>
      </c>
      <c r="H687" s="32" t="s">
        <v>3699</v>
      </c>
      <c r="I687" s="32" t="e">
        <f>VLOOKUP(H687,'合同高级查询数据-8月返'!A:A,1,FALSE)</f>
        <v>#N/A</v>
      </c>
      <c r="J687" s="169" t="s">
        <v>1293</v>
      </c>
      <c r="K687" s="92" t="s">
        <v>3700</v>
      </c>
      <c r="L687" s="98" t="s">
        <v>3701</v>
      </c>
      <c r="M687" s="49"/>
      <c r="N687" s="105" t="s">
        <v>3702</v>
      </c>
      <c r="O687" s="105" t="s">
        <v>3703</v>
      </c>
      <c r="P687" s="259">
        <v>30000</v>
      </c>
      <c r="Q687" s="113">
        <v>66.900000000000006</v>
      </c>
      <c r="R687" s="143">
        <f t="shared" si="37"/>
        <v>2007000</v>
      </c>
      <c r="S687" s="55">
        <v>202308</v>
      </c>
      <c r="T687" s="264" t="s">
        <v>3704</v>
      </c>
      <c r="U687" s="272"/>
      <c r="V687" s="273">
        <v>66.820707776000006</v>
      </c>
      <c r="W687" s="273"/>
      <c r="X687" s="274"/>
      <c r="Y687" s="279"/>
      <c r="Z687" s="93" t="s">
        <v>3705</v>
      </c>
      <c r="AA687" s="195">
        <v>0.16666666666666699</v>
      </c>
      <c r="AB687" s="280">
        <v>300</v>
      </c>
      <c r="AC687" s="280">
        <f t="shared" si="38"/>
        <v>50.000000000000099</v>
      </c>
    </row>
    <row r="688" spans="1:29" s="9" customFormat="1" ht="15" customHeight="1">
      <c r="A688" s="27" t="s">
        <v>191</v>
      </c>
      <c r="B688" s="93" t="s">
        <v>3679</v>
      </c>
      <c r="C688" s="25" t="s">
        <v>71</v>
      </c>
      <c r="D688" s="93" t="s">
        <v>3680</v>
      </c>
      <c r="E688" s="27" t="s">
        <v>3706</v>
      </c>
      <c r="F688" s="27" t="s">
        <v>3707</v>
      </c>
      <c r="G688" s="27" t="s">
        <v>35</v>
      </c>
      <c r="H688" s="32" t="s">
        <v>3708</v>
      </c>
      <c r="I688" s="32" t="e">
        <f>VLOOKUP(H688,'合同高级查询数据-8月返'!A:A,1,FALSE)</f>
        <v>#N/A</v>
      </c>
      <c r="J688" s="169" t="s">
        <v>37</v>
      </c>
      <c r="K688" s="27" t="s">
        <v>3709</v>
      </c>
      <c r="L688" s="170" t="s">
        <v>3710</v>
      </c>
      <c r="M688" s="25" t="s">
        <v>3711</v>
      </c>
      <c r="N688" s="105" t="s">
        <v>3712</v>
      </c>
      <c r="O688" s="105" t="s">
        <v>3713</v>
      </c>
      <c r="P688" s="259">
        <v>15000</v>
      </c>
      <c r="Q688" s="113">
        <v>8</v>
      </c>
      <c r="R688" s="143">
        <f t="shared" si="37"/>
        <v>120000</v>
      </c>
      <c r="S688" s="55">
        <v>202308</v>
      </c>
      <c r="T688" s="56" t="s">
        <v>3714</v>
      </c>
      <c r="U688" s="272"/>
      <c r="V688" s="273">
        <v>8.001241684</v>
      </c>
      <c r="W688" s="273"/>
      <c r="X688" s="274"/>
      <c r="Y688" s="274"/>
      <c r="Z688" s="93" t="s">
        <v>3715</v>
      </c>
      <c r="AA688" s="195">
        <v>0.4</v>
      </c>
      <c r="AB688" s="280">
        <v>20</v>
      </c>
      <c r="AC688" s="280">
        <f t="shared" si="38"/>
        <v>8</v>
      </c>
    </row>
    <row r="689" spans="1:29" s="10" customFormat="1" ht="15" customHeight="1">
      <c r="A689" s="30" t="s">
        <v>191</v>
      </c>
      <c r="B689" s="95" t="s">
        <v>3679</v>
      </c>
      <c r="C689" s="28" t="s">
        <v>71</v>
      </c>
      <c r="D689" s="95" t="s">
        <v>3680</v>
      </c>
      <c r="E689" s="30" t="s">
        <v>3706</v>
      </c>
      <c r="F689" s="30" t="s">
        <v>3707</v>
      </c>
      <c r="G689" s="30" t="s">
        <v>35</v>
      </c>
      <c r="H689" s="33" t="s">
        <v>3716</v>
      </c>
      <c r="I689" s="33" t="e">
        <f>VLOOKUP(H689,'合同高级查询数据-8月返'!A:A,1,FALSE)</f>
        <v>#N/A</v>
      </c>
      <c r="J689" s="167" t="s">
        <v>1293</v>
      </c>
      <c r="K689" s="30" t="s">
        <v>3717</v>
      </c>
      <c r="L689" s="168" t="s">
        <v>3718</v>
      </c>
      <c r="M689" s="107"/>
      <c r="N689" s="108" t="s">
        <v>3719</v>
      </c>
      <c r="O689" s="108" t="s">
        <v>161</v>
      </c>
      <c r="P689" s="257">
        <v>35000</v>
      </c>
      <c r="Q689" s="115">
        <v>86</v>
      </c>
      <c r="R689" s="263">
        <f t="shared" si="37"/>
        <v>3010000</v>
      </c>
      <c r="S689" s="59">
        <v>202308</v>
      </c>
      <c r="T689" s="60" t="s">
        <v>3720</v>
      </c>
      <c r="U689" s="268"/>
      <c r="V689" s="269">
        <v>85.576437132433</v>
      </c>
      <c r="W689" s="269"/>
      <c r="X689" s="271">
        <v>43466</v>
      </c>
      <c r="Y689" s="277">
        <v>45657</v>
      </c>
      <c r="Z689" s="95" t="s">
        <v>3721</v>
      </c>
      <c r="AA689" s="194">
        <v>0.3</v>
      </c>
      <c r="AB689" s="278">
        <v>240</v>
      </c>
      <c r="AC689" s="278">
        <f t="shared" si="38"/>
        <v>72</v>
      </c>
    </row>
    <row r="690" spans="1:29" s="9" customFormat="1" ht="15" customHeight="1">
      <c r="A690" s="27" t="s">
        <v>191</v>
      </c>
      <c r="B690" s="93" t="s">
        <v>3679</v>
      </c>
      <c r="C690" s="25" t="s">
        <v>71</v>
      </c>
      <c r="D690" s="93" t="s">
        <v>3680</v>
      </c>
      <c r="E690" s="27" t="s">
        <v>3706</v>
      </c>
      <c r="F690" s="27" t="s">
        <v>3707</v>
      </c>
      <c r="G690" s="27" t="s">
        <v>35</v>
      </c>
      <c r="H690" s="32" t="s">
        <v>3722</v>
      </c>
      <c r="I690" s="32" t="e">
        <f>VLOOKUP(H690,'合同高级查询数据-8月返'!A:A,1,FALSE)</f>
        <v>#N/A</v>
      </c>
      <c r="J690" s="169" t="s">
        <v>76</v>
      </c>
      <c r="K690" s="27" t="s">
        <v>3723</v>
      </c>
      <c r="L690" s="170" t="s">
        <v>3724</v>
      </c>
      <c r="M690" s="49"/>
      <c r="N690" s="105">
        <v>40330</v>
      </c>
      <c r="O690" s="105" t="s">
        <v>1767</v>
      </c>
      <c r="P690" s="259">
        <v>120000</v>
      </c>
      <c r="Q690" s="113">
        <v>8</v>
      </c>
      <c r="R690" s="143">
        <f t="shared" ref="R690:R751" si="39">ROUND(P690*Q690,2)</f>
        <v>960000</v>
      </c>
      <c r="S690" s="55">
        <v>202308</v>
      </c>
      <c r="T690" s="56" t="s">
        <v>3725</v>
      </c>
      <c r="U690" s="272"/>
      <c r="V690" s="273">
        <v>5.1224919160000004</v>
      </c>
      <c r="W690" s="273"/>
      <c r="X690" s="274"/>
      <c r="Y690" s="279"/>
      <c r="Z690" s="93" t="s">
        <v>3726</v>
      </c>
      <c r="AA690" s="195">
        <v>0.2</v>
      </c>
      <c r="AB690" s="280">
        <v>40</v>
      </c>
      <c r="AC690" s="280">
        <f t="shared" si="38"/>
        <v>8</v>
      </c>
    </row>
    <row r="691" spans="1:29" s="10" customFormat="1" ht="15" customHeight="1">
      <c r="A691" s="30" t="s">
        <v>191</v>
      </c>
      <c r="B691" s="95" t="s">
        <v>3679</v>
      </c>
      <c r="C691" s="28" t="s">
        <v>71</v>
      </c>
      <c r="D691" s="95" t="s">
        <v>3680</v>
      </c>
      <c r="E691" s="94" t="s">
        <v>3706</v>
      </c>
      <c r="F691" s="30" t="s">
        <v>3727</v>
      </c>
      <c r="G691" s="30" t="s">
        <v>35</v>
      </c>
      <c r="H691" s="33" t="s">
        <v>3728</v>
      </c>
      <c r="I691" s="33" t="e">
        <f>VLOOKUP(H691,'合同高级查询数据-8月返'!A:A,1,FALSE)</f>
        <v>#N/A</v>
      </c>
      <c r="J691" s="167" t="s">
        <v>1293</v>
      </c>
      <c r="K691" s="30" t="s">
        <v>3729</v>
      </c>
      <c r="L691" s="168" t="s">
        <v>3727</v>
      </c>
      <c r="M691" s="107"/>
      <c r="N691" s="108">
        <v>42735</v>
      </c>
      <c r="O691" s="108" t="s">
        <v>1569</v>
      </c>
      <c r="P691" s="257">
        <v>50000</v>
      </c>
      <c r="Q691" s="115">
        <v>50</v>
      </c>
      <c r="R691" s="263">
        <f t="shared" si="39"/>
        <v>2500000</v>
      </c>
      <c r="S691" s="59">
        <v>202308</v>
      </c>
      <c r="T691" s="60" t="s">
        <v>3730</v>
      </c>
      <c r="U691" s="268"/>
      <c r="V691" s="269">
        <v>44.835271826014001</v>
      </c>
      <c r="W691" s="95"/>
      <c r="X691" s="271">
        <v>44470</v>
      </c>
      <c r="Y691" s="277">
        <v>46234</v>
      </c>
      <c r="Z691" s="95" t="s">
        <v>3731</v>
      </c>
      <c r="AA691" s="194">
        <v>0.3125</v>
      </c>
      <c r="AB691" s="278">
        <v>160</v>
      </c>
      <c r="AC691" s="278">
        <f t="shared" si="38"/>
        <v>50</v>
      </c>
    </row>
    <row r="692" spans="1:29" s="10" customFormat="1" ht="15" customHeight="1">
      <c r="A692" s="30" t="s">
        <v>191</v>
      </c>
      <c r="B692" s="95" t="s">
        <v>3679</v>
      </c>
      <c r="C692" s="28" t="s">
        <v>71</v>
      </c>
      <c r="D692" s="95" t="s">
        <v>3680</v>
      </c>
      <c r="E692" s="94" t="s">
        <v>3706</v>
      </c>
      <c r="F692" s="30" t="s">
        <v>3727</v>
      </c>
      <c r="G692" s="30" t="s">
        <v>35</v>
      </c>
      <c r="H692" s="33" t="s">
        <v>3728</v>
      </c>
      <c r="I692" s="33" t="e">
        <f>VLOOKUP(H692,'合同高级查询数据-8月返'!A:A,1,FALSE)</f>
        <v>#N/A</v>
      </c>
      <c r="J692" s="167" t="s">
        <v>1293</v>
      </c>
      <c r="K692" s="30" t="s">
        <v>3729</v>
      </c>
      <c r="L692" s="168" t="s">
        <v>3727</v>
      </c>
      <c r="M692" s="107"/>
      <c r="N692" s="108">
        <v>42735</v>
      </c>
      <c r="O692" s="108" t="s">
        <v>1569</v>
      </c>
      <c r="P692" s="257">
        <v>30000</v>
      </c>
      <c r="Q692" s="115">
        <v>0</v>
      </c>
      <c r="R692" s="263">
        <f t="shared" si="39"/>
        <v>0</v>
      </c>
      <c r="S692" s="59">
        <v>202308</v>
      </c>
      <c r="T692" s="60" t="s">
        <v>3732</v>
      </c>
      <c r="U692" s="268"/>
      <c r="V692" s="269"/>
      <c r="W692" s="95"/>
      <c r="X692" s="271">
        <v>44470</v>
      </c>
      <c r="Y692" s="277">
        <v>46234</v>
      </c>
      <c r="Z692" s="95" t="s">
        <v>3731</v>
      </c>
      <c r="AA692" s="194">
        <v>0.3125</v>
      </c>
      <c r="AB692" s="278">
        <v>160</v>
      </c>
      <c r="AC692" s="278">
        <f t="shared" si="38"/>
        <v>50</v>
      </c>
    </row>
    <row r="693" spans="1:29" s="10" customFormat="1" ht="15" customHeight="1">
      <c r="A693" s="30" t="s">
        <v>191</v>
      </c>
      <c r="B693" s="95" t="s">
        <v>3679</v>
      </c>
      <c r="C693" s="28" t="s">
        <v>71</v>
      </c>
      <c r="D693" s="95" t="s">
        <v>3680</v>
      </c>
      <c r="E693" s="30" t="s">
        <v>3733</v>
      </c>
      <c r="F693" s="30" t="s">
        <v>3734</v>
      </c>
      <c r="G693" s="30" t="s">
        <v>35</v>
      </c>
      <c r="H693" s="33" t="s">
        <v>3735</v>
      </c>
      <c r="I693" s="33" t="e">
        <f>VLOOKUP(H693,'合同高级查询数据-8月返'!A:A,1,FALSE)</f>
        <v>#N/A</v>
      </c>
      <c r="J693" s="167" t="s">
        <v>76</v>
      </c>
      <c r="K693" s="30" t="s">
        <v>3736</v>
      </c>
      <c r="L693" s="168" t="s">
        <v>3737</v>
      </c>
      <c r="M693" s="107"/>
      <c r="N693" s="108">
        <v>43343</v>
      </c>
      <c r="O693" s="108" t="s">
        <v>3738</v>
      </c>
      <c r="P693" s="257">
        <v>3500</v>
      </c>
      <c r="Q693" s="115">
        <v>20</v>
      </c>
      <c r="R693" s="263">
        <f t="shared" si="39"/>
        <v>70000</v>
      </c>
      <c r="S693" s="59">
        <v>202308</v>
      </c>
      <c r="T693" s="60" t="s">
        <v>3739</v>
      </c>
      <c r="U693" s="268"/>
      <c r="V693" s="269">
        <v>0.61695819600000001</v>
      </c>
      <c r="W693" s="95"/>
      <c r="X693" s="271">
        <v>44550</v>
      </c>
      <c r="Y693" s="277">
        <v>45279</v>
      </c>
      <c r="Z693" s="95" t="s">
        <v>3740</v>
      </c>
      <c r="AA693" s="194">
        <v>1</v>
      </c>
      <c r="AB693" s="278">
        <v>20</v>
      </c>
      <c r="AC693" s="278">
        <v>20</v>
      </c>
    </row>
    <row r="694" spans="1:29" s="10" customFormat="1" ht="15" customHeight="1">
      <c r="A694" s="30" t="s">
        <v>191</v>
      </c>
      <c r="B694" s="95" t="s">
        <v>3679</v>
      </c>
      <c r="C694" s="28" t="s">
        <v>71</v>
      </c>
      <c r="D694" s="95" t="s">
        <v>3680</v>
      </c>
      <c r="E694" s="30" t="s">
        <v>3733</v>
      </c>
      <c r="F694" s="30" t="s">
        <v>3734</v>
      </c>
      <c r="G694" s="30" t="s">
        <v>35</v>
      </c>
      <c r="H694" s="33" t="s">
        <v>3735</v>
      </c>
      <c r="I694" s="33" t="e">
        <f>VLOOKUP(H694,'合同高级查询数据-8月返'!A:A,1,FALSE)</f>
        <v>#N/A</v>
      </c>
      <c r="J694" s="167" t="s">
        <v>37</v>
      </c>
      <c r="K694" s="30" t="s">
        <v>3734</v>
      </c>
      <c r="L694" s="168" t="s">
        <v>3741</v>
      </c>
      <c r="M694" s="107"/>
      <c r="N694" s="108">
        <v>43343</v>
      </c>
      <c r="O694" s="108" t="s">
        <v>1569</v>
      </c>
      <c r="P694" s="257">
        <v>4500</v>
      </c>
      <c r="Q694" s="115">
        <v>70.7</v>
      </c>
      <c r="R694" s="263">
        <f t="shared" si="39"/>
        <v>318150</v>
      </c>
      <c r="S694" s="59">
        <v>202308</v>
      </c>
      <c r="T694" s="60" t="s">
        <v>3742</v>
      </c>
      <c r="U694" s="268"/>
      <c r="V694" s="269">
        <v>70.641990661999998</v>
      </c>
      <c r="W694" s="269"/>
      <c r="X694" s="271">
        <v>44550</v>
      </c>
      <c r="Y694" s="277">
        <v>45279</v>
      </c>
      <c r="Z694" s="95" t="s">
        <v>3743</v>
      </c>
      <c r="AA694" s="194">
        <v>0.4</v>
      </c>
      <c r="AB694" s="278">
        <v>160</v>
      </c>
      <c r="AC694" s="278">
        <f>AA694*AB694</f>
        <v>64</v>
      </c>
    </row>
    <row r="695" spans="1:29" s="10" customFormat="1" ht="15" customHeight="1">
      <c r="A695" s="30" t="s">
        <v>191</v>
      </c>
      <c r="B695" s="95" t="s">
        <v>3679</v>
      </c>
      <c r="C695" s="28" t="s">
        <v>71</v>
      </c>
      <c r="D695" s="95" t="s">
        <v>3680</v>
      </c>
      <c r="E695" s="30" t="s">
        <v>3733</v>
      </c>
      <c r="F695" s="30" t="s">
        <v>3734</v>
      </c>
      <c r="G695" s="30" t="s">
        <v>35</v>
      </c>
      <c r="H695" s="33" t="s">
        <v>3744</v>
      </c>
      <c r="I695" s="33" t="str">
        <f>VLOOKUP(H695,'合同高级查询数据-8月返'!A:A,1,FALSE)</f>
        <v>182315IDC00391</v>
      </c>
      <c r="J695" s="167" t="s">
        <v>37</v>
      </c>
      <c r="K695" s="30" t="s">
        <v>3734</v>
      </c>
      <c r="L695" s="168" t="s">
        <v>3745</v>
      </c>
      <c r="M695" s="107" t="s">
        <v>3746</v>
      </c>
      <c r="N695" s="108">
        <v>45079</v>
      </c>
      <c r="O695" s="108" t="s">
        <v>447</v>
      </c>
      <c r="P695" s="257">
        <v>4500</v>
      </c>
      <c r="Q695" s="115">
        <v>0.98</v>
      </c>
      <c r="R695" s="263">
        <f t="shared" si="39"/>
        <v>4410</v>
      </c>
      <c r="S695" s="59">
        <v>202307</v>
      </c>
      <c r="T695" s="60" t="s">
        <v>3747</v>
      </c>
      <c r="U695" s="268"/>
      <c r="V695" s="269"/>
      <c r="W695" s="269"/>
      <c r="X695" s="271"/>
      <c r="Y695" s="277"/>
      <c r="Z695" s="95"/>
      <c r="AA695" s="194"/>
      <c r="AB695" s="281"/>
      <c r="AC695" s="278"/>
    </row>
    <row r="696" spans="1:29" s="10" customFormat="1" ht="15" customHeight="1">
      <c r="A696" s="30" t="s">
        <v>191</v>
      </c>
      <c r="B696" s="95" t="s">
        <v>3679</v>
      </c>
      <c r="C696" s="28" t="s">
        <v>71</v>
      </c>
      <c r="D696" s="95" t="s">
        <v>3680</v>
      </c>
      <c r="E696" s="30" t="s">
        <v>3733</v>
      </c>
      <c r="F696" s="30" t="s">
        <v>3734</v>
      </c>
      <c r="G696" s="30" t="s">
        <v>35</v>
      </c>
      <c r="H696" s="33" t="s">
        <v>3744</v>
      </c>
      <c r="I696" s="33" t="str">
        <f>VLOOKUP(H696,'合同高级查询数据-8月返'!A:A,1,FALSE)</f>
        <v>182315IDC00391</v>
      </c>
      <c r="J696" s="167" t="s">
        <v>37</v>
      </c>
      <c r="K696" s="30" t="s">
        <v>3734</v>
      </c>
      <c r="L696" s="168" t="s">
        <v>3745</v>
      </c>
      <c r="M696" s="107" t="s">
        <v>3746</v>
      </c>
      <c r="N696" s="108">
        <v>45079</v>
      </c>
      <c r="O696" s="108" t="s">
        <v>447</v>
      </c>
      <c r="P696" s="257">
        <v>4500</v>
      </c>
      <c r="Q696" s="115">
        <v>56.3</v>
      </c>
      <c r="R696" s="263">
        <f t="shared" si="39"/>
        <v>253350</v>
      </c>
      <c r="S696" s="59">
        <v>202308</v>
      </c>
      <c r="T696" s="60" t="s">
        <v>3748</v>
      </c>
      <c r="U696" s="268"/>
      <c r="V696" s="269">
        <v>56.254405974999997</v>
      </c>
      <c r="W696" s="269"/>
      <c r="X696" s="271">
        <v>45078</v>
      </c>
      <c r="Y696" s="277">
        <v>45279</v>
      </c>
      <c r="Z696" s="95" t="s">
        <v>3749</v>
      </c>
      <c r="AA696" s="194">
        <v>0.4</v>
      </c>
      <c r="AB696" s="281">
        <v>100</v>
      </c>
      <c r="AC696" s="278">
        <f t="shared" ref="AC696:AC703" si="40">AA696*AB696</f>
        <v>40</v>
      </c>
    </row>
    <row r="697" spans="1:29" s="9" customFormat="1" ht="15" customHeight="1">
      <c r="A697" s="92" t="s">
        <v>184</v>
      </c>
      <c r="B697" s="93" t="s">
        <v>3679</v>
      </c>
      <c r="C697" s="93" t="s">
        <v>2515</v>
      </c>
      <c r="D697" s="93" t="s">
        <v>3750</v>
      </c>
      <c r="E697" s="92" t="s">
        <v>3751</v>
      </c>
      <c r="F697" s="92" t="s">
        <v>3752</v>
      </c>
      <c r="G697" s="92" t="s">
        <v>35</v>
      </c>
      <c r="H697" s="32" t="s">
        <v>3753</v>
      </c>
      <c r="I697" s="32" t="e">
        <f>VLOOKUP(H697,'合同高级查询数据-8月返'!A:A,1,FALSE)</f>
        <v>#N/A</v>
      </c>
      <c r="J697" s="169" t="s">
        <v>37</v>
      </c>
      <c r="K697" s="92" t="s">
        <v>2517</v>
      </c>
      <c r="L697" s="98" t="s">
        <v>3754</v>
      </c>
      <c r="M697" s="49"/>
      <c r="N697" s="105" t="s">
        <v>3755</v>
      </c>
      <c r="O697" s="105" t="s">
        <v>1436</v>
      </c>
      <c r="P697" s="260">
        <v>9500</v>
      </c>
      <c r="Q697" s="113"/>
      <c r="R697" s="265">
        <f t="shared" si="39"/>
        <v>0</v>
      </c>
      <c r="S697" s="55">
        <v>202308</v>
      </c>
      <c r="T697" s="264" t="s">
        <v>3756</v>
      </c>
      <c r="U697" s="272"/>
      <c r="V697" s="273">
        <v>0</v>
      </c>
      <c r="W697" s="275"/>
      <c r="X697" s="105"/>
      <c r="Y697" s="105"/>
      <c r="Z697" s="275" t="s">
        <v>3757</v>
      </c>
      <c r="AA697" s="196">
        <v>0.3</v>
      </c>
      <c r="AB697" s="282">
        <v>0</v>
      </c>
      <c r="AC697" s="282">
        <f t="shared" si="40"/>
        <v>0</v>
      </c>
    </row>
    <row r="698" spans="1:29" s="9" customFormat="1" ht="15" customHeight="1">
      <c r="A698" s="92" t="s">
        <v>184</v>
      </c>
      <c r="B698" s="93" t="s">
        <v>3679</v>
      </c>
      <c r="C698" s="93" t="s">
        <v>2515</v>
      </c>
      <c r="D698" s="93" t="s">
        <v>3750</v>
      </c>
      <c r="E698" s="92" t="s">
        <v>3751</v>
      </c>
      <c r="F698" s="92" t="s">
        <v>3752</v>
      </c>
      <c r="G698" s="92" t="s">
        <v>35</v>
      </c>
      <c r="H698" s="32" t="s">
        <v>3753</v>
      </c>
      <c r="I698" s="32" t="e">
        <f>VLOOKUP(H698,'合同高级查询数据-8月返'!A:A,1,FALSE)</f>
        <v>#N/A</v>
      </c>
      <c r="J698" s="169" t="s">
        <v>37</v>
      </c>
      <c r="K698" s="92" t="s">
        <v>2517</v>
      </c>
      <c r="L698" s="98" t="s">
        <v>3758</v>
      </c>
      <c r="M698" s="49"/>
      <c r="N698" s="50" t="s">
        <v>3759</v>
      </c>
      <c r="O698" s="105" t="s">
        <v>3760</v>
      </c>
      <c r="P698" s="260">
        <v>9500</v>
      </c>
      <c r="Q698" s="113">
        <v>66.599999999999994</v>
      </c>
      <c r="R698" s="265">
        <f t="shared" si="39"/>
        <v>632700</v>
      </c>
      <c r="S698" s="55">
        <v>202308</v>
      </c>
      <c r="T698" s="64" t="s">
        <v>3761</v>
      </c>
      <c r="U698" s="272"/>
      <c r="V698" s="273">
        <v>66.578193665000001</v>
      </c>
      <c r="W698" s="275"/>
      <c r="X698" s="105"/>
      <c r="Y698" s="105"/>
      <c r="Z698" s="275" t="s">
        <v>3762</v>
      </c>
      <c r="AA698" s="196">
        <v>0.3</v>
      </c>
      <c r="AB698" s="282">
        <v>200</v>
      </c>
      <c r="AC698" s="282">
        <f t="shared" si="40"/>
        <v>60</v>
      </c>
    </row>
    <row r="699" spans="1:29" s="9" customFormat="1" ht="15" customHeight="1">
      <c r="A699" s="92" t="s">
        <v>184</v>
      </c>
      <c r="B699" s="93" t="s">
        <v>3679</v>
      </c>
      <c r="C699" s="93" t="s">
        <v>2515</v>
      </c>
      <c r="D699" s="93" t="s">
        <v>3750</v>
      </c>
      <c r="E699" s="92" t="s">
        <v>3751</v>
      </c>
      <c r="F699" s="92" t="s">
        <v>3752</v>
      </c>
      <c r="G699" s="92" t="s">
        <v>35</v>
      </c>
      <c r="H699" s="32" t="s">
        <v>3753</v>
      </c>
      <c r="I699" s="32" t="e">
        <f>VLOOKUP(H699,'合同高级查询数据-8月返'!A:A,1,FALSE)</f>
        <v>#N/A</v>
      </c>
      <c r="J699" s="169" t="s">
        <v>37</v>
      </c>
      <c r="K699" s="92" t="s">
        <v>2517</v>
      </c>
      <c r="L699" s="98" t="s">
        <v>3763</v>
      </c>
      <c r="M699" s="49"/>
      <c r="N699" s="105" t="s">
        <v>3764</v>
      </c>
      <c r="O699" s="105" t="s">
        <v>1569</v>
      </c>
      <c r="P699" s="260">
        <v>9500</v>
      </c>
      <c r="Q699" s="113">
        <v>51</v>
      </c>
      <c r="R699" s="265">
        <f t="shared" si="39"/>
        <v>484500</v>
      </c>
      <c r="S699" s="55">
        <v>202308</v>
      </c>
      <c r="T699" s="64" t="s">
        <v>3765</v>
      </c>
      <c r="U699" s="272"/>
      <c r="V699" s="273">
        <v>50.939277648999997</v>
      </c>
      <c r="W699" s="275"/>
      <c r="X699" s="105"/>
      <c r="Y699" s="105"/>
      <c r="Z699" s="275" t="s">
        <v>3766</v>
      </c>
      <c r="AA699" s="196">
        <v>0.3</v>
      </c>
      <c r="AB699" s="282">
        <v>160</v>
      </c>
      <c r="AC699" s="282">
        <f t="shared" si="40"/>
        <v>48</v>
      </c>
    </row>
    <row r="700" spans="1:29" s="9" customFormat="1" ht="15" customHeight="1">
      <c r="A700" s="92" t="s">
        <v>184</v>
      </c>
      <c r="B700" s="93" t="s">
        <v>3679</v>
      </c>
      <c r="C700" s="93" t="s">
        <v>2515</v>
      </c>
      <c r="D700" s="93" t="s">
        <v>3750</v>
      </c>
      <c r="E700" s="92" t="s">
        <v>3751</v>
      </c>
      <c r="F700" s="92" t="s">
        <v>3752</v>
      </c>
      <c r="G700" s="92" t="s">
        <v>35</v>
      </c>
      <c r="H700" s="32" t="s">
        <v>3753</v>
      </c>
      <c r="I700" s="32" t="e">
        <f>VLOOKUP(H700,'合同高级查询数据-8月返'!A:A,1,FALSE)</f>
        <v>#N/A</v>
      </c>
      <c r="J700" s="169" t="s">
        <v>37</v>
      </c>
      <c r="K700" s="92" t="s">
        <v>2517</v>
      </c>
      <c r="L700" s="98" t="s">
        <v>3767</v>
      </c>
      <c r="M700" s="49"/>
      <c r="N700" s="105" t="s">
        <v>3764</v>
      </c>
      <c r="O700" s="105" t="s">
        <v>1569</v>
      </c>
      <c r="P700" s="260">
        <v>9500</v>
      </c>
      <c r="Q700" s="113">
        <v>52.5</v>
      </c>
      <c r="R700" s="265">
        <f t="shared" si="39"/>
        <v>498750</v>
      </c>
      <c r="S700" s="55">
        <v>202308</v>
      </c>
      <c r="T700" s="64" t="s">
        <v>3768</v>
      </c>
      <c r="U700" s="272"/>
      <c r="V700" s="273">
        <v>52.455802917</v>
      </c>
      <c r="W700" s="275"/>
      <c r="X700" s="105"/>
      <c r="Y700" s="105"/>
      <c r="Z700" s="275" t="s">
        <v>3769</v>
      </c>
      <c r="AA700" s="196">
        <v>0.3</v>
      </c>
      <c r="AB700" s="282">
        <v>160</v>
      </c>
      <c r="AC700" s="282">
        <f t="shared" si="40"/>
        <v>48</v>
      </c>
    </row>
    <row r="701" spans="1:29" s="9" customFormat="1" ht="15" customHeight="1">
      <c r="A701" s="92" t="s">
        <v>184</v>
      </c>
      <c r="B701" s="93" t="s">
        <v>3679</v>
      </c>
      <c r="C701" s="93" t="s">
        <v>2515</v>
      </c>
      <c r="D701" s="93" t="s">
        <v>3750</v>
      </c>
      <c r="E701" s="92" t="s">
        <v>3751</v>
      </c>
      <c r="F701" s="92" t="s">
        <v>3752</v>
      </c>
      <c r="G701" s="92" t="s">
        <v>35</v>
      </c>
      <c r="H701" s="32" t="s">
        <v>3753</v>
      </c>
      <c r="I701" s="32" t="e">
        <f>VLOOKUP(H701,'合同高级查询数据-8月返'!A:A,1,FALSE)</f>
        <v>#N/A</v>
      </c>
      <c r="J701" s="169" t="s">
        <v>37</v>
      </c>
      <c r="K701" s="92" t="s">
        <v>3770</v>
      </c>
      <c r="L701" s="98" t="s">
        <v>3771</v>
      </c>
      <c r="M701" s="49"/>
      <c r="N701" s="105" t="s">
        <v>3772</v>
      </c>
      <c r="O701" s="105" t="s">
        <v>1748</v>
      </c>
      <c r="P701" s="260">
        <v>9500</v>
      </c>
      <c r="Q701" s="113"/>
      <c r="R701" s="265">
        <f t="shared" si="39"/>
        <v>0</v>
      </c>
      <c r="S701" s="55">
        <v>202308</v>
      </c>
      <c r="T701" s="264" t="s">
        <v>3773</v>
      </c>
      <c r="U701" s="272"/>
      <c r="V701" s="273">
        <v>0</v>
      </c>
      <c r="W701" s="275"/>
      <c r="X701" s="105"/>
      <c r="Y701" s="105"/>
      <c r="Z701" s="275" t="s">
        <v>3774</v>
      </c>
      <c r="AA701" s="196">
        <v>0.3</v>
      </c>
      <c r="AB701" s="282">
        <v>0</v>
      </c>
      <c r="AC701" s="282">
        <f t="shared" si="40"/>
        <v>0</v>
      </c>
    </row>
    <row r="702" spans="1:29" s="9" customFormat="1" ht="15" customHeight="1">
      <c r="A702" s="25" t="s">
        <v>184</v>
      </c>
      <c r="B702" s="93" t="s">
        <v>3775</v>
      </c>
      <c r="C702" s="27" t="s">
        <v>1727</v>
      </c>
      <c r="D702" s="27" t="s">
        <v>3750</v>
      </c>
      <c r="E702" s="25" t="s">
        <v>3776</v>
      </c>
      <c r="F702" s="25" t="s">
        <v>3777</v>
      </c>
      <c r="G702" s="34" t="s">
        <v>35</v>
      </c>
      <c r="H702" s="35" t="s">
        <v>3778</v>
      </c>
      <c r="I702" s="32" t="e">
        <f>VLOOKUP(H702,'合同高级查询数据-8月返'!A:A,1,FALSE)</f>
        <v>#N/A</v>
      </c>
      <c r="J702" s="35" t="s">
        <v>37</v>
      </c>
      <c r="K702" s="25" t="s">
        <v>3779</v>
      </c>
      <c r="L702" s="34" t="s">
        <v>3780</v>
      </c>
      <c r="M702" s="49"/>
      <c r="N702" s="105" t="s">
        <v>3781</v>
      </c>
      <c r="O702" s="34" t="s">
        <v>3782</v>
      </c>
      <c r="P702" s="260">
        <v>9500</v>
      </c>
      <c r="Q702" s="113">
        <v>7.5</v>
      </c>
      <c r="R702" s="265">
        <f t="shared" si="39"/>
        <v>71250</v>
      </c>
      <c r="S702" s="55">
        <v>202308</v>
      </c>
      <c r="T702" s="56" t="s">
        <v>3783</v>
      </c>
      <c r="U702" s="139"/>
      <c r="V702" s="273">
        <v>7.4862517159999999</v>
      </c>
      <c r="W702" s="79"/>
      <c r="X702" s="105"/>
      <c r="Y702" s="105"/>
      <c r="Z702" s="275" t="s">
        <v>3784</v>
      </c>
      <c r="AA702" s="196">
        <v>0.3</v>
      </c>
      <c r="AB702" s="282">
        <v>20</v>
      </c>
      <c r="AC702" s="282">
        <f t="shared" si="40"/>
        <v>6</v>
      </c>
    </row>
    <row r="703" spans="1:29" s="10" customFormat="1" ht="15" customHeight="1">
      <c r="A703" s="94" t="s">
        <v>184</v>
      </c>
      <c r="B703" s="95" t="s">
        <v>3679</v>
      </c>
      <c r="C703" s="95" t="s">
        <v>3785</v>
      </c>
      <c r="D703" s="95" t="s">
        <v>3750</v>
      </c>
      <c r="E703" s="94" t="s">
        <v>3786</v>
      </c>
      <c r="F703" s="94" t="s">
        <v>3787</v>
      </c>
      <c r="G703" s="94" t="s">
        <v>35</v>
      </c>
      <c r="H703" s="33" t="s">
        <v>3788</v>
      </c>
      <c r="I703" s="33" t="str">
        <f>VLOOKUP(H703,'合同高级查询数据-8月返'!A:A,1,FALSE)</f>
        <v>182315IDC00395</v>
      </c>
      <c r="J703" s="167" t="s">
        <v>37</v>
      </c>
      <c r="K703" s="94" t="s">
        <v>3789</v>
      </c>
      <c r="L703" s="99" t="s">
        <v>3790</v>
      </c>
      <c r="M703" s="107"/>
      <c r="N703" s="108" t="s">
        <v>3791</v>
      </c>
      <c r="O703" s="108" t="s">
        <v>1436</v>
      </c>
      <c r="P703" s="256">
        <v>9500</v>
      </c>
      <c r="Q703" s="115"/>
      <c r="R703" s="262">
        <f t="shared" si="39"/>
        <v>0</v>
      </c>
      <c r="S703" s="59">
        <v>202308</v>
      </c>
      <c r="T703" s="266" t="s">
        <v>3792</v>
      </c>
      <c r="U703" s="268"/>
      <c r="V703" s="269">
        <v>0</v>
      </c>
      <c r="W703" s="276"/>
      <c r="X703" s="108">
        <v>44927</v>
      </c>
      <c r="Y703" s="108">
        <v>45291</v>
      </c>
      <c r="Z703" s="276" t="s">
        <v>3793</v>
      </c>
      <c r="AA703" s="193"/>
      <c r="AB703" s="283">
        <v>0</v>
      </c>
      <c r="AC703" s="283">
        <f t="shared" si="40"/>
        <v>0</v>
      </c>
    </row>
    <row r="704" spans="1:29" s="10" customFormat="1" ht="15" customHeight="1">
      <c r="A704" s="94" t="s">
        <v>184</v>
      </c>
      <c r="B704" s="95" t="s">
        <v>3679</v>
      </c>
      <c r="C704" s="95" t="s">
        <v>3785</v>
      </c>
      <c r="D704" s="95" t="s">
        <v>3750</v>
      </c>
      <c r="E704" s="94" t="s">
        <v>3786</v>
      </c>
      <c r="F704" s="94" t="s">
        <v>3787</v>
      </c>
      <c r="G704" s="94" t="s">
        <v>35</v>
      </c>
      <c r="H704" s="33" t="s">
        <v>3788</v>
      </c>
      <c r="I704" s="33" t="str">
        <f>VLOOKUP(H704,'合同高级查询数据-8月返'!A:A,1,FALSE)</f>
        <v>182315IDC00395</v>
      </c>
      <c r="J704" s="167" t="s">
        <v>37</v>
      </c>
      <c r="K704" s="94" t="s">
        <v>3794</v>
      </c>
      <c r="L704" s="99" t="s">
        <v>3795</v>
      </c>
      <c r="M704" s="107"/>
      <c r="N704" s="108" t="s">
        <v>3791</v>
      </c>
      <c r="O704" s="108" t="s">
        <v>3796</v>
      </c>
      <c r="P704" s="256">
        <v>9500</v>
      </c>
      <c r="Q704" s="115">
        <v>0.26</v>
      </c>
      <c r="R704" s="262">
        <f t="shared" si="39"/>
        <v>2470</v>
      </c>
      <c r="S704" s="59">
        <v>202304</v>
      </c>
      <c r="T704" s="266" t="s">
        <v>3797</v>
      </c>
      <c r="U704" s="268"/>
      <c r="V704" s="269"/>
      <c r="W704" s="276"/>
      <c r="X704" s="108">
        <v>44927</v>
      </c>
      <c r="Y704" s="108">
        <v>45291</v>
      </c>
      <c r="Z704" s="276"/>
      <c r="AA704" s="193"/>
      <c r="AB704" s="283"/>
      <c r="AC704" s="283"/>
    </row>
    <row r="705" spans="1:29" s="10" customFormat="1" ht="15" customHeight="1">
      <c r="A705" s="94" t="s">
        <v>184</v>
      </c>
      <c r="B705" s="95" t="s">
        <v>3679</v>
      </c>
      <c r="C705" s="95" t="s">
        <v>3785</v>
      </c>
      <c r="D705" s="95" t="s">
        <v>3750</v>
      </c>
      <c r="E705" s="94" t="s">
        <v>3786</v>
      </c>
      <c r="F705" s="94" t="s">
        <v>3787</v>
      </c>
      <c r="G705" s="94" t="s">
        <v>35</v>
      </c>
      <c r="H705" s="33" t="s">
        <v>3788</v>
      </c>
      <c r="I705" s="33" t="str">
        <f>VLOOKUP(H705,'合同高级查询数据-8月返'!A:A,1,FALSE)</f>
        <v>182315IDC00395</v>
      </c>
      <c r="J705" s="167" t="s">
        <v>37</v>
      </c>
      <c r="K705" s="94" t="s">
        <v>3794</v>
      </c>
      <c r="L705" s="99" t="s">
        <v>3795</v>
      </c>
      <c r="M705" s="107"/>
      <c r="N705" s="108" t="s">
        <v>3791</v>
      </c>
      <c r="O705" s="108" t="s">
        <v>3796</v>
      </c>
      <c r="P705" s="256">
        <v>9500</v>
      </c>
      <c r="Q705" s="115">
        <v>0.19</v>
      </c>
      <c r="R705" s="262">
        <f t="shared" si="39"/>
        <v>1805</v>
      </c>
      <c r="S705" s="59">
        <v>202305</v>
      </c>
      <c r="T705" s="266" t="s">
        <v>3798</v>
      </c>
      <c r="U705" s="268"/>
      <c r="V705" s="269"/>
      <c r="W705" s="276"/>
      <c r="X705" s="108">
        <v>44927</v>
      </c>
      <c r="Y705" s="108">
        <v>45291</v>
      </c>
      <c r="Z705" s="276"/>
      <c r="AA705" s="193"/>
      <c r="AB705" s="283"/>
      <c r="AC705" s="283"/>
    </row>
    <row r="706" spans="1:29" s="10" customFormat="1" ht="15" customHeight="1">
      <c r="A706" s="94" t="s">
        <v>184</v>
      </c>
      <c r="B706" s="95" t="s">
        <v>3679</v>
      </c>
      <c r="C706" s="95" t="s">
        <v>3785</v>
      </c>
      <c r="D706" s="95" t="s">
        <v>3750</v>
      </c>
      <c r="E706" s="94" t="s">
        <v>3786</v>
      </c>
      <c r="F706" s="94" t="s">
        <v>3787</v>
      </c>
      <c r="G706" s="94" t="s">
        <v>35</v>
      </c>
      <c r="H706" s="33" t="s">
        <v>3788</v>
      </c>
      <c r="I706" s="33" t="str">
        <f>VLOOKUP(H706,'合同高级查询数据-8月返'!A:A,1,FALSE)</f>
        <v>182315IDC00395</v>
      </c>
      <c r="J706" s="167" t="s">
        <v>37</v>
      </c>
      <c r="K706" s="94" t="s">
        <v>3794</v>
      </c>
      <c r="L706" s="99" t="s">
        <v>3795</v>
      </c>
      <c r="M706" s="107"/>
      <c r="N706" s="108" t="s">
        <v>3791</v>
      </c>
      <c r="O706" s="108" t="s">
        <v>3796</v>
      </c>
      <c r="P706" s="256">
        <v>9500</v>
      </c>
      <c r="Q706" s="115">
        <v>0.27</v>
      </c>
      <c r="R706" s="262">
        <f t="shared" si="39"/>
        <v>2565</v>
      </c>
      <c r="S706" s="59">
        <v>202307</v>
      </c>
      <c r="T706" s="266" t="s">
        <v>3799</v>
      </c>
      <c r="U706" s="268"/>
      <c r="V706" s="269"/>
      <c r="W706" s="276"/>
      <c r="X706" s="108">
        <v>44927</v>
      </c>
      <c r="Y706" s="108">
        <v>45291</v>
      </c>
      <c r="Z706" s="276"/>
      <c r="AA706" s="193"/>
      <c r="AB706" s="283"/>
      <c r="AC706" s="283"/>
    </row>
    <row r="707" spans="1:29" s="10" customFormat="1" ht="15" customHeight="1">
      <c r="A707" s="94" t="s">
        <v>184</v>
      </c>
      <c r="B707" s="95" t="s">
        <v>3679</v>
      </c>
      <c r="C707" s="95" t="s">
        <v>3785</v>
      </c>
      <c r="D707" s="95" t="s">
        <v>3750</v>
      </c>
      <c r="E707" s="94" t="s">
        <v>3786</v>
      </c>
      <c r="F707" s="94" t="s">
        <v>3787</v>
      </c>
      <c r="G707" s="94" t="s">
        <v>35</v>
      </c>
      <c r="H707" s="33" t="s">
        <v>3788</v>
      </c>
      <c r="I707" s="33" t="str">
        <f>VLOOKUP(H707,'合同高级查询数据-8月返'!A:A,1,FALSE)</f>
        <v>182315IDC00395</v>
      </c>
      <c r="J707" s="167" t="s">
        <v>37</v>
      </c>
      <c r="K707" s="94" t="s">
        <v>3794</v>
      </c>
      <c r="L707" s="99" t="s">
        <v>3795</v>
      </c>
      <c r="M707" s="107"/>
      <c r="N707" s="108" t="s">
        <v>3791</v>
      </c>
      <c r="O707" s="108" t="s">
        <v>3796</v>
      </c>
      <c r="P707" s="256">
        <v>9500</v>
      </c>
      <c r="Q707" s="115">
        <v>3.8</v>
      </c>
      <c r="R707" s="262">
        <f t="shared" si="39"/>
        <v>36100</v>
      </c>
      <c r="S707" s="59">
        <v>202308</v>
      </c>
      <c r="T707" s="266" t="s">
        <v>3800</v>
      </c>
      <c r="U707" s="268"/>
      <c r="V707" s="269">
        <v>3.6908447739999999</v>
      </c>
      <c r="W707" s="276">
        <v>3.88</v>
      </c>
      <c r="X707" s="108">
        <v>44927</v>
      </c>
      <c r="Y707" s="108">
        <v>45291</v>
      </c>
      <c r="Z707" s="276" t="s">
        <v>3801</v>
      </c>
      <c r="AA707" s="193">
        <v>0.3</v>
      </c>
      <c r="AB707" s="283">
        <v>10</v>
      </c>
      <c r="AC707" s="283">
        <f t="shared" ref="AC707:AC712" si="41">AA707*AB707</f>
        <v>3</v>
      </c>
    </row>
    <row r="708" spans="1:29" s="10" customFormat="1" ht="15" customHeight="1">
      <c r="A708" s="94" t="s">
        <v>184</v>
      </c>
      <c r="B708" s="95" t="s">
        <v>3679</v>
      </c>
      <c r="C708" s="95" t="s">
        <v>3785</v>
      </c>
      <c r="D708" s="95" t="s">
        <v>3750</v>
      </c>
      <c r="E708" s="94" t="s">
        <v>3786</v>
      </c>
      <c r="F708" s="94" t="s">
        <v>3787</v>
      </c>
      <c r="G708" s="94" t="s">
        <v>35</v>
      </c>
      <c r="H708" s="33" t="s">
        <v>3788</v>
      </c>
      <c r="I708" s="33" t="str">
        <f>VLOOKUP(H708,'合同高级查询数据-8月返'!A:A,1,FALSE)</f>
        <v>182315IDC00395</v>
      </c>
      <c r="J708" s="167" t="s">
        <v>37</v>
      </c>
      <c r="K708" s="94" t="s">
        <v>3802</v>
      </c>
      <c r="L708" s="99" t="s">
        <v>3803</v>
      </c>
      <c r="M708" s="107"/>
      <c r="N708" s="108" t="s">
        <v>3804</v>
      </c>
      <c r="O708" s="110" t="s">
        <v>3805</v>
      </c>
      <c r="P708" s="256">
        <v>9500</v>
      </c>
      <c r="Q708" s="115"/>
      <c r="R708" s="262">
        <f t="shared" si="39"/>
        <v>0</v>
      </c>
      <c r="S708" s="59">
        <v>202308</v>
      </c>
      <c r="T708" s="266" t="s">
        <v>3806</v>
      </c>
      <c r="U708" s="268"/>
      <c r="V708" s="269">
        <v>0</v>
      </c>
      <c r="W708" s="276"/>
      <c r="X708" s="108">
        <v>44927</v>
      </c>
      <c r="Y708" s="108">
        <v>45291</v>
      </c>
      <c r="Z708" s="276" t="s">
        <v>3807</v>
      </c>
      <c r="AA708" s="193">
        <v>0</v>
      </c>
      <c r="AB708" s="283">
        <v>0</v>
      </c>
      <c r="AC708" s="283">
        <f t="shared" si="41"/>
        <v>0</v>
      </c>
    </row>
    <row r="709" spans="1:29" s="9" customFormat="1" ht="15" customHeight="1">
      <c r="A709" s="27" t="s">
        <v>184</v>
      </c>
      <c r="B709" s="92" t="s">
        <v>3808</v>
      </c>
      <c r="C709" s="27" t="s">
        <v>1770</v>
      </c>
      <c r="D709" s="25" t="s">
        <v>3750</v>
      </c>
      <c r="E709" s="27" t="s">
        <v>3809</v>
      </c>
      <c r="F709" s="27" t="s">
        <v>3810</v>
      </c>
      <c r="G709" s="27" t="s">
        <v>35</v>
      </c>
      <c r="H709" s="32" t="s">
        <v>3811</v>
      </c>
      <c r="I709" s="32" t="e">
        <f>VLOOKUP(H709,'合同高级查询数据-8月返'!A:A,1,FALSE)</f>
        <v>#N/A</v>
      </c>
      <c r="J709" s="169" t="s">
        <v>37</v>
      </c>
      <c r="K709" s="27" t="s">
        <v>3812</v>
      </c>
      <c r="L709" s="170" t="s">
        <v>3810</v>
      </c>
      <c r="M709" s="49" t="s">
        <v>3813</v>
      </c>
      <c r="N709" s="178">
        <v>43344</v>
      </c>
      <c r="O709" s="275">
        <v>0</v>
      </c>
      <c r="P709" s="260">
        <v>9500</v>
      </c>
      <c r="Q709" s="113"/>
      <c r="R709" s="265">
        <f t="shared" si="39"/>
        <v>0</v>
      </c>
      <c r="S709" s="55">
        <v>202308</v>
      </c>
      <c r="T709" s="185" t="s">
        <v>3814</v>
      </c>
      <c r="U709" s="25"/>
      <c r="V709" s="273">
        <v>0</v>
      </c>
      <c r="W709" s="291"/>
      <c r="X709" s="105"/>
      <c r="Y709" s="105"/>
      <c r="Z709" s="275" t="s">
        <v>3815</v>
      </c>
      <c r="AA709" s="196"/>
      <c r="AB709" s="282">
        <v>0</v>
      </c>
      <c r="AC709" s="282">
        <f t="shared" si="41"/>
        <v>0</v>
      </c>
    </row>
    <row r="710" spans="1:29" s="9" customFormat="1" ht="15" customHeight="1">
      <c r="A710" s="27" t="s">
        <v>184</v>
      </c>
      <c r="B710" s="92" t="s">
        <v>3808</v>
      </c>
      <c r="C710" s="27" t="s">
        <v>1770</v>
      </c>
      <c r="D710" s="25" t="s">
        <v>3750</v>
      </c>
      <c r="E710" s="27" t="s">
        <v>3809</v>
      </c>
      <c r="F710" s="27" t="s">
        <v>3810</v>
      </c>
      <c r="G710" s="27" t="s">
        <v>35</v>
      </c>
      <c r="H710" s="32" t="s">
        <v>3811</v>
      </c>
      <c r="I710" s="32" t="e">
        <f>VLOOKUP(H710,'合同高级查询数据-8月返'!A:A,1,FALSE)</f>
        <v>#N/A</v>
      </c>
      <c r="J710" s="169" t="s">
        <v>37</v>
      </c>
      <c r="K710" s="27" t="s">
        <v>3816</v>
      </c>
      <c r="L710" s="170" t="s">
        <v>3816</v>
      </c>
      <c r="M710" s="49" t="s">
        <v>3813</v>
      </c>
      <c r="N710" s="178" t="s">
        <v>3817</v>
      </c>
      <c r="O710" s="27" t="s">
        <v>3818</v>
      </c>
      <c r="P710" s="260">
        <v>9500</v>
      </c>
      <c r="Q710" s="113">
        <v>6.3</v>
      </c>
      <c r="R710" s="265">
        <f t="shared" si="39"/>
        <v>59850</v>
      </c>
      <c r="S710" s="55">
        <v>202308</v>
      </c>
      <c r="T710" s="185" t="s">
        <v>3819</v>
      </c>
      <c r="U710" s="25"/>
      <c r="V710" s="273">
        <v>6.2168555259999998</v>
      </c>
      <c r="W710" s="291"/>
      <c r="X710" s="105"/>
      <c r="Y710" s="105"/>
      <c r="Z710" s="275" t="s">
        <v>3820</v>
      </c>
      <c r="AA710" s="196">
        <v>0.3</v>
      </c>
      <c r="AB710" s="282">
        <v>20</v>
      </c>
      <c r="AC710" s="282">
        <f t="shared" si="41"/>
        <v>6</v>
      </c>
    </row>
    <row r="711" spans="1:29" s="9" customFormat="1" ht="15" customHeight="1">
      <c r="A711" s="25" t="s">
        <v>184</v>
      </c>
      <c r="B711" s="93" t="s">
        <v>3775</v>
      </c>
      <c r="C711" s="27" t="s">
        <v>1870</v>
      </c>
      <c r="D711" s="27" t="s">
        <v>3750</v>
      </c>
      <c r="E711" s="25" t="s">
        <v>3821</v>
      </c>
      <c r="F711" s="25" t="s">
        <v>3822</v>
      </c>
      <c r="G711" s="34" t="s">
        <v>35</v>
      </c>
      <c r="H711" s="92" t="s">
        <v>3823</v>
      </c>
      <c r="I711" s="32" t="e">
        <f>VLOOKUP(H711,'合同高级查询数据-8月返'!A:A,1,FALSE)</f>
        <v>#N/A</v>
      </c>
      <c r="J711" s="35" t="s">
        <v>37</v>
      </c>
      <c r="K711" s="25" t="s">
        <v>3824</v>
      </c>
      <c r="L711" s="34" t="s">
        <v>3822</v>
      </c>
      <c r="M711" s="49"/>
      <c r="N711" s="105" t="s">
        <v>3825</v>
      </c>
      <c r="O711" s="34" t="s">
        <v>3826</v>
      </c>
      <c r="P711" s="260">
        <v>9500</v>
      </c>
      <c r="Q711" s="113"/>
      <c r="R711" s="265">
        <f t="shared" si="39"/>
        <v>0</v>
      </c>
      <c r="S711" s="55">
        <v>202308</v>
      </c>
      <c r="T711" s="56" t="s">
        <v>3827</v>
      </c>
      <c r="U711" s="139"/>
      <c r="V711" s="273">
        <v>0</v>
      </c>
      <c r="W711" s="292"/>
      <c r="X711" s="105"/>
      <c r="Y711" s="105"/>
      <c r="Z711" s="275" t="s">
        <v>3828</v>
      </c>
      <c r="AA711" s="196">
        <v>0.3</v>
      </c>
      <c r="AB711" s="282">
        <v>0</v>
      </c>
      <c r="AC711" s="282">
        <f t="shared" si="41"/>
        <v>0</v>
      </c>
    </row>
    <row r="712" spans="1:29" s="9" customFormat="1" ht="15" customHeight="1">
      <c r="A712" s="25" t="s">
        <v>184</v>
      </c>
      <c r="B712" s="93" t="s">
        <v>3775</v>
      </c>
      <c r="C712" s="27" t="s">
        <v>1870</v>
      </c>
      <c r="D712" s="27" t="s">
        <v>3750</v>
      </c>
      <c r="E712" s="25" t="s">
        <v>3821</v>
      </c>
      <c r="F712" s="25" t="s">
        <v>3822</v>
      </c>
      <c r="G712" s="34" t="s">
        <v>35</v>
      </c>
      <c r="H712" s="92" t="s">
        <v>3823</v>
      </c>
      <c r="I712" s="32" t="e">
        <f>VLOOKUP(H712,'合同高级查询数据-8月返'!A:A,1,FALSE)</f>
        <v>#N/A</v>
      </c>
      <c r="J712" s="35" t="s">
        <v>37</v>
      </c>
      <c r="K712" s="25" t="s">
        <v>3829</v>
      </c>
      <c r="L712" s="34" t="s">
        <v>3830</v>
      </c>
      <c r="M712" s="49"/>
      <c r="N712" s="105" t="s">
        <v>3831</v>
      </c>
      <c r="O712" s="34" t="s">
        <v>3832</v>
      </c>
      <c r="P712" s="260">
        <v>9500</v>
      </c>
      <c r="Q712" s="113"/>
      <c r="R712" s="265">
        <f t="shared" si="39"/>
        <v>0</v>
      </c>
      <c r="S712" s="55">
        <v>202308</v>
      </c>
      <c r="T712" s="56" t="s">
        <v>3833</v>
      </c>
      <c r="U712" s="139"/>
      <c r="V712" s="273">
        <v>0</v>
      </c>
      <c r="W712" s="79"/>
      <c r="X712" s="105"/>
      <c r="Y712" s="105"/>
      <c r="Z712" s="275" t="s">
        <v>3834</v>
      </c>
      <c r="AA712" s="196"/>
      <c r="AB712" s="282">
        <v>0</v>
      </c>
      <c r="AC712" s="282">
        <f t="shared" si="41"/>
        <v>0</v>
      </c>
    </row>
    <row r="713" spans="1:29" s="10" customFormat="1" ht="15" customHeight="1">
      <c r="A713" s="28" t="s">
        <v>184</v>
      </c>
      <c r="B713" s="95" t="s">
        <v>3775</v>
      </c>
      <c r="C713" s="30" t="s">
        <v>1870</v>
      </c>
      <c r="D713" s="30" t="s">
        <v>3750</v>
      </c>
      <c r="E713" s="28" t="s">
        <v>3821</v>
      </c>
      <c r="F713" s="28" t="s">
        <v>3835</v>
      </c>
      <c r="G713" s="182" t="s">
        <v>35</v>
      </c>
      <c r="H713" s="38" t="s">
        <v>3836</v>
      </c>
      <c r="I713" s="33" t="e">
        <f>VLOOKUP(H713,'合同高级查询数据-8月返'!A:A,1,FALSE)</f>
        <v>#N/A</v>
      </c>
      <c r="J713" s="38" t="s">
        <v>37</v>
      </c>
      <c r="K713" s="28" t="s">
        <v>2274</v>
      </c>
      <c r="L713" s="182" t="s">
        <v>3837</v>
      </c>
      <c r="M713" s="107"/>
      <c r="N713" s="108">
        <v>44352</v>
      </c>
      <c r="O713" s="182" t="s">
        <v>447</v>
      </c>
      <c r="P713" s="256">
        <v>6800</v>
      </c>
      <c r="Q713" s="115">
        <v>0.28000000000000003</v>
      </c>
      <c r="R713" s="262">
        <f t="shared" si="39"/>
        <v>1904</v>
      </c>
      <c r="S713" s="59">
        <v>202307</v>
      </c>
      <c r="T713" s="60" t="s">
        <v>3838</v>
      </c>
      <c r="U713" s="293"/>
      <c r="V713" s="269"/>
      <c r="W713" s="155"/>
      <c r="X713" s="108">
        <v>44927</v>
      </c>
      <c r="Y713" s="108">
        <v>45291</v>
      </c>
      <c r="Z713" s="276"/>
      <c r="AA713" s="193"/>
      <c r="AB713" s="283"/>
      <c r="AC713" s="283"/>
    </row>
    <row r="714" spans="1:29" s="10" customFormat="1" ht="15" customHeight="1">
      <c r="A714" s="28" t="s">
        <v>184</v>
      </c>
      <c r="B714" s="95" t="s">
        <v>3775</v>
      </c>
      <c r="C714" s="30" t="s">
        <v>1870</v>
      </c>
      <c r="D714" s="30" t="s">
        <v>3750</v>
      </c>
      <c r="E714" s="28" t="s">
        <v>3821</v>
      </c>
      <c r="F714" s="28" t="s">
        <v>3835</v>
      </c>
      <c r="G714" s="182" t="s">
        <v>35</v>
      </c>
      <c r="H714" s="38" t="s">
        <v>3836</v>
      </c>
      <c r="I714" s="33" t="e">
        <f>VLOOKUP(H714,'合同高级查询数据-8月返'!A:A,1,FALSE)</f>
        <v>#N/A</v>
      </c>
      <c r="J714" s="38" t="s">
        <v>37</v>
      </c>
      <c r="K714" s="28" t="s">
        <v>2274</v>
      </c>
      <c r="L714" s="182" t="s">
        <v>3837</v>
      </c>
      <c r="M714" s="107"/>
      <c r="N714" s="108">
        <v>44352</v>
      </c>
      <c r="O714" s="182" t="s">
        <v>447</v>
      </c>
      <c r="P714" s="256">
        <v>6800</v>
      </c>
      <c r="Q714" s="115">
        <v>30.93</v>
      </c>
      <c r="R714" s="262">
        <f t="shared" si="39"/>
        <v>210324</v>
      </c>
      <c r="S714" s="59">
        <v>202308</v>
      </c>
      <c r="T714" s="60" t="s">
        <v>3839</v>
      </c>
      <c r="U714" s="293"/>
      <c r="V714" s="269">
        <v>30.930690765000001</v>
      </c>
      <c r="W714" s="294"/>
      <c r="X714" s="108">
        <v>44927</v>
      </c>
      <c r="Y714" s="108">
        <v>45291</v>
      </c>
      <c r="Z714" s="276" t="s">
        <v>3840</v>
      </c>
      <c r="AA714" s="193">
        <v>0.3</v>
      </c>
      <c r="AB714" s="283">
        <v>100</v>
      </c>
      <c r="AC714" s="283">
        <f t="shared" ref="AC714:AC723" si="42">AA714*AB714</f>
        <v>30</v>
      </c>
    </row>
    <row r="715" spans="1:29" s="9" customFormat="1" ht="15" customHeight="1">
      <c r="A715" s="25" t="s">
        <v>184</v>
      </c>
      <c r="B715" s="93" t="s">
        <v>3775</v>
      </c>
      <c r="C715" s="27" t="s">
        <v>1870</v>
      </c>
      <c r="D715" s="27" t="s">
        <v>3750</v>
      </c>
      <c r="E715" s="25" t="s">
        <v>3821</v>
      </c>
      <c r="F715" s="25" t="s">
        <v>3835</v>
      </c>
      <c r="G715" s="34" t="s">
        <v>35</v>
      </c>
      <c r="H715" s="35" t="s">
        <v>3841</v>
      </c>
      <c r="I715" s="32" t="e">
        <f>VLOOKUP(H715,'合同高级查询数据-8月返'!A:A,1,FALSE)</f>
        <v>#N/A</v>
      </c>
      <c r="J715" s="35" t="s">
        <v>37</v>
      </c>
      <c r="K715" s="25" t="s">
        <v>2274</v>
      </c>
      <c r="L715" s="34" t="s">
        <v>3842</v>
      </c>
      <c r="M715" s="49"/>
      <c r="N715" s="105" t="s">
        <v>3843</v>
      </c>
      <c r="O715" s="34" t="s">
        <v>3844</v>
      </c>
      <c r="P715" s="260">
        <v>0</v>
      </c>
      <c r="Q715" s="113"/>
      <c r="R715" s="265">
        <f t="shared" si="39"/>
        <v>0</v>
      </c>
      <c r="S715" s="55">
        <v>202308</v>
      </c>
      <c r="T715" s="56" t="s">
        <v>3845</v>
      </c>
      <c r="U715" s="139"/>
      <c r="V715" s="273">
        <v>0</v>
      </c>
      <c r="W715" s="79"/>
      <c r="X715" s="105"/>
      <c r="Y715" s="105"/>
      <c r="Z715" s="275" t="s">
        <v>3846</v>
      </c>
      <c r="AA715" s="196"/>
      <c r="AB715" s="282">
        <v>0</v>
      </c>
      <c r="AC715" s="282">
        <f t="shared" si="42"/>
        <v>0</v>
      </c>
    </row>
    <row r="716" spans="1:29" s="9" customFormat="1" ht="15" customHeight="1">
      <c r="A716" s="92" t="s">
        <v>184</v>
      </c>
      <c r="B716" s="93" t="s">
        <v>3679</v>
      </c>
      <c r="C716" s="93" t="s">
        <v>2351</v>
      </c>
      <c r="D716" s="93" t="s">
        <v>3750</v>
      </c>
      <c r="E716" s="92" t="s">
        <v>3847</v>
      </c>
      <c r="F716" s="92" t="s">
        <v>3848</v>
      </c>
      <c r="G716" s="92" t="s">
        <v>35</v>
      </c>
      <c r="H716" s="32" t="s">
        <v>3849</v>
      </c>
      <c r="I716" s="32" t="e">
        <f>VLOOKUP(H716,'合同高级查询数据-8月返'!A:A,1,FALSE)</f>
        <v>#N/A</v>
      </c>
      <c r="J716" s="169" t="s">
        <v>37</v>
      </c>
      <c r="K716" s="92" t="s">
        <v>3850</v>
      </c>
      <c r="L716" s="98" t="s">
        <v>3851</v>
      </c>
      <c r="M716" s="49"/>
      <c r="N716" s="105"/>
      <c r="O716" s="105" t="s">
        <v>1436</v>
      </c>
      <c r="P716" s="260">
        <v>9500</v>
      </c>
      <c r="Q716" s="113"/>
      <c r="R716" s="265">
        <f t="shared" si="39"/>
        <v>0</v>
      </c>
      <c r="S716" s="55">
        <v>202308</v>
      </c>
      <c r="T716" s="264" t="s">
        <v>3852</v>
      </c>
      <c r="U716" s="272"/>
      <c r="V716" s="273">
        <v>0</v>
      </c>
      <c r="W716" s="275"/>
      <c r="X716" s="105"/>
      <c r="Y716" s="105"/>
      <c r="Z716" s="275" t="s">
        <v>3853</v>
      </c>
      <c r="AA716" s="196"/>
      <c r="AB716" s="282">
        <v>0</v>
      </c>
      <c r="AC716" s="282">
        <f t="shared" si="42"/>
        <v>0</v>
      </c>
    </row>
    <row r="717" spans="1:29" s="9" customFormat="1" ht="15" customHeight="1">
      <c r="A717" s="92" t="s">
        <v>184</v>
      </c>
      <c r="B717" s="93" t="s">
        <v>3679</v>
      </c>
      <c r="C717" s="93" t="s">
        <v>2351</v>
      </c>
      <c r="D717" s="93" t="s">
        <v>3750</v>
      </c>
      <c r="E717" s="92" t="s">
        <v>3847</v>
      </c>
      <c r="F717" s="92" t="s">
        <v>3848</v>
      </c>
      <c r="G717" s="92" t="s">
        <v>35</v>
      </c>
      <c r="H717" s="32" t="s">
        <v>3849</v>
      </c>
      <c r="I717" s="32" t="e">
        <f>VLOOKUP(H717,'合同高级查询数据-8月返'!A:A,1,FALSE)</f>
        <v>#N/A</v>
      </c>
      <c r="J717" s="169" t="s">
        <v>37</v>
      </c>
      <c r="K717" s="92" t="s">
        <v>3854</v>
      </c>
      <c r="L717" s="98" t="s">
        <v>3855</v>
      </c>
      <c r="M717" s="49"/>
      <c r="N717" s="105" t="s">
        <v>3856</v>
      </c>
      <c r="O717" s="105" t="s">
        <v>3857</v>
      </c>
      <c r="P717" s="260">
        <v>9500</v>
      </c>
      <c r="Q717" s="113">
        <v>18.8</v>
      </c>
      <c r="R717" s="265">
        <f t="shared" si="39"/>
        <v>178600</v>
      </c>
      <c r="S717" s="55">
        <v>202308</v>
      </c>
      <c r="T717" s="264" t="s">
        <v>3858</v>
      </c>
      <c r="U717" s="272"/>
      <c r="V717" s="273">
        <v>18.789442061999999</v>
      </c>
      <c r="W717" s="275"/>
      <c r="X717" s="105"/>
      <c r="Y717" s="105"/>
      <c r="Z717" s="275" t="s">
        <v>3859</v>
      </c>
      <c r="AA717" s="196">
        <v>0.3</v>
      </c>
      <c r="AB717" s="282">
        <v>60</v>
      </c>
      <c r="AC717" s="282">
        <f t="shared" si="42"/>
        <v>18</v>
      </c>
    </row>
    <row r="718" spans="1:29" s="10" customFormat="1" ht="15" customHeight="1">
      <c r="A718" s="94" t="s">
        <v>184</v>
      </c>
      <c r="B718" s="95" t="s">
        <v>3679</v>
      </c>
      <c r="C718" s="95" t="s">
        <v>2351</v>
      </c>
      <c r="D718" s="95" t="s">
        <v>3750</v>
      </c>
      <c r="E718" s="94" t="s">
        <v>3847</v>
      </c>
      <c r="F718" s="94" t="s">
        <v>3860</v>
      </c>
      <c r="G718" s="94" t="s">
        <v>35</v>
      </c>
      <c r="H718" s="33" t="s">
        <v>3861</v>
      </c>
      <c r="I718" s="33" t="e">
        <f>VLOOKUP(H718,'合同高级查询数据-8月返'!A:A,1,FALSE)</f>
        <v>#N/A</v>
      </c>
      <c r="J718" s="95" t="s">
        <v>157</v>
      </c>
      <c r="K718" s="94" t="s">
        <v>3862</v>
      </c>
      <c r="L718" s="99" t="s">
        <v>3863</v>
      </c>
      <c r="M718" s="107"/>
      <c r="N718" s="108">
        <v>43770</v>
      </c>
      <c r="O718" s="108" t="s">
        <v>447</v>
      </c>
      <c r="P718" s="256">
        <v>20000</v>
      </c>
      <c r="Q718" s="115">
        <v>31.9</v>
      </c>
      <c r="R718" s="262">
        <f t="shared" si="39"/>
        <v>638000</v>
      </c>
      <c r="S718" s="59">
        <v>202308</v>
      </c>
      <c r="T718" s="266" t="s">
        <v>3864</v>
      </c>
      <c r="U718" s="268"/>
      <c r="V718" s="269">
        <v>31.815008773999999</v>
      </c>
      <c r="W718" s="276"/>
      <c r="X718" s="108">
        <v>44866</v>
      </c>
      <c r="Y718" s="108">
        <v>45230</v>
      </c>
      <c r="Z718" s="276" t="s">
        <v>3865</v>
      </c>
      <c r="AA718" s="193">
        <v>0.3</v>
      </c>
      <c r="AB718" s="283">
        <v>100</v>
      </c>
      <c r="AC718" s="283">
        <f t="shared" si="42"/>
        <v>30</v>
      </c>
    </row>
    <row r="719" spans="1:29" s="9" customFormat="1" ht="15" customHeight="1">
      <c r="A719" s="27" t="s">
        <v>184</v>
      </c>
      <c r="B719" s="92" t="s">
        <v>3808</v>
      </c>
      <c r="C719" s="27" t="s">
        <v>3866</v>
      </c>
      <c r="D719" s="25" t="s">
        <v>3750</v>
      </c>
      <c r="E719" s="27" t="s">
        <v>3867</v>
      </c>
      <c r="F719" s="27" t="s">
        <v>3868</v>
      </c>
      <c r="G719" s="27" t="s">
        <v>35</v>
      </c>
      <c r="H719" s="32" t="s">
        <v>3869</v>
      </c>
      <c r="I719" s="32" t="e">
        <f>VLOOKUP(H719,'合同高级查询数据-8月返'!A:A,1,FALSE)</f>
        <v>#N/A</v>
      </c>
      <c r="J719" s="169" t="s">
        <v>37</v>
      </c>
      <c r="K719" s="27" t="s">
        <v>3870</v>
      </c>
      <c r="L719" s="170" t="s">
        <v>3868</v>
      </c>
      <c r="M719" s="49" t="s">
        <v>3871</v>
      </c>
      <c r="N719" s="102" t="s">
        <v>3872</v>
      </c>
      <c r="O719" s="102" t="s">
        <v>3873</v>
      </c>
      <c r="P719" s="260">
        <v>15042</v>
      </c>
      <c r="Q719" s="113">
        <v>10</v>
      </c>
      <c r="R719" s="265">
        <f t="shared" si="39"/>
        <v>150420</v>
      </c>
      <c r="S719" s="55">
        <v>202308</v>
      </c>
      <c r="T719" s="185" t="s">
        <v>3874</v>
      </c>
      <c r="U719" s="275"/>
      <c r="V719" s="273">
        <v>9.4015534970000001</v>
      </c>
      <c r="W719" s="291"/>
      <c r="X719" s="105"/>
      <c r="Y719" s="105"/>
      <c r="Z719" s="275" t="s">
        <v>3875</v>
      </c>
      <c r="AA719" s="196">
        <v>0.5</v>
      </c>
      <c r="AB719" s="282">
        <v>20</v>
      </c>
      <c r="AC719" s="282">
        <f t="shared" si="42"/>
        <v>10</v>
      </c>
    </row>
    <row r="720" spans="1:29" s="9" customFormat="1" ht="15" customHeight="1">
      <c r="A720" s="92" t="s">
        <v>136</v>
      </c>
      <c r="B720" s="93" t="s">
        <v>3679</v>
      </c>
      <c r="C720" s="93" t="s">
        <v>2351</v>
      </c>
      <c r="D720" s="93" t="s">
        <v>3750</v>
      </c>
      <c r="E720" s="92" t="s">
        <v>3876</v>
      </c>
      <c r="F720" s="92" t="s">
        <v>3877</v>
      </c>
      <c r="G720" s="92" t="s">
        <v>35</v>
      </c>
      <c r="H720" s="32" t="s">
        <v>3878</v>
      </c>
      <c r="I720" s="32" t="e">
        <f>VLOOKUP(H720,'合同高级查询数据-8月返'!A:A,1,FALSE)</f>
        <v>#N/A</v>
      </c>
      <c r="J720" s="169" t="s">
        <v>37</v>
      </c>
      <c r="K720" s="92" t="s">
        <v>3879</v>
      </c>
      <c r="L720" s="98" t="s">
        <v>3877</v>
      </c>
      <c r="M720" s="49"/>
      <c r="N720" s="105" t="s">
        <v>3880</v>
      </c>
      <c r="O720" s="105" t="s">
        <v>1748</v>
      </c>
      <c r="P720" s="260">
        <v>9000</v>
      </c>
      <c r="Q720" s="113"/>
      <c r="R720" s="265">
        <f t="shared" si="39"/>
        <v>0</v>
      </c>
      <c r="S720" s="55">
        <v>202308</v>
      </c>
      <c r="T720" s="264" t="s">
        <v>3881</v>
      </c>
      <c r="U720" s="272"/>
      <c r="V720" s="273">
        <v>0</v>
      </c>
      <c r="W720" s="295"/>
      <c r="X720" s="105"/>
      <c r="Y720" s="105"/>
      <c r="Z720" s="275" t="s">
        <v>3882</v>
      </c>
      <c r="AA720" s="196"/>
      <c r="AB720" s="282">
        <v>0</v>
      </c>
      <c r="AC720" s="282">
        <f t="shared" si="42"/>
        <v>0</v>
      </c>
    </row>
    <row r="721" spans="1:29" s="9" customFormat="1" ht="15" customHeight="1">
      <c r="A721" s="92" t="s">
        <v>136</v>
      </c>
      <c r="B721" s="93" t="s">
        <v>3679</v>
      </c>
      <c r="C721" s="93" t="s">
        <v>2351</v>
      </c>
      <c r="D721" s="93" t="s">
        <v>3750</v>
      </c>
      <c r="E721" s="92" t="s">
        <v>3876</v>
      </c>
      <c r="F721" s="92" t="s">
        <v>3877</v>
      </c>
      <c r="G721" s="92" t="s">
        <v>35</v>
      </c>
      <c r="H721" s="32" t="s">
        <v>3878</v>
      </c>
      <c r="I721" s="32" t="e">
        <f>VLOOKUP(H721,'合同高级查询数据-8月返'!A:A,1,FALSE)</f>
        <v>#N/A</v>
      </c>
      <c r="J721" s="169" t="s">
        <v>37</v>
      </c>
      <c r="K721" s="92" t="s">
        <v>3883</v>
      </c>
      <c r="L721" s="98" t="s">
        <v>3884</v>
      </c>
      <c r="M721" s="49"/>
      <c r="N721" s="105">
        <v>43497</v>
      </c>
      <c r="O721" s="105" t="s">
        <v>1748</v>
      </c>
      <c r="P721" s="260">
        <v>9000</v>
      </c>
      <c r="Q721" s="113"/>
      <c r="R721" s="265">
        <f t="shared" si="39"/>
        <v>0</v>
      </c>
      <c r="S721" s="55">
        <v>202308</v>
      </c>
      <c r="T721" s="264" t="s">
        <v>3885</v>
      </c>
      <c r="U721" s="272"/>
      <c r="V721" s="273">
        <v>0</v>
      </c>
      <c r="W721" s="296"/>
      <c r="X721" s="105"/>
      <c r="Y721" s="105"/>
      <c r="Z721" s="275" t="s">
        <v>3886</v>
      </c>
      <c r="AA721" s="196"/>
      <c r="AB721" s="282">
        <v>0</v>
      </c>
      <c r="AC721" s="282">
        <f t="shared" si="42"/>
        <v>0</v>
      </c>
    </row>
    <row r="722" spans="1:29" s="10" customFormat="1" ht="15" customHeight="1">
      <c r="A722" s="94" t="s">
        <v>136</v>
      </c>
      <c r="B722" s="95" t="s">
        <v>3679</v>
      </c>
      <c r="C722" s="95" t="s">
        <v>2515</v>
      </c>
      <c r="D722" s="95" t="s">
        <v>3750</v>
      </c>
      <c r="E722" s="94" t="s">
        <v>3887</v>
      </c>
      <c r="F722" s="94" t="s">
        <v>3888</v>
      </c>
      <c r="G722" s="94" t="s">
        <v>35</v>
      </c>
      <c r="H722" s="33" t="s">
        <v>3889</v>
      </c>
      <c r="I722" s="33" t="e">
        <f>VLOOKUP(H722,'合同高级查询数据-8月返'!A:A,1,FALSE)</f>
        <v>#N/A</v>
      </c>
      <c r="J722" s="167" t="s">
        <v>37</v>
      </c>
      <c r="K722" s="94" t="s">
        <v>3890</v>
      </c>
      <c r="L722" s="99" t="s">
        <v>3891</v>
      </c>
      <c r="M722" s="107"/>
      <c r="N722" s="108" t="s">
        <v>3892</v>
      </c>
      <c r="O722" s="108" t="s">
        <v>3893</v>
      </c>
      <c r="P722" s="256">
        <v>9000</v>
      </c>
      <c r="Q722" s="115">
        <v>12</v>
      </c>
      <c r="R722" s="262">
        <f t="shared" si="39"/>
        <v>108000</v>
      </c>
      <c r="S722" s="59">
        <v>202308</v>
      </c>
      <c r="T722" s="266" t="s">
        <v>3894</v>
      </c>
      <c r="U722" s="268"/>
      <c r="V722" s="269">
        <v>11.713688659000001</v>
      </c>
      <c r="W722" s="297">
        <v>12</v>
      </c>
      <c r="X722" s="108">
        <v>44896</v>
      </c>
      <c r="Y722" s="108">
        <v>45260</v>
      </c>
      <c r="Z722" s="276" t="s">
        <v>3895</v>
      </c>
      <c r="AA722" s="193">
        <v>0.3</v>
      </c>
      <c r="AB722" s="283">
        <v>40</v>
      </c>
      <c r="AC722" s="283">
        <f t="shared" si="42"/>
        <v>12</v>
      </c>
    </row>
    <row r="723" spans="1:29" s="10" customFormat="1" ht="15" customHeight="1">
      <c r="A723" s="94" t="s">
        <v>136</v>
      </c>
      <c r="B723" s="95" t="s">
        <v>3679</v>
      </c>
      <c r="C723" s="95" t="s">
        <v>2515</v>
      </c>
      <c r="D723" s="95" t="s">
        <v>3750</v>
      </c>
      <c r="E723" s="94" t="s">
        <v>3887</v>
      </c>
      <c r="F723" s="94" t="s">
        <v>3888</v>
      </c>
      <c r="G723" s="94" t="s">
        <v>35</v>
      </c>
      <c r="H723" s="33" t="s">
        <v>3889</v>
      </c>
      <c r="I723" s="33" t="e">
        <f>VLOOKUP(H723,'合同高级查询数据-8月返'!A:A,1,FALSE)</f>
        <v>#N/A</v>
      </c>
      <c r="J723" s="167" t="s">
        <v>37</v>
      </c>
      <c r="K723" s="94" t="s">
        <v>3896</v>
      </c>
      <c r="L723" s="99" t="s">
        <v>3897</v>
      </c>
      <c r="M723" s="107"/>
      <c r="N723" s="108" t="s">
        <v>3898</v>
      </c>
      <c r="O723" s="108" t="s">
        <v>146</v>
      </c>
      <c r="P723" s="256">
        <v>9000</v>
      </c>
      <c r="Q723" s="115"/>
      <c r="R723" s="262">
        <f t="shared" si="39"/>
        <v>0</v>
      </c>
      <c r="S723" s="59">
        <v>202308</v>
      </c>
      <c r="T723" s="266" t="s">
        <v>3899</v>
      </c>
      <c r="U723" s="268"/>
      <c r="V723" s="269">
        <v>0</v>
      </c>
      <c r="W723" s="276"/>
      <c r="X723" s="108">
        <v>44896</v>
      </c>
      <c r="Y723" s="108">
        <v>45260</v>
      </c>
      <c r="Z723" s="276" t="s">
        <v>3896</v>
      </c>
      <c r="AA723" s="193">
        <v>0.3</v>
      </c>
      <c r="AB723" s="283">
        <v>0</v>
      </c>
      <c r="AC723" s="283">
        <f t="shared" si="42"/>
        <v>0</v>
      </c>
    </row>
    <row r="724" spans="1:29" s="9" customFormat="1" ht="15" customHeight="1">
      <c r="A724" s="92" t="s">
        <v>136</v>
      </c>
      <c r="B724" s="93" t="s">
        <v>3679</v>
      </c>
      <c r="C724" s="93" t="s">
        <v>2515</v>
      </c>
      <c r="D724" s="93" t="s">
        <v>3750</v>
      </c>
      <c r="E724" s="92" t="s">
        <v>3887</v>
      </c>
      <c r="F724" s="92" t="s">
        <v>3888</v>
      </c>
      <c r="G724" s="92" t="s">
        <v>35</v>
      </c>
      <c r="H724" s="32" t="s">
        <v>3900</v>
      </c>
      <c r="I724" s="32" t="e">
        <f>VLOOKUP(H724,'合同高级查询数据-8月返'!A:A,1,FALSE)</f>
        <v>#N/A</v>
      </c>
      <c r="J724" s="169" t="s">
        <v>37</v>
      </c>
      <c r="K724" s="92" t="s">
        <v>3901</v>
      </c>
      <c r="L724" s="98" t="s">
        <v>3902</v>
      </c>
      <c r="M724" s="49" t="s">
        <v>3903</v>
      </c>
      <c r="N724" s="105">
        <v>45139</v>
      </c>
      <c r="O724" s="105" t="s">
        <v>146</v>
      </c>
      <c r="P724" s="260">
        <v>0</v>
      </c>
      <c r="Q724" s="113"/>
      <c r="R724" s="265">
        <f t="shared" si="39"/>
        <v>0</v>
      </c>
      <c r="S724" s="55">
        <v>202308</v>
      </c>
      <c r="T724" s="264" t="s">
        <v>3904</v>
      </c>
      <c r="U724" s="272"/>
      <c r="V724" s="273">
        <v>0</v>
      </c>
      <c r="W724" s="275"/>
      <c r="X724" s="105"/>
      <c r="Y724" s="105"/>
      <c r="Z724" s="275" t="s">
        <v>3901</v>
      </c>
      <c r="AA724" s="196">
        <v>0</v>
      </c>
      <c r="AB724" s="282">
        <v>20</v>
      </c>
      <c r="AC724" s="282">
        <v>0</v>
      </c>
    </row>
    <row r="725" spans="1:29" s="10" customFormat="1" ht="15" customHeight="1">
      <c r="A725" s="28" t="s">
        <v>136</v>
      </c>
      <c r="B725" s="95" t="s">
        <v>3775</v>
      </c>
      <c r="C725" s="30" t="s">
        <v>1727</v>
      </c>
      <c r="D725" s="30" t="s">
        <v>3750</v>
      </c>
      <c r="E725" s="28" t="s">
        <v>3905</v>
      </c>
      <c r="F725" s="28" t="s">
        <v>3906</v>
      </c>
      <c r="G725" s="182" t="s">
        <v>35</v>
      </c>
      <c r="H725" s="38" t="s">
        <v>3907</v>
      </c>
      <c r="I725" s="33" t="e">
        <f>VLOOKUP(H725,'合同高级查询数据-8月返'!A:A,1,FALSE)</f>
        <v>#N/A</v>
      </c>
      <c r="J725" s="38" t="s">
        <v>37</v>
      </c>
      <c r="K725" s="28" t="s">
        <v>3908</v>
      </c>
      <c r="L725" s="182" t="s">
        <v>3909</v>
      </c>
      <c r="M725" s="107"/>
      <c r="N725" s="108" t="s">
        <v>3910</v>
      </c>
      <c r="O725" s="182" t="s">
        <v>870</v>
      </c>
      <c r="P725" s="256">
        <v>9000</v>
      </c>
      <c r="Q725" s="115">
        <v>12.4</v>
      </c>
      <c r="R725" s="262">
        <f t="shared" si="39"/>
        <v>111600</v>
      </c>
      <c r="S725" s="59">
        <v>202308</v>
      </c>
      <c r="T725" s="111" t="s">
        <v>3911</v>
      </c>
      <c r="U725" s="293"/>
      <c r="V725" s="269">
        <v>12.10500042</v>
      </c>
      <c r="W725" s="28">
        <v>12.6</v>
      </c>
      <c r="X725" s="108">
        <v>44531</v>
      </c>
      <c r="Y725" s="108">
        <v>45260</v>
      </c>
      <c r="Z725" s="276" t="s">
        <v>3912</v>
      </c>
      <c r="AA725" s="193">
        <v>0.3</v>
      </c>
      <c r="AB725" s="283">
        <v>40</v>
      </c>
      <c r="AC725" s="283">
        <f>AA725*AB725</f>
        <v>12</v>
      </c>
    </row>
    <row r="726" spans="1:29" s="9" customFormat="1" ht="15" customHeight="1">
      <c r="A726" s="284" t="s">
        <v>136</v>
      </c>
      <c r="B726" s="284" t="s">
        <v>3775</v>
      </c>
      <c r="C726" s="285" t="s">
        <v>1727</v>
      </c>
      <c r="D726" s="285" t="s">
        <v>3750</v>
      </c>
      <c r="E726" s="284" t="s">
        <v>3905</v>
      </c>
      <c r="F726" s="284" t="s">
        <v>3906</v>
      </c>
      <c r="G726" s="34" t="s">
        <v>35</v>
      </c>
      <c r="H726" s="35" t="s">
        <v>3913</v>
      </c>
      <c r="I726" s="32" t="e">
        <f>VLOOKUP(H726,'合同高级查询数据-8月返'!A:A,1,FALSE)</f>
        <v>#N/A</v>
      </c>
      <c r="J726" s="35" t="s">
        <v>37</v>
      </c>
      <c r="K726" s="284" t="s">
        <v>2031</v>
      </c>
      <c r="L726" s="34" t="s">
        <v>3914</v>
      </c>
      <c r="M726" s="49" t="s">
        <v>3915</v>
      </c>
      <c r="N726" s="50" t="s">
        <v>3916</v>
      </c>
      <c r="O726" s="34" t="s">
        <v>3917</v>
      </c>
      <c r="P726" s="287">
        <v>9000</v>
      </c>
      <c r="Q726" s="288">
        <v>118.3</v>
      </c>
      <c r="R726" s="289">
        <f t="shared" si="39"/>
        <v>1064700</v>
      </c>
      <c r="S726" s="55">
        <v>202308</v>
      </c>
      <c r="T726" s="62" t="s">
        <v>3918</v>
      </c>
      <c r="U726" s="139"/>
      <c r="V726" s="273">
        <v>116.96765535900001</v>
      </c>
      <c r="W726" s="284">
        <v>119.6</v>
      </c>
      <c r="X726" s="105"/>
      <c r="Y726" s="105"/>
      <c r="Z726" s="299" t="s">
        <v>3919</v>
      </c>
      <c r="AA726" s="300">
        <v>0.3</v>
      </c>
      <c r="AB726" s="301">
        <v>200</v>
      </c>
      <c r="AC726" s="301">
        <f>AA726*AB726</f>
        <v>60</v>
      </c>
    </row>
    <row r="727" spans="1:29" s="9" customFormat="1" ht="15" customHeight="1">
      <c r="A727" s="284" t="s">
        <v>136</v>
      </c>
      <c r="B727" s="284" t="s">
        <v>3775</v>
      </c>
      <c r="C727" s="285" t="s">
        <v>1727</v>
      </c>
      <c r="D727" s="285" t="s">
        <v>3750</v>
      </c>
      <c r="E727" s="284" t="s">
        <v>3905</v>
      </c>
      <c r="F727" s="284" t="s">
        <v>3906</v>
      </c>
      <c r="G727" s="34" t="s">
        <v>35</v>
      </c>
      <c r="H727" s="35" t="s">
        <v>3913</v>
      </c>
      <c r="I727" s="32" t="e">
        <f>VLOOKUP(H727,'合同高级查询数据-8月返'!A:A,1,FALSE)</f>
        <v>#N/A</v>
      </c>
      <c r="J727" s="35" t="s">
        <v>37</v>
      </c>
      <c r="K727" s="284" t="s">
        <v>2031</v>
      </c>
      <c r="L727" s="34" t="s">
        <v>3920</v>
      </c>
      <c r="M727" s="49" t="s">
        <v>3921</v>
      </c>
      <c r="N727" s="50" t="s">
        <v>2698</v>
      </c>
      <c r="O727" s="34" t="s">
        <v>3922</v>
      </c>
      <c r="P727" s="287">
        <v>0</v>
      </c>
      <c r="Q727" s="288"/>
      <c r="R727" s="143">
        <f t="shared" si="39"/>
        <v>0</v>
      </c>
      <c r="S727" s="55">
        <v>202308</v>
      </c>
      <c r="T727" s="62" t="s">
        <v>3923</v>
      </c>
      <c r="U727" s="139"/>
      <c r="V727" s="273">
        <v>0</v>
      </c>
      <c r="W727" s="284"/>
      <c r="X727" s="105"/>
      <c r="Y727" s="105"/>
      <c r="Z727" s="196" t="s">
        <v>3924</v>
      </c>
      <c r="AA727" s="300">
        <v>0.3</v>
      </c>
      <c r="AB727" s="301">
        <v>20</v>
      </c>
      <c r="AC727" s="301">
        <f>AA727*AB727</f>
        <v>6</v>
      </c>
    </row>
    <row r="728" spans="1:29" s="9" customFormat="1" ht="15" customHeight="1">
      <c r="A728" s="284" t="s">
        <v>136</v>
      </c>
      <c r="B728" s="284" t="s">
        <v>3775</v>
      </c>
      <c r="C728" s="285" t="s">
        <v>1727</v>
      </c>
      <c r="D728" s="285" t="s">
        <v>3750</v>
      </c>
      <c r="E728" s="284" t="s">
        <v>3925</v>
      </c>
      <c r="F728" s="284" t="s">
        <v>3926</v>
      </c>
      <c r="G728" s="34" t="s">
        <v>35</v>
      </c>
      <c r="H728" s="35" t="s">
        <v>3927</v>
      </c>
      <c r="I728" s="32" t="e">
        <f>VLOOKUP(H728,'合同高级查询数据-8月返'!A:A,1,FALSE)</f>
        <v>#N/A</v>
      </c>
      <c r="J728" s="35" t="s">
        <v>37</v>
      </c>
      <c r="K728" s="284" t="s">
        <v>3928</v>
      </c>
      <c r="L728" s="34" t="s">
        <v>3926</v>
      </c>
      <c r="M728" s="49" t="s">
        <v>3929</v>
      </c>
      <c r="N728" s="50" t="s">
        <v>3930</v>
      </c>
      <c r="O728" s="34" t="s">
        <v>3931</v>
      </c>
      <c r="P728" s="287">
        <v>9000</v>
      </c>
      <c r="Q728" s="288">
        <v>36</v>
      </c>
      <c r="R728" s="143">
        <f t="shared" si="39"/>
        <v>324000</v>
      </c>
      <c r="S728" s="55">
        <v>202308</v>
      </c>
      <c r="T728" s="62" t="s">
        <v>3932</v>
      </c>
      <c r="U728" s="139"/>
      <c r="V728" s="273">
        <v>30.416635293999999</v>
      </c>
      <c r="W728" s="284"/>
      <c r="X728" s="105"/>
      <c r="Y728" s="105"/>
      <c r="Z728" s="196" t="s">
        <v>3933</v>
      </c>
      <c r="AA728" s="300">
        <v>0.3</v>
      </c>
      <c r="AB728" s="301">
        <v>120</v>
      </c>
      <c r="AC728" s="301">
        <f>AA728*AB728</f>
        <v>36</v>
      </c>
    </row>
    <row r="729" spans="1:29" s="9" customFormat="1" ht="15" customHeight="1">
      <c r="A729" s="25" t="s">
        <v>136</v>
      </c>
      <c r="B729" s="93" t="s">
        <v>3775</v>
      </c>
      <c r="C729" s="27" t="s">
        <v>1870</v>
      </c>
      <c r="D729" s="27" t="s">
        <v>3750</v>
      </c>
      <c r="E729" s="25" t="s">
        <v>3934</v>
      </c>
      <c r="F729" s="25" t="s">
        <v>3935</v>
      </c>
      <c r="G729" s="34" t="s">
        <v>35</v>
      </c>
      <c r="H729" s="32" t="s">
        <v>3936</v>
      </c>
      <c r="I729" s="32" t="e">
        <f>VLOOKUP(H729,'合同高级查询数据-8月返'!A:A,1,FALSE)</f>
        <v>#N/A</v>
      </c>
      <c r="J729" s="35" t="s">
        <v>325</v>
      </c>
      <c r="K729" s="25" t="s">
        <v>3937</v>
      </c>
      <c r="L729" s="34" t="s">
        <v>3938</v>
      </c>
      <c r="M729" s="49"/>
      <c r="N729" s="105" t="s">
        <v>3939</v>
      </c>
      <c r="O729" s="125" t="s">
        <v>3940</v>
      </c>
      <c r="P729" s="260">
        <v>9000</v>
      </c>
      <c r="Q729" s="113">
        <v>0</v>
      </c>
      <c r="R729" s="265">
        <f t="shared" si="39"/>
        <v>0</v>
      </c>
      <c r="S729" s="55">
        <v>202308</v>
      </c>
      <c r="T729" s="56" t="s">
        <v>3941</v>
      </c>
      <c r="U729" s="139"/>
      <c r="V729" s="273">
        <v>0</v>
      </c>
      <c r="W729" s="79"/>
      <c r="X729" s="105"/>
      <c r="Y729" s="105"/>
      <c r="Z729" s="196" t="s">
        <v>3942</v>
      </c>
      <c r="AA729" s="196">
        <v>0.3</v>
      </c>
      <c r="AB729" s="282">
        <v>0</v>
      </c>
      <c r="AC729" s="282">
        <f t="shared" ref="AC729:AC743" si="43">AA729*AB729</f>
        <v>0</v>
      </c>
    </row>
    <row r="730" spans="1:29" s="9" customFormat="1" ht="15" customHeight="1">
      <c r="A730" s="25" t="s">
        <v>136</v>
      </c>
      <c r="B730" s="93" t="s">
        <v>3775</v>
      </c>
      <c r="C730" s="27" t="s">
        <v>1870</v>
      </c>
      <c r="D730" s="27" t="s">
        <v>3750</v>
      </c>
      <c r="E730" s="25" t="s">
        <v>3934</v>
      </c>
      <c r="F730" s="25" t="s">
        <v>3935</v>
      </c>
      <c r="G730" s="34" t="s">
        <v>35</v>
      </c>
      <c r="H730" s="32" t="s">
        <v>3936</v>
      </c>
      <c r="I730" s="32" t="e">
        <f>VLOOKUP(H730,'合同高级查询数据-8月返'!A:A,1,FALSE)</f>
        <v>#N/A</v>
      </c>
      <c r="J730" s="35" t="s">
        <v>37</v>
      </c>
      <c r="K730" s="25" t="s">
        <v>3943</v>
      </c>
      <c r="L730" s="34" t="s">
        <v>3944</v>
      </c>
      <c r="M730" s="49"/>
      <c r="N730" s="105" t="s">
        <v>3945</v>
      </c>
      <c r="O730" s="34" t="s">
        <v>3946</v>
      </c>
      <c r="P730" s="260">
        <v>9000</v>
      </c>
      <c r="Q730" s="113"/>
      <c r="R730" s="265">
        <f t="shared" si="39"/>
        <v>0</v>
      </c>
      <c r="S730" s="55">
        <v>202308</v>
      </c>
      <c r="T730" s="56" t="s">
        <v>3947</v>
      </c>
      <c r="U730" s="139"/>
      <c r="V730" s="273">
        <v>0</v>
      </c>
      <c r="W730" s="291"/>
      <c r="X730" s="105"/>
      <c r="Y730" s="105"/>
      <c r="Z730" s="196" t="s">
        <v>3948</v>
      </c>
      <c r="AA730" s="196">
        <v>0.3</v>
      </c>
      <c r="AB730" s="282">
        <v>0</v>
      </c>
      <c r="AC730" s="282">
        <f t="shared" si="43"/>
        <v>0</v>
      </c>
    </row>
    <row r="731" spans="1:29" s="9" customFormat="1" ht="15" customHeight="1">
      <c r="A731" s="25" t="s">
        <v>136</v>
      </c>
      <c r="B731" s="93" t="s">
        <v>3775</v>
      </c>
      <c r="C731" s="27" t="s">
        <v>1870</v>
      </c>
      <c r="D731" s="27" t="s">
        <v>3750</v>
      </c>
      <c r="E731" s="25" t="s">
        <v>3934</v>
      </c>
      <c r="F731" s="25" t="s">
        <v>3935</v>
      </c>
      <c r="G731" s="34" t="s">
        <v>35</v>
      </c>
      <c r="H731" s="32" t="s">
        <v>3936</v>
      </c>
      <c r="I731" s="32" t="e">
        <f>VLOOKUP(H731,'合同高级查询数据-8月返'!A:A,1,FALSE)</f>
        <v>#N/A</v>
      </c>
      <c r="J731" s="35" t="s">
        <v>37</v>
      </c>
      <c r="K731" s="25" t="s">
        <v>3949</v>
      </c>
      <c r="L731" s="34" t="s">
        <v>3950</v>
      </c>
      <c r="M731" s="49"/>
      <c r="N731" s="105" t="s">
        <v>3951</v>
      </c>
      <c r="O731" s="34" t="s">
        <v>1329</v>
      </c>
      <c r="P731" s="260">
        <v>9000</v>
      </c>
      <c r="Q731" s="113"/>
      <c r="R731" s="265">
        <f t="shared" si="39"/>
        <v>0</v>
      </c>
      <c r="S731" s="55">
        <v>202308</v>
      </c>
      <c r="T731" s="56" t="s">
        <v>3952</v>
      </c>
      <c r="U731" s="139"/>
      <c r="V731" s="273">
        <v>0</v>
      </c>
      <c r="W731" s="291"/>
      <c r="X731" s="105"/>
      <c r="Y731" s="105"/>
      <c r="Z731" s="196" t="s">
        <v>3953</v>
      </c>
      <c r="AA731" s="196"/>
      <c r="AB731" s="282"/>
      <c r="AC731" s="282">
        <f t="shared" si="43"/>
        <v>0</v>
      </c>
    </row>
    <row r="732" spans="1:29" s="9" customFormat="1" ht="15" customHeight="1">
      <c r="A732" s="25" t="s">
        <v>136</v>
      </c>
      <c r="B732" s="93" t="s">
        <v>3775</v>
      </c>
      <c r="C732" s="27" t="s">
        <v>1870</v>
      </c>
      <c r="D732" s="27" t="s">
        <v>3750</v>
      </c>
      <c r="E732" s="25" t="s">
        <v>3934</v>
      </c>
      <c r="F732" s="25" t="s">
        <v>3935</v>
      </c>
      <c r="G732" s="34" t="s">
        <v>35</v>
      </c>
      <c r="H732" s="32" t="s">
        <v>3936</v>
      </c>
      <c r="I732" s="32" t="e">
        <f>VLOOKUP(H732,'合同高级查询数据-8月返'!A:A,1,FALSE)</f>
        <v>#N/A</v>
      </c>
      <c r="J732" s="35" t="s">
        <v>37</v>
      </c>
      <c r="K732" s="25" t="s">
        <v>3954</v>
      </c>
      <c r="L732" s="34" t="s">
        <v>3955</v>
      </c>
      <c r="M732" s="49"/>
      <c r="N732" s="105" t="s">
        <v>3956</v>
      </c>
      <c r="O732" s="34" t="s">
        <v>1748</v>
      </c>
      <c r="P732" s="260">
        <v>9000</v>
      </c>
      <c r="Q732" s="113"/>
      <c r="R732" s="265">
        <f t="shared" si="39"/>
        <v>0</v>
      </c>
      <c r="S732" s="55">
        <v>202308</v>
      </c>
      <c r="T732" s="56" t="s">
        <v>3957</v>
      </c>
      <c r="U732" s="139"/>
      <c r="V732" s="273">
        <v>0</v>
      </c>
      <c r="W732" s="291"/>
      <c r="X732" s="105"/>
      <c r="Y732" s="105"/>
      <c r="Z732" s="196" t="s">
        <v>3958</v>
      </c>
      <c r="AA732" s="196"/>
      <c r="AB732" s="282">
        <v>0</v>
      </c>
      <c r="AC732" s="282">
        <f t="shared" si="43"/>
        <v>0</v>
      </c>
    </row>
    <row r="733" spans="1:29" s="9" customFormat="1" ht="15" customHeight="1">
      <c r="A733" s="25" t="s">
        <v>136</v>
      </c>
      <c r="B733" s="93" t="s">
        <v>3775</v>
      </c>
      <c r="C733" s="27" t="s">
        <v>1870</v>
      </c>
      <c r="D733" s="27" t="s">
        <v>3750</v>
      </c>
      <c r="E733" s="25" t="s">
        <v>3934</v>
      </c>
      <c r="F733" s="25" t="s">
        <v>3935</v>
      </c>
      <c r="G733" s="34" t="s">
        <v>35</v>
      </c>
      <c r="H733" s="32" t="s">
        <v>3936</v>
      </c>
      <c r="I733" s="32" t="e">
        <f>VLOOKUP(H733,'合同高级查询数据-8月返'!A:A,1,FALSE)</f>
        <v>#N/A</v>
      </c>
      <c r="J733" s="35" t="s">
        <v>37</v>
      </c>
      <c r="K733" s="25" t="s">
        <v>3959</v>
      </c>
      <c r="L733" s="34" t="s">
        <v>3960</v>
      </c>
      <c r="M733" s="49"/>
      <c r="N733" s="105" t="s">
        <v>3961</v>
      </c>
      <c r="O733" s="34" t="s">
        <v>1329</v>
      </c>
      <c r="P733" s="260">
        <v>9000</v>
      </c>
      <c r="Q733" s="113"/>
      <c r="R733" s="265">
        <f t="shared" si="39"/>
        <v>0</v>
      </c>
      <c r="S733" s="55">
        <v>202308</v>
      </c>
      <c r="T733" s="56" t="s">
        <v>3962</v>
      </c>
      <c r="U733" s="139"/>
      <c r="V733" s="273">
        <v>0</v>
      </c>
      <c r="W733" s="291"/>
      <c r="X733" s="105"/>
      <c r="Y733" s="105"/>
      <c r="Z733" s="196" t="s">
        <v>3963</v>
      </c>
      <c r="AA733" s="196"/>
      <c r="AB733" s="282">
        <v>0</v>
      </c>
      <c r="AC733" s="282">
        <f t="shared" si="43"/>
        <v>0</v>
      </c>
    </row>
    <row r="734" spans="1:29" s="9" customFormat="1" ht="15" customHeight="1">
      <c r="A734" s="25" t="s">
        <v>136</v>
      </c>
      <c r="B734" s="93" t="s">
        <v>3775</v>
      </c>
      <c r="C734" s="27" t="s">
        <v>1870</v>
      </c>
      <c r="D734" s="27" t="s">
        <v>3750</v>
      </c>
      <c r="E734" s="25" t="s">
        <v>3934</v>
      </c>
      <c r="F734" s="25" t="s">
        <v>3935</v>
      </c>
      <c r="G734" s="34" t="s">
        <v>35</v>
      </c>
      <c r="H734" s="32" t="s">
        <v>3936</v>
      </c>
      <c r="I734" s="32" t="e">
        <f>VLOOKUP(H734,'合同高级查询数据-8月返'!A:A,1,FALSE)</f>
        <v>#N/A</v>
      </c>
      <c r="J734" s="35" t="s">
        <v>37</v>
      </c>
      <c r="K734" s="25" t="s">
        <v>3964</v>
      </c>
      <c r="L734" s="34" t="s">
        <v>3965</v>
      </c>
      <c r="M734" s="49"/>
      <c r="N734" s="105" t="s">
        <v>3966</v>
      </c>
      <c r="O734" s="34" t="s">
        <v>1748</v>
      </c>
      <c r="P734" s="260">
        <v>9000</v>
      </c>
      <c r="Q734" s="113"/>
      <c r="R734" s="265">
        <f t="shared" si="39"/>
        <v>0</v>
      </c>
      <c r="S734" s="55">
        <v>202308</v>
      </c>
      <c r="T734" s="56" t="s">
        <v>3967</v>
      </c>
      <c r="U734" s="139"/>
      <c r="V734" s="273">
        <v>0</v>
      </c>
      <c r="W734" s="291"/>
      <c r="X734" s="105"/>
      <c r="Y734" s="105"/>
      <c r="Z734" s="196" t="s">
        <v>3968</v>
      </c>
      <c r="AA734" s="196"/>
      <c r="AB734" s="282">
        <v>0</v>
      </c>
      <c r="AC734" s="282">
        <f t="shared" si="43"/>
        <v>0</v>
      </c>
    </row>
    <row r="735" spans="1:29" s="9" customFormat="1" ht="15" customHeight="1">
      <c r="A735" s="25" t="s">
        <v>136</v>
      </c>
      <c r="B735" s="93" t="s">
        <v>3775</v>
      </c>
      <c r="C735" s="27" t="s">
        <v>1870</v>
      </c>
      <c r="D735" s="27" t="s">
        <v>3750</v>
      </c>
      <c r="E735" s="25" t="s">
        <v>3934</v>
      </c>
      <c r="F735" s="25" t="s">
        <v>3935</v>
      </c>
      <c r="G735" s="34" t="s">
        <v>35</v>
      </c>
      <c r="H735" s="32" t="s">
        <v>3936</v>
      </c>
      <c r="I735" s="32" t="e">
        <f>VLOOKUP(H735,'合同高级查询数据-8月返'!A:A,1,FALSE)</f>
        <v>#N/A</v>
      </c>
      <c r="J735" s="35" t="s">
        <v>37</v>
      </c>
      <c r="K735" s="25" t="s">
        <v>3969</v>
      </c>
      <c r="L735" s="34" t="s">
        <v>3970</v>
      </c>
      <c r="M735" s="49"/>
      <c r="N735" s="105" t="s">
        <v>3971</v>
      </c>
      <c r="O735" s="34" t="s">
        <v>3972</v>
      </c>
      <c r="P735" s="260">
        <v>9000</v>
      </c>
      <c r="Q735" s="113">
        <v>30</v>
      </c>
      <c r="R735" s="265">
        <f t="shared" si="39"/>
        <v>270000</v>
      </c>
      <c r="S735" s="55">
        <v>202308</v>
      </c>
      <c r="T735" s="56" t="s">
        <v>3973</v>
      </c>
      <c r="U735" s="139"/>
      <c r="V735" s="273">
        <v>29.840647468</v>
      </c>
      <c r="W735" s="79"/>
      <c r="X735" s="105"/>
      <c r="Y735" s="105"/>
      <c r="Z735" s="196" t="s">
        <v>3974</v>
      </c>
      <c r="AA735" s="196">
        <v>0.3</v>
      </c>
      <c r="AB735" s="282">
        <v>100</v>
      </c>
      <c r="AC735" s="282">
        <f t="shared" si="43"/>
        <v>30</v>
      </c>
    </row>
    <row r="736" spans="1:29" s="9" customFormat="1" ht="15" customHeight="1">
      <c r="A736" s="25" t="s">
        <v>136</v>
      </c>
      <c r="B736" s="93" t="s">
        <v>3775</v>
      </c>
      <c r="C736" s="27" t="s">
        <v>1870</v>
      </c>
      <c r="D736" s="27" t="s">
        <v>3750</v>
      </c>
      <c r="E736" s="25" t="s">
        <v>3934</v>
      </c>
      <c r="F736" s="25" t="s">
        <v>3975</v>
      </c>
      <c r="G736" s="34" t="s">
        <v>35</v>
      </c>
      <c r="H736" s="32" t="s">
        <v>3936</v>
      </c>
      <c r="I736" s="32" t="e">
        <f>VLOOKUP(H736,'合同高级查询数据-8月返'!A:A,1,FALSE)</f>
        <v>#N/A</v>
      </c>
      <c r="J736" s="35" t="s">
        <v>37</v>
      </c>
      <c r="K736" s="25" t="s">
        <v>3976</v>
      </c>
      <c r="L736" s="34" t="s">
        <v>3977</v>
      </c>
      <c r="M736" s="49"/>
      <c r="N736" s="105" t="s">
        <v>3978</v>
      </c>
      <c r="O736" s="34" t="s">
        <v>3979</v>
      </c>
      <c r="P736" s="260">
        <v>9000</v>
      </c>
      <c r="Q736" s="113"/>
      <c r="R736" s="265">
        <f t="shared" si="39"/>
        <v>0</v>
      </c>
      <c r="S736" s="55">
        <v>202308</v>
      </c>
      <c r="T736" s="56" t="s">
        <v>3980</v>
      </c>
      <c r="U736" s="139"/>
      <c r="V736" s="273">
        <v>0</v>
      </c>
      <c r="W736" s="291"/>
      <c r="X736" s="105"/>
      <c r="Y736" s="105"/>
      <c r="Z736" s="196" t="s">
        <v>3981</v>
      </c>
      <c r="AA736" s="196">
        <v>0.3</v>
      </c>
      <c r="AB736" s="282"/>
      <c r="AC736" s="282">
        <f t="shared" si="43"/>
        <v>0</v>
      </c>
    </row>
    <row r="737" spans="1:29" s="9" customFormat="1" ht="15" customHeight="1">
      <c r="A737" s="25" t="s">
        <v>136</v>
      </c>
      <c r="B737" s="93" t="s">
        <v>3775</v>
      </c>
      <c r="C737" s="27" t="s">
        <v>1870</v>
      </c>
      <c r="D737" s="27" t="s">
        <v>3750</v>
      </c>
      <c r="E737" s="25" t="s">
        <v>3934</v>
      </c>
      <c r="F737" s="25" t="s">
        <v>3982</v>
      </c>
      <c r="G737" s="34" t="s">
        <v>35</v>
      </c>
      <c r="H737" s="32" t="s">
        <v>3936</v>
      </c>
      <c r="I737" s="32" t="e">
        <f>VLOOKUP(H737,'合同高级查询数据-8月返'!A:A,1,FALSE)</f>
        <v>#N/A</v>
      </c>
      <c r="J737" s="35" t="s">
        <v>37</v>
      </c>
      <c r="K737" s="25" t="s">
        <v>3983</v>
      </c>
      <c r="L737" s="34" t="s">
        <v>3984</v>
      </c>
      <c r="M737" s="49"/>
      <c r="N737" s="105" t="s">
        <v>3985</v>
      </c>
      <c r="O737" s="34" t="s">
        <v>1329</v>
      </c>
      <c r="P737" s="260">
        <v>9000</v>
      </c>
      <c r="Q737" s="113"/>
      <c r="R737" s="265">
        <f t="shared" si="39"/>
        <v>0</v>
      </c>
      <c r="S737" s="55">
        <v>202308</v>
      </c>
      <c r="T737" s="56" t="s">
        <v>3986</v>
      </c>
      <c r="U737" s="139"/>
      <c r="V737" s="273">
        <v>0</v>
      </c>
      <c r="W737" s="291"/>
      <c r="X737" s="105"/>
      <c r="Y737" s="105"/>
      <c r="Z737" s="196" t="s">
        <v>3987</v>
      </c>
      <c r="AA737" s="196">
        <v>0.3</v>
      </c>
      <c r="AB737" s="282"/>
      <c r="AC737" s="282">
        <f t="shared" si="43"/>
        <v>0</v>
      </c>
    </row>
    <row r="738" spans="1:29" s="10" customFormat="1" ht="15" customHeight="1">
      <c r="A738" s="30" t="s">
        <v>136</v>
      </c>
      <c r="B738" s="94" t="s">
        <v>3808</v>
      </c>
      <c r="C738" s="30" t="s">
        <v>3866</v>
      </c>
      <c r="D738" s="28" t="s">
        <v>3750</v>
      </c>
      <c r="E738" s="30" t="s">
        <v>3988</v>
      </c>
      <c r="F738" s="30" t="s">
        <v>3989</v>
      </c>
      <c r="G738" s="30" t="s">
        <v>35</v>
      </c>
      <c r="H738" s="33" t="s">
        <v>3990</v>
      </c>
      <c r="I738" s="33" t="e">
        <f>VLOOKUP(H738,'合同高级查询数据-8月返'!A:A,1,FALSE)</f>
        <v>#N/A</v>
      </c>
      <c r="J738" s="167" t="s">
        <v>37</v>
      </c>
      <c r="K738" s="30" t="s">
        <v>3870</v>
      </c>
      <c r="L738" s="168" t="s">
        <v>3991</v>
      </c>
      <c r="M738" s="107" t="s">
        <v>3992</v>
      </c>
      <c r="N738" s="108">
        <v>43466</v>
      </c>
      <c r="O738" s="182" t="s">
        <v>426</v>
      </c>
      <c r="P738" s="256">
        <v>11500</v>
      </c>
      <c r="Q738" s="115">
        <v>1</v>
      </c>
      <c r="R738" s="262">
        <f t="shared" si="39"/>
        <v>11500</v>
      </c>
      <c r="S738" s="59">
        <v>202308</v>
      </c>
      <c r="T738" s="184" t="s">
        <v>3993</v>
      </c>
      <c r="U738" s="276"/>
      <c r="V738" s="269">
        <v>0.67479640200000002</v>
      </c>
      <c r="W738" s="270"/>
      <c r="X738" s="108">
        <v>44927</v>
      </c>
      <c r="Y738" s="108">
        <v>45291</v>
      </c>
      <c r="Z738" s="193" t="s">
        <v>3994</v>
      </c>
      <c r="AA738" s="193">
        <v>0.1</v>
      </c>
      <c r="AB738" s="283">
        <v>10</v>
      </c>
      <c r="AC738" s="283">
        <f t="shared" si="43"/>
        <v>1</v>
      </c>
    </row>
    <row r="739" spans="1:29" s="9" customFormat="1" ht="15" customHeight="1">
      <c r="A739" s="92" t="s">
        <v>136</v>
      </c>
      <c r="B739" s="93" t="s">
        <v>3679</v>
      </c>
      <c r="C739" s="93" t="s">
        <v>2351</v>
      </c>
      <c r="D739" s="93" t="s">
        <v>3750</v>
      </c>
      <c r="E739" s="92" t="s">
        <v>3995</v>
      </c>
      <c r="F739" s="92" t="s">
        <v>3996</v>
      </c>
      <c r="G739" s="92" t="s">
        <v>35</v>
      </c>
      <c r="H739" s="32" t="s">
        <v>3997</v>
      </c>
      <c r="I739" s="32" t="e">
        <f>VLOOKUP(H739,'合同高级查询数据-8月返'!A:A,1,FALSE)</f>
        <v>#N/A</v>
      </c>
      <c r="J739" s="169" t="s">
        <v>37</v>
      </c>
      <c r="K739" s="92" t="s">
        <v>3998</v>
      </c>
      <c r="L739" s="98" t="s">
        <v>3996</v>
      </c>
      <c r="M739" s="49"/>
      <c r="N739" s="105" t="s">
        <v>3999</v>
      </c>
      <c r="O739" s="105" t="s">
        <v>4000</v>
      </c>
      <c r="P739" s="260">
        <v>9000</v>
      </c>
      <c r="Q739" s="113"/>
      <c r="R739" s="265">
        <f t="shared" si="39"/>
        <v>0</v>
      </c>
      <c r="S739" s="55">
        <v>202308</v>
      </c>
      <c r="T739" s="264" t="s">
        <v>4001</v>
      </c>
      <c r="U739" s="272"/>
      <c r="V739" s="273">
        <v>0</v>
      </c>
      <c r="W739" s="275"/>
      <c r="X739" s="105"/>
      <c r="Y739" s="105"/>
      <c r="Z739" s="196" t="s">
        <v>4002</v>
      </c>
      <c r="AA739" s="196">
        <v>0.3</v>
      </c>
      <c r="AB739" s="282">
        <v>220</v>
      </c>
      <c r="AC739" s="282">
        <f t="shared" si="43"/>
        <v>66</v>
      </c>
    </row>
    <row r="740" spans="1:29" s="9" customFormat="1" ht="15" customHeight="1">
      <c r="A740" s="92" t="s">
        <v>136</v>
      </c>
      <c r="B740" s="93" t="s">
        <v>3679</v>
      </c>
      <c r="C740" s="93" t="s">
        <v>2351</v>
      </c>
      <c r="D740" s="93" t="s">
        <v>3750</v>
      </c>
      <c r="E740" s="92" t="s">
        <v>3995</v>
      </c>
      <c r="F740" s="92" t="s">
        <v>3996</v>
      </c>
      <c r="G740" s="92" t="s">
        <v>35</v>
      </c>
      <c r="H740" s="32" t="s">
        <v>3997</v>
      </c>
      <c r="I740" s="32" t="e">
        <f>VLOOKUP(H740,'合同高级查询数据-8月返'!A:A,1,FALSE)</f>
        <v>#N/A</v>
      </c>
      <c r="J740" s="169" t="s">
        <v>37</v>
      </c>
      <c r="K740" s="92" t="s">
        <v>4003</v>
      </c>
      <c r="L740" s="98" t="s">
        <v>4004</v>
      </c>
      <c r="M740" s="49"/>
      <c r="N740" s="105" t="s">
        <v>4005</v>
      </c>
      <c r="O740" s="105" t="s">
        <v>4006</v>
      </c>
      <c r="P740" s="260">
        <v>9000</v>
      </c>
      <c r="Q740" s="113"/>
      <c r="R740" s="265">
        <f t="shared" si="39"/>
        <v>0</v>
      </c>
      <c r="S740" s="55">
        <v>202308</v>
      </c>
      <c r="T740" s="264" t="s">
        <v>4007</v>
      </c>
      <c r="U740" s="272"/>
      <c r="V740" s="273">
        <v>0</v>
      </c>
      <c r="W740" s="275"/>
      <c r="X740" s="105"/>
      <c r="Y740" s="105"/>
      <c r="Z740" s="196" t="s">
        <v>4008</v>
      </c>
      <c r="AA740" s="196">
        <v>0.3</v>
      </c>
      <c r="AB740" s="282">
        <v>0</v>
      </c>
      <c r="AC740" s="282">
        <f t="shared" si="43"/>
        <v>0</v>
      </c>
    </row>
    <row r="741" spans="1:29" s="9" customFormat="1" ht="15" customHeight="1">
      <c r="A741" s="92" t="s">
        <v>136</v>
      </c>
      <c r="B741" s="93" t="s">
        <v>3679</v>
      </c>
      <c r="C741" s="93" t="s">
        <v>2351</v>
      </c>
      <c r="D741" s="93" t="s">
        <v>3750</v>
      </c>
      <c r="E741" s="92" t="s">
        <v>3995</v>
      </c>
      <c r="F741" s="92" t="s">
        <v>3996</v>
      </c>
      <c r="G741" s="92" t="s">
        <v>35</v>
      </c>
      <c r="H741" s="32" t="s">
        <v>4009</v>
      </c>
      <c r="I741" s="32" t="e">
        <f>VLOOKUP(H741,'合同高级查询数据-8月返'!A:A,1,FALSE)</f>
        <v>#N/A</v>
      </c>
      <c r="J741" s="169" t="s">
        <v>37</v>
      </c>
      <c r="K741" s="92" t="s">
        <v>3998</v>
      </c>
      <c r="L741" s="98" t="s">
        <v>4010</v>
      </c>
      <c r="M741" s="49"/>
      <c r="N741" s="50" t="s">
        <v>4011</v>
      </c>
      <c r="O741" s="50" t="s">
        <v>4012</v>
      </c>
      <c r="P741" s="260">
        <v>0</v>
      </c>
      <c r="Q741" s="113"/>
      <c r="R741" s="265">
        <f t="shared" si="39"/>
        <v>0</v>
      </c>
      <c r="S741" s="55">
        <v>202308</v>
      </c>
      <c r="T741" s="264" t="s">
        <v>4013</v>
      </c>
      <c r="U741" s="272"/>
      <c r="V741" s="273">
        <v>0</v>
      </c>
      <c r="W741" s="275"/>
      <c r="X741" s="105"/>
      <c r="Y741" s="105"/>
      <c r="Z741" s="196" t="s">
        <v>4014</v>
      </c>
      <c r="AA741" s="196">
        <v>0.3</v>
      </c>
      <c r="AB741" s="282">
        <v>0</v>
      </c>
      <c r="AC741" s="282">
        <f t="shared" si="43"/>
        <v>0</v>
      </c>
    </row>
    <row r="742" spans="1:29" s="9" customFormat="1" ht="15" customHeight="1">
      <c r="A742" s="92" t="s">
        <v>136</v>
      </c>
      <c r="B742" s="93" t="s">
        <v>3679</v>
      </c>
      <c r="C742" s="93" t="s">
        <v>2351</v>
      </c>
      <c r="D742" s="93" t="s">
        <v>3750</v>
      </c>
      <c r="E742" s="92" t="s">
        <v>3995</v>
      </c>
      <c r="F742" s="92" t="s">
        <v>3996</v>
      </c>
      <c r="G742" s="92" t="s">
        <v>35</v>
      </c>
      <c r="H742" s="32" t="s">
        <v>4015</v>
      </c>
      <c r="I742" s="32" t="e">
        <f>VLOOKUP(H742,'合同高级查询数据-8月返'!A:A,1,FALSE)</f>
        <v>#N/A</v>
      </c>
      <c r="J742" s="169" t="s">
        <v>37</v>
      </c>
      <c r="K742" s="92" t="s">
        <v>3998</v>
      </c>
      <c r="L742" s="98" t="s">
        <v>4016</v>
      </c>
      <c r="M742" s="49" t="s">
        <v>4017</v>
      </c>
      <c r="N742" s="105">
        <v>45047</v>
      </c>
      <c r="O742" s="105" t="s">
        <v>319</v>
      </c>
      <c r="P742" s="260">
        <v>9000</v>
      </c>
      <c r="Q742" s="113">
        <v>158.80000000000001</v>
      </c>
      <c r="R742" s="265">
        <f t="shared" si="39"/>
        <v>1429200</v>
      </c>
      <c r="S742" s="55">
        <v>202308</v>
      </c>
      <c r="T742" s="264" t="s">
        <v>4018</v>
      </c>
      <c r="U742" s="272"/>
      <c r="V742" s="273">
        <v>158.77955305200001</v>
      </c>
      <c r="W742" s="275"/>
      <c r="X742" s="105"/>
      <c r="Y742" s="105"/>
      <c r="Z742" s="196" t="s">
        <v>4019</v>
      </c>
      <c r="AA742" s="196">
        <v>0.3</v>
      </c>
      <c r="AB742" s="282">
        <v>200</v>
      </c>
      <c r="AC742" s="282">
        <f t="shared" si="43"/>
        <v>60</v>
      </c>
    </row>
    <row r="743" spans="1:29" s="9" customFormat="1" ht="15" customHeight="1">
      <c r="A743" s="92" t="s">
        <v>136</v>
      </c>
      <c r="B743" s="93" t="s">
        <v>3679</v>
      </c>
      <c r="C743" s="93" t="s">
        <v>2351</v>
      </c>
      <c r="D743" s="93" t="s">
        <v>3750</v>
      </c>
      <c r="E743" s="92" t="s">
        <v>4020</v>
      </c>
      <c r="F743" s="92" t="s">
        <v>4021</v>
      </c>
      <c r="G743" s="92" t="s">
        <v>35</v>
      </c>
      <c r="H743" s="32" t="s">
        <v>4022</v>
      </c>
      <c r="I743" s="32" t="e">
        <f>VLOOKUP(H743,'合同高级查询数据-8月返'!A:A,1,FALSE)</f>
        <v>#N/A</v>
      </c>
      <c r="J743" s="169" t="s">
        <v>37</v>
      </c>
      <c r="K743" s="92" t="s">
        <v>4023</v>
      </c>
      <c r="L743" s="98" t="s">
        <v>4024</v>
      </c>
      <c r="M743" s="49"/>
      <c r="N743" s="105" t="s">
        <v>4025</v>
      </c>
      <c r="O743" s="105" t="s">
        <v>4026</v>
      </c>
      <c r="P743" s="260">
        <v>9000</v>
      </c>
      <c r="Q743" s="113">
        <v>24.1</v>
      </c>
      <c r="R743" s="265">
        <f t="shared" si="39"/>
        <v>216900</v>
      </c>
      <c r="S743" s="55">
        <v>202308</v>
      </c>
      <c r="T743" s="264" t="s">
        <v>4027</v>
      </c>
      <c r="U743" s="272"/>
      <c r="V743" s="273">
        <v>24.032075271</v>
      </c>
      <c r="W743" s="275"/>
      <c r="X743" s="105"/>
      <c r="Y743" s="105"/>
      <c r="Z743" s="196" t="s">
        <v>4028</v>
      </c>
      <c r="AA743" s="196">
        <v>0.3</v>
      </c>
      <c r="AB743" s="282">
        <v>80</v>
      </c>
      <c r="AC743" s="282">
        <f t="shared" si="43"/>
        <v>24</v>
      </c>
    </row>
    <row r="744" spans="1:29" s="10" customFormat="1" ht="15" customHeight="1">
      <c r="A744" s="94" t="s">
        <v>136</v>
      </c>
      <c r="B744" s="94" t="s">
        <v>3808</v>
      </c>
      <c r="C744" s="94" t="s">
        <v>1770</v>
      </c>
      <c r="D744" s="95" t="s">
        <v>3750</v>
      </c>
      <c r="E744" s="94" t="s">
        <v>4029</v>
      </c>
      <c r="F744" s="94" t="s">
        <v>4030</v>
      </c>
      <c r="G744" s="94" t="s">
        <v>35</v>
      </c>
      <c r="H744" s="33" t="s">
        <v>4031</v>
      </c>
      <c r="I744" s="33" t="e">
        <f>VLOOKUP(H744,'合同高级查询数据-8月返'!A:A,1,FALSE)</f>
        <v>#N/A</v>
      </c>
      <c r="J744" s="167" t="s">
        <v>37</v>
      </c>
      <c r="K744" s="94" t="s">
        <v>1772</v>
      </c>
      <c r="L744" s="99" t="s">
        <v>4030</v>
      </c>
      <c r="M744" s="107" t="s">
        <v>4032</v>
      </c>
      <c r="N744" s="108" t="s">
        <v>4033</v>
      </c>
      <c r="O744" s="94" t="s">
        <v>4034</v>
      </c>
      <c r="P744" s="256">
        <v>9000</v>
      </c>
      <c r="Q744" s="115">
        <v>0.15</v>
      </c>
      <c r="R744" s="262">
        <f t="shared" si="39"/>
        <v>1350</v>
      </c>
      <c r="S744" s="59">
        <v>202305</v>
      </c>
      <c r="T744" s="290" t="s">
        <v>4035</v>
      </c>
      <c r="U744" s="276"/>
      <c r="V744" s="270"/>
      <c r="W744" s="276"/>
      <c r="X744" s="108"/>
      <c r="Y744" s="108"/>
      <c r="Z744" s="193"/>
      <c r="AA744" s="276"/>
      <c r="AB744" s="276"/>
      <c r="AC744" s="276"/>
    </row>
    <row r="745" spans="1:29" s="10" customFormat="1" ht="15" customHeight="1">
      <c r="A745" s="94" t="s">
        <v>136</v>
      </c>
      <c r="B745" s="94" t="s">
        <v>3808</v>
      </c>
      <c r="C745" s="94" t="s">
        <v>1770</v>
      </c>
      <c r="D745" s="95" t="s">
        <v>3750</v>
      </c>
      <c r="E745" s="94" t="s">
        <v>4029</v>
      </c>
      <c r="F745" s="94" t="s">
        <v>4030</v>
      </c>
      <c r="G745" s="94" t="s">
        <v>35</v>
      </c>
      <c r="H745" s="33" t="s">
        <v>4031</v>
      </c>
      <c r="I745" s="33" t="e">
        <f>VLOOKUP(H745,'合同高级查询数据-8月返'!A:A,1,FALSE)</f>
        <v>#N/A</v>
      </c>
      <c r="J745" s="167" t="s">
        <v>37</v>
      </c>
      <c r="K745" s="94" t="s">
        <v>1772</v>
      </c>
      <c r="L745" s="99" t="s">
        <v>4030</v>
      </c>
      <c r="M745" s="107" t="s">
        <v>4032</v>
      </c>
      <c r="N745" s="108" t="s">
        <v>4033</v>
      </c>
      <c r="O745" s="94" t="s">
        <v>4034</v>
      </c>
      <c r="P745" s="256">
        <v>9000</v>
      </c>
      <c r="Q745" s="115">
        <v>7.0000000000000298E-2</v>
      </c>
      <c r="R745" s="262">
        <f t="shared" si="39"/>
        <v>630</v>
      </c>
      <c r="S745" s="59">
        <v>202306</v>
      </c>
      <c r="T745" s="290" t="s">
        <v>4036</v>
      </c>
      <c r="U745" s="276"/>
      <c r="V745" s="270"/>
      <c r="W745" s="276"/>
      <c r="X745" s="108"/>
      <c r="Y745" s="108"/>
      <c r="Z745" s="193"/>
      <c r="AA745" s="276"/>
      <c r="AB745" s="276"/>
      <c r="AC745" s="276"/>
    </row>
    <row r="746" spans="1:29" s="10" customFormat="1" ht="15" customHeight="1">
      <c r="A746" s="94" t="s">
        <v>136</v>
      </c>
      <c r="B746" s="94" t="s">
        <v>3808</v>
      </c>
      <c r="C746" s="94" t="s">
        <v>1770</v>
      </c>
      <c r="D746" s="95" t="s">
        <v>3750</v>
      </c>
      <c r="E746" s="94" t="s">
        <v>4029</v>
      </c>
      <c r="F746" s="94" t="s">
        <v>4030</v>
      </c>
      <c r="G746" s="94" t="s">
        <v>35</v>
      </c>
      <c r="H746" s="33" t="s">
        <v>4031</v>
      </c>
      <c r="I746" s="33" t="e">
        <f>VLOOKUP(H746,'合同高级查询数据-8月返'!A:A,1,FALSE)</f>
        <v>#N/A</v>
      </c>
      <c r="J746" s="167" t="s">
        <v>37</v>
      </c>
      <c r="K746" s="94" t="s">
        <v>1772</v>
      </c>
      <c r="L746" s="99" t="s">
        <v>4030</v>
      </c>
      <c r="M746" s="107" t="s">
        <v>4032</v>
      </c>
      <c r="N746" s="108" t="s">
        <v>4033</v>
      </c>
      <c r="O746" s="94" t="s">
        <v>4034</v>
      </c>
      <c r="P746" s="256">
        <v>9000</v>
      </c>
      <c r="Q746" s="115">
        <v>0.12999999999999901</v>
      </c>
      <c r="R746" s="262">
        <f t="shared" si="39"/>
        <v>1170</v>
      </c>
      <c r="S746" s="59">
        <v>202307</v>
      </c>
      <c r="T746" s="290" t="s">
        <v>4037</v>
      </c>
      <c r="U746" s="276"/>
      <c r="V746" s="270"/>
      <c r="W746" s="276"/>
      <c r="X746" s="108"/>
      <c r="Y746" s="108"/>
      <c r="Z746" s="193"/>
      <c r="AA746" s="276"/>
      <c r="AB746" s="276"/>
      <c r="AC746" s="276"/>
    </row>
    <row r="747" spans="1:29" s="10" customFormat="1" ht="15" customHeight="1">
      <c r="A747" s="94" t="s">
        <v>136</v>
      </c>
      <c r="B747" s="94" t="s">
        <v>3808</v>
      </c>
      <c r="C747" s="94" t="s">
        <v>1770</v>
      </c>
      <c r="D747" s="95" t="s">
        <v>3750</v>
      </c>
      <c r="E747" s="94" t="s">
        <v>4029</v>
      </c>
      <c r="F747" s="94" t="s">
        <v>4030</v>
      </c>
      <c r="G747" s="94" t="s">
        <v>35</v>
      </c>
      <c r="H747" s="33" t="s">
        <v>4031</v>
      </c>
      <c r="I747" s="33" t="e">
        <f>VLOOKUP(H747,'合同高级查询数据-8月返'!A:A,1,FALSE)</f>
        <v>#N/A</v>
      </c>
      <c r="J747" s="167" t="s">
        <v>37</v>
      </c>
      <c r="K747" s="94" t="s">
        <v>1772</v>
      </c>
      <c r="L747" s="99" t="s">
        <v>4030</v>
      </c>
      <c r="M747" s="107" t="s">
        <v>4032</v>
      </c>
      <c r="N747" s="108" t="s">
        <v>4033</v>
      </c>
      <c r="O747" s="94" t="s">
        <v>4034</v>
      </c>
      <c r="P747" s="256">
        <v>9000</v>
      </c>
      <c r="Q747" s="115">
        <v>6</v>
      </c>
      <c r="R747" s="262">
        <f t="shared" si="39"/>
        <v>54000</v>
      </c>
      <c r="S747" s="59">
        <v>202308</v>
      </c>
      <c r="T747" s="290" t="s">
        <v>4038</v>
      </c>
      <c r="U747" s="276"/>
      <c r="V747" s="269">
        <v>5.824748735</v>
      </c>
      <c r="W747" s="276"/>
      <c r="X747" s="108">
        <v>44197</v>
      </c>
      <c r="Y747" s="108">
        <v>45291</v>
      </c>
      <c r="Z747" s="193" t="s">
        <v>4039</v>
      </c>
      <c r="AA747" s="193">
        <v>0.4</v>
      </c>
      <c r="AB747" s="283">
        <v>20</v>
      </c>
      <c r="AC747" s="283">
        <f>AA747*AB747</f>
        <v>8</v>
      </c>
    </row>
    <row r="748" spans="1:29" s="10" customFormat="1" ht="15" customHeight="1">
      <c r="A748" s="94" t="s">
        <v>136</v>
      </c>
      <c r="B748" s="95" t="s">
        <v>3679</v>
      </c>
      <c r="C748" s="95" t="s">
        <v>2351</v>
      </c>
      <c r="D748" s="95" t="s">
        <v>3750</v>
      </c>
      <c r="E748" s="94" t="s">
        <v>4040</v>
      </c>
      <c r="F748" s="94" t="s">
        <v>4041</v>
      </c>
      <c r="G748" s="94" t="s">
        <v>35</v>
      </c>
      <c r="H748" s="33" t="s">
        <v>4042</v>
      </c>
      <c r="I748" s="33" t="e">
        <f>VLOOKUP(H748,'合同高级查询数据-8月返'!A:A,1,FALSE)</f>
        <v>#N/A</v>
      </c>
      <c r="J748" s="95" t="s">
        <v>157</v>
      </c>
      <c r="K748" s="94" t="s">
        <v>4043</v>
      </c>
      <c r="L748" s="99" t="s">
        <v>4044</v>
      </c>
      <c r="M748" s="107"/>
      <c r="N748" s="108" t="s">
        <v>4045</v>
      </c>
      <c r="O748" s="108" t="s">
        <v>4046</v>
      </c>
      <c r="P748" s="256">
        <v>15416.66</v>
      </c>
      <c r="Q748" s="115">
        <v>1.9</v>
      </c>
      <c r="R748" s="262">
        <f t="shared" si="39"/>
        <v>29291.65</v>
      </c>
      <c r="S748" s="59">
        <v>202307</v>
      </c>
      <c r="T748" s="266" t="s">
        <v>4047</v>
      </c>
      <c r="U748" s="268"/>
      <c r="V748" s="269"/>
      <c r="W748" s="276"/>
      <c r="X748" s="108">
        <v>44531</v>
      </c>
      <c r="Y748" s="108">
        <v>45260</v>
      </c>
      <c r="Z748" s="193"/>
      <c r="AA748" s="276"/>
      <c r="AB748" s="276"/>
      <c r="AC748" s="276"/>
    </row>
    <row r="749" spans="1:29" s="10" customFormat="1" ht="15" customHeight="1">
      <c r="A749" s="94" t="s">
        <v>136</v>
      </c>
      <c r="B749" s="95" t="s">
        <v>3679</v>
      </c>
      <c r="C749" s="95" t="s">
        <v>2351</v>
      </c>
      <c r="D749" s="95" t="s">
        <v>3750</v>
      </c>
      <c r="E749" s="94" t="s">
        <v>4040</v>
      </c>
      <c r="F749" s="94" t="s">
        <v>4041</v>
      </c>
      <c r="G749" s="94" t="s">
        <v>35</v>
      </c>
      <c r="H749" s="33" t="s">
        <v>4042</v>
      </c>
      <c r="I749" s="33" t="e">
        <f>VLOOKUP(H749,'合同高级查询数据-8月返'!A:A,1,FALSE)</f>
        <v>#N/A</v>
      </c>
      <c r="J749" s="95" t="s">
        <v>157</v>
      </c>
      <c r="K749" s="94" t="s">
        <v>4043</v>
      </c>
      <c r="L749" s="99" t="s">
        <v>4044</v>
      </c>
      <c r="M749" s="107"/>
      <c r="N749" s="108" t="s">
        <v>4045</v>
      </c>
      <c r="O749" s="108" t="s">
        <v>4046</v>
      </c>
      <c r="P749" s="256">
        <v>15416.66</v>
      </c>
      <c r="Q749" s="115">
        <v>92</v>
      </c>
      <c r="R749" s="262">
        <f t="shared" si="39"/>
        <v>1418332.72</v>
      </c>
      <c r="S749" s="59">
        <v>202308</v>
      </c>
      <c r="T749" s="266" t="s">
        <v>4048</v>
      </c>
      <c r="U749" s="268"/>
      <c r="V749" s="269">
        <v>91.909871519000006</v>
      </c>
      <c r="W749" s="276"/>
      <c r="X749" s="108">
        <v>44531</v>
      </c>
      <c r="Y749" s="108">
        <v>45260</v>
      </c>
      <c r="Z749" s="193" t="s">
        <v>4049</v>
      </c>
      <c r="AA749" s="193">
        <v>0.2</v>
      </c>
      <c r="AB749" s="283">
        <v>300</v>
      </c>
      <c r="AC749" s="283">
        <f>AA749*AB749</f>
        <v>60</v>
      </c>
    </row>
    <row r="750" spans="1:29" s="10" customFormat="1" ht="15" customHeight="1">
      <c r="A750" s="94" t="s">
        <v>136</v>
      </c>
      <c r="B750" s="95" t="s">
        <v>3679</v>
      </c>
      <c r="C750" s="95" t="s">
        <v>3785</v>
      </c>
      <c r="D750" s="95" t="s">
        <v>3750</v>
      </c>
      <c r="E750" s="94" t="s">
        <v>4050</v>
      </c>
      <c r="F750" s="94" t="s">
        <v>4051</v>
      </c>
      <c r="G750" s="94" t="s">
        <v>35</v>
      </c>
      <c r="H750" s="33" t="s">
        <v>4052</v>
      </c>
      <c r="I750" s="33" t="e">
        <f>VLOOKUP(H750,'合同高级查询数据-8月返'!A:A,1,FALSE)</f>
        <v>#N/A</v>
      </c>
      <c r="J750" s="167" t="s">
        <v>37</v>
      </c>
      <c r="K750" s="94" t="s">
        <v>4053</v>
      </c>
      <c r="L750" s="99" t="s">
        <v>4054</v>
      </c>
      <c r="M750" s="107"/>
      <c r="N750" s="110" t="s">
        <v>4055</v>
      </c>
      <c r="O750" s="108" t="s">
        <v>3922</v>
      </c>
      <c r="P750" s="256">
        <v>9000</v>
      </c>
      <c r="Q750" s="115">
        <v>6</v>
      </c>
      <c r="R750" s="262">
        <f t="shared" si="39"/>
        <v>54000</v>
      </c>
      <c r="S750" s="59">
        <v>202308</v>
      </c>
      <c r="T750" s="266" t="s">
        <v>4056</v>
      </c>
      <c r="U750" s="268"/>
      <c r="V750" s="269">
        <v>5.8216215599999996</v>
      </c>
      <c r="W750" s="276">
        <v>5.94</v>
      </c>
      <c r="X750" s="108">
        <v>44958</v>
      </c>
      <c r="Y750" s="108">
        <v>45322</v>
      </c>
      <c r="Z750" s="193" t="s">
        <v>4057</v>
      </c>
      <c r="AA750" s="193">
        <v>0.3</v>
      </c>
      <c r="AB750" s="283">
        <v>20</v>
      </c>
      <c r="AC750" s="283">
        <f>AA750*AB750</f>
        <v>6</v>
      </c>
    </row>
    <row r="751" spans="1:29" s="9" customFormat="1" ht="15" customHeight="1">
      <c r="A751" s="92" t="s">
        <v>136</v>
      </c>
      <c r="B751" s="93" t="s">
        <v>3679</v>
      </c>
      <c r="C751" s="93" t="s">
        <v>3785</v>
      </c>
      <c r="D751" s="93" t="s">
        <v>3750</v>
      </c>
      <c r="E751" s="92" t="s">
        <v>4050</v>
      </c>
      <c r="F751" s="92" t="s">
        <v>4051</v>
      </c>
      <c r="G751" s="92" t="s">
        <v>35</v>
      </c>
      <c r="H751" s="32" t="s">
        <v>4058</v>
      </c>
      <c r="I751" s="32" t="e">
        <f>VLOOKUP(H751,'合同高级查询数据-8月返'!A:A,1,FALSE)</f>
        <v>#N/A</v>
      </c>
      <c r="J751" s="169" t="s">
        <v>37</v>
      </c>
      <c r="K751" s="286" t="s">
        <v>4059</v>
      </c>
      <c r="L751" s="98" t="s">
        <v>4060</v>
      </c>
      <c r="M751" s="49" t="s">
        <v>4061</v>
      </c>
      <c r="N751" s="105">
        <v>45117</v>
      </c>
      <c r="O751" s="105" t="s">
        <v>1569</v>
      </c>
      <c r="P751" s="260">
        <v>9000</v>
      </c>
      <c r="Q751" s="113">
        <v>80.900000000000006</v>
      </c>
      <c r="R751" s="265">
        <f t="shared" si="39"/>
        <v>728100</v>
      </c>
      <c r="S751" s="55">
        <v>202308</v>
      </c>
      <c r="T751" s="264" t="s">
        <v>4062</v>
      </c>
      <c r="U751" s="272"/>
      <c r="V751" s="273">
        <v>80.878169642000003</v>
      </c>
      <c r="W751" s="275"/>
      <c r="X751" s="105"/>
      <c r="Y751" s="105"/>
      <c r="Z751" s="196" t="s">
        <v>4063</v>
      </c>
      <c r="AA751" s="196">
        <v>0.3</v>
      </c>
      <c r="AB751" s="282">
        <v>160</v>
      </c>
      <c r="AC751" s="282">
        <f>AA751*AB751</f>
        <v>48</v>
      </c>
    </row>
    <row r="752" spans="1:29" s="9" customFormat="1" ht="15" customHeight="1">
      <c r="A752" s="25" t="s">
        <v>191</v>
      </c>
      <c r="B752" s="93" t="s">
        <v>3775</v>
      </c>
      <c r="C752" s="27" t="s">
        <v>1727</v>
      </c>
      <c r="D752" s="27" t="s">
        <v>3750</v>
      </c>
      <c r="E752" s="25" t="s">
        <v>4064</v>
      </c>
      <c r="F752" s="25" t="s">
        <v>4065</v>
      </c>
      <c r="G752" s="34" t="s">
        <v>35</v>
      </c>
      <c r="H752" s="93" t="s">
        <v>4066</v>
      </c>
      <c r="I752" s="32" t="e">
        <f>VLOOKUP(H752,'合同高级查询数据-8月返'!A:A,1,FALSE)</f>
        <v>#N/A</v>
      </c>
      <c r="J752" s="35" t="s">
        <v>37</v>
      </c>
      <c r="K752" s="25" t="s">
        <v>2618</v>
      </c>
      <c r="L752" s="34" t="s">
        <v>4067</v>
      </c>
      <c r="M752" s="49" t="s">
        <v>4068</v>
      </c>
      <c r="N752" s="105" t="s">
        <v>740</v>
      </c>
      <c r="O752" s="34" t="s">
        <v>4069</v>
      </c>
      <c r="P752" s="260">
        <v>6740</v>
      </c>
      <c r="Q752" s="113"/>
      <c r="R752" s="265">
        <f t="shared" ref="R752:R798" si="44">ROUND(P752*Q752,2)</f>
        <v>0</v>
      </c>
      <c r="S752" s="55">
        <v>202308</v>
      </c>
      <c r="T752" s="56" t="s">
        <v>4070</v>
      </c>
      <c r="U752" s="139"/>
      <c r="V752" s="273">
        <v>0</v>
      </c>
      <c r="W752" s="291"/>
      <c r="X752" s="105"/>
      <c r="Y752" s="105"/>
      <c r="Z752" s="196" t="s">
        <v>4071</v>
      </c>
      <c r="AA752" s="196"/>
      <c r="AB752" s="282"/>
      <c r="AC752" s="282">
        <f>AB752*AA752</f>
        <v>0</v>
      </c>
    </row>
    <row r="753" spans="1:29" s="9" customFormat="1" ht="15" customHeight="1">
      <c r="A753" s="25" t="s">
        <v>191</v>
      </c>
      <c r="B753" s="93" t="s">
        <v>3775</v>
      </c>
      <c r="C753" s="27" t="s">
        <v>1727</v>
      </c>
      <c r="D753" s="27" t="s">
        <v>3750</v>
      </c>
      <c r="E753" s="25" t="s">
        <v>4064</v>
      </c>
      <c r="F753" s="25" t="s">
        <v>4065</v>
      </c>
      <c r="G753" s="34" t="s">
        <v>35</v>
      </c>
      <c r="H753" s="93" t="s">
        <v>4066</v>
      </c>
      <c r="I753" s="32" t="e">
        <f>VLOOKUP(H753,'合同高级查询数据-8月返'!A:A,1,FALSE)</f>
        <v>#N/A</v>
      </c>
      <c r="J753" s="35" t="s">
        <v>37</v>
      </c>
      <c r="K753" s="25" t="s">
        <v>2618</v>
      </c>
      <c r="L753" s="34" t="s">
        <v>4072</v>
      </c>
      <c r="M753" s="49"/>
      <c r="N753" s="105" t="s">
        <v>4073</v>
      </c>
      <c r="O753" s="34" t="s">
        <v>3832</v>
      </c>
      <c r="P753" s="260">
        <v>6740</v>
      </c>
      <c r="Q753" s="113"/>
      <c r="R753" s="265">
        <f t="shared" si="44"/>
        <v>0</v>
      </c>
      <c r="S753" s="55">
        <v>202308</v>
      </c>
      <c r="T753" s="56" t="s">
        <v>4074</v>
      </c>
      <c r="U753" s="139"/>
      <c r="V753" s="273">
        <v>0</v>
      </c>
      <c r="W753" s="291"/>
      <c r="X753" s="105"/>
      <c r="Y753" s="105"/>
      <c r="Z753" s="196" t="s">
        <v>4075</v>
      </c>
      <c r="AA753" s="196">
        <v>0</v>
      </c>
      <c r="AB753" s="282">
        <v>0</v>
      </c>
      <c r="AC753" s="282">
        <f t="shared" ref="AC753:AC758" si="45">AA753*AB753</f>
        <v>0</v>
      </c>
    </row>
    <row r="754" spans="1:29" s="9" customFormat="1" ht="15" customHeight="1">
      <c r="A754" s="25" t="s">
        <v>191</v>
      </c>
      <c r="B754" s="93" t="s">
        <v>3775</v>
      </c>
      <c r="C754" s="27" t="s">
        <v>1727</v>
      </c>
      <c r="D754" s="27" t="s">
        <v>3750</v>
      </c>
      <c r="E754" s="25" t="s">
        <v>4064</v>
      </c>
      <c r="F754" s="25" t="s">
        <v>4065</v>
      </c>
      <c r="G754" s="34" t="s">
        <v>35</v>
      </c>
      <c r="H754" s="93" t="s">
        <v>4066</v>
      </c>
      <c r="I754" s="32" t="e">
        <f>VLOOKUP(H754,'合同高级查询数据-8月返'!A:A,1,FALSE)</f>
        <v>#N/A</v>
      </c>
      <c r="J754" s="35" t="s">
        <v>325</v>
      </c>
      <c r="K754" s="25" t="s">
        <v>4076</v>
      </c>
      <c r="L754" s="34" t="s">
        <v>4077</v>
      </c>
      <c r="M754" s="49"/>
      <c r="N754" s="105">
        <v>42236</v>
      </c>
      <c r="O754" s="34" t="s">
        <v>146</v>
      </c>
      <c r="P754" s="260">
        <v>6740</v>
      </c>
      <c r="Q754" s="113">
        <v>5.52</v>
      </c>
      <c r="R754" s="265">
        <f t="shared" si="44"/>
        <v>37204.800000000003</v>
      </c>
      <c r="S754" s="55">
        <v>202308</v>
      </c>
      <c r="T754" s="56" t="s">
        <v>4078</v>
      </c>
      <c r="U754" s="139"/>
      <c r="V754" s="273">
        <v>1.2</v>
      </c>
      <c r="W754" s="291"/>
      <c r="X754" s="105"/>
      <c r="Y754" s="105"/>
      <c r="Z754" s="196" t="s">
        <v>4079</v>
      </c>
      <c r="AA754" s="196">
        <v>0.4</v>
      </c>
      <c r="AB754" s="282">
        <v>20</v>
      </c>
      <c r="AC754" s="282">
        <f t="shared" si="45"/>
        <v>8</v>
      </c>
    </row>
    <row r="755" spans="1:29" s="9" customFormat="1" ht="15" customHeight="1">
      <c r="A755" s="25" t="s">
        <v>191</v>
      </c>
      <c r="B755" s="93" t="s">
        <v>3775</v>
      </c>
      <c r="C755" s="27" t="s">
        <v>1727</v>
      </c>
      <c r="D755" s="27" t="s">
        <v>3750</v>
      </c>
      <c r="E755" s="25" t="s">
        <v>4064</v>
      </c>
      <c r="F755" s="25" t="s">
        <v>4065</v>
      </c>
      <c r="G755" s="34" t="s">
        <v>35</v>
      </c>
      <c r="H755" s="93" t="s">
        <v>4066</v>
      </c>
      <c r="I755" s="32" t="e">
        <f>VLOOKUP(H755,'合同高级查询数据-8月返'!A:A,1,FALSE)</f>
        <v>#N/A</v>
      </c>
      <c r="J755" s="35" t="s">
        <v>37</v>
      </c>
      <c r="K755" s="25" t="s">
        <v>4080</v>
      </c>
      <c r="L755" s="34" t="s">
        <v>4065</v>
      </c>
      <c r="M755" s="49"/>
      <c r="N755" s="105" t="s">
        <v>4081</v>
      </c>
      <c r="O755" s="34" t="s">
        <v>4082</v>
      </c>
      <c r="P755" s="260">
        <v>6740</v>
      </c>
      <c r="Q755" s="113"/>
      <c r="R755" s="265">
        <f t="shared" si="44"/>
        <v>0</v>
      </c>
      <c r="S755" s="55">
        <v>202308</v>
      </c>
      <c r="T755" s="56" t="s">
        <v>4083</v>
      </c>
      <c r="U755" s="139"/>
      <c r="V755" s="273">
        <v>0</v>
      </c>
      <c r="W755" s="79"/>
      <c r="X755" s="105"/>
      <c r="Y755" s="105"/>
      <c r="Z755" s="196" t="s">
        <v>4084</v>
      </c>
      <c r="AA755" s="196"/>
      <c r="AB755" s="282">
        <v>0</v>
      </c>
      <c r="AC755" s="282">
        <f t="shared" si="45"/>
        <v>0</v>
      </c>
    </row>
    <row r="756" spans="1:29" s="9" customFormat="1" ht="15" customHeight="1">
      <c r="A756" s="25" t="s">
        <v>191</v>
      </c>
      <c r="B756" s="93" t="s">
        <v>3775</v>
      </c>
      <c r="C756" s="27" t="s">
        <v>1727</v>
      </c>
      <c r="D756" s="27" t="s">
        <v>3750</v>
      </c>
      <c r="E756" s="25" t="s">
        <v>4064</v>
      </c>
      <c r="F756" s="25" t="s">
        <v>4065</v>
      </c>
      <c r="G756" s="34" t="s">
        <v>35</v>
      </c>
      <c r="H756" s="93" t="s">
        <v>4066</v>
      </c>
      <c r="I756" s="32" t="e">
        <f>VLOOKUP(H756,'合同高级查询数据-8月返'!A:A,1,FALSE)</f>
        <v>#N/A</v>
      </c>
      <c r="J756" s="35" t="s">
        <v>37</v>
      </c>
      <c r="K756" s="25" t="s">
        <v>4085</v>
      </c>
      <c r="L756" s="34" t="s">
        <v>4086</v>
      </c>
      <c r="M756" s="49"/>
      <c r="N756" s="50" t="s">
        <v>4087</v>
      </c>
      <c r="O756" s="34" t="s">
        <v>4088</v>
      </c>
      <c r="P756" s="260">
        <v>6740</v>
      </c>
      <c r="Q756" s="113">
        <v>18.48</v>
      </c>
      <c r="R756" s="265">
        <f t="shared" si="44"/>
        <v>124555.2</v>
      </c>
      <c r="S756" s="55">
        <v>202308</v>
      </c>
      <c r="T756" s="62" t="s">
        <v>4089</v>
      </c>
      <c r="U756" s="139"/>
      <c r="V756" s="273">
        <v>18.481693268000001</v>
      </c>
      <c r="W756" s="291"/>
      <c r="X756" s="105"/>
      <c r="Y756" s="105"/>
      <c r="Z756" s="196" t="s">
        <v>4090</v>
      </c>
      <c r="AA756" s="196">
        <v>0.4</v>
      </c>
      <c r="AB756" s="282">
        <v>40</v>
      </c>
      <c r="AC756" s="282">
        <f t="shared" si="45"/>
        <v>16</v>
      </c>
    </row>
    <row r="757" spans="1:29" s="9" customFormat="1" ht="15" customHeight="1">
      <c r="A757" s="25" t="s">
        <v>191</v>
      </c>
      <c r="B757" s="93" t="s">
        <v>3775</v>
      </c>
      <c r="C757" s="27" t="s">
        <v>1727</v>
      </c>
      <c r="D757" s="27" t="s">
        <v>3750</v>
      </c>
      <c r="E757" s="25" t="s">
        <v>4064</v>
      </c>
      <c r="F757" s="25" t="s">
        <v>4065</v>
      </c>
      <c r="G757" s="34" t="s">
        <v>35</v>
      </c>
      <c r="H757" s="93" t="s">
        <v>4066</v>
      </c>
      <c r="I757" s="32" t="e">
        <f>VLOOKUP(H757,'合同高级查询数据-8月返'!A:A,1,FALSE)</f>
        <v>#N/A</v>
      </c>
      <c r="J757" s="35" t="s">
        <v>37</v>
      </c>
      <c r="K757" s="25" t="s">
        <v>2618</v>
      </c>
      <c r="L757" s="34" t="s">
        <v>4091</v>
      </c>
      <c r="M757" s="49" t="s">
        <v>4092</v>
      </c>
      <c r="N757" s="105">
        <v>44873</v>
      </c>
      <c r="O757" s="34" t="s">
        <v>319</v>
      </c>
      <c r="P757" s="260">
        <v>6740</v>
      </c>
      <c r="Q757" s="113">
        <v>80</v>
      </c>
      <c r="R757" s="265">
        <f t="shared" si="44"/>
        <v>539200</v>
      </c>
      <c r="S757" s="55">
        <v>202308</v>
      </c>
      <c r="T757" s="264" t="s">
        <v>4093</v>
      </c>
      <c r="U757" s="139"/>
      <c r="V757" s="273">
        <v>76.744596944999998</v>
      </c>
      <c r="W757" s="291"/>
      <c r="X757" s="105"/>
      <c r="Y757" s="105"/>
      <c r="Z757" s="196" t="s">
        <v>4094</v>
      </c>
      <c r="AA757" s="196">
        <v>0.4</v>
      </c>
      <c r="AB757" s="282">
        <v>200</v>
      </c>
      <c r="AC757" s="282">
        <f t="shared" si="45"/>
        <v>80</v>
      </c>
    </row>
    <row r="758" spans="1:29" s="9" customFormat="1" ht="15" customHeight="1">
      <c r="A758" s="25" t="s">
        <v>191</v>
      </c>
      <c r="B758" s="93" t="s">
        <v>3775</v>
      </c>
      <c r="C758" s="27" t="s">
        <v>1727</v>
      </c>
      <c r="D758" s="27" t="s">
        <v>3750</v>
      </c>
      <c r="E758" s="25" t="s">
        <v>4064</v>
      </c>
      <c r="F758" s="25" t="s">
        <v>4065</v>
      </c>
      <c r="G758" s="34" t="s">
        <v>35</v>
      </c>
      <c r="H758" s="93" t="s">
        <v>4066</v>
      </c>
      <c r="I758" s="32" t="e">
        <f>VLOOKUP(H758,'合同高级查询数据-8月返'!A:A,1,FALSE)</f>
        <v>#N/A</v>
      </c>
      <c r="J758" s="35" t="s">
        <v>37</v>
      </c>
      <c r="K758" s="25" t="s">
        <v>2618</v>
      </c>
      <c r="L758" s="34" t="s">
        <v>4095</v>
      </c>
      <c r="M758" s="49" t="s">
        <v>4092</v>
      </c>
      <c r="N758" s="105">
        <v>44866</v>
      </c>
      <c r="O758" s="34" t="s">
        <v>319</v>
      </c>
      <c r="P758" s="260">
        <v>6740</v>
      </c>
      <c r="Q758" s="113">
        <v>80.86</v>
      </c>
      <c r="R758" s="265">
        <f t="shared" si="44"/>
        <v>544996.4</v>
      </c>
      <c r="S758" s="55">
        <v>202308</v>
      </c>
      <c r="T758" s="264" t="s">
        <v>4096</v>
      </c>
      <c r="U758" s="139"/>
      <c r="V758" s="273">
        <v>80.862953540000007</v>
      </c>
      <c r="W758" s="291"/>
      <c r="X758" s="105"/>
      <c r="Y758" s="105"/>
      <c r="Z758" s="196" t="s">
        <v>4097</v>
      </c>
      <c r="AA758" s="196">
        <v>0.4</v>
      </c>
      <c r="AB758" s="282">
        <v>200</v>
      </c>
      <c r="AC758" s="282">
        <f t="shared" si="45"/>
        <v>80</v>
      </c>
    </row>
    <row r="759" spans="1:29" s="10" customFormat="1" ht="15" customHeight="1">
      <c r="A759" s="94" t="s">
        <v>191</v>
      </c>
      <c r="B759" s="95" t="s">
        <v>3679</v>
      </c>
      <c r="C759" s="95" t="s">
        <v>2515</v>
      </c>
      <c r="D759" s="95" t="s">
        <v>3750</v>
      </c>
      <c r="E759" s="94" t="s">
        <v>4098</v>
      </c>
      <c r="F759" s="94" t="s">
        <v>4099</v>
      </c>
      <c r="G759" s="94" t="s">
        <v>35</v>
      </c>
      <c r="H759" s="33" t="s">
        <v>4100</v>
      </c>
      <c r="I759" s="33" t="e">
        <f>VLOOKUP(H759,'合同高级查询数据-8月返'!A:A,1,FALSE)</f>
        <v>#N/A</v>
      </c>
      <c r="J759" s="167" t="s">
        <v>37</v>
      </c>
      <c r="K759" s="94" t="s">
        <v>4101</v>
      </c>
      <c r="L759" s="99" t="s">
        <v>4102</v>
      </c>
      <c r="M759" s="107" t="s">
        <v>4103</v>
      </c>
      <c r="N759" s="110" t="s">
        <v>4104</v>
      </c>
      <c r="O759" s="108" t="s">
        <v>4105</v>
      </c>
      <c r="P759" s="256">
        <v>6740</v>
      </c>
      <c r="Q759" s="115">
        <v>0.04</v>
      </c>
      <c r="R759" s="262">
        <f t="shared" si="44"/>
        <v>269.60000000000002</v>
      </c>
      <c r="S759" s="59">
        <v>202305</v>
      </c>
      <c r="T759" s="266" t="s">
        <v>4106</v>
      </c>
      <c r="U759" s="268"/>
      <c r="V759" s="269"/>
      <c r="W759" s="276"/>
      <c r="X759" s="108">
        <v>44927</v>
      </c>
      <c r="Y759" s="108">
        <v>45107</v>
      </c>
      <c r="Z759" s="193"/>
      <c r="AA759" s="276"/>
      <c r="AB759" s="276"/>
      <c r="AC759" s="276"/>
    </row>
    <row r="760" spans="1:29" s="9" customFormat="1" ht="15" customHeight="1">
      <c r="A760" s="92" t="s">
        <v>191</v>
      </c>
      <c r="B760" s="93" t="s">
        <v>3679</v>
      </c>
      <c r="C760" s="93" t="s">
        <v>2515</v>
      </c>
      <c r="D760" s="93" t="s">
        <v>3750</v>
      </c>
      <c r="E760" s="92" t="s">
        <v>4098</v>
      </c>
      <c r="F760" s="92" t="s">
        <v>4099</v>
      </c>
      <c r="G760" s="92" t="s">
        <v>35</v>
      </c>
      <c r="H760" s="32" t="s">
        <v>4107</v>
      </c>
      <c r="I760" s="32" t="e">
        <f>VLOOKUP(H760,'合同高级查询数据-8月返'!A:A,1,FALSE)</f>
        <v>#N/A</v>
      </c>
      <c r="J760" s="169" t="s">
        <v>37</v>
      </c>
      <c r="K760" s="92" t="s">
        <v>4101</v>
      </c>
      <c r="L760" s="98" t="s">
        <v>4102</v>
      </c>
      <c r="M760" s="49" t="s">
        <v>4103</v>
      </c>
      <c r="N760" s="50" t="s">
        <v>4104</v>
      </c>
      <c r="O760" s="105" t="s">
        <v>4105</v>
      </c>
      <c r="P760" s="260">
        <v>6740</v>
      </c>
      <c r="Q760" s="113">
        <v>23.95</v>
      </c>
      <c r="R760" s="265">
        <f t="shared" si="44"/>
        <v>161423</v>
      </c>
      <c r="S760" s="55">
        <v>202308</v>
      </c>
      <c r="T760" s="264" t="s">
        <v>4108</v>
      </c>
      <c r="U760" s="272"/>
      <c r="V760" s="273">
        <v>23.947568893</v>
      </c>
      <c r="W760" s="275"/>
      <c r="X760" s="105"/>
      <c r="Y760" s="105"/>
      <c r="Z760" s="196" t="s">
        <v>4109</v>
      </c>
      <c r="AA760" s="196">
        <v>0.4</v>
      </c>
      <c r="AB760" s="282">
        <v>30</v>
      </c>
      <c r="AC760" s="282">
        <f>AA760*AB760</f>
        <v>12</v>
      </c>
    </row>
    <row r="761" spans="1:29" s="9" customFormat="1" ht="15" customHeight="1">
      <c r="A761" s="92" t="s">
        <v>191</v>
      </c>
      <c r="B761" s="93" t="s">
        <v>3679</v>
      </c>
      <c r="C761" s="93" t="s">
        <v>2515</v>
      </c>
      <c r="D761" s="93" t="s">
        <v>3750</v>
      </c>
      <c r="E761" s="92" t="s">
        <v>4098</v>
      </c>
      <c r="F761" s="92" t="s">
        <v>4099</v>
      </c>
      <c r="G761" s="92" t="s">
        <v>35</v>
      </c>
      <c r="H761" s="32" t="s">
        <v>4110</v>
      </c>
      <c r="I761" s="32" t="e">
        <f>VLOOKUP(H761,'合同高级查询数据-8月返'!A:A,1,FALSE)</f>
        <v>#N/A</v>
      </c>
      <c r="J761" s="169" t="s">
        <v>37</v>
      </c>
      <c r="K761" s="92" t="s">
        <v>3232</v>
      </c>
      <c r="L761" s="98" t="s">
        <v>4111</v>
      </c>
      <c r="M761" s="49" t="s">
        <v>4103</v>
      </c>
      <c r="N761" s="50">
        <v>45139</v>
      </c>
      <c r="O761" s="105" t="s">
        <v>447</v>
      </c>
      <c r="P761" s="260">
        <v>6740</v>
      </c>
      <c r="Q761" s="113">
        <v>47.75</v>
      </c>
      <c r="R761" s="54">
        <f t="shared" si="44"/>
        <v>321835</v>
      </c>
      <c r="S761" s="55">
        <v>202308</v>
      </c>
      <c r="T761" s="264" t="s">
        <v>4112</v>
      </c>
      <c r="U761" s="272"/>
      <c r="V761" s="273">
        <v>47.752352563000002</v>
      </c>
      <c r="W761" s="275"/>
      <c r="X761" s="105"/>
      <c r="Y761" s="105"/>
      <c r="Z761" s="196" t="s">
        <v>4113</v>
      </c>
      <c r="AA761" s="196">
        <v>0.4</v>
      </c>
      <c r="AB761" s="282">
        <v>100</v>
      </c>
      <c r="AC761" s="282">
        <f>AA761*AB761</f>
        <v>40</v>
      </c>
    </row>
    <row r="762" spans="1:29" s="10" customFormat="1" ht="15" customHeight="1">
      <c r="A762" s="28" t="s">
        <v>191</v>
      </c>
      <c r="B762" s="95" t="s">
        <v>3775</v>
      </c>
      <c r="C762" s="30" t="s">
        <v>1870</v>
      </c>
      <c r="D762" s="30" t="s">
        <v>3750</v>
      </c>
      <c r="E762" s="28" t="s">
        <v>4114</v>
      </c>
      <c r="F762" s="28" t="s">
        <v>4115</v>
      </c>
      <c r="G762" s="182" t="s">
        <v>35</v>
      </c>
      <c r="H762" s="95" t="s">
        <v>4116</v>
      </c>
      <c r="I762" s="33" t="e">
        <f>VLOOKUP(H762,'合同高级查询数据-8月返'!A:A,1,FALSE)</f>
        <v>#N/A</v>
      </c>
      <c r="J762" s="38" t="s">
        <v>37</v>
      </c>
      <c r="K762" s="28" t="s">
        <v>4117</v>
      </c>
      <c r="L762" s="182" t="s">
        <v>4118</v>
      </c>
      <c r="M762" s="107"/>
      <c r="N762" s="108" t="s">
        <v>4119</v>
      </c>
      <c r="O762" s="182" t="s">
        <v>4120</v>
      </c>
      <c r="P762" s="256">
        <v>6740</v>
      </c>
      <c r="Q762" s="115"/>
      <c r="R762" s="262">
        <f t="shared" si="44"/>
        <v>0</v>
      </c>
      <c r="S762" s="59">
        <v>202308</v>
      </c>
      <c r="T762" s="266" t="s">
        <v>4121</v>
      </c>
      <c r="U762" s="293"/>
      <c r="V762" s="269">
        <v>0</v>
      </c>
      <c r="W762" s="28"/>
      <c r="X762" s="108">
        <v>44197</v>
      </c>
      <c r="Y762" s="108">
        <v>44926</v>
      </c>
      <c r="Z762" s="193" t="s">
        <v>4122</v>
      </c>
      <c r="AA762" s="193">
        <v>0.4</v>
      </c>
      <c r="AB762" s="283">
        <v>0</v>
      </c>
      <c r="AC762" s="283">
        <f>AA762*AB762</f>
        <v>0</v>
      </c>
    </row>
    <row r="763" spans="1:29" s="10" customFormat="1" ht="15" customHeight="1">
      <c r="A763" s="28" t="s">
        <v>191</v>
      </c>
      <c r="B763" s="95" t="s">
        <v>3775</v>
      </c>
      <c r="C763" s="30" t="s">
        <v>1870</v>
      </c>
      <c r="D763" s="30" t="s">
        <v>3750</v>
      </c>
      <c r="E763" s="28" t="s">
        <v>4114</v>
      </c>
      <c r="F763" s="28" t="s">
        <v>4115</v>
      </c>
      <c r="G763" s="182" t="s">
        <v>35</v>
      </c>
      <c r="H763" s="95" t="s">
        <v>4116</v>
      </c>
      <c r="I763" s="33" t="e">
        <f>VLOOKUP(H763,'合同高级查询数据-8月返'!A:A,1,FALSE)</f>
        <v>#N/A</v>
      </c>
      <c r="J763" s="38" t="s">
        <v>37</v>
      </c>
      <c r="K763" s="28" t="s">
        <v>4123</v>
      </c>
      <c r="L763" s="182" t="s">
        <v>4115</v>
      </c>
      <c r="M763" s="107"/>
      <c r="N763" s="108">
        <v>43922</v>
      </c>
      <c r="O763" s="182" t="s">
        <v>2987</v>
      </c>
      <c r="P763" s="256">
        <v>6740</v>
      </c>
      <c r="Q763" s="115"/>
      <c r="R763" s="262">
        <f t="shared" si="44"/>
        <v>0</v>
      </c>
      <c r="S763" s="59">
        <v>202308</v>
      </c>
      <c r="T763" s="266" t="s">
        <v>4124</v>
      </c>
      <c r="U763" s="293"/>
      <c r="V763" s="269">
        <v>0</v>
      </c>
      <c r="W763" s="155"/>
      <c r="X763" s="108">
        <v>44197</v>
      </c>
      <c r="Y763" s="108">
        <v>44926</v>
      </c>
      <c r="Z763" s="193" t="s">
        <v>4125</v>
      </c>
      <c r="AA763" s="193"/>
      <c r="AB763" s="283">
        <v>0</v>
      </c>
      <c r="AC763" s="283">
        <f>AA763*AB763</f>
        <v>0</v>
      </c>
    </row>
    <row r="764" spans="1:29" s="10" customFormat="1" ht="15" customHeight="1">
      <c r="A764" s="28" t="s">
        <v>191</v>
      </c>
      <c r="B764" s="95" t="s">
        <v>3775</v>
      </c>
      <c r="C764" s="30" t="s">
        <v>1870</v>
      </c>
      <c r="D764" s="30" t="s">
        <v>3750</v>
      </c>
      <c r="E764" s="28" t="s">
        <v>4126</v>
      </c>
      <c r="F764" s="28" t="s">
        <v>4127</v>
      </c>
      <c r="G764" s="182" t="s">
        <v>35</v>
      </c>
      <c r="H764" s="95" t="s">
        <v>4128</v>
      </c>
      <c r="I764" s="33" t="e">
        <f>VLOOKUP(H764,'合同高级查询数据-8月返'!A:A,1,FALSE)</f>
        <v>#N/A</v>
      </c>
      <c r="J764" s="38" t="s">
        <v>37</v>
      </c>
      <c r="K764" s="28" t="s">
        <v>4129</v>
      </c>
      <c r="L764" s="182" t="s">
        <v>4127</v>
      </c>
      <c r="M764" s="107"/>
      <c r="N764" s="108" t="s">
        <v>4130</v>
      </c>
      <c r="O764" s="182" t="s">
        <v>4131</v>
      </c>
      <c r="P764" s="256">
        <v>6740</v>
      </c>
      <c r="Q764" s="115"/>
      <c r="R764" s="262">
        <f t="shared" si="44"/>
        <v>0</v>
      </c>
      <c r="S764" s="59">
        <v>202308</v>
      </c>
      <c r="T764" s="266" t="s">
        <v>4132</v>
      </c>
      <c r="U764" s="293"/>
      <c r="V764" s="269">
        <v>0</v>
      </c>
      <c r="W764" s="298"/>
      <c r="X764" s="108">
        <v>44197</v>
      </c>
      <c r="Y764" s="108">
        <v>44926</v>
      </c>
      <c r="Z764" s="193" t="s">
        <v>4133</v>
      </c>
      <c r="AA764" s="193">
        <v>0.4</v>
      </c>
      <c r="AB764" s="283">
        <v>0</v>
      </c>
      <c r="AC764" s="283">
        <f>AA764*AB764</f>
        <v>0</v>
      </c>
    </row>
    <row r="765" spans="1:29" s="9" customFormat="1" ht="15" customHeight="1">
      <c r="A765" s="25" t="s">
        <v>191</v>
      </c>
      <c r="B765" s="93" t="s">
        <v>3775</v>
      </c>
      <c r="C765" s="27" t="s">
        <v>1870</v>
      </c>
      <c r="D765" s="25" t="s">
        <v>3750</v>
      </c>
      <c r="E765" s="25" t="s">
        <v>4134</v>
      </c>
      <c r="F765" s="25" t="s">
        <v>4135</v>
      </c>
      <c r="G765" s="25" t="s">
        <v>35</v>
      </c>
      <c r="H765" s="93" t="s">
        <v>4136</v>
      </c>
      <c r="I765" s="32" t="e">
        <f>VLOOKUP(H765,'合同高级查询数据-8月返'!A:A,1,FALSE)</f>
        <v>#N/A</v>
      </c>
      <c r="J765" s="35" t="s">
        <v>37</v>
      </c>
      <c r="K765" s="25" t="s">
        <v>4137</v>
      </c>
      <c r="L765" s="25" t="s">
        <v>4135</v>
      </c>
      <c r="M765" s="49"/>
      <c r="N765" s="70" t="s">
        <v>4138</v>
      </c>
      <c r="O765" s="25" t="s">
        <v>4139</v>
      </c>
      <c r="P765" s="260">
        <v>6740</v>
      </c>
      <c r="Q765" s="113"/>
      <c r="R765" s="43">
        <f t="shared" si="44"/>
        <v>0</v>
      </c>
      <c r="S765" s="55">
        <v>202308</v>
      </c>
      <c r="T765" s="264" t="s">
        <v>4140</v>
      </c>
      <c r="U765" s="25"/>
      <c r="V765" s="273">
        <v>0</v>
      </c>
      <c r="W765" s="291"/>
      <c r="X765" s="105"/>
      <c r="Y765" s="105"/>
      <c r="Z765" s="196" t="s">
        <v>4141</v>
      </c>
      <c r="AA765" s="195"/>
      <c r="AB765" s="302"/>
      <c r="AC765" s="282">
        <f t="shared" ref="AC765:AC772" si="46">AA765*AB765</f>
        <v>0</v>
      </c>
    </row>
    <row r="766" spans="1:29" s="9" customFormat="1" ht="15" customHeight="1">
      <c r="A766" s="25" t="s">
        <v>191</v>
      </c>
      <c r="B766" s="93" t="s">
        <v>3775</v>
      </c>
      <c r="C766" s="27" t="s">
        <v>1870</v>
      </c>
      <c r="D766" s="27" t="s">
        <v>3750</v>
      </c>
      <c r="E766" s="25" t="s">
        <v>4134</v>
      </c>
      <c r="F766" s="25" t="s">
        <v>4135</v>
      </c>
      <c r="G766" s="34" t="s">
        <v>35</v>
      </c>
      <c r="H766" s="93" t="s">
        <v>4136</v>
      </c>
      <c r="I766" s="32" t="e">
        <f>VLOOKUP(H766,'合同高级查询数据-8月返'!A:A,1,FALSE)</f>
        <v>#N/A</v>
      </c>
      <c r="J766" s="35" t="s">
        <v>37</v>
      </c>
      <c r="K766" s="25" t="s">
        <v>4142</v>
      </c>
      <c r="L766" s="34" t="s">
        <v>4143</v>
      </c>
      <c r="M766" s="49"/>
      <c r="N766" s="105">
        <v>42236</v>
      </c>
      <c r="O766" s="34" t="s">
        <v>4144</v>
      </c>
      <c r="P766" s="260">
        <v>6740</v>
      </c>
      <c r="Q766" s="113">
        <v>0.03</v>
      </c>
      <c r="R766" s="43">
        <f t="shared" si="44"/>
        <v>202.2</v>
      </c>
      <c r="S766" s="55">
        <v>202307</v>
      </c>
      <c r="T766" s="264" t="s">
        <v>4145</v>
      </c>
      <c r="U766" s="25"/>
      <c r="V766" s="273"/>
      <c r="W766" s="291"/>
      <c r="X766" s="105"/>
      <c r="Y766" s="105"/>
      <c r="Z766" s="196"/>
      <c r="AA766" s="195"/>
      <c r="AB766" s="302"/>
      <c r="AC766" s="282"/>
    </row>
    <row r="767" spans="1:29" s="9" customFormat="1" ht="15" customHeight="1">
      <c r="A767" s="25" t="s">
        <v>191</v>
      </c>
      <c r="B767" s="93" t="s">
        <v>3775</v>
      </c>
      <c r="C767" s="27" t="s">
        <v>1870</v>
      </c>
      <c r="D767" s="27" t="s">
        <v>3750</v>
      </c>
      <c r="E767" s="25" t="s">
        <v>4134</v>
      </c>
      <c r="F767" s="25" t="s">
        <v>4135</v>
      </c>
      <c r="G767" s="34" t="s">
        <v>35</v>
      </c>
      <c r="H767" s="93" t="s">
        <v>4136</v>
      </c>
      <c r="I767" s="32" t="e">
        <f>VLOOKUP(H767,'合同高级查询数据-8月返'!A:A,1,FALSE)</f>
        <v>#N/A</v>
      </c>
      <c r="J767" s="35" t="s">
        <v>37</v>
      </c>
      <c r="K767" s="25" t="s">
        <v>4142</v>
      </c>
      <c r="L767" s="34" t="s">
        <v>4143</v>
      </c>
      <c r="M767" s="49"/>
      <c r="N767" s="105">
        <v>42236</v>
      </c>
      <c r="O767" s="34" t="s">
        <v>4144</v>
      </c>
      <c r="P767" s="260">
        <v>6740</v>
      </c>
      <c r="Q767" s="113">
        <v>50.67</v>
      </c>
      <c r="R767" s="43">
        <f t="shared" si="44"/>
        <v>341515.8</v>
      </c>
      <c r="S767" s="55">
        <v>202308</v>
      </c>
      <c r="T767" s="264" t="s">
        <v>4146</v>
      </c>
      <c r="U767" s="139"/>
      <c r="V767" s="273">
        <v>50.668006896999998</v>
      </c>
      <c r="W767" s="291"/>
      <c r="X767" s="105"/>
      <c r="Y767" s="105"/>
      <c r="Z767" s="196" t="s">
        <v>4147</v>
      </c>
      <c r="AA767" s="196">
        <v>0.4</v>
      </c>
      <c r="AB767" s="282">
        <v>120</v>
      </c>
      <c r="AC767" s="282">
        <f t="shared" si="46"/>
        <v>48</v>
      </c>
    </row>
    <row r="768" spans="1:29" s="9" customFormat="1" ht="15" customHeight="1">
      <c r="A768" s="25" t="s">
        <v>191</v>
      </c>
      <c r="B768" s="93" t="s">
        <v>3775</v>
      </c>
      <c r="C768" s="27" t="s">
        <v>1870</v>
      </c>
      <c r="D768" s="27" t="s">
        <v>3750</v>
      </c>
      <c r="E768" s="25" t="s">
        <v>4134</v>
      </c>
      <c r="F768" s="25" t="s">
        <v>4135</v>
      </c>
      <c r="G768" s="34" t="s">
        <v>35</v>
      </c>
      <c r="H768" s="93" t="s">
        <v>4136</v>
      </c>
      <c r="I768" s="32" t="e">
        <f>VLOOKUP(H768,'合同高级查询数据-8月返'!A:A,1,FALSE)</f>
        <v>#N/A</v>
      </c>
      <c r="J768" s="35" t="s">
        <v>37</v>
      </c>
      <c r="K768" s="25" t="s">
        <v>4148</v>
      </c>
      <c r="L768" s="34" t="s">
        <v>4149</v>
      </c>
      <c r="M768" s="49"/>
      <c r="N768" s="105" t="s">
        <v>4150</v>
      </c>
      <c r="O768" s="34" t="s">
        <v>4151</v>
      </c>
      <c r="P768" s="260">
        <v>6740</v>
      </c>
      <c r="Q768" s="113">
        <v>0.86</v>
      </c>
      <c r="R768" s="43">
        <f t="shared" si="44"/>
        <v>5796.4</v>
      </c>
      <c r="S768" s="55">
        <v>202307</v>
      </c>
      <c r="T768" s="264" t="s">
        <v>4152</v>
      </c>
      <c r="U768" s="139"/>
      <c r="V768" s="273"/>
      <c r="W768" s="291"/>
      <c r="X768" s="105"/>
      <c r="Y768" s="105"/>
      <c r="Z768" s="196"/>
      <c r="AA768" s="196"/>
      <c r="AB768" s="282"/>
      <c r="AC768" s="282"/>
    </row>
    <row r="769" spans="1:29" s="9" customFormat="1" ht="15" customHeight="1">
      <c r="A769" s="25" t="s">
        <v>191</v>
      </c>
      <c r="B769" s="93" t="s">
        <v>3775</v>
      </c>
      <c r="C769" s="27" t="s">
        <v>1870</v>
      </c>
      <c r="D769" s="27" t="s">
        <v>3750</v>
      </c>
      <c r="E769" s="25" t="s">
        <v>4134</v>
      </c>
      <c r="F769" s="25" t="s">
        <v>4135</v>
      </c>
      <c r="G769" s="34" t="s">
        <v>35</v>
      </c>
      <c r="H769" s="93" t="s">
        <v>4136</v>
      </c>
      <c r="I769" s="32" t="e">
        <f>VLOOKUP(H769,'合同高级查询数据-8月返'!A:A,1,FALSE)</f>
        <v>#N/A</v>
      </c>
      <c r="J769" s="35" t="s">
        <v>37</v>
      </c>
      <c r="K769" s="25" t="s">
        <v>4148</v>
      </c>
      <c r="L769" s="34" t="s">
        <v>4149</v>
      </c>
      <c r="M769" s="49"/>
      <c r="N769" s="105" t="s">
        <v>4150</v>
      </c>
      <c r="O769" s="34" t="s">
        <v>4151</v>
      </c>
      <c r="P769" s="260">
        <v>6740</v>
      </c>
      <c r="Q769" s="113">
        <v>106.25</v>
      </c>
      <c r="R769" s="43">
        <f t="shared" si="44"/>
        <v>716125</v>
      </c>
      <c r="S769" s="55">
        <v>202308</v>
      </c>
      <c r="T769" s="64" t="s">
        <v>4153</v>
      </c>
      <c r="U769" s="139"/>
      <c r="V769" s="273">
        <v>106.25355529799999</v>
      </c>
      <c r="W769" s="291"/>
      <c r="X769" s="105"/>
      <c r="Y769" s="105"/>
      <c r="Z769" s="196" t="s">
        <v>4154</v>
      </c>
      <c r="AA769" s="196">
        <v>0.4</v>
      </c>
      <c r="AB769" s="282">
        <v>220</v>
      </c>
      <c r="AC769" s="282">
        <f t="shared" si="46"/>
        <v>88</v>
      </c>
    </row>
    <row r="770" spans="1:29" s="9" customFormat="1" ht="15" customHeight="1">
      <c r="A770" s="25" t="s">
        <v>191</v>
      </c>
      <c r="B770" s="93" t="s">
        <v>3775</v>
      </c>
      <c r="C770" s="27" t="s">
        <v>1870</v>
      </c>
      <c r="D770" s="27" t="s">
        <v>3750</v>
      </c>
      <c r="E770" s="25" t="s">
        <v>4134</v>
      </c>
      <c r="F770" s="25" t="s">
        <v>4135</v>
      </c>
      <c r="G770" s="34" t="s">
        <v>35</v>
      </c>
      <c r="H770" s="93" t="s">
        <v>4155</v>
      </c>
      <c r="I770" s="32" t="e">
        <f>VLOOKUP(H770,'合同高级查询数据-8月返'!A:A,1,FALSE)</f>
        <v>#N/A</v>
      </c>
      <c r="J770" s="93" t="s">
        <v>37</v>
      </c>
      <c r="K770" s="93" t="s">
        <v>4156</v>
      </c>
      <c r="L770" s="93" t="s">
        <v>4156</v>
      </c>
      <c r="M770" s="93" t="s">
        <v>4157</v>
      </c>
      <c r="N770" s="279">
        <v>45108</v>
      </c>
      <c r="O770" s="93" t="s">
        <v>319</v>
      </c>
      <c r="P770" s="272">
        <v>6740</v>
      </c>
      <c r="Q770" s="113">
        <v>97.94</v>
      </c>
      <c r="R770" s="43">
        <f t="shared" si="44"/>
        <v>660115.6</v>
      </c>
      <c r="S770" s="55">
        <v>202308</v>
      </c>
      <c r="T770" s="64" t="s">
        <v>4158</v>
      </c>
      <c r="U770" s="139"/>
      <c r="V770" s="273">
        <v>97.941993713000002</v>
      </c>
      <c r="W770" s="291"/>
      <c r="X770" s="105"/>
      <c r="Y770" s="105"/>
      <c r="Z770" s="196" t="s">
        <v>4159</v>
      </c>
      <c r="AA770" s="196">
        <v>0.4</v>
      </c>
      <c r="AB770" s="282">
        <v>200</v>
      </c>
      <c r="AC770" s="282">
        <f t="shared" si="46"/>
        <v>80</v>
      </c>
    </row>
    <row r="771" spans="1:29" s="9" customFormat="1" ht="15" customHeight="1">
      <c r="A771" s="25" t="s">
        <v>191</v>
      </c>
      <c r="B771" s="93" t="s">
        <v>3775</v>
      </c>
      <c r="C771" s="27" t="s">
        <v>1870</v>
      </c>
      <c r="D771" s="27" t="s">
        <v>3750</v>
      </c>
      <c r="E771" s="25" t="s">
        <v>4134</v>
      </c>
      <c r="F771" s="25" t="s">
        <v>4135</v>
      </c>
      <c r="G771" s="34" t="s">
        <v>35</v>
      </c>
      <c r="H771" s="93" t="s">
        <v>4136</v>
      </c>
      <c r="I771" s="32" t="e">
        <f>VLOOKUP(H771,'合同高级查询数据-8月返'!A:A,1,FALSE)</f>
        <v>#N/A</v>
      </c>
      <c r="J771" s="35" t="s">
        <v>37</v>
      </c>
      <c r="K771" s="25" t="s">
        <v>4160</v>
      </c>
      <c r="L771" s="34" t="s">
        <v>4160</v>
      </c>
      <c r="M771" s="49"/>
      <c r="N771" s="105">
        <v>44904</v>
      </c>
      <c r="O771" s="34" t="s">
        <v>3011</v>
      </c>
      <c r="P771" s="260">
        <v>6740</v>
      </c>
      <c r="Q771" s="113">
        <v>57.52</v>
      </c>
      <c r="R771" s="43">
        <f t="shared" si="44"/>
        <v>387684.8</v>
      </c>
      <c r="S771" s="55">
        <v>202308</v>
      </c>
      <c r="T771" s="264" t="s">
        <v>4161</v>
      </c>
      <c r="U771" s="139"/>
      <c r="V771" s="273">
        <v>57.515060425000001</v>
      </c>
      <c r="W771" s="291"/>
      <c r="X771" s="105"/>
      <c r="Y771" s="105"/>
      <c r="Z771" s="196" t="s">
        <v>4162</v>
      </c>
      <c r="AA771" s="196">
        <v>0.4</v>
      </c>
      <c r="AB771" s="282">
        <v>120</v>
      </c>
      <c r="AC771" s="282">
        <f t="shared" si="46"/>
        <v>48</v>
      </c>
    </row>
    <row r="772" spans="1:29" s="9" customFormat="1" ht="15" customHeight="1">
      <c r="A772" s="25" t="s">
        <v>191</v>
      </c>
      <c r="B772" s="93" t="s">
        <v>3775</v>
      </c>
      <c r="C772" s="27" t="s">
        <v>1870</v>
      </c>
      <c r="D772" s="27" t="s">
        <v>3750</v>
      </c>
      <c r="E772" s="25" t="s">
        <v>4134</v>
      </c>
      <c r="F772" s="25" t="s">
        <v>4135</v>
      </c>
      <c r="G772" s="34" t="s">
        <v>35</v>
      </c>
      <c r="H772" s="93" t="s">
        <v>4136</v>
      </c>
      <c r="I772" s="32" t="e">
        <f>VLOOKUP(H772,'合同高级查询数据-8月返'!A:A,1,FALSE)</f>
        <v>#N/A</v>
      </c>
      <c r="J772" s="35" t="s">
        <v>37</v>
      </c>
      <c r="K772" s="25" t="s">
        <v>4163</v>
      </c>
      <c r="L772" s="34" t="s">
        <v>4164</v>
      </c>
      <c r="M772" s="49"/>
      <c r="N772" s="50" t="s">
        <v>4165</v>
      </c>
      <c r="O772" s="125" t="s">
        <v>4166</v>
      </c>
      <c r="P772" s="260">
        <v>6740</v>
      </c>
      <c r="Q772" s="113"/>
      <c r="R772" s="43">
        <f t="shared" si="44"/>
        <v>0</v>
      </c>
      <c r="S772" s="55">
        <v>202308</v>
      </c>
      <c r="T772" s="264" t="s">
        <v>4167</v>
      </c>
      <c r="U772" s="139"/>
      <c r="V772" s="273">
        <v>0</v>
      </c>
      <c r="W772" s="79"/>
      <c r="X772" s="105"/>
      <c r="Y772" s="105"/>
      <c r="Z772" s="196" t="s">
        <v>4168</v>
      </c>
      <c r="AA772" s="196">
        <v>0.4</v>
      </c>
      <c r="AB772" s="282">
        <v>0</v>
      </c>
      <c r="AC772" s="282">
        <f t="shared" si="46"/>
        <v>0</v>
      </c>
    </row>
    <row r="773" spans="1:29" s="9" customFormat="1" ht="15" customHeight="1">
      <c r="A773" s="25" t="s">
        <v>191</v>
      </c>
      <c r="B773" s="93" t="s">
        <v>3775</v>
      </c>
      <c r="C773" s="27" t="s">
        <v>1870</v>
      </c>
      <c r="D773" s="27" t="s">
        <v>3750</v>
      </c>
      <c r="E773" s="25" t="s">
        <v>4134</v>
      </c>
      <c r="F773" s="25" t="s">
        <v>4135</v>
      </c>
      <c r="G773" s="34" t="s">
        <v>35</v>
      </c>
      <c r="H773" s="93" t="s">
        <v>4169</v>
      </c>
      <c r="I773" s="32" t="e">
        <f>VLOOKUP(H773,'合同高级查询数据-8月返'!A:A,1,FALSE)</f>
        <v>#N/A</v>
      </c>
      <c r="J773" s="35" t="s">
        <v>37</v>
      </c>
      <c r="K773" s="34" t="s">
        <v>4170</v>
      </c>
      <c r="L773" s="34" t="s">
        <v>4170</v>
      </c>
      <c r="M773" s="49" t="s">
        <v>4171</v>
      </c>
      <c r="N773" s="50">
        <v>45142</v>
      </c>
      <c r="O773" s="125" t="s">
        <v>79</v>
      </c>
      <c r="P773" s="260">
        <v>0</v>
      </c>
      <c r="Q773" s="113"/>
      <c r="R773" s="43">
        <f t="shared" si="44"/>
        <v>0</v>
      </c>
      <c r="S773" s="55">
        <v>202308</v>
      </c>
      <c r="T773" s="264" t="s">
        <v>4172</v>
      </c>
      <c r="U773" s="139"/>
      <c r="V773" s="273"/>
      <c r="W773" s="79"/>
      <c r="X773" s="105"/>
      <c r="Y773" s="105"/>
      <c r="Z773" s="196"/>
      <c r="AA773" s="196"/>
      <c r="AB773" s="282"/>
      <c r="AC773" s="282"/>
    </row>
    <row r="774" spans="1:29" s="9" customFormat="1" ht="15" customHeight="1">
      <c r="A774" s="25" t="s">
        <v>191</v>
      </c>
      <c r="B774" s="93" t="s">
        <v>3775</v>
      </c>
      <c r="C774" s="27" t="s">
        <v>1870</v>
      </c>
      <c r="D774" s="27" t="s">
        <v>3750</v>
      </c>
      <c r="E774" s="25" t="s">
        <v>4134</v>
      </c>
      <c r="F774" s="25" t="s">
        <v>4135</v>
      </c>
      <c r="G774" s="34" t="s">
        <v>35</v>
      </c>
      <c r="H774" s="93" t="s">
        <v>4136</v>
      </c>
      <c r="I774" s="32" t="e">
        <f>VLOOKUP(H774,'合同高级查询数据-8月返'!A:A,1,FALSE)</f>
        <v>#N/A</v>
      </c>
      <c r="J774" s="35" t="s">
        <v>37</v>
      </c>
      <c r="K774" s="25" t="s">
        <v>4173</v>
      </c>
      <c r="L774" s="34" t="s">
        <v>4174</v>
      </c>
      <c r="M774" s="49"/>
      <c r="N774" s="105" t="s">
        <v>4138</v>
      </c>
      <c r="O774" s="34" t="s">
        <v>4175</v>
      </c>
      <c r="P774" s="260">
        <v>6740</v>
      </c>
      <c r="Q774" s="113"/>
      <c r="R774" s="43">
        <f t="shared" si="44"/>
        <v>0</v>
      </c>
      <c r="S774" s="55">
        <v>202308</v>
      </c>
      <c r="T774" s="264" t="s">
        <v>4176</v>
      </c>
      <c r="U774" s="139"/>
      <c r="V774" s="273">
        <v>0</v>
      </c>
      <c r="W774" s="291"/>
      <c r="X774" s="105"/>
      <c r="Y774" s="105"/>
      <c r="Z774" s="196" t="s">
        <v>4177</v>
      </c>
      <c r="AA774" s="196"/>
      <c r="AB774" s="282"/>
      <c r="AC774" s="282"/>
    </row>
    <row r="775" spans="1:29" s="9" customFormat="1" ht="15" customHeight="1">
      <c r="A775" s="25" t="s">
        <v>191</v>
      </c>
      <c r="B775" s="93" t="s">
        <v>3775</v>
      </c>
      <c r="C775" s="27" t="s">
        <v>1870</v>
      </c>
      <c r="D775" s="27" t="s">
        <v>3750</v>
      </c>
      <c r="E775" s="25" t="s">
        <v>4134</v>
      </c>
      <c r="F775" s="25" t="s">
        <v>4135</v>
      </c>
      <c r="G775" s="34" t="s">
        <v>35</v>
      </c>
      <c r="H775" s="93" t="s">
        <v>4136</v>
      </c>
      <c r="I775" s="32" t="e">
        <f>VLOOKUP(H775,'合同高级查询数据-8月返'!A:A,1,FALSE)</f>
        <v>#N/A</v>
      </c>
      <c r="J775" s="35" t="s">
        <v>37</v>
      </c>
      <c r="K775" s="25" t="s">
        <v>4178</v>
      </c>
      <c r="L775" s="34" t="s">
        <v>4179</v>
      </c>
      <c r="M775" s="49"/>
      <c r="N775" s="105" t="s">
        <v>4180</v>
      </c>
      <c r="O775" s="34" t="s">
        <v>521</v>
      </c>
      <c r="P775" s="260">
        <v>6100</v>
      </c>
      <c r="Q775" s="113"/>
      <c r="R775" s="43">
        <f t="shared" si="44"/>
        <v>0</v>
      </c>
      <c r="S775" s="55">
        <v>202308</v>
      </c>
      <c r="T775" s="264" t="s">
        <v>4181</v>
      </c>
      <c r="U775" s="139"/>
      <c r="V775" s="273">
        <v>0</v>
      </c>
      <c r="W775" s="79"/>
      <c r="X775" s="105"/>
      <c r="Y775" s="105"/>
      <c r="Z775" s="196" t="s">
        <v>4182</v>
      </c>
      <c r="AA775" s="196"/>
      <c r="AB775" s="282">
        <v>0</v>
      </c>
      <c r="AC775" s="282">
        <f>AA775*AB775</f>
        <v>0</v>
      </c>
    </row>
    <row r="776" spans="1:29" s="9" customFormat="1" ht="15" customHeight="1">
      <c r="A776" s="25" t="s">
        <v>191</v>
      </c>
      <c r="B776" s="93" t="s">
        <v>3775</v>
      </c>
      <c r="C776" s="27" t="s">
        <v>1870</v>
      </c>
      <c r="D776" s="27" t="s">
        <v>3750</v>
      </c>
      <c r="E776" s="25" t="s">
        <v>4114</v>
      </c>
      <c r="F776" s="25" t="s">
        <v>4115</v>
      </c>
      <c r="G776" s="34" t="s">
        <v>35</v>
      </c>
      <c r="H776" s="93" t="s">
        <v>4183</v>
      </c>
      <c r="I776" s="32" t="e">
        <f>VLOOKUP(H776,'合同高级查询数据-8月返'!A:A,1,FALSE)</f>
        <v>#N/A</v>
      </c>
      <c r="J776" s="35" t="s">
        <v>37</v>
      </c>
      <c r="K776" s="25" t="s">
        <v>4184</v>
      </c>
      <c r="L776" s="34" t="s">
        <v>4185</v>
      </c>
      <c r="M776" s="49" t="s">
        <v>4186</v>
      </c>
      <c r="N776" s="105">
        <v>45113</v>
      </c>
      <c r="O776" s="34" t="s">
        <v>319</v>
      </c>
      <c r="P776" s="260">
        <v>6740</v>
      </c>
      <c r="Q776" s="113">
        <v>80</v>
      </c>
      <c r="R776" s="43">
        <f t="shared" si="44"/>
        <v>539200</v>
      </c>
      <c r="S776" s="55">
        <v>202308</v>
      </c>
      <c r="T776" s="264" t="s">
        <v>4187</v>
      </c>
      <c r="U776" s="139"/>
      <c r="V776" s="273">
        <v>79.593177677</v>
      </c>
      <c r="W776" s="79"/>
      <c r="X776" s="105"/>
      <c r="Y776" s="105"/>
      <c r="Z776" s="196" t="s">
        <v>4188</v>
      </c>
      <c r="AA776" s="196">
        <v>0.4</v>
      </c>
      <c r="AB776" s="282">
        <v>200</v>
      </c>
      <c r="AC776" s="282">
        <f>AA776*AB776</f>
        <v>80</v>
      </c>
    </row>
    <row r="777" spans="1:29" s="9" customFormat="1" ht="15" customHeight="1">
      <c r="A777" s="25" t="s">
        <v>191</v>
      </c>
      <c r="B777" s="93" t="s">
        <v>3775</v>
      </c>
      <c r="C777" s="27" t="s">
        <v>1870</v>
      </c>
      <c r="D777" s="27" t="s">
        <v>3750</v>
      </c>
      <c r="E777" s="25" t="s">
        <v>4126</v>
      </c>
      <c r="F777" s="25" t="s">
        <v>4127</v>
      </c>
      <c r="G777" s="34" t="s">
        <v>35</v>
      </c>
      <c r="H777" s="93" t="s">
        <v>4189</v>
      </c>
      <c r="I777" s="32" t="e">
        <f>VLOOKUP(H777,'合同高级查询数据-8月返'!A:A,1,FALSE)</f>
        <v>#N/A</v>
      </c>
      <c r="J777" s="35" t="s">
        <v>37</v>
      </c>
      <c r="K777" s="25" t="s">
        <v>4190</v>
      </c>
      <c r="L777" s="34" t="s">
        <v>4191</v>
      </c>
      <c r="M777" s="49" t="s">
        <v>4192</v>
      </c>
      <c r="N777" s="105">
        <v>45115</v>
      </c>
      <c r="O777" s="34" t="s">
        <v>319</v>
      </c>
      <c r="P777" s="260">
        <v>6740</v>
      </c>
      <c r="Q777" s="113">
        <v>80.819999999999993</v>
      </c>
      <c r="R777" s="43">
        <f t="shared" ref="R777" si="47">ROUND(P777*Q777,2)</f>
        <v>544726.80000000005</v>
      </c>
      <c r="S777" s="55">
        <v>202308</v>
      </c>
      <c r="T777" s="264" t="s">
        <v>4193</v>
      </c>
      <c r="U777" s="139"/>
      <c r="V777" s="273">
        <v>80.818082177999997</v>
      </c>
      <c r="W777" s="79"/>
      <c r="X777" s="105"/>
      <c r="Y777" s="105"/>
      <c r="Z777" s="196" t="s">
        <v>4194</v>
      </c>
      <c r="AA777" s="196">
        <v>0.4</v>
      </c>
      <c r="AB777" s="282">
        <v>200</v>
      </c>
      <c r="AC777" s="282">
        <f>AA777*AB777</f>
        <v>80</v>
      </c>
    </row>
    <row r="778" spans="1:29" s="9" customFormat="1" ht="15" customHeight="1">
      <c r="A778" s="92" t="s">
        <v>191</v>
      </c>
      <c r="B778" s="93" t="s">
        <v>3679</v>
      </c>
      <c r="C778" s="93" t="s">
        <v>3785</v>
      </c>
      <c r="D778" s="93" t="s">
        <v>3750</v>
      </c>
      <c r="E778" s="92" t="s">
        <v>4195</v>
      </c>
      <c r="F778" s="92" t="s">
        <v>4196</v>
      </c>
      <c r="G778" s="92" t="s">
        <v>35</v>
      </c>
      <c r="H778" s="32" t="s">
        <v>4197</v>
      </c>
      <c r="I778" s="32" t="e">
        <f>VLOOKUP(H778,'合同高级查询数据-8月返'!A:A,1,FALSE)</f>
        <v>#N/A</v>
      </c>
      <c r="J778" s="169" t="s">
        <v>37</v>
      </c>
      <c r="K778" s="92" t="s">
        <v>4198</v>
      </c>
      <c r="L778" s="98" t="s">
        <v>4199</v>
      </c>
      <c r="M778" s="49"/>
      <c r="N778" s="105" t="s">
        <v>4200</v>
      </c>
      <c r="O778" s="105" t="s">
        <v>4201</v>
      </c>
      <c r="P778" s="260">
        <v>6740</v>
      </c>
      <c r="Q778" s="113"/>
      <c r="R778" s="265">
        <f t="shared" si="44"/>
        <v>0</v>
      </c>
      <c r="S778" s="55">
        <v>202308</v>
      </c>
      <c r="T778" s="264" t="s">
        <v>4202</v>
      </c>
      <c r="U778" s="272"/>
      <c r="V778" s="273">
        <v>0</v>
      </c>
      <c r="W778" s="275"/>
      <c r="X778" s="105"/>
      <c r="Y778" s="105"/>
      <c r="Z778" s="196" t="s">
        <v>4203</v>
      </c>
      <c r="AA778" s="196"/>
      <c r="AB778" s="282">
        <v>0</v>
      </c>
      <c r="AC778" s="282">
        <f t="shared" ref="AC778:AC784" si="48">AA778*AB778</f>
        <v>0</v>
      </c>
    </row>
    <row r="779" spans="1:29" s="9" customFormat="1" ht="15" customHeight="1">
      <c r="A779" s="92" t="s">
        <v>191</v>
      </c>
      <c r="B779" s="93" t="s">
        <v>3679</v>
      </c>
      <c r="C779" s="93" t="s">
        <v>3785</v>
      </c>
      <c r="D779" s="93" t="s">
        <v>3750</v>
      </c>
      <c r="E779" s="92" t="s">
        <v>4195</v>
      </c>
      <c r="F779" s="92" t="s">
        <v>4196</v>
      </c>
      <c r="G779" s="92" t="s">
        <v>35</v>
      </c>
      <c r="H779" s="32" t="s">
        <v>4197</v>
      </c>
      <c r="I779" s="32" t="e">
        <f>VLOOKUP(H779,'合同高级查询数据-8月返'!A:A,1,FALSE)</f>
        <v>#N/A</v>
      </c>
      <c r="J779" s="169" t="s">
        <v>37</v>
      </c>
      <c r="K779" s="92" t="s">
        <v>4204</v>
      </c>
      <c r="L779" s="98" t="s">
        <v>4204</v>
      </c>
      <c r="M779" s="49"/>
      <c r="N779" s="105" t="s">
        <v>4205</v>
      </c>
      <c r="O779" s="105" t="s">
        <v>4206</v>
      </c>
      <c r="P779" s="260">
        <v>6740</v>
      </c>
      <c r="Q779" s="113"/>
      <c r="R779" s="265">
        <f t="shared" si="44"/>
        <v>0</v>
      </c>
      <c r="S779" s="55">
        <v>202308</v>
      </c>
      <c r="T779" s="264" t="s">
        <v>4202</v>
      </c>
      <c r="U779" s="272"/>
      <c r="V779" s="273">
        <v>0</v>
      </c>
      <c r="W779" s="275"/>
      <c r="X779" s="105"/>
      <c r="Y779" s="105"/>
      <c r="Z779" s="196" t="s">
        <v>4207</v>
      </c>
      <c r="AA779" s="196"/>
      <c r="AB779" s="282">
        <v>0</v>
      </c>
      <c r="AC779" s="282">
        <f t="shared" si="48"/>
        <v>0</v>
      </c>
    </row>
    <row r="780" spans="1:29" s="9" customFormat="1" ht="15" customHeight="1">
      <c r="A780" s="92" t="s">
        <v>191</v>
      </c>
      <c r="B780" s="93" t="s">
        <v>3679</v>
      </c>
      <c r="C780" s="93" t="s">
        <v>3785</v>
      </c>
      <c r="D780" s="93" t="s">
        <v>3750</v>
      </c>
      <c r="E780" s="92" t="s">
        <v>4195</v>
      </c>
      <c r="F780" s="92" t="s">
        <v>4196</v>
      </c>
      <c r="G780" s="92" t="s">
        <v>35</v>
      </c>
      <c r="H780" s="32" t="s">
        <v>4197</v>
      </c>
      <c r="I780" s="32" t="e">
        <f>VLOOKUP(H780,'合同高级查询数据-8月返'!A:A,1,FALSE)</f>
        <v>#N/A</v>
      </c>
      <c r="J780" s="169" t="s">
        <v>4208</v>
      </c>
      <c r="K780" s="92" t="s">
        <v>4209</v>
      </c>
      <c r="L780" s="98" t="s">
        <v>4210</v>
      </c>
      <c r="M780" s="49"/>
      <c r="N780" s="105" t="s">
        <v>4211</v>
      </c>
      <c r="O780" s="105" t="s">
        <v>4212</v>
      </c>
      <c r="P780" s="260">
        <v>6740</v>
      </c>
      <c r="Q780" s="113">
        <v>66.010000000000005</v>
      </c>
      <c r="R780" s="265">
        <f t="shared" si="44"/>
        <v>444907.4</v>
      </c>
      <c r="S780" s="55">
        <v>202308</v>
      </c>
      <c r="T780" s="264" t="s">
        <v>4213</v>
      </c>
      <c r="U780" s="272"/>
      <c r="V780" s="273">
        <v>66.007652282999999</v>
      </c>
      <c r="W780" s="275"/>
      <c r="X780" s="105"/>
      <c r="Y780" s="105"/>
      <c r="Z780" s="196" t="s">
        <v>4214</v>
      </c>
      <c r="AA780" s="196">
        <v>0.4</v>
      </c>
      <c r="AB780" s="282">
        <v>160</v>
      </c>
      <c r="AC780" s="282">
        <f t="shared" si="48"/>
        <v>64</v>
      </c>
    </row>
    <row r="781" spans="1:29" s="9" customFormat="1" ht="15" customHeight="1">
      <c r="A781" s="92" t="s">
        <v>191</v>
      </c>
      <c r="B781" s="93" t="s">
        <v>3679</v>
      </c>
      <c r="C781" s="93" t="s">
        <v>3785</v>
      </c>
      <c r="D781" s="93" t="s">
        <v>3750</v>
      </c>
      <c r="E781" s="92" t="s">
        <v>4195</v>
      </c>
      <c r="F781" s="92" t="s">
        <v>4196</v>
      </c>
      <c r="G781" s="92" t="s">
        <v>35</v>
      </c>
      <c r="H781" s="32" t="s">
        <v>4197</v>
      </c>
      <c r="I781" s="32" t="e">
        <f>VLOOKUP(H781,'合同高级查询数据-8月返'!A:A,1,FALSE)</f>
        <v>#N/A</v>
      </c>
      <c r="J781" s="169" t="s">
        <v>37</v>
      </c>
      <c r="K781" s="92" t="s">
        <v>4215</v>
      </c>
      <c r="L781" s="98" t="s">
        <v>4216</v>
      </c>
      <c r="M781" s="49" t="s">
        <v>4217</v>
      </c>
      <c r="N781" s="50" t="s">
        <v>4218</v>
      </c>
      <c r="O781" s="105" t="s">
        <v>1848</v>
      </c>
      <c r="P781" s="260">
        <v>6740</v>
      </c>
      <c r="Q781" s="113"/>
      <c r="R781" s="265">
        <f t="shared" si="44"/>
        <v>0</v>
      </c>
      <c r="S781" s="55">
        <v>202308</v>
      </c>
      <c r="T781" s="264" t="s">
        <v>4219</v>
      </c>
      <c r="U781" s="272"/>
      <c r="V781" s="273">
        <v>0</v>
      </c>
      <c r="W781" s="275"/>
      <c r="X781" s="105"/>
      <c r="Y781" s="105"/>
      <c r="Z781" s="196" t="s">
        <v>4220</v>
      </c>
      <c r="AA781" s="196">
        <v>0.4</v>
      </c>
      <c r="AB781" s="282">
        <v>0</v>
      </c>
      <c r="AC781" s="282">
        <f t="shared" si="48"/>
        <v>0</v>
      </c>
    </row>
    <row r="782" spans="1:29" s="9" customFormat="1" ht="15" customHeight="1">
      <c r="A782" s="92" t="s">
        <v>191</v>
      </c>
      <c r="B782" s="93" t="s">
        <v>3679</v>
      </c>
      <c r="C782" s="93" t="s">
        <v>3785</v>
      </c>
      <c r="D782" s="93" t="s">
        <v>3750</v>
      </c>
      <c r="E782" s="92" t="s">
        <v>4195</v>
      </c>
      <c r="F782" s="92" t="s">
        <v>4196</v>
      </c>
      <c r="G782" s="92" t="s">
        <v>35</v>
      </c>
      <c r="H782" s="32" t="s">
        <v>4197</v>
      </c>
      <c r="I782" s="32" t="e">
        <f>VLOOKUP(H782,'合同高级查询数据-8月返'!A:A,1,FALSE)</f>
        <v>#N/A</v>
      </c>
      <c r="J782" s="169" t="s">
        <v>37</v>
      </c>
      <c r="K782" s="92" t="s">
        <v>4221</v>
      </c>
      <c r="L782" s="98" t="s">
        <v>4222</v>
      </c>
      <c r="M782" s="49" t="s">
        <v>4217</v>
      </c>
      <c r="N782" s="105">
        <v>44899</v>
      </c>
      <c r="O782" s="105" t="s">
        <v>447</v>
      </c>
      <c r="P782" s="260">
        <v>6740</v>
      </c>
      <c r="Q782" s="113">
        <v>40.57</v>
      </c>
      <c r="R782" s="265">
        <f t="shared" si="44"/>
        <v>273441.8</v>
      </c>
      <c r="S782" s="55">
        <v>202308</v>
      </c>
      <c r="T782" s="264" t="s">
        <v>4223</v>
      </c>
      <c r="U782" s="272"/>
      <c r="V782" s="273">
        <v>40.569847107000001</v>
      </c>
      <c r="W782" s="275"/>
      <c r="X782" s="105"/>
      <c r="Y782" s="105"/>
      <c r="Z782" s="196" t="s">
        <v>4224</v>
      </c>
      <c r="AA782" s="196">
        <v>0.4</v>
      </c>
      <c r="AB782" s="282">
        <v>100</v>
      </c>
      <c r="AC782" s="282">
        <f t="shared" si="48"/>
        <v>40</v>
      </c>
    </row>
    <row r="783" spans="1:29" s="9" customFormat="1" ht="15" customHeight="1">
      <c r="A783" s="92" t="s">
        <v>191</v>
      </c>
      <c r="B783" s="93" t="s">
        <v>3679</v>
      </c>
      <c r="C783" s="93" t="s">
        <v>3785</v>
      </c>
      <c r="D783" s="93" t="s">
        <v>3750</v>
      </c>
      <c r="E783" s="92" t="s">
        <v>4195</v>
      </c>
      <c r="F783" s="92" t="s">
        <v>4196</v>
      </c>
      <c r="G783" s="92" t="s">
        <v>35</v>
      </c>
      <c r="H783" s="32" t="s">
        <v>4225</v>
      </c>
      <c r="I783" s="32" t="e">
        <f>VLOOKUP(H783,'合同高级查询数据-8月返'!A:A,1,FALSE)</f>
        <v>#N/A</v>
      </c>
      <c r="J783" s="169" t="s">
        <v>37</v>
      </c>
      <c r="K783" s="92" t="s">
        <v>4226</v>
      </c>
      <c r="L783" s="98" t="s">
        <v>4227</v>
      </c>
      <c r="M783" s="49" t="s">
        <v>4217</v>
      </c>
      <c r="N783" s="105">
        <v>44986</v>
      </c>
      <c r="O783" s="105" t="s">
        <v>2113</v>
      </c>
      <c r="P783" s="260">
        <v>0</v>
      </c>
      <c r="Q783" s="113">
        <v>0</v>
      </c>
      <c r="R783" s="265">
        <f t="shared" si="44"/>
        <v>0</v>
      </c>
      <c r="S783" s="55">
        <v>202308</v>
      </c>
      <c r="T783" s="264" t="s">
        <v>4228</v>
      </c>
      <c r="U783" s="272"/>
      <c r="V783" s="273">
        <v>0</v>
      </c>
      <c r="W783" s="275"/>
      <c r="X783" s="105"/>
      <c r="Y783" s="105"/>
      <c r="Z783" s="196" t="s">
        <v>4229</v>
      </c>
      <c r="AA783" s="196">
        <v>0.4</v>
      </c>
      <c r="AB783" s="282">
        <v>80</v>
      </c>
      <c r="AC783" s="282">
        <f t="shared" si="48"/>
        <v>32</v>
      </c>
    </row>
    <row r="784" spans="1:29" s="9" customFormat="1" ht="15" customHeight="1">
      <c r="A784" s="92" t="s">
        <v>191</v>
      </c>
      <c r="B784" s="93" t="s">
        <v>3679</v>
      </c>
      <c r="C784" s="93" t="s">
        <v>3785</v>
      </c>
      <c r="D784" s="93" t="s">
        <v>3750</v>
      </c>
      <c r="E784" s="92" t="s">
        <v>4195</v>
      </c>
      <c r="F784" s="92" t="s">
        <v>4196</v>
      </c>
      <c r="G784" s="92" t="s">
        <v>35</v>
      </c>
      <c r="H784" s="32" t="s">
        <v>4197</v>
      </c>
      <c r="I784" s="32" t="e">
        <f>VLOOKUP(H784,'合同高级查询数据-8月返'!A:A,1,FALSE)</f>
        <v>#N/A</v>
      </c>
      <c r="J784" s="169" t="s">
        <v>37</v>
      </c>
      <c r="K784" s="92" t="s">
        <v>4230</v>
      </c>
      <c r="L784" s="98" t="s">
        <v>4231</v>
      </c>
      <c r="M784" s="49" t="s">
        <v>4232</v>
      </c>
      <c r="N784" s="105">
        <v>44993</v>
      </c>
      <c r="O784" s="105" t="s">
        <v>319</v>
      </c>
      <c r="P784" s="260">
        <v>6740</v>
      </c>
      <c r="Q784" s="113">
        <v>82.67</v>
      </c>
      <c r="R784" s="265">
        <f t="shared" si="44"/>
        <v>557195.80000000005</v>
      </c>
      <c r="S784" s="55">
        <v>202308</v>
      </c>
      <c r="T784" s="264" t="s">
        <v>4233</v>
      </c>
      <c r="U784" s="272"/>
      <c r="V784" s="273">
        <v>82.671752929999997</v>
      </c>
      <c r="W784" s="275"/>
      <c r="X784" s="105"/>
      <c r="Y784" s="105"/>
      <c r="Z784" s="196" t="s">
        <v>4234</v>
      </c>
      <c r="AA784" s="196">
        <v>0.4</v>
      </c>
      <c r="AB784" s="282">
        <v>200</v>
      </c>
      <c r="AC784" s="282">
        <f t="shared" si="48"/>
        <v>80</v>
      </c>
    </row>
    <row r="785" spans="1:29" s="10" customFormat="1" ht="15" customHeight="1">
      <c r="A785" s="30" t="s">
        <v>191</v>
      </c>
      <c r="B785" s="94" t="s">
        <v>3808</v>
      </c>
      <c r="C785" s="30" t="s">
        <v>1770</v>
      </c>
      <c r="D785" s="28" t="s">
        <v>3750</v>
      </c>
      <c r="E785" s="30" t="s">
        <v>4235</v>
      </c>
      <c r="F785" s="30" t="s">
        <v>4236</v>
      </c>
      <c r="G785" s="30" t="s">
        <v>35</v>
      </c>
      <c r="H785" s="33" t="s">
        <v>4237</v>
      </c>
      <c r="I785" s="33" t="e">
        <f>VLOOKUP(H785,'合同高级查询数据-8月返'!A:A,1,FALSE)</f>
        <v>#N/A</v>
      </c>
      <c r="J785" s="167" t="s">
        <v>37</v>
      </c>
      <c r="K785" s="30" t="s">
        <v>1772</v>
      </c>
      <c r="L785" s="168" t="s">
        <v>4236</v>
      </c>
      <c r="M785" s="107"/>
      <c r="N785" s="74" t="s">
        <v>4238</v>
      </c>
      <c r="O785" s="28" t="s">
        <v>4239</v>
      </c>
      <c r="P785" s="256">
        <v>6740</v>
      </c>
      <c r="Q785" s="115">
        <v>0.05</v>
      </c>
      <c r="R785" s="262">
        <f t="shared" si="44"/>
        <v>337</v>
      </c>
      <c r="S785" s="59">
        <v>202305</v>
      </c>
      <c r="T785" s="266" t="s">
        <v>4240</v>
      </c>
      <c r="U785" s="276"/>
      <c r="V785" s="269"/>
      <c r="W785" s="276"/>
      <c r="X785" s="108">
        <v>44927</v>
      </c>
      <c r="Y785" s="108">
        <v>45107</v>
      </c>
      <c r="Z785" s="193"/>
      <c r="AA785" s="317"/>
      <c r="AB785" s="317"/>
      <c r="AC785" s="317"/>
    </row>
    <row r="786" spans="1:29" s="9" customFormat="1" ht="15" customHeight="1">
      <c r="A786" s="27" t="s">
        <v>191</v>
      </c>
      <c r="B786" s="92" t="s">
        <v>3808</v>
      </c>
      <c r="C786" s="27" t="s">
        <v>1770</v>
      </c>
      <c r="D786" s="25" t="s">
        <v>3750</v>
      </c>
      <c r="E786" s="27" t="s">
        <v>4235</v>
      </c>
      <c r="F786" s="27" t="s">
        <v>4236</v>
      </c>
      <c r="G786" s="27" t="s">
        <v>35</v>
      </c>
      <c r="H786" s="32" t="s">
        <v>4241</v>
      </c>
      <c r="I786" s="32" t="e">
        <f>VLOOKUP(H786,'合同高级查询数据-8月返'!A:A,1,FALSE)</f>
        <v>#N/A</v>
      </c>
      <c r="J786" s="169" t="s">
        <v>37</v>
      </c>
      <c r="K786" s="27" t="s">
        <v>1772</v>
      </c>
      <c r="L786" s="170" t="s">
        <v>4236</v>
      </c>
      <c r="M786" s="49"/>
      <c r="N786" s="70" t="s">
        <v>4238</v>
      </c>
      <c r="O786" s="25" t="s">
        <v>4239</v>
      </c>
      <c r="P786" s="260">
        <v>6740</v>
      </c>
      <c r="Q786" s="113">
        <v>31.3</v>
      </c>
      <c r="R786" s="265">
        <f t="shared" si="44"/>
        <v>210962</v>
      </c>
      <c r="S786" s="55">
        <v>202308</v>
      </c>
      <c r="T786" s="264" t="s">
        <v>4242</v>
      </c>
      <c r="U786" s="275"/>
      <c r="V786" s="273">
        <v>31.296777724999998</v>
      </c>
      <c r="W786" s="291"/>
      <c r="X786" s="105"/>
      <c r="Y786" s="105"/>
      <c r="Z786" s="196" t="s">
        <v>4243</v>
      </c>
      <c r="AA786" s="196">
        <v>0.4</v>
      </c>
      <c r="AB786" s="282">
        <v>70</v>
      </c>
      <c r="AC786" s="282">
        <f>AA786*AB786</f>
        <v>28</v>
      </c>
    </row>
    <row r="787" spans="1:29" s="9" customFormat="1" ht="15" customHeight="1">
      <c r="A787" s="92" t="s">
        <v>191</v>
      </c>
      <c r="B787" s="93" t="s">
        <v>3679</v>
      </c>
      <c r="C787" s="93" t="s">
        <v>2351</v>
      </c>
      <c r="D787" s="93" t="s">
        <v>3750</v>
      </c>
      <c r="E787" s="92" t="s">
        <v>4244</v>
      </c>
      <c r="F787" s="92" t="s">
        <v>4245</v>
      </c>
      <c r="G787" s="92" t="s">
        <v>35</v>
      </c>
      <c r="H787" s="32" t="s">
        <v>4246</v>
      </c>
      <c r="I787" s="32" t="e">
        <f>VLOOKUP(H787,'合同高级查询数据-8月返'!A:A,1,FALSE)</f>
        <v>#N/A</v>
      </c>
      <c r="J787" s="169" t="s">
        <v>37</v>
      </c>
      <c r="K787" s="92" t="s">
        <v>4247</v>
      </c>
      <c r="L787" s="98" t="s">
        <v>4248</v>
      </c>
      <c r="M787" s="49"/>
      <c r="N787" s="105" t="s">
        <v>4249</v>
      </c>
      <c r="O787" s="105" t="s">
        <v>4250</v>
      </c>
      <c r="P787" s="260">
        <v>6740</v>
      </c>
      <c r="Q787" s="113">
        <v>0.05</v>
      </c>
      <c r="R787" s="265">
        <f t="shared" si="44"/>
        <v>337</v>
      </c>
      <c r="S787" s="55">
        <v>202307</v>
      </c>
      <c r="T787" s="264" t="s">
        <v>4251</v>
      </c>
      <c r="U787" s="272"/>
      <c r="V787" s="273"/>
      <c r="W787" s="275"/>
      <c r="X787" s="105"/>
      <c r="Y787" s="105"/>
      <c r="Z787" s="196"/>
      <c r="AA787" s="275"/>
      <c r="AB787" s="275"/>
      <c r="AC787" s="275"/>
    </row>
    <row r="788" spans="1:29" s="9" customFormat="1" ht="15" customHeight="1">
      <c r="A788" s="92" t="s">
        <v>191</v>
      </c>
      <c r="B788" s="93" t="s">
        <v>3679</v>
      </c>
      <c r="C788" s="93" t="s">
        <v>2351</v>
      </c>
      <c r="D788" s="93" t="s">
        <v>3750</v>
      </c>
      <c r="E788" s="92" t="s">
        <v>4244</v>
      </c>
      <c r="F788" s="92" t="s">
        <v>4245</v>
      </c>
      <c r="G788" s="92" t="s">
        <v>35</v>
      </c>
      <c r="H788" s="32" t="s">
        <v>4246</v>
      </c>
      <c r="I788" s="32" t="e">
        <f>VLOOKUP(H788,'合同高级查询数据-8月返'!A:A,1,FALSE)</f>
        <v>#N/A</v>
      </c>
      <c r="J788" s="169" t="s">
        <v>37</v>
      </c>
      <c r="K788" s="92" t="s">
        <v>4247</v>
      </c>
      <c r="L788" s="98" t="s">
        <v>4248</v>
      </c>
      <c r="M788" s="49"/>
      <c r="N788" s="105" t="s">
        <v>4249</v>
      </c>
      <c r="O788" s="105" t="s">
        <v>4250</v>
      </c>
      <c r="P788" s="260">
        <v>6740</v>
      </c>
      <c r="Q788" s="113">
        <v>65.42</v>
      </c>
      <c r="R788" s="265">
        <f t="shared" si="44"/>
        <v>440930.8</v>
      </c>
      <c r="S788" s="55">
        <v>202308</v>
      </c>
      <c r="T788" s="264" t="s">
        <v>4252</v>
      </c>
      <c r="U788" s="272"/>
      <c r="V788" s="273">
        <v>65.421493530000006</v>
      </c>
      <c r="W788" s="275"/>
      <c r="X788" s="105"/>
      <c r="Y788" s="105"/>
      <c r="Z788" s="196" t="s">
        <v>4253</v>
      </c>
      <c r="AA788" s="196">
        <v>0.4</v>
      </c>
      <c r="AB788" s="282">
        <v>160</v>
      </c>
      <c r="AC788" s="282">
        <f>AA788*AB788</f>
        <v>64</v>
      </c>
    </row>
    <row r="789" spans="1:29" s="9" customFormat="1" ht="15" customHeight="1">
      <c r="A789" s="92" t="s">
        <v>191</v>
      </c>
      <c r="B789" s="93" t="s">
        <v>3679</v>
      </c>
      <c r="C789" s="93" t="s">
        <v>2351</v>
      </c>
      <c r="D789" s="93" t="s">
        <v>3750</v>
      </c>
      <c r="E789" s="92" t="s">
        <v>4244</v>
      </c>
      <c r="F789" s="92" t="s">
        <v>4245</v>
      </c>
      <c r="G789" s="92" t="s">
        <v>35</v>
      </c>
      <c r="H789" s="32" t="s">
        <v>4246</v>
      </c>
      <c r="I789" s="32" t="e">
        <f>VLOOKUP(H789,'合同高级查询数据-8月返'!A:A,1,FALSE)</f>
        <v>#N/A</v>
      </c>
      <c r="J789" s="169" t="s">
        <v>37</v>
      </c>
      <c r="K789" s="92" t="s">
        <v>2353</v>
      </c>
      <c r="L789" s="98" t="s">
        <v>4254</v>
      </c>
      <c r="M789" s="49"/>
      <c r="N789" s="105">
        <v>43497</v>
      </c>
      <c r="O789" s="105" t="s">
        <v>1748</v>
      </c>
      <c r="P789" s="260">
        <v>6740</v>
      </c>
      <c r="Q789" s="113"/>
      <c r="R789" s="265">
        <f t="shared" si="44"/>
        <v>0</v>
      </c>
      <c r="S789" s="55">
        <v>202308</v>
      </c>
      <c r="T789" s="264" t="s">
        <v>4255</v>
      </c>
      <c r="U789" s="272"/>
      <c r="V789" s="273">
        <v>0</v>
      </c>
      <c r="W789" s="275"/>
      <c r="X789" s="105"/>
      <c r="Y789" s="105"/>
      <c r="Z789" s="196" t="s">
        <v>4256</v>
      </c>
      <c r="AA789" s="196"/>
      <c r="AB789" s="282">
        <v>0</v>
      </c>
      <c r="AC789" s="282">
        <f>AA789*AB789</f>
        <v>0</v>
      </c>
    </row>
    <row r="790" spans="1:29" s="9" customFormat="1" ht="15" customHeight="1">
      <c r="A790" s="92" t="s">
        <v>191</v>
      </c>
      <c r="B790" s="93" t="s">
        <v>3679</v>
      </c>
      <c r="C790" s="93" t="s">
        <v>2351</v>
      </c>
      <c r="D790" s="93" t="s">
        <v>3750</v>
      </c>
      <c r="E790" s="92" t="s">
        <v>4244</v>
      </c>
      <c r="F790" s="92" t="s">
        <v>4245</v>
      </c>
      <c r="G790" s="92" t="s">
        <v>35</v>
      </c>
      <c r="H790" s="32" t="s">
        <v>4246</v>
      </c>
      <c r="I790" s="32" t="e">
        <f>VLOOKUP(H790,'合同高级查询数据-8月返'!A:A,1,FALSE)</f>
        <v>#N/A</v>
      </c>
      <c r="J790" s="169" t="s">
        <v>37</v>
      </c>
      <c r="K790" s="92" t="s">
        <v>2353</v>
      </c>
      <c r="L790" s="98" t="s">
        <v>4257</v>
      </c>
      <c r="M790" s="49"/>
      <c r="N790" s="105">
        <v>44933</v>
      </c>
      <c r="O790" s="105" t="s">
        <v>4258</v>
      </c>
      <c r="P790" s="260">
        <v>6740</v>
      </c>
      <c r="Q790" s="113">
        <v>0.56999999999999995</v>
      </c>
      <c r="R790" s="265">
        <f t="shared" si="44"/>
        <v>3841.8</v>
      </c>
      <c r="S790" s="55">
        <v>202307</v>
      </c>
      <c r="T790" s="264" t="s">
        <v>4259</v>
      </c>
      <c r="U790" s="272"/>
      <c r="V790" s="273"/>
      <c r="W790" s="275"/>
      <c r="X790" s="105"/>
      <c r="Y790" s="105"/>
      <c r="Z790" s="196"/>
      <c r="AA790" s="196"/>
      <c r="AB790" s="282"/>
      <c r="AC790" s="282"/>
    </row>
    <row r="791" spans="1:29" s="9" customFormat="1" ht="15" customHeight="1">
      <c r="A791" s="92" t="s">
        <v>191</v>
      </c>
      <c r="B791" s="93" t="s">
        <v>3679</v>
      </c>
      <c r="C791" s="93" t="s">
        <v>2351</v>
      </c>
      <c r="D791" s="93" t="s">
        <v>3750</v>
      </c>
      <c r="E791" s="92" t="s">
        <v>4244</v>
      </c>
      <c r="F791" s="92" t="s">
        <v>4245</v>
      </c>
      <c r="G791" s="92" t="s">
        <v>35</v>
      </c>
      <c r="H791" s="32" t="s">
        <v>4246</v>
      </c>
      <c r="I791" s="32" t="e">
        <f>VLOOKUP(H791,'合同高级查询数据-8月返'!A:A,1,FALSE)</f>
        <v>#N/A</v>
      </c>
      <c r="J791" s="169" t="s">
        <v>37</v>
      </c>
      <c r="K791" s="92" t="s">
        <v>2353</v>
      </c>
      <c r="L791" s="98" t="s">
        <v>4257</v>
      </c>
      <c r="M791" s="49"/>
      <c r="N791" s="105">
        <v>44933</v>
      </c>
      <c r="O791" s="105" t="s">
        <v>4258</v>
      </c>
      <c r="P791" s="260">
        <v>6740</v>
      </c>
      <c r="Q791" s="113">
        <v>169.73</v>
      </c>
      <c r="R791" s="265">
        <f t="shared" si="44"/>
        <v>1143980.2</v>
      </c>
      <c r="S791" s="55">
        <v>202308</v>
      </c>
      <c r="T791" s="264" t="s">
        <v>4260</v>
      </c>
      <c r="U791" s="272"/>
      <c r="V791" s="273">
        <v>168.91684345499999</v>
      </c>
      <c r="W791" s="275">
        <v>170.53</v>
      </c>
      <c r="X791" s="105"/>
      <c r="Y791" s="105"/>
      <c r="Z791" s="196" t="s">
        <v>4261</v>
      </c>
      <c r="AA791" s="196">
        <v>0.4</v>
      </c>
      <c r="AB791" s="282">
        <v>360</v>
      </c>
      <c r="AC791" s="282">
        <f>AA791*AB791</f>
        <v>144</v>
      </c>
    </row>
    <row r="792" spans="1:29" s="9" customFormat="1" ht="15" customHeight="1">
      <c r="A792" s="92" t="s">
        <v>191</v>
      </c>
      <c r="B792" s="93" t="s">
        <v>3679</v>
      </c>
      <c r="C792" s="93" t="s">
        <v>2351</v>
      </c>
      <c r="D792" s="93" t="s">
        <v>3750</v>
      </c>
      <c r="E792" s="92" t="s">
        <v>4244</v>
      </c>
      <c r="F792" s="92" t="s">
        <v>4245</v>
      </c>
      <c r="G792" s="92" t="s">
        <v>35</v>
      </c>
      <c r="H792" s="32" t="s">
        <v>4246</v>
      </c>
      <c r="I792" s="32" t="e">
        <f>VLOOKUP(H792,'合同高级查询数据-8月返'!A:A,1,FALSE)</f>
        <v>#N/A</v>
      </c>
      <c r="J792" s="169" t="s">
        <v>1293</v>
      </c>
      <c r="K792" s="92" t="s">
        <v>4262</v>
      </c>
      <c r="L792" s="98" t="s">
        <v>4263</v>
      </c>
      <c r="M792" s="49"/>
      <c r="N792" s="105">
        <v>44986</v>
      </c>
      <c r="O792" s="105" t="s">
        <v>1569</v>
      </c>
      <c r="P792" s="260">
        <v>6740</v>
      </c>
      <c r="Q792" s="113">
        <v>1.87</v>
      </c>
      <c r="R792" s="54">
        <f t="shared" si="44"/>
        <v>12603.8</v>
      </c>
      <c r="S792" s="55">
        <v>202307</v>
      </c>
      <c r="T792" s="264" t="s">
        <v>4264</v>
      </c>
      <c r="U792" s="272"/>
      <c r="V792" s="273"/>
      <c r="W792" s="275"/>
      <c r="X792" s="105"/>
      <c r="Y792" s="105"/>
      <c r="Z792" s="196"/>
      <c r="AA792" s="196"/>
      <c r="AB792" s="282"/>
      <c r="AC792" s="282"/>
    </row>
    <row r="793" spans="1:29" s="9" customFormat="1" ht="15" customHeight="1">
      <c r="A793" s="92" t="s">
        <v>191</v>
      </c>
      <c r="B793" s="93" t="s">
        <v>3679</v>
      </c>
      <c r="C793" s="93" t="s">
        <v>2351</v>
      </c>
      <c r="D793" s="93" t="s">
        <v>3750</v>
      </c>
      <c r="E793" s="92" t="s">
        <v>4244</v>
      </c>
      <c r="F793" s="92" t="s">
        <v>4245</v>
      </c>
      <c r="G793" s="92" t="s">
        <v>35</v>
      </c>
      <c r="H793" s="32" t="s">
        <v>4246</v>
      </c>
      <c r="I793" s="32" t="e">
        <f>VLOOKUP(H793,'合同高级查询数据-8月返'!A:A,1,FALSE)</f>
        <v>#N/A</v>
      </c>
      <c r="J793" s="169" t="s">
        <v>1293</v>
      </c>
      <c r="K793" s="92" t="s">
        <v>4262</v>
      </c>
      <c r="L793" s="98" t="s">
        <v>4263</v>
      </c>
      <c r="M793" s="49"/>
      <c r="N793" s="105">
        <v>44986</v>
      </c>
      <c r="O793" s="105" t="s">
        <v>1569</v>
      </c>
      <c r="P793" s="260">
        <v>6740</v>
      </c>
      <c r="Q793" s="113">
        <v>64</v>
      </c>
      <c r="R793" s="54">
        <f t="shared" si="44"/>
        <v>431360</v>
      </c>
      <c r="S793" s="55">
        <v>202308</v>
      </c>
      <c r="T793" s="264" t="s">
        <v>4265</v>
      </c>
      <c r="U793" s="272"/>
      <c r="V793" s="273">
        <v>60.983479932881998</v>
      </c>
      <c r="W793" s="275">
        <v>64</v>
      </c>
      <c r="X793" s="105"/>
      <c r="Y793" s="105"/>
      <c r="Z793" s="196" t="s">
        <v>4266</v>
      </c>
      <c r="AA793" s="196">
        <v>0.4</v>
      </c>
      <c r="AB793" s="282">
        <v>160</v>
      </c>
      <c r="AC793" s="282">
        <f>AA793*AB793</f>
        <v>64</v>
      </c>
    </row>
    <row r="794" spans="1:29" s="9" customFormat="1" ht="15" customHeight="1">
      <c r="A794" s="92" t="s">
        <v>191</v>
      </c>
      <c r="B794" s="93" t="s">
        <v>3679</v>
      </c>
      <c r="C794" s="93" t="s">
        <v>2351</v>
      </c>
      <c r="D794" s="93" t="s">
        <v>3750</v>
      </c>
      <c r="E794" s="92" t="s">
        <v>4244</v>
      </c>
      <c r="F794" s="92" t="s">
        <v>4245</v>
      </c>
      <c r="G794" s="92" t="s">
        <v>35</v>
      </c>
      <c r="H794" s="32" t="s">
        <v>4267</v>
      </c>
      <c r="I794" s="32" t="e">
        <f>VLOOKUP(H794,'合同高级查询数据-8月返'!A:A,1,FALSE)</f>
        <v>#N/A</v>
      </c>
      <c r="J794" s="169" t="s">
        <v>37</v>
      </c>
      <c r="K794" s="92" t="s">
        <v>2353</v>
      </c>
      <c r="L794" s="98" t="s">
        <v>4268</v>
      </c>
      <c r="M794" s="49" t="s">
        <v>4269</v>
      </c>
      <c r="N794" s="105">
        <v>45139</v>
      </c>
      <c r="O794" s="105" t="s">
        <v>319</v>
      </c>
      <c r="P794" s="260">
        <v>6740</v>
      </c>
      <c r="Q794" s="265">
        <v>80.040000000000006</v>
      </c>
      <c r="R794" s="54">
        <f t="shared" si="44"/>
        <v>539469.6</v>
      </c>
      <c r="S794" s="55">
        <v>202308</v>
      </c>
      <c r="T794" s="264" t="s">
        <v>4270</v>
      </c>
      <c r="U794" s="272"/>
      <c r="V794" s="273">
        <v>80.039163543000001</v>
      </c>
      <c r="W794" s="275"/>
      <c r="X794" s="105"/>
      <c r="Y794" s="105"/>
      <c r="Z794" s="196" t="s">
        <v>4271</v>
      </c>
      <c r="AA794" s="196">
        <v>0.4</v>
      </c>
      <c r="AB794" s="282">
        <v>200</v>
      </c>
      <c r="AC794" s="282">
        <f>AA794*AB794</f>
        <v>80</v>
      </c>
    </row>
    <row r="795" spans="1:29" s="9" customFormat="1" ht="15" customHeight="1">
      <c r="A795" s="92" t="s">
        <v>191</v>
      </c>
      <c r="B795" s="93" t="s">
        <v>3679</v>
      </c>
      <c r="C795" s="93" t="s">
        <v>2351</v>
      </c>
      <c r="D795" s="93" t="s">
        <v>3750</v>
      </c>
      <c r="E795" s="92" t="s">
        <v>4244</v>
      </c>
      <c r="F795" s="92" t="s">
        <v>4272</v>
      </c>
      <c r="G795" s="92" t="s">
        <v>35</v>
      </c>
      <c r="H795" s="32" t="s">
        <v>4273</v>
      </c>
      <c r="I795" s="32" t="e">
        <f>VLOOKUP(H795,'合同高级查询数据-8月返'!A:A,1,FALSE)</f>
        <v>#N/A</v>
      </c>
      <c r="J795" s="93" t="s">
        <v>157</v>
      </c>
      <c r="K795" s="92" t="s">
        <v>4274</v>
      </c>
      <c r="L795" s="98" t="s">
        <v>4263</v>
      </c>
      <c r="M795" s="49"/>
      <c r="N795" s="105">
        <v>43831</v>
      </c>
      <c r="O795" s="105" t="s">
        <v>2164</v>
      </c>
      <c r="P795" s="260">
        <v>15000</v>
      </c>
      <c r="Q795" s="113"/>
      <c r="R795" s="265">
        <f t="shared" si="44"/>
        <v>0</v>
      </c>
      <c r="S795" s="55">
        <v>202308</v>
      </c>
      <c r="T795" s="264" t="s">
        <v>4275</v>
      </c>
      <c r="U795" s="272"/>
      <c r="V795" s="273"/>
      <c r="W795" s="275"/>
      <c r="X795" s="105"/>
      <c r="Y795" s="105"/>
      <c r="Z795" s="196" t="s">
        <v>4276</v>
      </c>
      <c r="AA795" s="196"/>
      <c r="AB795" s="282">
        <v>0</v>
      </c>
      <c r="AC795" s="282">
        <f>AA795*AB795</f>
        <v>0</v>
      </c>
    </row>
    <row r="796" spans="1:29" s="9" customFormat="1" ht="15" customHeight="1">
      <c r="A796" s="27" t="s">
        <v>191</v>
      </c>
      <c r="B796" s="92" t="s">
        <v>3808</v>
      </c>
      <c r="C796" s="27" t="s">
        <v>3866</v>
      </c>
      <c r="D796" s="25" t="s">
        <v>3750</v>
      </c>
      <c r="E796" s="27" t="s">
        <v>4277</v>
      </c>
      <c r="F796" s="27" t="s">
        <v>4278</v>
      </c>
      <c r="G796" s="27" t="s">
        <v>35</v>
      </c>
      <c r="H796" s="32" t="s">
        <v>4279</v>
      </c>
      <c r="I796" s="32" t="e">
        <f>VLOOKUP(H796,'合同高级查询数据-8月返'!A:A,1,FALSE)</f>
        <v>#N/A</v>
      </c>
      <c r="J796" s="169" t="s">
        <v>37</v>
      </c>
      <c r="K796" s="27" t="s">
        <v>4280</v>
      </c>
      <c r="L796" s="170" t="s">
        <v>4278</v>
      </c>
      <c r="M796" s="49" t="s">
        <v>4281</v>
      </c>
      <c r="N796" s="70" t="s">
        <v>4282</v>
      </c>
      <c r="O796" s="25" t="s">
        <v>4283</v>
      </c>
      <c r="P796" s="260">
        <v>6740</v>
      </c>
      <c r="Q796" s="113">
        <v>8.8699999999999992</v>
      </c>
      <c r="R796" s="265">
        <f t="shared" si="44"/>
        <v>59783.8</v>
      </c>
      <c r="S796" s="55">
        <v>202308</v>
      </c>
      <c r="T796" s="264" t="s">
        <v>4284</v>
      </c>
      <c r="U796" s="275"/>
      <c r="V796" s="273">
        <v>8.8745174410000001</v>
      </c>
      <c r="W796" s="291"/>
      <c r="X796" s="105"/>
      <c r="Y796" s="105"/>
      <c r="Z796" s="196" t="s">
        <v>4285</v>
      </c>
      <c r="AA796" s="196">
        <v>0.4</v>
      </c>
      <c r="AB796" s="282">
        <v>20</v>
      </c>
      <c r="AC796" s="282">
        <f>AA796*AB796</f>
        <v>8</v>
      </c>
    </row>
    <row r="797" spans="1:29" s="9" customFormat="1" ht="15" customHeight="1">
      <c r="A797" s="92" t="s">
        <v>191</v>
      </c>
      <c r="B797" s="93" t="s">
        <v>3679</v>
      </c>
      <c r="C797" s="93" t="s">
        <v>2515</v>
      </c>
      <c r="D797" s="93" t="s">
        <v>3750</v>
      </c>
      <c r="E797" s="92" t="s">
        <v>3733</v>
      </c>
      <c r="F797" s="92" t="s">
        <v>4286</v>
      </c>
      <c r="G797" s="92" t="s">
        <v>35</v>
      </c>
      <c r="H797" s="32" t="s">
        <v>4287</v>
      </c>
      <c r="I797" s="32" t="e">
        <f>VLOOKUP(H797,'合同高级查询数据-8月返'!A:A,1,FALSE)</f>
        <v>#N/A</v>
      </c>
      <c r="J797" s="169" t="s">
        <v>37</v>
      </c>
      <c r="K797" s="92" t="s">
        <v>4288</v>
      </c>
      <c r="L797" s="98" t="s">
        <v>4289</v>
      </c>
      <c r="M797" s="49"/>
      <c r="N797" s="105" t="s">
        <v>4290</v>
      </c>
      <c r="O797" s="105" t="s">
        <v>1911</v>
      </c>
      <c r="P797" s="260">
        <v>4100</v>
      </c>
      <c r="Q797" s="113"/>
      <c r="R797" s="265">
        <f t="shared" si="44"/>
        <v>0</v>
      </c>
      <c r="S797" s="55">
        <v>202308</v>
      </c>
      <c r="T797" s="264" t="s">
        <v>4291</v>
      </c>
      <c r="U797" s="272"/>
      <c r="V797" s="273">
        <v>0</v>
      </c>
      <c r="W797" s="275"/>
      <c r="X797" s="105"/>
      <c r="Y797" s="105"/>
      <c r="Z797" s="196" t="s">
        <v>4292</v>
      </c>
      <c r="AA797" s="196"/>
      <c r="AB797" s="282"/>
      <c r="AC797" s="282"/>
    </row>
    <row r="798" spans="1:29" s="10" customFormat="1" ht="15" customHeight="1">
      <c r="A798" s="94" t="s">
        <v>184</v>
      </c>
      <c r="B798" s="95" t="s">
        <v>4293</v>
      </c>
      <c r="C798" s="95" t="s">
        <v>2753</v>
      </c>
      <c r="D798" s="95" t="s">
        <v>3750</v>
      </c>
      <c r="E798" s="94" t="s">
        <v>4294</v>
      </c>
      <c r="F798" s="94" t="s">
        <v>4295</v>
      </c>
      <c r="G798" s="94" t="s">
        <v>35</v>
      </c>
      <c r="H798" s="33" t="s">
        <v>4296</v>
      </c>
      <c r="I798" s="33" t="e">
        <f>VLOOKUP(H798,'合同高级查询数据-8月返'!A:A,1,FALSE)</f>
        <v>#N/A</v>
      </c>
      <c r="J798" s="167" t="s">
        <v>1293</v>
      </c>
      <c r="K798" s="94" t="s">
        <v>4297</v>
      </c>
      <c r="L798" s="99" t="s">
        <v>4298</v>
      </c>
      <c r="M798" s="107"/>
      <c r="N798" s="108" t="s">
        <v>4299</v>
      </c>
      <c r="O798" s="108" t="s">
        <v>447</v>
      </c>
      <c r="P798" s="256">
        <v>21000</v>
      </c>
      <c r="Q798" s="115">
        <v>10</v>
      </c>
      <c r="R798" s="262">
        <f t="shared" si="44"/>
        <v>210000</v>
      </c>
      <c r="S798" s="59">
        <v>202308</v>
      </c>
      <c r="T798" s="266" t="s">
        <v>4300</v>
      </c>
      <c r="U798" s="268"/>
      <c r="V798" s="269">
        <v>9.9340929218749991</v>
      </c>
      <c r="W798" s="276">
        <v>10.050000000000001</v>
      </c>
      <c r="X798" s="108">
        <v>43692</v>
      </c>
      <c r="Y798" s="108">
        <v>45883</v>
      </c>
      <c r="Z798" s="193" t="s">
        <v>4301</v>
      </c>
      <c r="AA798" s="193">
        <v>0.1</v>
      </c>
      <c r="AB798" s="283">
        <v>100</v>
      </c>
      <c r="AC798" s="283">
        <f t="shared" ref="AC798:AC806" si="49">AB798*AA798</f>
        <v>10</v>
      </c>
    </row>
    <row r="799" spans="1:29" s="10" customFormat="1" ht="15" customHeight="1">
      <c r="A799" s="94" t="s">
        <v>184</v>
      </c>
      <c r="B799" s="95" t="s">
        <v>4293</v>
      </c>
      <c r="C799" s="95" t="s">
        <v>2753</v>
      </c>
      <c r="D799" s="95" t="s">
        <v>3750</v>
      </c>
      <c r="E799" s="94" t="s">
        <v>4294</v>
      </c>
      <c r="F799" s="94" t="s">
        <v>4295</v>
      </c>
      <c r="G799" s="94" t="s">
        <v>35</v>
      </c>
      <c r="H799" s="33" t="s">
        <v>4302</v>
      </c>
      <c r="I799" s="33" t="e">
        <f>VLOOKUP(H799,'合同高级查询数据-8月返'!A:A,1,FALSE)</f>
        <v>#N/A</v>
      </c>
      <c r="J799" s="167" t="s">
        <v>1293</v>
      </c>
      <c r="K799" s="94" t="s">
        <v>4303</v>
      </c>
      <c r="L799" s="99" t="s">
        <v>4304</v>
      </c>
      <c r="M799" s="107"/>
      <c r="N799" s="108" t="s">
        <v>4305</v>
      </c>
      <c r="O799" s="108" t="s">
        <v>4306</v>
      </c>
      <c r="P799" s="256" t="s">
        <v>4307</v>
      </c>
      <c r="Q799" s="115">
        <v>297.39999999999998</v>
      </c>
      <c r="R799" s="262">
        <f>ROUND(60*9500+(Q799-60)*8691.67,2)</f>
        <v>2633402.46</v>
      </c>
      <c r="S799" s="59">
        <v>202308</v>
      </c>
      <c r="T799" s="266" t="s">
        <v>4308</v>
      </c>
      <c r="U799" s="268"/>
      <c r="V799" s="269">
        <v>297.40214341797002</v>
      </c>
      <c r="W799" s="276"/>
      <c r="X799" s="108">
        <v>44805</v>
      </c>
      <c r="Y799" s="108">
        <v>45169</v>
      </c>
      <c r="Z799" s="193" t="s">
        <v>4309</v>
      </c>
      <c r="AA799" s="193">
        <v>0.06</v>
      </c>
      <c r="AB799" s="283">
        <v>1000</v>
      </c>
      <c r="AC799" s="283">
        <f t="shared" si="49"/>
        <v>60</v>
      </c>
    </row>
    <row r="800" spans="1:29" s="9" customFormat="1" ht="15" customHeight="1">
      <c r="A800" s="92" t="s">
        <v>184</v>
      </c>
      <c r="B800" s="93" t="s">
        <v>4293</v>
      </c>
      <c r="C800" s="93" t="s">
        <v>2753</v>
      </c>
      <c r="D800" s="93" t="s">
        <v>3750</v>
      </c>
      <c r="E800" s="92" t="s">
        <v>4310</v>
      </c>
      <c r="F800" s="92" t="s">
        <v>4295</v>
      </c>
      <c r="G800" s="92" t="s">
        <v>35</v>
      </c>
      <c r="H800" s="32" t="s">
        <v>4311</v>
      </c>
      <c r="I800" s="32" t="e">
        <f>VLOOKUP(H800,'合同高级查询数据-8月返'!A:A,1,FALSE)</f>
        <v>#N/A</v>
      </c>
      <c r="J800" s="169" t="s">
        <v>37</v>
      </c>
      <c r="K800" s="92" t="s">
        <v>4312</v>
      </c>
      <c r="L800" s="98" t="s">
        <v>4313</v>
      </c>
      <c r="M800" s="49"/>
      <c r="N800" s="105" t="s">
        <v>4314</v>
      </c>
      <c r="O800" s="105" t="s">
        <v>4315</v>
      </c>
      <c r="P800" s="260">
        <v>7750</v>
      </c>
      <c r="Q800" s="113">
        <v>7.7</v>
      </c>
      <c r="R800" s="265">
        <f t="shared" ref="R800:R817" si="50">ROUND(P800*Q800,2)</f>
        <v>59675</v>
      </c>
      <c r="S800" s="55">
        <v>202308</v>
      </c>
      <c r="T800" s="264" t="s">
        <v>4316</v>
      </c>
      <c r="U800" s="272"/>
      <c r="V800" s="273">
        <v>7.6737184520000001</v>
      </c>
      <c r="W800" s="275"/>
      <c r="X800" s="105"/>
      <c r="Y800" s="105"/>
      <c r="Z800" s="196" t="s">
        <v>4317</v>
      </c>
      <c r="AA800" s="196">
        <v>0.3</v>
      </c>
      <c r="AB800" s="282">
        <v>20</v>
      </c>
      <c r="AC800" s="282">
        <f t="shared" si="49"/>
        <v>6</v>
      </c>
    </row>
    <row r="801" spans="1:29" s="9" customFormat="1" ht="15" customHeight="1">
      <c r="A801" s="92" t="s">
        <v>184</v>
      </c>
      <c r="B801" s="93" t="s">
        <v>4293</v>
      </c>
      <c r="C801" s="93" t="s">
        <v>2753</v>
      </c>
      <c r="D801" s="93" t="s">
        <v>3750</v>
      </c>
      <c r="E801" s="92" t="s">
        <v>4310</v>
      </c>
      <c r="F801" s="92" t="s">
        <v>4295</v>
      </c>
      <c r="G801" s="92" t="s">
        <v>35</v>
      </c>
      <c r="H801" s="32" t="s">
        <v>4311</v>
      </c>
      <c r="I801" s="32" t="e">
        <f>VLOOKUP(H801,'合同高级查询数据-8月返'!A:A,1,FALSE)</f>
        <v>#N/A</v>
      </c>
      <c r="J801" s="169" t="s">
        <v>325</v>
      </c>
      <c r="K801" s="92" t="s">
        <v>4318</v>
      </c>
      <c r="L801" s="98" t="s">
        <v>4319</v>
      </c>
      <c r="M801" s="49"/>
      <c r="N801" s="105" t="s">
        <v>4320</v>
      </c>
      <c r="O801" s="105" t="s">
        <v>146</v>
      </c>
      <c r="P801" s="260">
        <v>7750</v>
      </c>
      <c r="Q801" s="113">
        <v>5.2</v>
      </c>
      <c r="R801" s="265">
        <f t="shared" si="50"/>
        <v>40300</v>
      </c>
      <c r="S801" s="55">
        <v>202308</v>
      </c>
      <c r="T801" s="264" t="s">
        <v>4321</v>
      </c>
      <c r="U801" s="272"/>
      <c r="V801" s="273">
        <v>5.16</v>
      </c>
      <c r="W801" s="275"/>
      <c r="X801" s="105"/>
      <c r="Y801" s="105"/>
      <c r="Z801" s="196" t="s">
        <v>4318</v>
      </c>
      <c r="AA801" s="196">
        <v>0.3</v>
      </c>
      <c r="AB801" s="282">
        <v>20</v>
      </c>
      <c r="AC801" s="282">
        <f t="shared" si="49"/>
        <v>6</v>
      </c>
    </row>
    <row r="802" spans="1:29" s="9" customFormat="1" ht="15" customHeight="1">
      <c r="A802" s="92" t="s">
        <v>184</v>
      </c>
      <c r="B802" s="93" t="s">
        <v>4293</v>
      </c>
      <c r="C802" s="93" t="s">
        <v>2753</v>
      </c>
      <c r="D802" s="93" t="s">
        <v>3750</v>
      </c>
      <c r="E802" s="92" t="s">
        <v>4310</v>
      </c>
      <c r="F802" s="92" t="s">
        <v>4322</v>
      </c>
      <c r="G802" s="92" t="s">
        <v>35</v>
      </c>
      <c r="H802" s="32" t="s">
        <v>4311</v>
      </c>
      <c r="I802" s="32" t="e">
        <f>VLOOKUP(H802,'合同高级查询数据-8月返'!A:A,1,FALSE)</f>
        <v>#N/A</v>
      </c>
      <c r="J802" s="169" t="s">
        <v>37</v>
      </c>
      <c r="K802" s="92" t="s">
        <v>4323</v>
      </c>
      <c r="L802" s="98" t="s">
        <v>4324</v>
      </c>
      <c r="M802" s="49"/>
      <c r="N802" s="105" t="s">
        <v>4325</v>
      </c>
      <c r="O802" s="105" t="s">
        <v>4326</v>
      </c>
      <c r="P802" s="260">
        <v>7750</v>
      </c>
      <c r="Q802" s="113">
        <v>126.2</v>
      </c>
      <c r="R802" s="265">
        <f t="shared" si="50"/>
        <v>978050</v>
      </c>
      <c r="S802" s="55">
        <v>202308</v>
      </c>
      <c r="T802" s="264" t="s">
        <v>4327</v>
      </c>
      <c r="U802" s="272"/>
      <c r="V802" s="273">
        <v>125.94764709499999</v>
      </c>
      <c r="W802" s="275">
        <v>126.26</v>
      </c>
      <c r="X802" s="105"/>
      <c r="Y802" s="105"/>
      <c r="Z802" s="196" t="s">
        <v>4328</v>
      </c>
      <c r="AA802" s="196">
        <v>0.3</v>
      </c>
      <c r="AB802" s="282">
        <v>400</v>
      </c>
      <c r="AC802" s="282">
        <f t="shared" si="49"/>
        <v>120</v>
      </c>
    </row>
    <row r="803" spans="1:29" s="9" customFormat="1" ht="15" customHeight="1">
      <c r="A803" s="92" t="s">
        <v>184</v>
      </c>
      <c r="B803" s="93" t="s">
        <v>4293</v>
      </c>
      <c r="C803" s="93" t="s">
        <v>2753</v>
      </c>
      <c r="D803" s="93" t="s">
        <v>3750</v>
      </c>
      <c r="E803" s="92" t="s">
        <v>4310</v>
      </c>
      <c r="F803" s="92" t="s">
        <v>4322</v>
      </c>
      <c r="G803" s="92" t="s">
        <v>35</v>
      </c>
      <c r="H803" s="32" t="s">
        <v>4311</v>
      </c>
      <c r="I803" s="32" t="e">
        <f>VLOOKUP(H803,'合同高级查询数据-8月返'!A:A,1,FALSE)</f>
        <v>#N/A</v>
      </c>
      <c r="J803" s="169" t="s">
        <v>37</v>
      </c>
      <c r="K803" s="92" t="s">
        <v>4329</v>
      </c>
      <c r="L803" s="98" t="s">
        <v>4330</v>
      </c>
      <c r="M803" s="49"/>
      <c r="N803" s="105" t="s">
        <v>4331</v>
      </c>
      <c r="O803" s="105" t="s">
        <v>4332</v>
      </c>
      <c r="P803" s="260">
        <v>7750</v>
      </c>
      <c r="Q803" s="113">
        <v>0</v>
      </c>
      <c r="R803" s="265">
        <f t="shared" si="50"/>
        <v>0</v>
      </c>
      <c r="S803" s="55">
        <v>202308</v>
      </c>
      <c r="T803" s="264" t="s">
        <v>4333</v>
      </c>
      <c r="U803" s="272"/>
      <c r="V803" s="273">
        <v>0</v>
      </c>
      <c r="W803" s="275"/>
      <c r="X803" s="105"/>
      <c r="Y803" s="105"/>
      <c r="Z803" s="196" t="s">
        <v>4334</v>
      </c>
      <c r="AA803" s="196">
        <v>0.3</v>
      </c>
      <c r="AB803" s="282">
        <v>0</v>
      </c>
      <c r="AC803" s="282">
        <f t="shared" si="49"/>
        <v>0</v>
      </c>
    </row>
    <row r="804" spans="1:29" s="9" customFormat="1" ht="15" customHeight="1">
      <c r="A804" s="92" t="s">
        <v>184</v>
      </c>
      <c r="B804" s="93" t="s">
        <v>4293</v>
      </c>
      <c r="C804" s="93" t="s">
        <v>2753</v>
      </c>
      <c r="D804" s="93" t="s">
        <v>3750</v>
      </c>
      <c r="E804" s="92" t="s">
        <v>4310</v>
      </c>
      <c r="F804" s="92" t="s">
        <v>4295</v>
      </c>
      <c r="G804" s="92" t="s">
        <v>35</v>
      </c>
      <c r="H804" s="32" t="s">
        <v>4311</v>
      </c>
      <c r="I804" s="32" t="e">
        <f>VLOOKUP(H804,'合同高级查询数据-8月返'!A:A,1,FALSE)</f>
        <v>#N/A</v>
      </c>
      <c r="J804" s="169" t="s">
        <v>37</v>
      </c>
      <c r="K804" s="92" t="s">
        <v>4335</v>
      </c>
      <c r="L804" s="98" t="s">
        <v>4336</v>
      </c>
      <c r="M804" s="49"/>
      <c r="N804" s="105" t="s">
        <v>4337</v>
      </c>
      <c r="O804" s="105" t="s">
        <v>4338</v>
      </c>
      <c r="P804" s="260">
        <v>7750</v>
      </c>
      <c r="Q804" s="113">
        <v>0</v>
      </c>
      <c r="R804" s="265">
        <f t="shared" si="50"/>
        <v>0</v>
      </c>
      <c r="S804" s="55">
        <v>202308</v>
      </c>
      <c r="T804" s="264" t="s">
        <v>4339</v>
      </c>
      <c r="U804" s="272"/>
      <c r="V804" s="273">
        <v>0</v>
      </c>
      <c r="W804" s="275"/>
      <c r="X804" s="105"/>
      <c r="Y804" s="105"/>
      <c r="Z804" s="196" t="s">
        <v>4340</v>
      </c>
      <c r="AA804" s="196">
        <v>0.3</v>
      </c>
      <c r="AB804" s="282">
        <v>0</v>
      </c>
      <c r="AC804" s="282">
        <f t="shared" si="49"/>
        <v>0</v>
      </c>
    </row>
    <row r="805" spans="1:29" s="9" customFormat="1" ht="15" customHeight="1">
      <c r="A805" s="92" t="s">
        <v>184</v>
      </c>
      <c r="B805" s="93" t="s">
        <v>4293</v>
      </c>
      <c r="C805" s="93" t="s">
        <v>2753</v>
      </c>
      <c r="D805" s="93" t="s">
        <v>3750</v>
      </c>
      <c r="E805" s="92" t="s">
        <v>4310</v>
      </c>
      <c r="F805" s="92" t="s">
        <v>4295</v>
      </c>
      <c r="G805" s="92" t="s">
        <v>35</v>
      </c>
      <c r="H805" s="32" t="s">
        <v>4311</v>
      </c>
      <c r="I805" s="32" t="e">
        <f>VLOOKUP(H805,'合同高级查询数据-8月返'!A:A,1,FALSE)</f>
        <v>#N/A</v>
      </c>
      <c r="J805" s="169" t="s">
        <v>37</v>
      </c>
      <c r="K805" s="92" t="s">
        <v>4341</v>
      </c>
      <c r="L805" s="98" t="s">
        <v>4342</v>
      </c>
      <c r="M805" s="49"/>
      <c r="N805" s="105" t="s">
        <v>4343</v>
      </c>
      <c r="O805" s="105" t="s">
        <v>759</v>
      </c>
      <c r="P805" s="260">
        <v>7750</v>
      </c>
      <c r="Q805" s="113">
        <v>115.9</v>
      </c>
      <c r="R805" s="265">
        <f t="shared" si="50"/>
        <v>898225</v>
      </c>
      <c r="S805" s="55">
        <v>202308</v>
      </c>
      <c r="T805" s="64" t="s">
        <v>4344</v>
      </c>
      <c r="U805" s="272"/>
      <c r="V805" s="273">
        <v>114.941329956</v>
      </c>
      <c r="W805" s="275">
        <v>116.82</v>
      </c>
      <c r="X805" s="105"/>
      <c r="Y805" s="105"/>
      <c r="Z805" s="196" t="s">
        <v>4341</v>
      </c>
      <c r="AA805" s="196">
        <v>0.4</v>
      </c>
      <c r="AB805" s="282">
        <v>280</v>
      </c>
      <c r="AC805" s="282">
        <f t="shared" si="49"/>
        <v>112</v>
      </c>
    </row>
    <row r="806" spans="1:29" s="9" customFormat="1" ht="15" customHeight="1">
      <c r="A806" s="92" t="s">
        <v>184</v>
      </c>
      <c r="B806" s="93" t="s">
        <v>4293</v>
      </c>
      <c r="C806" s="93" t="s">
        <v>2753</v>
      </c>
      <c r="D806" s="93" t="s">
        <v>3750</v>
      </c>
      <c r="E806" s="92" t="s">
        <v>4310</v>
      </c>
      <c r="F806" s="92" t="s">
        <v>4295</v>
      </c>
      <c r="G806" s="92" t="s">
        <v>35</v>
      </c>
      <c r="H806" s="32" t="s">
        <v>4345</v>
      </c>
      <c r="I806" s="32" t="e">
        <f>VLOOKUP(H806,'合同高级查询数据-8月返'!A:A,1,FALSE)</f>
        <v>#N/A</v>
      </c>
      <c r="J806" s="169" t="s">
        <v>37</v>
      </c>
      <c r="K806" s="92" t="s">
        <v>3073</v>
      </c>
      <c r="L806" s="98" t="s">
        <v>4346</v>
      </c>
      <c r="M806" s="49" t="s">
        <v>4347</v>
      </c>
      <c r="N806" s="105">
        <v>45078</v>
      </c>
      <c r="O806" s="105" t="s">
        <v>319</v>
      </c>
      <c r="P806" s="260">
        <v>6500</v>
      </c>
      <c r="Q806" s="113">
        <v>64.599999999999994</v>
      </c>
      <c r="R806" s="265">
        <f t="shared" si="50"/>
        <v>419900</v>
      </c>
      <c r="S806" s="55">
        <v>202308</v>
      </c>
      <c r="T806" s="264" t="s">
        <v>4348</v>
      </c>
      <c r="U806" s="272"/>
      <c r="V806" s="273">
        <v>64.410835266000007</v>
      </c>
      <c r="W806" s="275">
        <v>64.67</v>
      </c>
      <c r="X806" s="105"/>
      <c r="Y806" s="105"/>
      <c r="Z806" s="196" t="s">
        <v>4349</v>
      </c>
      <c r="AA806" s="196">
        <v>0.3</v>
      </c>
      <c r="AB806" s="282">
        <v>200</v>
      </c>
      <c r="AC806" s="282">
        <f t="shared" si="49"/>
        <v>60</v>
      </c>
    </row>
    <row r="807" spans="1:29" s="9" customFormat="1" ht="15" customHeight="1">
      <c r="A807" s="92" t="s">
        <v>136</v>
      </c>
      <c r="B807" s="93" t="s">
        <v>4293</v>
      </c>
      <c r="C807" s="93" t="s">
        <v>2753</v>
      </c>
      <c r="D807" s="93" t="s">
        <v>3750</v>
      </c>
      <c r="E807" s="92" t="s">
        <v>4350</v>
      </c>
      <c r="F807" s="92" t="s">
        <v>4351</v>
      </c>
      <c r="G807" s="92" t="s">
        <v>35</v>
      </c>
      <c r="H807" s="32" t="s">
        <v>4352</v>
      </c>
      <c r="I807" s="32" t="e">
        <f>VLOOKUP(H807,'合同高级查询数据-8月返'!A:A,1,FALSE)</f>
        <v>#N/A</v>
      </c>
      <c r="J807" s="169" t="s">
        <v>37</v>
      </c>
      <c r="K807" s="92" t="s">
        <v>4353</v>
      </c>
      <c r="L807" s="98" t="s">
        <v>4354</v>
      </c>
      <c r="M807" s="49"/>
      <c r="N807" s="105" t="s">
        <v>4355</v>
      </c>
      <c r="O807" s="105" t="s">
        <v>4356</v>
      </c>
      <c r="P807" s="260">
        <v>9000</v>
      </c>
      <c r="Q807" s="113">
        <v>0</v>
      </c>
      <c r="R807" s="265">
        <f t="shared" si="50"/>
        <v>0</v>
      </c>
      <c r="S807" s="55">
        <v>202308</v>
      </c>
      <c r="T807" s="264" t="s">
        <v>4357</v>
      </c>
      <c r="U807" s="272"/>
      <c r="V807" s="273">
        <v>0</v>
      </c>
      <c r="W807" s="275"/>
      <c r="X807" s="105"/>
      <c r="Y807" s="105"/>
      <c r="Z807" s="275" t="s">
        <v>4358</v>
      </c>
      <c r="AA807" s="195">
        <v>0.3</v>
      </c>
      <c r="AB807" s="282">
        <v>0</v>
      </c>
      <c r="AC807" s="282">
        <v>0</v>
      </c>
    </row>
    <row r="808" spans="1:29" s="10" customFormat="1" ht="15" customHeight="1">
      <c r="A808" s="94" t="s">
        <v>136</v>
      </c>
      <c r="B808" s="95" t="s">
        <v>4293</v>
      </c>
      <c r="C808" s="95" t="s">
        <v>2753</v>
      </c>
      <c r="D808" s="95" t="s">
        <v>3750</v>
      </c>
      <c r="E808" s="94" t="s">
        <v>4350</v>
      </c>
      <c r="F808" s="94" t="s">
        <v>4351</v>
      </c>
      <c r="G808" s="94" t="s">
        <v>35</v>
      </c>
      <c r="H808" s="33" t="s">
        <v>4359</v>
      </c>
      <c r="I808" s="33" t="e">
        <f>VLOOKUP(H808,'合同高级查询数据-8月返'!A:A,1,FALSE)</f>
        <v>#N/A</v>
      </c>
      <c r="J808" s="167" t="s">
        <v>1293</v>
      </c>
      <c r="K808" s="94" t="s">
        <v>4360</v>
      </c>
      <c r="L808" s="99" t="s">
        <v>4361</v>
      </c>
      <c r="M808" s="107"/>
      <c r="N808" s="108" t="s">
        <v>4362</v>
      </c>
      <c r="O808" s="108" t="s">
        <v>4363</v>
      </c>
      <c r="P808" s="256">
        <v>10000</v>
      </c>
      <c r="Q808" s="115">
        <v>66.16</v>
      </c>
      <c r="R808" s="262">
        <f t="shared" si="50"/>
        <v>661600</v>
      </c>
      <c r="S808" s="59">
        <v>202308</v>
      </c>
      <c r="T808" s="266" t="s">
        <v>4364</v>
      </c>
      <c r="U808" s="268"/>
      <c r="V808" s="269">
        <v>64.629580212999997</v>
      </c>
      <c r="W808" s="276">
        <v>67.69</v>
      </c>
      <c r="X808" s="108">
        <v>43800</v>
      </c>
      <c r="Y808" s="108">
        <v>45260</v>
      </c>
      <c r="Z808" s="276" t="s">
        <v>4365</v>
      </c>
      <c r="AA808" s="194">
        <v>0.3</v>
      </c>
      <c r="AB808" s="283">
        <v>200</v>
      </c>
      <c r="AC808" s="283">
        <f>AA808*AB808</f>
        <v>60</v>
      </c>
    </row>
    <row r="809" spans="1:29" s="9" customFormat="1" ht="15" customHeight="1">
      <c r="A809" s="92" t="s">
        <v>136</v>
      </c>
      <c r="B809" s="93" t="s">
        <v>4293</v>
      </c>
      <c r="C809" s="93" t="s">
        <v>2753</v>
      </c>
      <c r="D809" s="93" t="s">
        <v>3750</v>
      </c>
      <c r="E809" s="92" t="s">
        <v>4350</v>
      </c>
      <c r="F809" s="92" t="s">
        <v>4351</v>
      </c>
      <c r="G809" s="92" t="s">
        <v>35</v>
      </c>
      <c r="H809" s="32" t="s">
        <v>4352</v>
      </c>
      <c r="I809" s="32" t="e">
        <f>VLOOKUP(H809,'合同高级查询数据-8月返'!A:A,1,FALSE)</f>
        <v>#N/A</v>
      </c>
      <c r="J809" s="169" t="s">
        <v>37</v>
      </c>
      <c r="K809" s="92" t="s">
        <v>4366</v>
      </c>
      <c r="L809" s="98" t="s">
        <v>4367</v>
      </c>
      <c r="M809" s="49"/>
      <c r="N809" s="105" t="s">
        <v>4368</v>
      </c>
      <c r="O809" s="105" t="s">
        <v>4369</v>
      </c>
      <c r="P809" s="260">
        <v>9000</v>
      </c>
      <c r="Q809" s="113">
        <v>0</v>
      </c>
      <c r="R809" s="265">
        <f t="shared" si="50"/>
        <v>0</v>
      </c>
      <c r="S809" s="55">
        <v>202308</v>
      </c>
      <c r="T809" s="264" t="s">
        <v>4370</v>
      </c>
      <c r="U809" s="272"/>
      <c r="V809" s="273">
        <v>0</v>
      </c>
      <c r="W809" s="275"/>
      <c r="X809" s="105"/>
      <c r="Y809" s="105"/>
      <c r="Z809" s="275" t="s">
        <v>4366</v>
      </c>
      <c r="AA809" s="195">
        <v>0.3</v>
      </c>
      <c r="AB809" s="282">
        <v>160</v>
      </c>
      <c r="AC809" s="282">
        <f>AA809*AB809</f>
        <v>48</v>
      </c>
    </row>
    <row r="810" spans="1:29" s="9" customFormat="1" ht="15" customHeight="1">
      <c r="A810" s="92" t="s">
        <v>136</v>
      </c>
      <c r="B810" s="93" t="s">
        <v>4293</v>
      </c>
      <c r="C810" s="93" t="s">
        <v>2753</v>
      </c>
      <c r="D810" s="93" t="s">
        <v>3750</v>
      </c>
      <c r="E810" s="92" t="s">
        <v>4350</v>
      </c>
      <c r="F810" s="92" t="s">
        <v>4351</v>
      </c>
      <c r="G810" s="92" t="s">
        <v>35</v>
      </c>
      <c r="H810" s="32" t="s">
        <v>4352</v>
      </c>
      <c r="I810" s="32" t="e">
        <f>VLOOKUP(H810,'合同高级查询数据-8月返'!A:A,1,FALSE)</f>
        <v>#N/A</v>
      </c>
      <c r="J810" s="169" t="s">
        <v>1293</v>
      </c>
      <c r="K810" s="92" t="s">
        <v>4371</v>
      </c>
      <c r="L810" s="98" t="s">
        <v>4372</v>
      </c>
      <c r="M810" s="49"/>
      <c r="N810" s="105">
        <v>44317</v>
      </c>
      <c r="O810" s="105" t="s">
        <v>319</v>
      </c>
      <c r="P810" s="260">
        <v>9000</v>
      </c>
      <c r="Q810" s="113">
        <v>206</v>
      </c>
      <c r="R810" s="265">
        <f t="shared" si="50"/>
        <v>1854000</v>
      </c>
      <c r="S810" s="55">
        <v>202308</v>
      </c>
      <c r="T810" s="264" t="s">
        <v>4373</v>
      </c>
      <c r="U810" s="272"/>
      <c r="V810" s="273">
        <v>202.29449287400001</v>
      </c>
      <c r="W810" s="275">
        <v>209.7</v>
      </c>
      <c r="X810" s="105"/>
      <c r="Y810" s="105"/>
      <c r="Z810" s="275" t="s">
        <v>4374</v>
      </c>
      <c r="AA810" s="195">
        <v>0.3</v>
      </c>
      <c r="AB810" s="282">
        <v>200</v>
      </c>
      <c r="AC810" s="282">
        <f>AA810*AB810</f>
        <v>60</v>
      </c>
    </row>
    <row r="811" spans="1:29" s="9" customFormat="1" ht="15" customHeight="1">
      <c r="A811" s="92" t="s">
        <v>136</v>
      </c>
      <c r="B811" s="93" t="s">
        <v>4293</v>
      </c>
      <c r="C811" s="93" t="s">
        <v>2753</v>
      </c>
      <c r="D811" s="93" t="s">
        <v>3750</v>
      </c>
      <c r="E811" s="92" t="s">
        <v>4375</v>
      </c>
      <c r="F811" s="92" t="s">
        <v>4376</v>
      </c>
      <c r="G811" s="92" t="s">
        <v>35</v>
      </c>
      <c r="H811" s="32" t="s">
        <v>4377</v>
      </c>
      <c r="I811" s="32" t="e">
        <f>VLOOKUP(H811,'合同高级查询数据-8月返'!A:A,1,FALSE)</f>
        <v>#N/A</v>
      </c>
      <c r="J811" s="169" t="s">
        <v>37</v>
      </c>
      <c r="K811" s="92" t="s">
        <v>2757</v>
      </c>
      <c r="L811" s="98" t="s">
        <v>4378</v>
      </c>
      <c r="M811" s="49"/>
      <c r="N811" s="105" t="s">
        <v>4379</v>
      </c>
      <c r="O811" s="105" t="s">
        <v>4380</v>
      </c>
      <c r="P811" s="260">
        <v>9000</v>
      </c>
      <c r="Q811" s="113">
        <v>93.2</v>
      </c>
      <c r="R811" s="265">
        <f t="shared" si="50"/>
        <v>838800</v>
      </c>
      <c r="S811" s="55">
        <v>202308</v>
      </c>
      <c r="T811" s="264" t="s">
        <v>4381</v>
      </c>
      <c r="U811" s="272"/>
      <c r="V811" s="273">
        <v>90.853959806999995</v>
      </c>
      <c r="W811" s="275">
        <v>95.43</v>
      </c>
      <c r="X811" s="105"/>
      <c r="Y811" s="105"/>
      <c r="Z811" s="275" t="s">
        <v>4382</v>
      </c>
      <c r="AA811" s="195">
        <v>0.3</v>
      </c>
      <c r="AB811" s="282">
        <v>300</v>
      </c>
      <c r="AC811" s="282">
        <f>AA811*AB811</f>
        <v>90</v>
      </c>
    </row>
    <row r="812" spans="1:29" s="9" customFormat="1" ht="15" customHeight="1">
      <c r="A812" s="92" t="s">
        <v>191</v>
      </c>
      <c r="B812" s="93" t="s">
        <v>4293</v>
      </c>
      <c r="C812" s="93" t="s">
        <v>2753</v>
      </c>
      <c r="D812" s="93" t="s">
        <v>3750</v>
      </c>
      <c r="E812" s="92" t="s">
        <v>4383</v>
      </c>
      <c r="F812" s="92" t="s">
        <v>4384</v>
      </c>
      <c r="G812" s="92" t="s">
        <v>35</v>
      </c>
      <c r="H812" s="32" t="s">
        <v>4385</v>
      </c>
      <c r="I812" s="32" t="e">
        <f>VLOOKUP(H812,'合同高级查询数据-8月返'!A:A,1,FALSE)</f>
        <v>#N/A</v>
      </c>
      <c r="J812" s="169" t="s">
        <v>37</v>
      </c>
      <c r="K812" s="92" t="s">
        <v>4386</v>
      </c>
      <c r="L812" s="98" t="s">
        <v>4387</v>
      </c>
      <c r="M812" s="49"/>
      <c r="N812" s="105" t="s">
        <v>4388</v>
      </c>
      <c r="O812" s="105" t="s">
        <v>4389</v>
      </c>
      <c r="P812" s="260">
        <v>6740</v>
      </c>
      <c r="Q812" s="113">
        <v>0.77</v>
      </c>
      <c r="R812" s="265">
        <f t="shared" si="50"/>
        <v>5189.8</v>
      </c>
      <c r="S812" s="55">
        <v>202307</v>
      </c>
      <c r="T812" s="264" t="s">
        <v>4390</v>
      </c>
      <c r="U812" s="272"/>
      <c r="V812" s="273"/>
      <c r="W812" s="275"/>
      <c r="X812" s="105"/>
      <c r="Y812" s="105"/>
      <c r="Z812" s="275"/>
      <c r="AA812" s="195"/>
      <c r="AB812" s="282"/>
      <c r="AC812" s="282"/>
    </row>
    <row r="813" spans="1:29" s="9" customFormat="1" ht="15" customHeight="1">
      <c r="A813" s="92" t="s">
        <v>191</v>
      </c>
      <c r="B813" s="93" t="s">
        <v>4293</v>
      </c>
      <c r="C813" s="93" t="s">
        <v>2753</v>
      </c>
      <c r="D813" s="93" t="s">
        <v>3750</v>
      </c>
      <c r="E813" s="92" t="s">
        <v>4383</v>
      </c>
      <c r="F813" s="92" t="s">
        <v>4384</v>
      </c>
      <c r="G813" s="92" t="s">
        <v>35</v>
      </c>
      <c r="H813" s="32" t="s">
        <v>4385</v>
      </c>
      <c r="I813" s="32" t="e">
        <f>VLOOKUP(H813,'合同高级查询数据-8月返'!A:A,1,FALSE)</f>
        <v>#N/A</v>
      </c>
      <c r="J813" s="169" t="s">
        <v>37</v>
      </c>
      <c r="K813" s="92" t="s">
        <v>4386</v>
      </c>
      <c r="L813" s="98" t="s">
        <v>4387</v>
      </c>
      <c r="M813" s="49"/>
      <c r="N813" s="105" t="s">
        <v>4388</v>
      </c>
      <c r="O813" s="105" t="s">
        <v>4389</v>
      </c>
      <c r="P813" s="260">
        <v>6740</v>
      </c>
      <c r="Q813" s="113">
        <v>124.01</v>
      </c>
      <c r="R813" s="265">
        <f t="shared" si="50"/>
        <v>835827.4</v>
      </c>
      <c r="S813" s="55">
        <v>202308</v>
      </c>
      <c r="T813" s="264" t="s">
        <v>4391</v>
      </c>
      <c r="U813" s="272"/>
      <c r="V813" s="273">
        <v>124.014694214</v>
      </c>
      <c r="W813" s="275"/>
      <c r="X813" s="105"/>
      <c r="Y813" s="105"/>
      <c r="Z813" s="275" t="s">
        <v>4386</v>
      </c>
      <c r="AA813" s="195">
        <v>0.4</v>
      </c>
      <c r="AB813" s="282">
        <v>260</v>
      </c>
      <c r="AC813" s="282">
        <f t="shared" ref="AC813:AC820" si="51">AA813*AB813</f>
        <v>104</v>
      </c>
    </row>
    <row r="814" spans="1:29" s="9" customFormat="1" ht="15" customHeight="1">
      <c r="A814" s="92" t="s">
        <v>191</v>
      </c>
      <c r="B814" s="93" t="s">
        <v>4293</v>
      </c>
      <c r="C814" s="93" t="s">
        <v>2753</v>
      </c>
      <c r="D814" s="93" t="s">
        <v>3750</v>
      </c>
      <c r="E814" s="26" t="s">
        <v>4392</v>
      </c>
      <c r="F814" s="26" t="s">
        <v>4393</v>
      </c>
      <c r="G814" s="124" t="s">
        <v>35</v>
      </c>
      <c r="H814" s="32" t="s">
        <v>4394</v>
      </c>
      <c r="I814" s="32" t="e">
        <f>VLOOKUP(H814,'合同高级查询数据-8月返'!A:A,1,FALSE)</f>
        <v>#N/A</v>
      </c>
      <c r="J814" s="124" t="s">
        <v>37</v>
      </c>
      <c r="K814" s="304" t="s">
        <v>4395</v>
      </c>
      <c r="L814" s="305" t="s">
        <v>4393</v>
      </c>
      <c r="M814" s="127"/>
      <c r="N814" s="50" t="s">
        <v>4396</v>
      </c>
      <c r="O814" s="50" t="s">
        <v>3832</v>
      </c>
      <c r="P814" s="260">
        <v>6740</v>
      </c>
      <c r="Q814" s="113">
        <v>0</v>
      </c>
      <c r="R814" s="54">
        <f t="shared" si="50"/>
        <v>0</v>
      </c>
      <c r="S814" s="310">
        <v>202308</v>
      </c>
      <c r="T814" s="264" t="s">
        <v>4397</v>
      </c>
      <c r="U814" s="314"/>
      <c r="V814" s="273">
        <v>0</v>
      </c>
      <c r="W814" s="149"/>
      <c r="X814" s="105"/>
      <c r="Y814" s="105"/>
      <c r="Z814" s="25" t="s">
        <v>4398</v>
      </c>
      <c r="AA814" s="195">
        <v>0.4</v>
      </c>
      <c r="AB814" s="302">
        <v>0</v>
      </c>
      <c r="AC814" s="282">
        <f t="shared" si="51"/>
        <v>0</v>
      </c>
    </row>
    <row r="815" spans="1:29" s="9" customFormat="1" ht="15" customHeight="1">
      <c r="A815" s="92" t="s">
        <v>191</v>
      </c>
      <c r="B815" s="93" t="s">
        <v>4293</v>
      </c>
      <c r="C815" s="93" t="s">
        <v>2753</v>
      </c>
      <c r="D815" s="93" t="s">
        <v>3750</v>
      </c>
      <c r="E815" s="26" t="s">
        <v>4392</v>
      </c>
      <c r="F815" s="26" t="s">
        <v>4393</v>
      </c>
      <c r="G815" s="124" t="s">
        <v>35</v>
      </c>
      <c r="H815" s="32" t="s">
        <v>4394</v>
      </c>
      <c r="I815" s="32" t="e">
        <f>VLOOKUP(H815,'合同高级查询数据-8月返'!A:A,1,FALSE)</f>
        <v>#N/A</v>
      </c>
      <c r="J815" s="124" t="s">
        <v>37</v>
      </c>
      <c r="K815" s="304" t="s">
        <v>4399</v>
      </c>
      <c r="L815" s="305" t="s">
        <v>4400</v>
      </c>
      <c r="M815" s="127"/>
      <c r="N815" s="50" t="s">
        <v>4401</v>
      </c>
      <c r="O815" s="50" t="s">
        <v>4402</v>
      </c>
      <c r="P815" s="260">
        <v>6740</v>
      </c>
      <c r="Q815" s="113">
        <v>51.14</v>
      </c>
      <c r="R815" s="54">
        <f t="shared" si="50"/>
        <v>344683.6</v>
      </c>
      <c r="S815" s="310">
        <v>202308</v>
      </c>
      <c r="T815" s="264" t="s">
        <v>4403</v>
      </c>
      <c r="U815" s="314"/>
      <c r="V815" s="273">
        <v>51.141010283999996</v>
      </c>
      <c r="W815" s="149"/>
      <c r="X815" s="105"/>
      <c r="Y815" s="105"/>
      <c r="Z815" s="25" t="s">
        <v>4404</v>
      </c>
      <c r="AA815" s="195">
        <v>0.4</v>
      </c>
      <c r="AB815" s="282">
        <v>120</v>
      </c>
      <c r="AC815" s="282">
        <f t="shared" si="51"/>
        <v>48</v>
      </c>
    </row>
    <row r="816" spans="1:29" s="9" customFormat="1" ht="15" customHeight="1">
      <c r="A816" s="92" t="s">
        <v>191</v>
      </c>
      <c r="B816" s="93" t="s">
        <v>4293</v>
      </c>
      <c r="C816" s="93" t="s">
        <v>2753</v>
      </c>
      <c r="D816" s="93" t="s">
        <v>3750</v>
      </c>
      <c r="E816" s="26" t="s">
        <v>4392</v>
      </c>
      <c r="F816" s="26" t="s">
        <v>4393</v>
      </c>
      <c r="G816" s="124" t="s">
        <v>35</v>
      </c>
      <c r="H816" s="32" t="s">
        <v>4394</v>
      </c>
      <c r="I816" s="32" t="e">
        <f>VLOOKUP(H816,'合同高级查询数据-8月返'!A:A,1,FALSE)</f>
        <v>#N/A</v>
      </c>
      <c r="J816" s="124" t="s">
        <v>37</v>
      </c>
      <c r="K816" s="304" t="s">
        <v>4399</v>
      </c>
      <c r="L816" s="305" t="s">
        <v>4405</v>
      </c>
      <c r="M816" s="127"/>
      <c r="N816" s="50" t="s">
        <v>4406</v>
      </c>
      <c r="O816" s="50" t="s">
        <v>4407</v>
      </c>
      <c r="P816" s="260">
        <v>6740</v>
      </c>
      <c r="Q816" s="113">
        <v>60.8</v>
      </c>
      <c r="R816" s="54">
        <f t="shared" si="50"/>
        <v>409792</v>
      </c>
      <c r="S816" s="310">
        <v>202308</v>
      </c>
      <c r="T816" s="264" t="s">
        <v>4408</v>
      </c>
      <c r="U816" s="314"/>
      <c r="V816" s="273">
        <v>60.795532227000002</v>
      </c>
      <c r="W816" s="149"/>
      <c r="X816" s="105"/>
      <c r="Y816" s="105"/>
      <c r="Z816" s="25" t="s">
        <v>4409</v>
      </c>
      <c r="AA816" s="195">
        <v>0.4</v>
      </c>
      <c r="AB816" s="282">
        <v>140</v>
      </c>
      <c r="AC816" s="282">
        <f t="shared" si="51"/>
        <v>56</v>
      </c>
    </row>
    <row r="817" spans="1:29" s="9" customFormat="1" ht="15" customHeight="1">
      <c r="A817" s="92" t="s">
        <v>191</v>
      </c>
      <c r="B817" s="93" t="s">
        <v>4293</v>
      </c>
      <c r="C817" s="93" t="s">
        <v>2753</v>
      </c>
      <c r="D817" s="93" t="s">
        <v>3750</v>
      </c>
      <c r="E817" s="26" t="s">
        <v>4410</v>
      </c>
      <c r="F817" s="26" t="s">
        <v>4411</v>
      </c>
      <c r="G817" s="124" t="s">
        <v>35</v>
      </c>
      <c r="H817" s="124" t="s">
        <v>4412</v>
      </c>
      <c r="I817" s="32" t="e">
        <f>VLOOKUP(H817,'合同高级查询数据-8月返'!A:A,1,FALSE)</f>
        <v>#N/A</v>
      </c>
      <c r="J817" s="124" t="s">
        <v>37</v>
      </c>
      <c r="K817" s="304" t="s">
        <v>4395</v>
      </c>
      <c r="L817" s="305" t="s">
        <v>4413</v>
      </c>
      <c r="M817" s="127" t="s">
        <v>4414</v>
      </c>
      <c r="N817" s="50">
        <v>44841</v>
      </c>
      <c r="O817" s="50" t="s">
        <v>4151</v>
      </c>
      <c r="P817" s="260">
        <v>6740</v>
      </c>
      <c r="Q817" s="113">
        <v>140.57</v>
      </c>
      <c r="R817" s="54">
        <f t="shared" si="50"/>
        <v>947441.8</v>
      </c>
      <c r="S817" s="310">
        <v>202308</v>
      </c>
      <c r="T817" s="264" t="s">
        <v>4415</v>
      </c>
      <c r="U817" s="314"/>
      <c r="V817" s="273">
        <v>140.57025146500001</v>
      </c>
      <c r="W817" s="149"/>
      <c r="X817" s="178"/>
      <c r="Y817" s="178"/>
      <c r="Z817" s="25" t="s">
        <v>4416</v>
      </c>
      <c r="AA817" s="195">
        <v>0.4</v>
      </c>
      <c r="AB817" s="282">
        <v>300</v>
      </c>
      <c r="AC817" s="282">
        <f t="shared" si="51"/>
        <v>120</v>
      </c>
    </row>
    <row r="818" spans="1:29" s="10" customFormat="1" ht="15" customHeight="1">
      <c r="A818" s="94" t="s">
        <v>191</v>
      </c>
      <c r="B818" s="95" t="s">
        <v>4293</v>
      </c>
      <c r="C818" s="95" t="s">
        <v>2753</v>
      </c>
      <c r="D818" s="95" t="s">
        <v>3750</v>
      </c>
      <c r="E818" s="29" t="s">
        <v>4392</v>
      </c>
      <c r="F818" s="29" t="s">
        <v>4393</v>
      </c>
      <c r="G818" s="303" t="s">
        <v>35</v>
      </c>
      <c r="H818" s="303" t="s">
        <v>4417</v>
      </c>
      <c r="I818" s="33" t="e">
        <f>VLOOKUP(H818,'合同高级查询数据-8月返'!A:A,1,FALSE)</f>
        <v>#N/A</v>
      </c>
      <c r="J818" s="303" t="s">
        <v>1293</v>
      </c>
      <c r="K818" s="306" t="s">
        <v>4418</v>
      </c>
      <c r="L818" s="307" t="s">
        <v>4419</v>
      </c>
      <c r="M818" s="308"/>
      <c r="N818" s="110">
        <v>43815</v>
      </c>
      <c r="O818" s="110" t="s">
        <v>447</v>
      </c>
      <c r="P818" s="309" t="s">
        <v>4420</v>
      </c>
      <c r="Q818" s="115">
        <v>30.5</v>
      </c>
      <c r="R818" s="58">
        <f>ROUND(19500*Q818,2)</f>
        <v>594750</v>
      </c>
      <c r="S818" s="311">
        <v>202308</v>
      </c>
      <c r="T818" s="312" t="s">
        <v>4421</v>
      </c>
      <c r="U818" s="315"/>
      <c r="V818" s="269">
        <v>30.474376840516999</v>
      </c>
      <c r="W818" s="316"/>
      <c r="X818" s="172">
        <v>43815</v>
      </c>
      <c r="Y818" s="172">
        <v>46006</v>
      </c>
      <c r="Z818" s="28" t="s">
        <v>4422</v>
      </c>
      <c r="AA818" s="194">
        <v>0.3</v>
      </c>
      <c r="AB818" s="283">
        <v>100</v>
      </c>
      <c r="AC818" s="283">
        <f t="shared" si="51"/>
        <v>30</v>
      </c>
    </row>
    <row r="819" spans="1:29" s="10" customFormat="1" ht="15" customHeight="1">
      <c r="A819" s="94" t="s">
        <v>191</v>
      </c>
      <c r="B819" s="95" t="s">
        <v>4293</v>
      </c>
      <c r="C819" s="95" t="s">
        <v>2753</v>
      </c>
      <c r="D819" s="95" t="s">
        <v>3750</v>
      </c>
      <c r="E819" s="29" t="s">
        <v>4392</v>
      </c>
      <c r="F819" s="29" t="s">
        <v>4393</v>
      </c>
      <c r="G819" s="303" t="s">
        <v>35</v>
      </c>
      <c r="H819" s="303" t="s">
        <v>4417</v>
      </c>
      <c r="I819" s="33" t="e">
        <f>VLOOKUP(H819,'合同高级查询数据-8月返'!A:A,1,FALSE)</f>
        <v>#N/A</v>
      </c>
      <c r="J819" s="303" t="s">
        <v>1293</v>
      </c>
      <c r="K819" s="306" t="s">
        <v>4423</v>
      </c>
      <c r="L819" s="307"/>
      <c r="M819" s="308"/>
      <c r="N819" s="110">
        <v>44873</v>
      </c>
      <c r="O819" s="110" t="s">
        <v>4424</v>
      </c>
      <c r="P819" s="309">
        <v>19500</v>
      </c>
      <c r="Q819" s="115">
        <v>1</v>
      </c>
      <c r="R819" s="58">
        <f t="shared" ref="R819:R865" si="52">ROUND(P819*Q819,2)</f>
        <v>19500</v>
      </c>
      <c r="S819" s="311">
        <v>202308</v>
      </c>
      <c r="T819" s="266" t="s">
        <v>4425</v>
      </c>
      <c r="U819" s="315"/>
      <c r="V819" s="269"/>
      <c r="W819" s="316"/>
      <c r="X819" s="172">
        <v>43815</v>
      </c>
      <c r="Y819" s="172">
        <v>46006</v>
      </c>
      <c r="Z819" s="28" t="s">
        <v>4426</v>
      </c>
      <c r="AA819" s="194">
        <v>0.3</v>
      </c>
      <c r="AB819" s="283">
        <v>1</v>
      </c>
      <c r="AC819" s="318">
        <f t="shared" si="51"/>
        <v>0.3</v>
      </c>
    </row>
    <row r="820" spans="1:29" s="9" customFormat="1" ht="15" customHeight="1">
      <c r="A820" s="92" t="s">
        <v>191</v>
      </c>
      <c r="B820" s="93" t="s">
        <v>4293</v>
      </c>
      <c r="C820" s="93" t="s">
        <v>2753</v>
      </c>
      <c r="D820" s="93" t="s">
        <v>3750</v>
      </c>
      <c r="E820" s="92" t="s">
        <v>4410</v>
      </c>
      <c r="F820" s="92" t="s">
        <v>4411</v>
      </c>
      <c r="G820" s="92" t="s">
        <v>35</v>
      </c>
      <c r="H820" s="124" t="s">
        <v>4412</v>
      </c>
      <c r="I820" s="32" t="e">
        <f>VLOOKUP(H820,'合同高级查询数据-8月返'!A:A,1,FALSE)</f>
        <v>#N/A</v>
      </c>
      <c r="J820" s="169" t="s">
        <v>37</v>
      </c>
      <c r="K820" s="92" t="s">
        <v>3073</v>
      </c>
      <c r="L820" s="98" t="s">
        <v>4427</v>
      </c>
      <c r="M820" s="49"/>
      <c r="N820" s="105">
        <v>43896</v>
      </c>
      <c r="O820" s="105" t="s">
        <v>447</v>
      </c>
      <c r="P820" s="260">
        <v>6740</v>
      </c>
      <c r="Q820" s="113">
        <v>0</v>
      </c>
      <c r="R820" s="265">
        <f t="shared" si="52"/>
        <v>0</v>
      </c>
      <c r="S820" s="55">
        <v>202308</v>
      </c>
      <c r="T820" s="264" t="s">
        <v>4428</v>
      </c>
      <c r="U820" s="272"/>
      <c r="V820" s="273">
        <v>0</v>
      </c>
      <c r="W820" s="275"/>
      <c r="X820" s="178"/>
      <c r="Y820" s="178"/>
      <c r="Z820" s="275" t="s">
        <v>4429</v>
      </c>
      <c r="AA820" s="195">
        <v>0.4</v>
      </c>
      <c r="AB820" s="282">
        <v>100</v>
      </c>
      <c r="AC820" s="282">
        <f t="shared" si="51"/>
        <v>40</v>
      </c>
    </row>
    <row r="821" spans="1:29" s="9" customFormat="1" ht="15" customHeight="1">
      <c r="A821" s="92" t="s">
        <v>191</v>
      </c>
      <c r="B821" s="93" t="s">
        <v>4293</v>
      </c>
      <c r="C821" s="93" t="s">
        <v>2753</v>
      </c>
      <c r="D821" s="93" t="s">
        <v>3750</v>
      </c>
      <c r="E821" s="92" t="s">
        <v>4410</v>
      </c>
      <c r="F821" s="92" t="s">
        <v>4411</v>
      </c>
      <c r="G821" s="92" t="s">
        <v>35</v>
      </c>
      <c r="H821" s="124" t="s">
        <v>4412</v>
      </c>
      <c r="I821" s="32" t="e">
        <f>VLOOKUP(H821,'合同高级查询数据-8月返'!A:A,1,FALSE)</f>
        <v>#N/A</v>
      </c>
      <c r="J821" s="169" t="s">
        <v>1293</v>
      </c>
      <c r="K821" s="92" t="s">
        <v>4430</v>
      </c>
      <c r="L821" s="98" t="s">
        <v>4431</v>
      </c>
      <c r="M821" s="49"/>
      <c r="N821" s="105" t="s">
        <v>4432</v>
      </c>
      <c r="O821" s="50" t="s">
        <v>4433</v>
      </c>
      <c r="P821" s="260">
        <v>6740</v>
      </c>
      <c r="Q821" s="113">
        <v>3.82</v>
      </c>
      <c r="R821" s="265">
        <f t="shared" si="52"/>
        <v>25746.799999999999</v>
      </c>
      <c r="S821" s="55">
        <v>202307</v>
      </c>
      <c r="T821" s="264" t="s">
        <v>4434</v>
      </c>
      <c r="U821" s="272"/>
      <c r="V821" s="273"/>
      <c r="W821" s="275"/>
      <c r="X821" s="178"/>
      <c r="Y821" s="178"/>
      <c r="Z821" s="275"/>
      <c r="AA821" s="195"/>
      <c r="AB821" s="282"/>
      <c r="AC821" s="282"/>
    </row>
    <row r="822" spans="1:29" s="9" customFormat="1" ht="15" customHeight="1">
      <c r="A822" s="92" t="s">
        <v>191</v>
      </c>
      <c r="B822" s="93" t="s">
        <v>4293</v>
      </c>
      <c r="C822" s="93" t="s">
        <v>2753</v>
      </c>
      <c r="D822" s="93" t="s">
        <v>3750</v>
      </c>
      <c r="E822" s="92" t="s">
        <v>4410</v>
      </c>
      <c r="F822" s="92" t="s">
        <v>4411</v>
      </c>
      <c r="G822" s="92" t="s">
        <v>35</v>
      </c>
      <c r="H822" s="124" t="s">
        <v>4412</v>
      </c>
      <c r="I822" s="32" t="e">
        <f>VLOOKUP(H822,'合同高级查询数据-8月返'!A:A,1,FALSE)</f>
        <v>#N/A</v>
      </c>
      <c r="J822" s="169" t="s">
        <v>1293</v>
      </c>
      <c r="K822" s="92" t="s">
        <v>4430</v>
      </c>
      <c r="L822" s="98" t="s">
        <v>4431</v>
      </c>
      <c r="M822" s="49"/>
      <c r="N822" s="105" t="s">
        <v>4432</v>
      </c>
      <c r="O822" s="50" t="s">
        <v>4433</v>
      </c>
      <c r="P822" s="260">
        <v>6740</v>
      </c>
      <c r="Q822" s="113">
        <v>217.51</v>
      </c>
      <c r="R822" s="265">
        <f t="shared" si="52"/>
        <v>1466017.4</v>
      </c>
      <c r="S822" s="55">
        <v>202308</v>
      </c>
      <c r="T822" s="264" t="s">
        <v>4435</v>
      </c>
      <c r="U822" s="272"/>
      <c r="V822" s="273">
        <v>217.50784159079001</v>
      </c>
      <c r="W822" s="149"/>
      <c r="X822" s="178"/>
      <c r="Y822" s="178"/>
      <c r="Z822" s="275" t="s">
        <v>4436</v>
      </c>
      <c r="AA822" s="195">
        <v>0.4</v>
      </c>
      <c r="AB822" s="282">
        <v>400</v>
      </c>
      <c r="AC822" s="282">
        <f>AA822*AB822</f>
        <v>160</v>
      </c>
    </row>
    <row r="823" spans="1:29" s="9" customFormat="1" ht="15" customHeight="1">
      <c r="A823" s="93" t="s">
        <v>184</v>
      </c>
      <c r="B823" s="93" t="s">
        <v>3679</v>
      </c>
      <c r="C823" s="93" t="s">
        <v>2542</v>
      </c>
      <c r="D823" s="92" t="s">
        <v>3750</v>
      </c>
      <c r="E823" s="92" t="s">
        <v>4437</v>
      </c>
      <c r="F823" s="92" t="s">
        <v>4438</v>
      </c>
      <c r="G823" s="32" t="s">
        <v>35</v>
      </c>
      <c r="H823" s="169" t="s">
        <v>4439</v>
      </c>
      <c r="I823" s="32" t="e">
        <f>VLOOKUP(H823,'合同高级查询数据-8月返'!A:A,1,FALSE)</f>
        <v>#N/A</v>
      </c>
      <c r="J823" s="92" t="s">
        <v>37</v>
      </c>
      <c r="K823" s="98" t="s">
        <v>2557</v>
      </c>
      <c r="L823" s="49" t="s">
        <v>4438</v>
      </c>
      <c r="M823" s="105"/>
      <c r="N823" s="105">
        <v>43398</v>
      </c>
      <c r="O823" s="275" t="s">
        <v>146</v>
      </c>
      <c r="P823" s="113">
        <v>9600</v>
      </c>
      <c r="Q823" s="54">
        <v>8</v>
      </c>
      <c r="R823" s="265">
        <f t="shared" si="52"/>
        <v>76800</v>
      </c>
      <c r="S823" s="55">
        <v>202308</v>
      </c>
      <c r="T823" s="313" t="s">
        <v>4440</v>
      </c>
      <c r="U823" s="188"/>
      <c r="V823" s="273">
        <v>7.5040554999999998</v>
      </c>
      <c r="W823" s="275"/>
      <c r="X823" s="105">
        <v>44805</v>
      </c>
      <c r="Y823" s="275"/>
      <c r="Z823" s="196" t="s">
        <v>4441</v>
      </c>
      <c r="AA823" s="195">
        <v>0.4</v>
      </c>
      <c r="AB823" s="282">
        <v>20</v>
      </c>
      <c r="AC823" s="282">
        <f>AA823*AB823</f>
        <v>8</v>
      </c>
    </row>
    <row r="824" spans="1:29" s="9" customFormat="1" ht="15" customHeight="1">
      <c r="A824" s="93" t="s">
        <v>184</v>
      </c>
      <c r="B824" s="93" t="s">
        <v>3679</v>
      </c>
      <c r="C824" s="93" t="s">
        <v>2542</v>
      </c>
      <c r="D824" s="92" t="s">
        <v>3750</v>
      </c>
      <c r="E824" s="92" t="s">
        <v>4437</v>
      </c>
      <c r="F824" s="92" t="s">
        <v>4438</v>
      </c>
      <c r="G824" s="32" t="s">
        <v>35</v>
      </c>
      <c r="H824" s="169" t="s">
        <v>4439</v>
      </c>
      <c r="I824" s="32" t="e">
        <f>VLOOKUP(H824,'合同高级查询数据-8月返'!A:A,1,FALSE)</f>
        <v>#N/A</v>
      </c>
      <c r="J824" s="92" t="s">
        <v>37</v>
      </c>
      <c r="K824" s="98" t="s">
        <v>2557</v>
      </c>
      <c r="L824" s="49" t="s">
        <v>4442</v>
      </c>
      <c r="M824" s="105"/>
      <c r="N824" s="105" t="s">
        <v>4443</v>
      </c>
      <c r="O824" s="275" t="s">
        <v>1355</v>
      </c>
      <c r="P824" s="113">
        <v>9833</v>
      </c>
      <c r="Q824" s="54">
        <v>0</v>
      </c>
      <c r="R824" s="265">
        <f t="shared" si="52"/>
        <v>0</v>
      </c>
      <c r="S824" s="55">
        <v>202308</v>
      </c>
      <c r="T824" s="313" t="s">
        <v>4444</v>
      </c>
      <c r="U824" s="188"/>
      <c r="V824" s="273">
        <v>0</v>
      </c>
      <c r="W824" s="275"/>
      <c r="X824" s="105">
        <v>44805</v>
      </c>
      <c r="Y824" s="275"/>
      <c r="Z824" s="196" t="s">
        <v>4445</v>
      </c>
      <c r="AA824" s="195">
        <v>0.4</v>
      </c>
      <c r="AB824" s="282">
        <v>0</v>
      </c>
      <c r="AC824" s="282">
        <f>AA824*AB824</f>
        <v>0</v>
      </c>
    </row>
    <row r="825" spans="1:29" s="10" customFormat="1" ht="15" customHeight="1">
      <c r="A825" s="95" t="s">
        <v>136</v>
      </c>
      <c r="B825" s="95" t="s">
        <v>3679</v>
      </c>
      <c r="C825" s="95" t="s">
        <v>4446</v>
      </c>
      <c r="D825" s="94" t="s">
        <v>3750</v>
      </c>
      <c r="E825" s="94" t="s">
        <v>4447</v>
      </c>
      <c r="F825" s="94" t="s">
        <v>4448</v>
      </c>
      <c r="G825" s="33" t="s">
        <v>35</v>
      </c>
      <c r="H825" s="167" t="s">
        <v>4449</v>
      </c>
      <c r="I825" s="33" t="e">
        <f>VLOOKUP(H825,'合同高级查询数据-8月返'!A:A,1,FALSE)</f>
        <v>#N/A</v>
      </c>
      <c r="J825" s="94" t="s">
        <v>37</v>
      </c>
      <c r="K825" s="99" t="s">
        <v>4450</v>
      </c>
      <c r="L825" s="107" t="s">
        <v>4451</v>
      </c>
      <c r="M825" s="108"/>
      <c r="N825" s="108" t="s">
        <v>4452</v>
      </c>
      <c r="O825" s="276" t="s">
        <v>4453</v>
      </c>
      <c r="P825" s="115">
        <v>9000</v>
      </c>
      <c r="Q825" s="58">
        <v>0.7</v>
      </c>
      <c r="R825" s="262">
        <f t="shared" si="52"/>
        <v>6300</v>
      </c>
      <c r="S825" s="59">
        <v>202307</v>
      </c>
      <c r="T825" s="290" t="s">
        <v>4454</v>
      </c>
      <c r="U825" s="176"/>
      <c r="V825" s="269"/>
      <c r="W825" s="276"/>
      <c r="X825" s="108">
        <v>44256</v>
      </c>
      <c r="Y825" s="108">
        <v>45350</v>
      </c>
      <c r="Z825" s="193"/>
      <c r="AA825" s="194"/>
      <c r="AB825" s="283"/>
      <c r="AC825" s="283"/>
    </row>
    <row r="826" spans="1:29" s="10" customFormat="1" ht="15" customHeight="1">
      <c r="A826" s="95" t="s">
        <v>136</v>
      </c>
      <c r="B826" s="95" t="s">
        <v>3679</v>
      </c>
      <c r="C826" s="95" t="s">
        <v>4446</v>
      </c>
      <c r="D826" s="94" t="s">
        <v>3750</v>
      </c>
      <c r="E826" s="94" t="s">
        <v>4447</v>
      </c>
      <c r="F826" s="94" t="s">
        <v>4448</v>
      </c>
      <c r="G826" s="33" t="s">
        <v>35</v>
      </c>
      <c r="H826" s="167" t="s">
        <v>4449</v>
      </c>
      <c r="I826" s="33" t="e">
        <f>VLOOKUP(H826,'合同高级查询数据-8月返'!A:A,1,FALSE)</f>
        <v>#N/A</v>
      </c>
      <c r="J826" s="94" t="s">
        <v>37</v>
      </c>
      <c r="K826" s="99" t="s">
        <v>4450</v>
      </c>
      <c r="L826" s="107" t="s">
        <v>4451</v>
      </c>
      <c r="M826" s="108"/>
      <c r="N826" s="108" t="s">
        <v>4452</v>
      </c>
      <c r="O826" s="276" t="s">
        <v>4453</v>
      </c>
      <c r="P826" s="115">
        <v>9000</v>
      </c>
      <c r="Q826" s="58">
        <v>37.9</v>
      </c>
      <c r="R826" s="262">
        <f t="shared" si="52"/>
        <v>341100</v>
      </c>
      <c r="S826" s="59">
        <v>202308</v>
      </c>
      <c r="T826" s="290" t="s">
        <v>4455</v>
      </c>
      <c r="U826" s="176"/>
      <c r="V826" s="269">
        <v>37.889723281999999</v>
      </c>
      <c r="W826" s="276"/>
      <c r="X826" s="108">
        <v>44256</v>
      </c>
      <c r="Y826" s="108">
        <v>45350</v>
      </c>
      <c r="Z826" s="193" t="s">
        <v>4456</v>
      </c>
      <c r="AA826" s="194">
        <v>0.3</v>
      </c>
      <c r="AB826" s="283">
        <v>120</v>
      </c>
      <c r="AC826" s="283">
        <f t="shared" ref="AC826:AC832" si="53">AA826*AB826</f>
        <v>36</v>
      </c>
    </row>
    <row r="827" spans="1:29" s="9" customFormat="1" ht="15" customHeight="1">
      <c r="A827" s="93" t="s">
        <v>136</v>
      </c>
      <c r="B827" s="93" t="s">
        <v>3679</v>
      </c>
      <c r="C827" s="93" t="s">
        <v>4446</v>
      </c>
      <c r="D827" s="92" t="s">
        <v>3750</v>
      </c>
      <c r="E827" s="92" t="s">
        <v>4447</v>
      </c>
      <c r="F827" s="92" t="s">
        <v>4448</v>
      </c>
      <c r="G827" s="32" t="s">
        <v>35</v>
      </c>
      <c r="H827" s="169" t="s">
        <v>4457</v>
      </c>
      <c r="I827" s="32" t="e">
        <f>VLOOKUP(H827,'合同高级查询数据-8月返'!A:A,1,FALSE)</f>
        <v>#N/A</v>
      </c>
      <c r="J827" s="92" t="s">
        <v>37</v>
      </c>
      <c r="K827" s="98" t="s">
        <v>4458</v>
      </c>
      <c r="L827" s="49" t="s">
        <v>4459</v>
      </c>
      <c r="M827" s="105"/>
      <c r="N827" s="105">
        <v>44378</v>
      </c>
      <c r="O827" s="275" t="s">
        <v>1767</v>
      </c>
      <c r="P827" s="113">
        <v>9000</v>
      </c>
      <c r="Q827" s="54">
        <v>0</v>
      </c>
      <c r="R827" s="265">
        <f t="shared" si="52"/>
        <v>0</v>
      </c>
      <c r="S827" s="55">
        <v>202308</v>
      </c>
      <c r="T827" s="313" t="s">
        <v>4460</v>
      </c>
      <c r="U827" s="188"/>
      <c r="V827" s="273">
        <v>0</v>
      </c>
      <c r="W827" s="275"/>
      <c r="X827" s="105">
        <v>44378</v>
      </c>
      <c r="Y827" s="275"/>
      <c r="Z827" s="196" t="s">
        <v>4461</v>
      </c>
      <c r="AA827" s="195">
        <v>0</v>
      </c>
      <c r="AB827" s="282">
        <v>40</v>
      </c>
      <c r="AC827" s="282">
        <f t="shared" si="53"/>
        <v>0</v>
      </c>
    </row>
    <row r="828" spans="1:29" s="10" customFormat="1" ht="15" customHeight="1">
      <c r="A828" s="95" t="s">
        <v>136</v>
      </c>
      <c r="B828" s="95" t="s">
        <v>3679</v>
      </c>
      <c r="C828" s="95" t="s">
        <v>4446</v>
      </c>
      <c r="D828" s="94" t="s">
        <v>3750</v>
      </c>
      <c r="E828" s="94" t="s">
        <v>4447</v>
      </c>
      <c r="F828" s="94" t="s">
        <v>4448</v>
      </c>
      <c r="G828" s="33" t="s">
        <v>35</v>
      </c>
      <c r="H828" s="167" t="s">
        <v>4449</v>
      </c>
      <c r="I828" s="33" t="e">
        <f>VLOOKUP(H828,'合同高级查询数据-8月返'!A:A,1,FALSE)</f>
        <v>#N/A</v>
      </c>
      <c r="J828" s="94" t="s">
        <v>37</v>
      </c>
      <c r="K828" s="99" t="s">
        <v>4462</v>
      </c>
      <c r="L828" s="107" t="s">
        <v>4463</v>
      </c>
      <c r="M828" s="108"/>
      <c r="N828" s="108">
        <v>43003</v>
      </c>
      <c r="O828" s="276" t="s">
        <v>1767</v>
      </c>
      <c r="P828" s="115">
        <v>9000</v>
      </c>
      <c r="Q828" s="58">
        <v>0.2</v>
      </c>
      <c r="R828" s="262">
        <f t="shared" si="52"/>
        <v>1800</v>
      </c>
      <c r="S828" s="59">
        <v>202307</v>
      </c>
      <c r="T828" s="290" t="s">
        <v>4464</v>
      </c>
      <c r="U828" s="176"/>
      <c r="V828" s="269"/>
      <c r="W828" s="276"/>
      <c r="X828" s="108">
        <v>44256</v>
      </c>
      <c r="Y828" s="108">
        <v>45350</v>
      </c>
      <c r="Z828" s="193"/>
      <c r="AA828" s="194"/>
      <c r="AB828" s="283"/>
      <c r="AC828" s="283"/>
    </row>
    <row r="829" spans="1:29" s="10" customFormat="1" ht="15" customHeight="1">
      <c r="A829" s="95" t="s">
        <v>136</v>
      </c>
      <c r="B829" s="95" t="s">
        <v>3679</v>
      </c>
      <c r="C829" s="95" t="s">
        <v>4446</v>
      </c>
      <c r="D829" s="94" t="s">
        <v>3750</v>
      </c>
      <c r="E829" s="94" t="s">
        <v>4447</v>
      </c>
      <c r="F829" s="94" t="s">
        <v>4448</v>
      </c>
      <c r="G829" s="33" t="s">
        <v>35</v>
      </c>
      <c r="H829" s="167" t="s">
        <v>4449</v>
      </c>
      <c r="I829" s="33" t="e">
        <f>VLOOKUP(H829,'合同高级查询数据-8月返'!A:A,1,FALSE)</f>
        <v>#N/A</v>
      </c>
      <c r="J829" s="94" t="s">
        <v>37</v>
      </c>
      <c r="K829" s="99" t="s">
        <v>4462</v>
      </c>
      <c r="L829" s="107" t="s">
        <v>4463</v>
      </c>
      <c r="M829" s="108"/>
      <c r="N829" s="108">
        <v>43003</v>
      </c>
      <c r="O829" s="276" t="s">
        <v>1767</v>
      </c>
      <c r="P829" s="115">
        <v>9000</v>
      </c>
      <c r="Q829" s="58">
        <v>12.3</v>
      </c>
      <c r="R829" s="262">
        <f t="shared" si="52"/>
        <v>110700</v>
      </c>
      <c r="S829" s="59">
        <v>202308</v>
      </c>
      <c r="T829" s="290" t="s">
        <v>4465</v>
      </c>
      <c r="U829" s="176"/>
      <c r="V829" s="269">
        <v>12.208502788000001</v>
      </c>
      <c r="W829" s="276"/>
      <c r="X829" s="108">
        <v>44256</v>
      </c>
      <c r="Y829" s="108">
        <v>45350</v>
      </c>
      <c r="Z829" s="193" t="s">
        <v>4466</v>
      </c>
      <c r="AA829" s="194">
        <v>0.3</v>
      </c>
      <c r="AB829" s="283">
        <v>40</v>
      </c>
      <c r="AC829" s="283">
        <f t="shared" si="53"/>
        <v>12</v>
      </c>
    </row>
    <row r="830" spans="1:29" s="10" customFormat="1" ht="15" customHeight="1">
      <c r="A830" s="95" t="s">
        <v>136</v>
      </c>
      <c r="B830" s="95" t="s">
        <v>3679</v>
      </c>
      <c r="C830" s="95" t="s">
        <v>4446</v>
      </c>
      <c r="D830" s="94" t="s">
        <v>3750</v>
      </c>
      <c r="E830" s="94" t="s">
        <v>4447</v>
      </c>
      <c r="F830" s="94" t="s">
        <v>4448</v>
      </c>
      <c r="G830" s="33" t="s">
        <v>35</v>
      </c>
      <c r="H830" s="167" t="s">
        <v>4449</v>
      </c>
      <c r="I830" s="33" t="e">
        <f>VLOOKUP(H830,'合同高级查询数据-8月返'!A:A,1,FALSE)</f>
        <v>#N/A</v>
      </c>
      <c r="J830" s="94" t="s">
        <v>37</v>
      </c>
      <c r="K830" s="99" t="s">
        <v>4467</v>
      </c>
      <c r="L830" s="107" t="s">
        <v>4448</v>
      </c>
      <c r="M830" s="108"/>
      <c r="N830" s="108">
        <v>43047</v>
      </c>
      <c r="O830" s="276">
        <v>0</v>
      </c>
      <c r="P830" s="115">
        <v>9000</v>
      </c>
      <c r="Q830" s="58">
        <v>0</v>
      </c>
      <c r="R830" s="262">
        <f t="shared" si="52"/>
        <v>0</v>
      </c>
      <c r="S830" s="59">
        <v>202308</v>
      </c>
      <c r="T830" s="290" t="s">
        <v>4468</v>
      </c>
      <c r="U830" s="176"/>
      <c r="V830" s="269">
        <v>0</v>
      </c>
      <c r="W830" s="276"/>
      <c r="X830" s="108">
        <v>44256</v>
      </c>
      <c r="Y830" s="108">
        <v>45350</v>
      </c>
      <c r="Z830" s="193" t="s">
        <v>4469</v>
      </c>
      <c r="AA830" s="194">
        <v>0.3</v>
      </c>
      <c r="AB830" s="283">
        <v>0</v>
      </c>
      <c r="AC830" s="283">
        <f t="shared" si="53"/>
        <v>0</v>
      </c>
    </row>
    <row r="831" spans="1:29" s="9" customFormat="1" ht="15" customHeight="1">
      <c r="A831" s="93" t="s">
        <v>136</v>
      </c>
      <c r="B831" s="93" t="s">
        <v>3679</v>
      </c>
      <c r="C831" s="93" t="s">
        <v>4446</v>
      </c>
      <c r="D831" s="92" t="s">
        <v>3750</v>
      </c>
      <c r="E831" s="92" t="s">
        <v>4447</v>
      </c>
      <c r="F831" s="92" t="s">
        <v>4448</v>
      </c>
      <c r="G831" s="32" t="s">
        <v>35</v>
      </c>
      <c r="H831" s="169" t="s">
        <v>4470</v>
      </c>
      <c r="I831" s="32" t="e">
        <f>VLOOKUP(H831,'合同高级查询数据-8月返'!A:A,1,FALSE)</f>
        <v>#N/A</v>
      </c>
      <c r="J831" s="92" t="s">
        <v>37</v>
      </c>
      <c r="K831" s="98" t="s">
        <v>2344</v>
      </c>
      <c r="L831" s="49" t="s">
        <v>4471</v>
      </c>
      <c r="M831" s="105"/>
      <c r="N831" s="105">
        <v>45078</v>
      </c>
      <c r="O831" s="275" t="s">
        <v>1767</v>
      </c>
      <c r="P831" s="113">
        <v>0</v>
      </c>
      <c r="Q831" s="54">
        <v>0</v>
      </c>
      <c r="R831" s="265">
        <f t="shared" si="52"/>
        <v>0</v>
      </c>
      <c r="S831" s="55">
        <v>202308</v>
      </c>
      <c r="T831" s="313" t="s">
        <v>4472</v>
      </c>
      <c r="U831" s="188"/>
      <c r="V831" s="273">
        <v>0</v>
      </c>
      <c r="W831" s="275"/>
      <c r="X831" s="105"/>
      <c r="Y831" s="105"/>
      <c r="Z831" s="196" t="s">
        <v>4473</v>
      </c>
      <c r="AA831" s="195">
        <v>0.3</v>
      </c>
      <c r="AB831" s="282">
        <v>40</v>
      </c>
      <c r="AC831" s="282">
        <f t="shared" si="53"/>
        <v>12</v>
      </c>
    </row>
    <row r="832" spans="1:29" s="10" customFormat="1" ht="15" customHeight="1">
      <c r="A832" s="95" t="s">
        <v>136</v>
      </c>
      <c r="B832" s="95" t="s">
        <v>3679</v>
      </c>
      <c r="C832" s="95" t="s">
        <v>2542</v>
      </c>
      <c r="D832" s="94" t="s">
        <v>3750</v>
      </c>
      <c r="E832" s="94" t="s">
        <v>4474</v>
      </c>
      <c r="F832" s="94" t="s">
        <v>4475</v>
      </c>
      <c r="G832" s="33" t="s">
        <v>35</v>
      </c>
      <c r="H832" s="167" t="s">
        <v>4476</v>
      </c>
      <c r="I832" s="33" t="e">
        <f>VLOOKUP(H832,'合同高级查询数据-8月返'!A:A,1,FALSE)</f>
        <v>#N/A</v>
      </c>
      <c r="J832" s="94" t="s">
        <v>37</v>
      </c>
      <c r="K832" s="99" t="s">
        <v>2557</v>
      </c>
      <c r="L832" s="107" t="s">
        <v>4477</v>
      </c>
      <c r="M832" s="108"/>
      <c r="N832" s="108">
        <v>43444</v>
      </c>
      <c r="O832" s="276" t="s">
        <v>1767</v>
      </c>
      <c r="P832" s="115">
        <v>9500</v>
      </c>
      <c r="Q832" s="58">
        <v>14.3</v>
      </c>
      <c r="R832" s="262">
        <f t="shared" si="52"/>
        <v>135850</v>
      </c>
      <c r="S832" s="59">
        <v>202308</v>
      </c>
      <c r="T832" s="290" t="s">
        <v>4478</v>
      </c>
      <c r="U832" s="176"/>
      <c r="V832" s="269">
        <v>14.256097316</v>
      </c>
      <c r="W832" s="276"/>
      <c r="X832" s="108">
        <v>44531</v>
      </c>
      <c r="Y832" s="271">
        <v>45260</v>
      </c>
      <c r="Z832" s="193" t="s">
        <v>4479</v>
      </c>
      <c r="AA832" s="194">
        <v>0.3</v>
      </c>
      <c r="AB832" s="283">
        <v>40</v>
      </c>
      <c r="AC832" s="283">
        <f t="shared" si="53"/>
        <v>12</v>
      </c>
    </row>
    <row r="833" spans="1:29" s="9" customFormat="1" ht="15" customHeight="1">
      <c r="A833" s="93" t="s">
        <v>191</v>
      </c>
      <c r="B833" s="93" t="s">
        <v>3679</v>
      </c>
      <c r="C833" s="93" t="s">
        <v>4446</v>
      </c>
      <c r="D833" s="92" t="s">
        <v>3750</v>
      </c>
      <c r="E833" s="92" t="s">
        <v>4480</v>
      </c>
      <c r="F833" s="92" t="s">
        <v>4481</v>
      </c>
      <c r="G833" s="32" t="s">
        <v>35</v>
      </c>
      <c r="H833" s="169" t="s">
        <v>4482</v>
      </c>
      <c r="I833" s="32" t="e">
        <f>VLOOKUP(H833,'合同高级查询数据-8月返'!A:A,1,FALSE)</f>
        <v>#N/A</v>
      </c>
      <c r="J833" s="92" t="s">
        <v>37</v>
      </c>
      <c r="K833" s="98" t="s">
        <v>4483</v>
      </c>
      <c r="L833" s="49" t="s">
        <v>4484</v>
      </c>
      <c r="M833" s="105"/>
      <c r="N833" s="105" t="s">
        <v>4485</v>
      </c>
      <c r="O833" s="275" t="s">
        <v>1776</v>
      </c>
      <c r="P833" s="113">
        <v>6740</v>
      </c>
      <c r="Q833" s="54">
        <v>0.31</v>
      </c>
      <c r="R833" s="265">
        <f t="shared" si="52"/>
        <v>2089.4</v>
      </c>
      <c r="S833" s="55">
        <v>202307</v>
      </c>
      <c r="T833" s="313" t="s">
        <v>4486</v>
      </c>
      <c r="U833" s="188"/>
      <c r="V833" s="275"/>
      <c r="W833" s="275"/>
      <c r="X833" s="105"/>
      <c r="Y833" s="105"/>
      <c r="Z833" s="196"/>
      <c r="AA833" s="195"/>
      <c r="AB833" s="282"/>
      <c r="AC833" s="282"/>
    </row>
    <row r="834" spans="1:29" s="9" customFormat="1" ht="15" customHeight="1">
      <c r="A834" s="93" t="s">
        <v>191</v>
      </c>
      <c r="B834" s="93" t="s">
        <v>3679</v>
      </c>
      <c r="C834" s="93" t="s">
        <v>4446</v>
      </c>
      <c r="D834" s="92" t="s">
        <v>3750</v>
      </c>
      <c r="E834" s="92" t="s">
        <v>4480</v>
      </c>
      <c r="F834" s="92" t="s">
        <v>4481</v>
      </c>
      <c r="G834" s="32" t="s">
        <v>35</v>
      </c>
      <c r="H834" s="169" t="s">
        <v>4482</v>
      </c>
      <c r="I834" s="32" t="e">
        <f>VLOOKUP(H834,'合同高级查询数据-8月返'!A:A,1,FALSE)</f>
        <v>#N/A</v>
      </c>
      <c r="J834" s="92" t="s">
        <v>37</v>
      </c>
      <c r="K834" s="98" t="s">
        <v>4483</v>
      </c>
      <c r="L834" s="49" t="s">
        <v>4484</v>
      </c>
      <c r="M834" s="105"/>
      <c r="N834" s="105" t="s">
        <v>4485</v>
      </c>
      <c r="O834" s="275" t="s">
        <v>1776</v>
      </c>
      <c r="P834" s="113">
        <v>6740</v>
      </c>
      <c r="Q834" s="54">
        <v>49.17</v>
      </c>
      <c r="R834" s="265">
        <f t="shared" si="52"/>
        <v>331405.8</v>
      </c>
      <c r="S834" s="55">
        <v>202308</v>
      </c>
      <c r="T834" s="313" t="s">
        <v>4487</v>
      </c>
      <c r="U834" s="188"/>
      <c r="V834" s="273">
        <v>49.167064666999998</v>
      </c>
      <c r="W834" s="275"/>
      <c r="X834" s="105"/>
      <c r="Y834" s="105"/>
      <c r="Z834" s="196" t="s">
        <v>4488</v>
      </c>
      <c r="AA834" s="195">
        <v>0.4</v>
      </c>
      <c r="AB834" s="282">
        <v>120</v>
      </c>
      <c r="AC834" s="282">
        <f>AA834*AB834</f>
        <v>48</v>
      </c>
    </row>
    <row r="835" spans="1:29" s="9" customFormat="1" ht="15" customHeight="1">
      <c r="A835" s="93" t="s">
        <v>191</v>
      </c>
      <c r="B835" s="93" t="s">
        <v>3679</v>
      </c>
      <c r="C835" s="93" t="s">
        <v>2542</v>
      </c>
      <c r="D835" s="92" t="s">
        <v>3750</v>
      </c>
      <c r="E835" s="92" t="s">
        <v>4489</v>
      </c>
      <c r="F835" s="92" t="s">
        <v>4490</v>
      </c>
      <c r="G835" s="32" t="s">
        <v>35</v>
      </c>
      <c r="H835" s="169" t="s">
        <v>4491</v>
      </c>
      <c r="I835" s="32" t="e">
        <f>VLOOKUP(H835,'合同高级查询数据-8月返'!A:A,1,FALSE)</f>
        <v>#N/A</v>
      </c>
      <c r="J835" s="92" t="s">
        <v>37</v>
      </c>
      <c r="K835" s="98" t="s">
        <v>4492</v>
      </c>
      <c r="L835" s="49" t="s">
        <v>4493</v>
      </c>
      <c r="M835" s="105"/>
      <c r="N835" s="105" t="s">
        <v>4494</v>
      </c>
      <c r="O835" s="275" t="s">
        <v>4495</v>
      </c>
      <c r="P835" s="113">
        <v>6740</v>
      </c>
      <c r="Q835" s="54">
        <v>0.21</v>
      </c>
      <c r="R835" s="265">
        <f t="shared" si="52"/>
        <v>1415.4</v>
      </c>
      <c r="S835" s="55">
        <v>202307</v>
      </c>
      <c r="T835" s="313" t="s">
        <v>4496</v>
      </c>
      <c r="U835" s="188"/>
      <c r="V835" s="273"/>
      <c r="W835" s="275"/>
      <c r="X835" s="105"/>
      <c r="Y835" s="105"/>
      <c r="Z835" s="196"/>
      <c r="AA835" s="195"/>
      <c r="AB835" s="282"/>
      <c r="AC835" s="282"/>
    </row>
    <row r="836" spans="1:29" s="9" customFormat="1" ht="15" customHeight="1">
      <c r="A836" s="93" t="s">
        <v>191</v>
      </c>
      <c r="B836" s="93" t="s">
        <v>3679</v>
      </c>
      <c r="C836" s="93" t="s">
        <v>2542</v>
      </c>
      <c r="D836" s="92" t="s">
        <v>3750</v>
      </c>
      <c r="E836" s="92" t="s">
        <v>4489</v>
      </c>
      <c r="F836" s="92" t="s">
        <v>4490</v>
      </c>
      <c r="G836" s="32" t="s">
        <v>35</v>
      </c>
      <c r="H836" s="169" t="s">
        <v>4491</v>
      </c>
      <c r="I836" s="32" t="e">
        <f>VLOOKUP(H836,'合同高级查询数据-8月返'!A:A,1,FALSE)</f>
        <v>#N/A</v>
      </c>
      <c r="J836" s="92" t="s">
        <v>37</v>
      </c>
      <c r="K836" s="98" t="s">
        <v>4492</v>
      </c>
      <c r="L836" s="49" t="s">
        <v>4493</v>
      </c>
      <c r="M836" s="105"/>
      <c r="N836" s="105" t="s">
        <v>4494</v>
      </c>
      <c r="O836" s="275" t="s">
        <v>4495</v>
      </c>
      <c r="P836" s="113">
        <v>6740</v>
      </c>
      <c r="Q836" s="54">
        <v>32</v>
      </c>
      <c r="R836" s="265">
        <f t="shared" si="52"/>
        <v>215680</v>
      </c>
      <c r="S836" s="55">
        <v>202308</v>
      </c>
      <c r="T836" s="313" t="s">
        <v>4497</v>
      </c>
      <c r="U836" s="188"/>
      <c r="V836" s="273">
        <v>29.570106505999998</v>
      </c>
      <c r="W836" s="275"/>
      <c r="X836" s="105"/>
      <c r="Y836" s="105"/>
      <c r="Z836" s="196" t="s">
        <v>4498</v>
      </c>
      <c r="AA836" s="195">
        <v>0.4</v>
      </c>
      <c r="AB836" s="282">
        <v>80</v>
      </c>
      <c r="AC836" s="282">
        <f t="shared" ref="AC836:AC841" si="54">AA836*AB836</f>
        <v>32</v>
      </c>
    </row>
    <row r="837" spans="1:29" s="9" customFormat="1" ht="15" customHeight="1">
      <c r="A837" s="93" t="s">
        <v>184</v>
      </c>
      <c r="B837" s="93" t="s">
        <v>3679</v>
      </c>
      <c r="C837" s="92" t="s">
        <v>1716</v>
      </c>
      <c r="D837" s="92" t="s">
        <v>3680</v>
      </c>
      <c r="E837" s="92" t="s">
        <v>4499</v>
      </c>
      <c r="F837" s="32" t="s">
        <v>4500</v>
      </c>
      <c r="G837" s="169" t="s">
        <v>35</v>
      </c>
      <c r="H837" s="92" t="s">
        <v>4501</v>
      </c>
      <c r="I837" s="32" t="e">
        <f>VLOOKUP(H837,'合同高级查询数据-8月返'!A:A,1,FALSE)</f>
        <v>#N/A</v>
      </c>
      <c r="J837" s="98" t="s">
        <v>37</v>
      </c>
      <c r="K837" s="49" t="s">
        <v>4500</v>
      </c>
      <c r="L837" s="105" t="s">
        <v>4502</v>
      </c>
      <c r="M837" s="105"/>
      <c r="N837" s="105">
        <v>43688</v>
      </c>
      <c r="O837" s="322" t="s">
        <v>1767</v>
      </c>
      <c r="P837" s="180">
        <v>5000</v>
      </c>
      <c r="Q837" s="265">
        <v>12</v>
      </c>
      <c r="R837" s="54">
        <f t="shared" si="52"/>
        <v>60000</v>
      </c>
      <c r="S837" s="55">
        <v>202308</v>
      </c>
      <c r="T837" s="313" t="s">
        <v>4503</v>
      </c>
      <c r="U837" s="275"/>
      <c r="V837" s="273">
        <v>11.825056075999999</v>
      </c>
      <c r="W837" s="275"/>
      <c r="X837" s="105"/>
      <c r="Y837" s="105"/>
      <c r="Z837" s="196" t="s">
        <v>4504</v>
      </c>
      <c r="AA837" s="195">
        <v>0.3</v>
      </c>
      <c r="AB837" s="282">
        <v>40</v>
      </c>
      <c r="AC837" s="282">
        <f t="shared" si="54"/>
        <v>12</v>
      </c>
    </row>
    <row r="838" spans="1:29" s="10" customFormat="1" ht="15" customHeight="1">
      <c r="A838" s="95" t="s">
        <v>184</v>
      </c>
      <c r="B838" s="95" t="s">
        <v>3679</v>
      </c>
      <c r="C838" s="94" t="s">
        <v>1716</v>
      </c>
      <c r="D838" s="94" t="s">
        <v>3680</v>
      </c>
      <c r="E838" s="94" t="s">
        <v>4505</v>
      </c>
      <c r="F838" s="33" t="s">
        <v>4506</v>
      </c>
      <c r="G838" s="167" t="s">
        <v>35</v>
      </c>
      <c r="H838" s="94" t="s">
        <v>4507</v>
      </c>
      <c r="I838" s="33" t="e">
        <f>VLOOKUP(H838,'合同高级查询数据-8月返'!A:A,1,FALSE)</f>
        <v>#N/A</v>
      </c>
      <c r="J838" s="99" t="s">
        <v>37</v>
      </c>
      <c r="K838" s="107" t="s">
        <v>4506</v>
      </c>
      <c r="L838" s="108" t="s">
        <v>4506</v>
      </c>
      <c r="M838" s="108"/>
      <c r="N838" s="108" t="s">
        <v>4508</v>
      </c>
      <c r="O838" s="323" t="s">
        <v>3782</v>
      </c>
      <c r="P838" s="173">
        <v>9500</v>
      </c>
      <c r="Q838" s="262">
        <v>6</v>
      </c>
      <c r="R838" s="58">
        <f t="shared" si="52"/>
        <v>57000</v>
      </c>
      <c r="S838" s="59">
        <v>202308</v>
      </c>
      <c r="T838" s="290" t="s">
        <v>4509</v>
      </c>
      <c r="U838" s="276"/>
      <c r="V838" s="269">
        <v>5.7483687400000001</v>
      </c>
      <c r="W838" s="276"/>
      <c r="X838" s="108">
        <v>44652</v>
      </c>
      <c r="Y838" s="108">
        <v>45382</v>
      </c>
      <c r="Z838" s="193" t="s">
        <v>4510</v>
      </c>
      <c r="AA838" s="194">
        <v>0.3</v>
      </c>
      <c r="AB838" s="283">
        <v>20</v>
      </c>
      <c r="AC838" s="283">
        <f t="shared" si="54"/>
        <v>6</v>
      </c>
    </row>
    <row r="839" spans="1:29" s="9" customFormat="1" ht="15" customHeight="1">
      <c r="A839" s="93" t="s">
        <v>184</v>
      </c>
      <c r="B839" s="93" t="s">
        <v>3679</v>
      </c>
      <c r="C839" s="92" t="s">
        <v>1716</v>
      </c>
      <c r="D839" s="92" t="s">
        <v>3680</v>
      </c>
      <c r="E839" s="92" t="s">
        <v>4505</v>
      </c>
      <c r="F839" s="32" t="s">
        <v>4506</v>
      </c>
      <c r="G839" s="169" t="s">
        <v>35</v>
      </c>
      <c r="H839" s="92" t="s">
        <v>4511</v>
      </c>
      <c r="I839" s="32" t="e">
        <f>VLOOKUP(H839,'合同高级查询数据-8月返'!A:A,1,FALSE)</f>
        <v>#N/A</v>
      </c>
      <c r="J839" s="98" t="s">
        <v>37</v>
      </c>
      <c r="K839" s="49" t="s">
        <v>4506</v>
      </c>
      <c r="L839" s="105" t="s">
        <v>4512</v>
      </c>
      <c r="M839" s="105"/>
      <c r="N839" s="105" t="s">
        <v>4513</v>
      </c>
      <c r="O839" s="322" t="s">
        <v>641</v>
      </c>
      <c r="P839" s="180">
        <v>9500</v>
      </c>
      <c r="Q839" s="265">
        <v>0</v>
      </c>
      <c r="R839" s="54">
        <f t="shared" si="52"/>
        <v>0</v>
      </c>
      <c r="S839" s="55">
        <v>202308</v>
      </c>
      <c r="T839" s="313" t="s">
        <v>4514</v>
      </c>
      <c r="U839" s="275"/>
      <c r="V839" s="273">
        <v>0</v>
      </c>
      <c r="W839" s="275"/>
      <c r="X839" s="105">
        <v>44652</v>
      </c>
      <c r="Y839" s="105"/>
      <c r="Z839" s="196" t="s">
        <v>4515</v>
      </c>
      <c r="AA839" s="195">
        <v>0</v>
      </c>
      <c r="AB839" s="282">
        <v>0</v>
      </c>
      <c r="AC839" s="282">
        <f t="shared" si="54"/>
        <v>0</v>
      </c>
    </row>
    <row r="840" spans="1:29" s="9" customFormat="1" ht="15" customHeight="1">
      <c r="A840" s="93" t="s">
        <v>184</v>
      </c>
      <c r="B840" s="93" t="s">
        <v>3679</v>
      </c>
      <c r="C840" s="92" t="s">
        <v>1716</v>
      </c>
      <c r="D840" s="92" t="s">
        <v>3680</v>
      </c>
      <c r="E840" s="92" t="s">
        <v>4516</v>
      </c>
      <c r="F840" s="32" t="s">
        <v>4517</v>
      </c>
      <c r="G840" s="169" t="s">
        <v>35</v>
      </c>
      <c r="H840" s="92" t="s">
        <v>4518</v>
      </c>
      <c r="I840" s="32" t="e">
        <f>VLOOKUP(H840,'合同高级查询数据-8月返'!A:A,1,FALSE)</f>
        <v>#N/A</v>
      </c>
      <c r="J840" s="98" t="s">
        <v>37</v>
      </c>
      <c r="K840" s="49" t="s">
        <v>2252</v>
      </c>
      <c r="L840" s="105" t="s">
        <v>4517</v>
      </c>
      <c r="M840" s="105"/>
      <c r="N840" s="50" t="s">
        <v>4519</v>
      </c>
      <c r="O840" s="322" t="s">
        <v>1436</v>
      </c>
      <c r="P840" s="180">
        <v>5000</v>
      </c>
      <c r="Q840" s="265"/>
      <c r="R840" s="54">
        <f t="shared" si="52"/>
        <v>0</v>
      </c>
      <c r="S840" s="55">
        <v>202308</v>
      </c>
      <c r="T840" s="313" t="s">
        <v>4520</v>
      </c>
      <c r="U840" s="275"/>
      <c r="V840" s="273">
        <v>0</v>
      </c>
      <c r="W840" s="275"/>
      <c r="X840" s="105">
        <v>44927</v>
      </c>
      <c r="Y840" s="105"/>
      <c r="Z840" s="196" t="s">
        <v>4521</v>
      </c>
      <c r="AA840" s="333">
        <v>0.3</v>
      </c>
      <c r="AB840" s="282">
        <v>0</v>
      </c>
      <c r="AC840" s="282">
        <f t="shared" si="54"/>
        <v>0</v>
      </c>
    </row>
    <row r="841" spans="1:29" s="9" customFormat="1" ht="15" customHeight="1">
      <c r="A841" s="93" t="s">
        <v>184</v>
      </c>
      <c r="B841" s="93" t="s">
        <v>3679</v>
      </c>
      <c r="C841" s="92" t="s">
        <v>1716</v>
      </c>
      <c r="D841" s="92" t="s">
        <v>3680</v>
      </c>
      <c r="E841" s="92" t="s">
        <v>4516</v>
      </c>
      <c r="F841" s="32" t="s">
        <v>4517</v>
      </c>
      <c r="G841" s="169" t="s">
        <v>35</v>
      </c>
      <c r="H841" s="92" t="s">
        <v>4518</v>
      </c>
      <c r="I841" s="32" t="e">
        <f>VLOOKUP(H841,'合同高级查询数据-8月返'!A:A,1,FALSE)</f>
        <v>#N/A</v>
      </c>
      <c r="J841" s="98" t="s">
        <v>37</v>
      </c>
      <c r="K841" s="49" t="s">
        <v>2252</v>
      </c>
      <c r="L841" s="105" t="s">
        <v>4522</v>
      </c>
      <c r="M841" s="105"/>
      <c r="N841" s="50" t="s">
        <v>4523</v>
      </c>
      <c r="O841" s="322" t="s">
        <v>1436</v>
      </c>
      <c r="P841" s="180">
        <v>5000</v>
      </c>
      <c r="Q841" s="265"/>
      <c r="R841" s="54">
        <f t="shared" si="52"/>
        <v>0</v>
      </c>
      <c r="S841" s="55">
        <v>202308</v>
      </c>
      <c r="T841" s="313" t="s">
        <v>4524</v>
      </c>
      <c r="U841" s="275"/>
      <c r="V841" s="273">
        <v>0</v>
      </c>
      <c r="W841" s="275"/>
      <c r="X841" s="105">
        <v>44927</v>
      </c>
      <c r="Y841" s="105"/>
      <c r="Z841" s="196" t="s">
        <v>4525</v>
      </c>
      <c r="AA841" s="333">
        <v>0.3</v>
      </c>
      <c r="AB841" s="282">
        <v>0</v>
      </c>
      <c r="AC841" s="282">
        <f t="shared" si="54"/>
        <v>0</v>
      </c>
    </row>
    <row r="842" spans="1:29" s="10" customFormat="1" ht="15" customHeight="1">
      <c r="A842" s="95" t="s">
        <v>184</v>
      </c>
      <c r="B842" s="95" t="s">
        <v>3679</v>
      </c>
      <c r="C842" s="94" t="s">
        <v>2159</v>
      </c>
      <c r="D842" s="94" t="s">
        <v>3680</v>
      </c>
      <c r="E842" s="94" t="s">
        <v>4526</v>
      </c>
      <c r="F842" s="33" t="s">
        <v>4527</v>
      </c>
      <c r="G842" s="167" t="s">
        <v>35</v>
      </c>
      <c r="H842" s="94" t="s">
        <v>4528</v>
      </c>
      <c r="I842" s="33" t="e">
        <f>VLOOKUP(H842,'合同高级查询数据-8月返'!A:A,1,FALSE)</f>
        <v>#N/A</v>
      </c>
      <c r="J842" s="99" t="s">
        <v>37</v>
      </c>
      <c r="K842" s="107" t="s">
        <v>4529</v>
      </c>
      <c r="L842" s="108" t="s">
        <v>4527</v>
      </c>
      <c r="M842" s="108" t="s">
        <v>4530</v>
      </c>
      <c r="N842" s="108" t="s">
        <v>4531</v>
      </c>
      <c r="O842" s="323" t="s">
        <v>4532</v>
      </c>
      <c r="P842" s="173">
        <v>9500</v>
      </c>
      <c r="Q842" s="262">
        <v>45.9</v>
      </c>
      <c r="R842" s="58">
        <f t="shared" si="52"/>
        <v>436050</v>
      </c>
      <c r="S842" s="59">
        <v>202308</v>
      </c>
      <c r="T842" s="290" t="s">
        <v>4533</v>
      </c>
      <c r="U842" s="276"/>
      <c r="V842" s="269">
        <v>45.397129057999997</v>
      </c>
      <c r="W842" s="276">
        <v>46.29</v>
      </c>
      <c r="X842" s="108">
        <v>44440</v>
      </c>
      <c r="Y842" s="108">
        <v>45169</v>
      </c>
      <c r="Z842" s="193" t="s">
        <v>4534</v>
      </c>
      <c r="AA842" s="193">
        <v>0.3</v>
      </c>
      <c r="AB842" s="283">
        <v>190</v>
      </c>
      <c r="AC842" s="283">
        <f>(AB842-60)*AA842</f>
        <v>39</v>
      </c>
    </row>
    <row r="843" spans="1:29" s="10" customFormat="1" ht="15" customHeight="1">
      <c r="A843" s="95" t="s">
        <v>184</v>
      </c>
      <c r="B843" s="95" t="s">
        <v>3679</v>
      </c>
      <c r="C843" s="94" t="s">
        <v>2159</v>
      </c>
      <c r="D843" s="94" t="s">
        <v>3680</v>
      </c>
      <c r="E843" s="94" t="s">
        <v>4526</v>
      </c>
      <c r="F843" s="33" t="s">
        <v>4527</v>
      </c>
      <c r="G843" s="167" t="s">
        <v>35</v>
      </c>
      <c r="H843" s="94" t="s">
        <v>4528</v>
      </c>
      <c r="I843" s="33" t="e">
        <f>VLOOKUP(H843,'合同高级查询数据-8月返'!A:A,1,FALSE)</f>
        <v>#N/A</v>
      </c>
      <c r="J843" s="99" t="s">
        <v>37</v>
      </c>
      <c r="K843" s="107" t="s">
        <v>4535</v>
      </c>
      <c r="L843" s="108" t="s">
        <v>4536</v>
      </c>
      <c r="M843" s="108"/>
      <c r="N843" s="108" t="s">
        <v>4537</v>
      </c>
      <c r="O843" s="323" t="s">
        <v>1329</v>
      </c>
      <c r="P843" s="173">
        <v>9500</v>
      </c>
      <c r="Q843" s="262">
        <v>0</v>
      </c>
      <c r="R843" s="58">
        <f t="shared" si="52"/>
        <v>0</v>
      </c>
      <c r="S843" s="59">
        <v>202308</v>
      </c>
      <c r="T843" s="290" t="s">
        <v>4538</v>
      </c>
      <c r="U843" s="276"/>
      <c r="V843" s="269">
        <v>0</v>
      </c>
      <c r="W843" s="276"/>
      <c r="X843" s="108">
        <v>44440</v>
      </c>
      <c r="Y843" s="108">
        <v>45169</v>
      </c>
      <c r="Z843" s="193" t="s">
        <v>4539</v>
      </c>
      <c r="AA843" s="193">
        <v>0.3</v>
      </c>
      <c r="AB843" s="283">
        <v>0</v>
      </c>
      <c r="AC843" s="283">
        <f t="shared" ref="AC843:AC863" si="55">AA843*AB843</f>
        <v>0</v>
      </c>
    </row>
    <row r="844" spans="1:29" s="10" customFormat="1" ht="15" customHeight="1">
      <c r="A844" s="95" t="s">
        <v>184</v>
      </c>
      <c r="B844" s="95" t="s">
        <v>3679</v>
      </c>
      <c r="C844" s="94" t="s">
        <v>2159</v>
      </c>
      <c r="D844" s="94" t="s">
        <v>3680</v>
      </c>
      <c r="E844" s="94" t="s">
        <v>4526</v>
      </c>
      <c r="F844" s="33" t="s">
        <v>4527</v>
      </c>
      <c r="G844" s="167" t="s">
        <v>35</v>
      </c>
      <c r="H844" s="94" t="s">
        <v>4528</v>
      </c>
      <c r="I844" s="33" t="e">
        <f>VLOOKUP(H844,'合同高级查询数据-8月返'!A:A,1,FALSE)</f>
        <v>#N/A</v>
      </c>
      <c r="J844" s="99" t="s">
        <v>37</v>
      </c>
      <c r="K844" s="107" t="s">
        <v>4540</v>
      </c>
      <c r="L844" s="108" t="s">
        <v>4541</v>
      </c>
      <c r="M844" s="108"/>
      <c r="N844" s="108" t="s">
        <v>4542</v>
      </c>
      <c r="O844" s="323" t="s">
        <v>4543</v>
      </c>
      <c r="P844" s="173">
        <v>9500</v>
      </c>
      <c r="Q844" s="262">
        <v>0</v>
      </c>
      <c r="R844" s="58">
        <f t="shared" si="52"/>
        <v>0</v>
      </c>
      <c r="S844" s="59">
        <v>202308</v>
      </c>
      <c r="T844" s="290" t="s">
        <v>4544</v>
      </c>
      <c r="U844" s="276"/>
      <c r="V844" s="269">
        <v>0</v>
      </c>
      <c r="W844" s="276"/>
      <c r="X844" s="108">
        <v>44440</v>
      </c>
      <c r="Y844" s="108">
        <v>45169</v>
      </c>
      <c r="Z844" s="193" t="s">
        <v>4545</v>
      </c>
      <c r="AA844" s="193">
        <v>0.3</v>
      </c>
      <c r="AB844" s="283">
        <v>0</v>
      </c>
      <c r="AC844" s="283">
        <f t="shared" si="55"/>
        <v>0</v>
      </c>
    </row>
    <row r="845" spans="1:29" s="10" customFormat="1" ht="15" customHeight="1">
      <c r="A845" s="95" t="s">
        <v>184</v>
      </c>
      <c r="B845" s="95" t="s">
        <v>3679</v>
      </c>
      <c r="C845" s="94" t="s">
        <v>2159</v>
      </c>
      <c r="D845" s="94" t="s">
        <v>3680</v>
      </c>
      <c r="E845" s="94" t="s">
        <v>4526</v>
      </c>
      <c r="F845" s="33" t="s">
        <v>4527</v>
      </c>
      <c r="G845" s="167" t="s">
        <v>35</v>
      </c>
      <c r="H845" s="94" t="s">
        <v>4528</v>
      </c>
      <c r="I845" s="33" t="e">
        <f>VLOOKUP(H845,'合同高级查询数据-8月返'!A:A,1,FALSE)</f>
        <v>#N/A</v>
      </c>
      <c r="J845" s="99" t="s">
        <v>325</v>
      </c>
      <c r="K845" s="107" t="s">
        <v>2159</v>
      </c>
      <c r="L845" s="108" t="s">
        <v>4546</v>
      </c>
      <c r="M845" s="108"/>
      <c r="N845" s="108">
        <v>43753</v>
      </c>
      <c r="O845" s="323" t="s">
        <v>426</v>
      </c>
      <c r="P845" s="173">
        <v>9500</v>
      </c>
      <c r="Q845" s="262">
        <v>0.7</v>
      </c>
      <c r="R845" s="58">
        <f t="shared" si="52"/>
        <v>6650</v>
      </c>
      <c r="S845" s="59">
        <v>202308</v>
      </c>
      <c r="T845" s="290" t="s">
        <v>4547</v>
      </c>
      <c r="U845" s="276"/>
      <c r="V845" s="269">
        <v>0.61161779199999999</v>
      </c>
      <c r="W845" s="276">
        <v>0.61</v>
      </c>
      <c r="X845" s="108">
        <v>44440</v>
      </c>
      <c r="Y845" s="108">
        <v>45169</v>
      </c>
      <c r="Z845" s="193" t="s">
        <v>4548</v>
      </c>
      <c r="AA845" s="193">
        <v>0.3</v>
      </c>
      <c r="AB845" s="283">
        <v>10</v>
      </c>
      <c r="AC845" s="283">
        <f t="shared" si="55"/>
        <v>3</v>
      </c>
    </row>
    <row r="846" spans="1:29" s="9" customFormat="1" ht="15" customHeight="1">
      <c r="A846" s="93" t="s">
        <v>184</v>
      </c>
      <c r="B846" s="93" t="s">
        <v>3679</v>
      </c>
      <c r="C846" s="92" t="s">
        <v>2230</v>
      </c>
      <c r="D846" s="92" t="s">
        <v>3680</v>
      </c>
      <c r="E846" s="92" t="s">
        <v>4549</v>
      </c>
      <c r="F846" s="32" t="s">
        <v>4550</v>
      </c>
      <c r="G846" s="169" t="s">
        <v>35</v>
      </c>
      <c r="H846" s="92" t="s">
        <v>4551</v>
      </c>
      <c r="I846" s="32" t="e">
        <f>VLOOKUP(H846,'合同高级查询数据-8月返'!A:A,1,FALSE)</f>
        <v>#N/A</v>
      </c>
      <c r="J846" s="98" t="s">
        <v>37</v>
      </c>
      <c r="K846" s="49" t="s">
        <v>4552</v>
      </c>
      <c r="L846" s="105" t="s">
        <v>4552</v>
      </c>
      <c r="M846" s="105"/>
      <c r="N846" s="105">
        <v>43101</v>
      </c>
      <c r="O846" s="322">
        <v>0</v>
      </c>
      <c r="P846" s="180">
        <v>9500</v>
      </c>
      <c r="Q846" s="265">
        <v>0</v>
      </c>
      <c r="R846" s="54">
        <f t="shared" si="52"/>
        <v>0</v>
      </c>
      <c r="S846" s="55">
        <v>202308</v>
      </c>
      <c r="T846" s="313" t="s">
        <v>4553</v>
      </c>
      <c r="U846" s="275"/>
      <c r="V846" s="273">
        <v>0</v>
      </c>
      <c r="W846" s="275"/>
      <c r="X846" s="105"/>
      <c r="Y846" s="105"/>
      <c r="Z846" s="196" t="s">
        <v>4554</v>
      </c>
      <c r="AA846" s="196">
        <v>0.3</v>
      </c>
      <c r="AB846" s="282">
        <v>0</v>
      </c>
      <c r="AC846" s="282">
        <f t="shared" si="55"/>
        <v>0</v>
      </c>
    </row>
    <row r="847" spans="1:29" s="9" customFormat="1" ht="15" customHeight="1">
      <c r="A847" s="93" t="s">
        <v>184</v>
      </c>
      <c r="B847" s="93" t="s">
        <v>3679</v>
      </c>
      <c r="C847" s="92" t="s">
        <v>2230</v>
      </c>
      <c r="D847" s="92" t="s">
        <v>3680</v>
      </c>
      <c r="E847" s="92" t="s">
        <v>4549</v>
      </c>
      <c r="F847" s="32" t="s">
        <v>4550</v>
      </c>
      <c r="G847" s="169" t="s">
        <v>35</v>
      </c>
      <c r="H847" s="92" t="s">
        <v>4551</v>
      </c>
      <c r="I847" s="32" t="e">
        <f>VLOOKUP(H847,'合同高级查询数据-8月返'!A:A,1,FALSE)</f>
        <v>#N/A</v>
      </c>
      <c r="J847" s="98" t="s">
        <v>37</v>
      </c>
      <c r="K847" s="49" t="s">
        <v>4555</v>
      </c>
      <c r="L847" s="105" t="s">
        <v>4555</v>
      </c>
      <c r="M847" s="105"/>
      <c r="N847" s="105" t="s">
        <v>4556</v>
      </c>
      <c r="O847" s="322" t="s">
        <v>4557</v>
      </c>
      <c r="P847" s="180">
        <v>9500</v>
      </c>
      <c r="Q847" s="265">
        <v>12</v>
      </c>
      <c r="R847" s="54">
        <f t="shared" si="52"/>
        <v>114000</v>
      </c>
      <c r="S847" s="55">
        <v>202308</v>
      </c>
      <c r="T847" s="313" t="s">
        <v>4558</v>
      </c>
      <c r="U847" s="275"/>
      <c r="V847" s="273">
        <v>11.882483482</v>
      </c>
      <c r="W847" s="275"/>
      <c r="X847" s="105"/>
      <c r="Y847" s="105"/>
      <c r="Z847" s="196" t="s">
        <v>4559</v>
      </c>
      <c r="AA847" s="196">
        <v>0.3</v>
      </c>
      <c r="AB847" s="282">
        <v>40</v>
      </c>
      <c r="AC847" s="282">
        <f t="shared" si="55"/>
        <v>12</v>
      </c>
    </row>
    <row r="848" spans="1:29" s="9" customFormat="1" ht="15" customHeight="1">
      <c r="A848" s="93" t="s">
        <v>184</v>
      </c>
      <c r="B848" s="93" t="s">
        <v>3679</v>
      </c>
      <c r="C848" s="92" t="s">
        <v>2230</v>
      </c>
      <c r="D848" s="92" t="s">
        <v>3680</v>
      </c>
      <c r="E848" s="92" t="s">
        <v>4549</v>
      </c>
      <c r="F848" s="32" t="s">
        <v>4550</v>
      </c>
      <c r="G848" s="169" t="s">
        <v>35</v>
      </c>
      <c r="H848" s="92" t="s">
        <v>4551</v>
      </c>
      <c r="I848" s="32" t="e">
        <f>VLOOKUP(H848,'合同高级查询数据-8月返'!A:A,1,FALSE)</f>
        <v>#N/A</v>
      </c>
      <c r="J848" s="98" t="s">
        <v>37</v>
      </c>
      <c r="K848" s="49" t="s">
        <v>4560</v>
      </c>
      <c r="L848" s="105" t="s">
        <v>4560</v>
      </c>
      <c r="M848" s="105" t="s">
        <v>4561</v>
      </c>
      <c r="N848" s="105" t="s">
        <v>4562</v>
      </c>
      <c r="O848" s="322" t="s">
        <v>3242</v>
      </c>
      <c r="P848" s="180">
        <v>0</v>
      </c>
      <c r="Q848" s="265">
        <v>0</v>
      </c>
      <c r="R848" s="54">
        <f t="shared" si="52"/>
        <v>0</v>
      </c>
      <c r="S848" s="55">
        <v>202308</v>
      </c>
      <c r="T848" s="313" t="s">
        <v>4563</v>
      </c>
      <c r="U848" s="275"/>
      <c r="V848" s="273">
        <v>0</v>
      </c>
      <c r="W848" s="275"/>
      <c r="X848" s="105"/>
      <c r="Y848" s="105"/>
      <c r="Z848" s="196" t="s">
        <v>4564</v>
      </c>
      <c r="AA848" s="196">
        <v>0.3</v>
      </c>
      <c r="AB848" s="282">
        <v>0</v>
      </c>
      <c r="AC848" s="282">
        <f t="shared" si="55"/>
        <v>0</v>
      </c>
    </row>
    <row r="849" spans="1:29" s="10" customFormat="1" ht="15" customHeight="1">
      <c r="A849" s="95" t="s">
        <v>136</v>
      </c>
      <c r="B849" s="95" t="s">
        <v>3679</v>
      </c>
      <c r="C849" s="94" t="s">
        <v>1850</v>
      </c>
      <c r="D849" s="94" t="s">
        <v>3680</v>
      </c>
      <c r="E849" s="94" t="s">
        <v>4565</v>
      </c>
      <c r="F849" s="33" t="s">
        <v>4566</v>
      </c>
      <c r="G849" s="167" t="s">
        <v>35</v>
      </c>
      <c r="H849" s="94" t="s">
        <v>4567</v>
      </c>
      <c r="I849" s="33" t="e">
        <f>VLOOKUP(H849,'合同高级查询数据-8月返'!A:A,1,FALSE)</f>
        <v>#N/A</v>
      </c>
      <c r="J849" s="99" t="s">
        <v>37</v>
      </c>
      <c r="K849" s="107" t="s">
        <v>3198</v>
      </c>
      <c r="L849" s="108" t="s">
        <v>4568</v>
      </c>
      <c r="M849" s="108"/>
      <c r="N849" s="108" t="s">
        <v>4569</v>
      </c>
      <c r="O849" s="324" t="s">
        <v>4570</v>
      </c>
      <c r="P849" s="173">
        <v>9000</v>
      </c>
      <c r="Q849" s="262">
        <v>24</v>
      </c>
      <c r="R849" s="58">
        <f t="shared" si="52"/>
        <v>216000</v>
      </c>
      <c r="S849" s="59">
        <v>202308</v>
      </c>
      <c r="T849" s="328" t="s">
        <v>4571</v>
      </c>
      <c r="U849" s="276"/>
      <c r="V849" s="269">
        <v>23.496672362999998</v>
      </c>
      <c r="W849" s="276">
        <v>24.4</v>
      </c>
      <c r="X849" s="108">
        <v>44256</v>
      </c>
      <c r="Y849" s="108">
        <v>45350</v>
      </c>
      <c r="Z849" s="193" t="s">
        <v>4572</v>
      </c>
      <c r="AA849" s="193">
        <v>0.3</v>
      </c>
      <c r="AB849" s="283">
        <v>80</v>
      </c>
      <c r="AC849" s="283">
        <f t="shared" si="55"/>
        <v>24</v>
      </c>
    </row>
    <row r="850" spans="1:29" s="9" customFormat="1" ht="15" customHeight="1">
      <c r="A850" s="93" t="s">
        <v>136</v>
      </c>
      <c r="B850" s="93" t="s">
        <v>3679</v>
      </c>
      <c r="C850" s="92" t="s">
        <v>1850</v>
      </c>
      <c r="D850" s="92" t="s">
        <v>3680</v>
      </c>
      <c r="E850" s="92" t="s">
        <v>4565</v>
      </c>
      <c r="F850" s="32" t="s">
        <v>4566</v>
      </c>
      <c r="G850" s="169" t="s">
        <v>35</v>
      </c>
      <c r="H850" s="92" t="s">
        <v>4573</v>
      </c>
      <c r="I850" s="32" t="e">
        <f>VLOOKUP(H850,'合同高级查询数据-8月返'!A:A,1,FALSE)</f>
        <v>#N/A</v>
      </c>
      <c r="J850" s="98" t="s">
        <v>37</v>
      </c>
      <c r="K850" s="49" t="s">
        <v>3198</v>
      </c>
      <c r="L850" s="105" t="s">
        <v>4574</v>
      </c>
      <c r="M850" s="105"/>
      <c r="N850" s="105">
        <v>44197</v>
      </c>
      <c r="O850" s="322" t="s">
        <v>1848</v>
      </c>
      <c r="P850" s="180">
        <v>0</v>
      </c>
      <c r="Q850" s="265">
        <v>0</v>
      </c>
      <c r="R850" s="54">
        <f t="shared" si="52"/>
        <v>0</v>
      </c>
      <c r="S850" s="55">
        <v>202308</v>
      </c>
      <c r="T850" s="313" t="s">
        <v>4575</v>
      </c>
      <c r="U850" s="275"/>
      <c r="V850" s="273">
        <v>0</v>
      </c>
      <c r="W850" s="275"/>
      <c r="X850" s="105"/>
      <c r="Y850" s="105"/>
      <c r="Z850" s="196" t="s">
        <v>4576</v>
      </c>
      <c r="AA850" s="196">
        <v>0.3</v>
      </c>
      <c r="AB850" s="282">
        <v>0</v>
      </c>
      <c r="AC850" s="282">
        <f t="shared" si="55"/>
        <v>0</v>
      </c>
    </row>
    <row r="851" spans="1:29" s="9" customFormat="1" ht="15" customHeight="1">
      <c r="A851" s="93" t="s">
        <v>136</v>
      </c>
      <c r="B851" s="93" t="s">
        <v>3679</v>
      </c>
      <c r="C851" s="92" t="s">
        <v>1850</v>
      </c>
      <c r="D851" s="92" t="s">
        <v>3680</v>
      </c>
      <c r="E851" s="92" t="s">
        <v>4565</v>
      </c>
      <c r="F851" s="32" t="s">
        <v>4566</v>
      </c>
      <c r="G851" s="169" t="s">
        <v>35</v>
      </c>
      <c r="H851" s="92" t="s">
        <v>4577</v>
      </c>
      <c r="I851" s="32" t="e">
        <f>VLOOKUP(H851,'合同高级查询数据-8月返'!A:A,1,FALSE)</f>
        <v>#N/A</v>
      </c>
      <c r="J851" s="98" t="s">
        <v>37</v>
      </c>
      <c r="K851" s="49" t="s">
        <v>3198</v>
      </c>
      <c r="L851" s="105" t="s">
        <v>4578</v>
      </c>
      <c r="M851" s="105"/>
      <c r="N851" s="105" t="s">
        <v>4579</v>
      </c>
      <c r="O851" s="322" t="s">
        <v>3832</v>
      </c>
      <c r="P851" s="180">
        <v>0</v>
      </c>
      <c r="Q851" s="265">
        <v>0</v>
      </c>
      <c r="R851" s="54">
        <f t="shared" si="52"/>
        <v>0</v>
      </c>
      <c r="S851" s="55">
        <v>202308</v>
      </c>
      <c r="T851" s="313" t="s">
        <v>4580</v>
      </c>
      <c r="U851" s="275"/>
      <c r="V851" s="273">
        <v>0</v>
      </c>
      <c r="W851" s="275"/>
      <c r="X851" s="105"/>
      <c r="Y851" s="105"/>
      <c r="Z851" s="196" t="s">
        <v>4581</v>
      </c>
      <c r="AA851" s="196">
        <v>0</v>
      </c>
      <c r="AB851" s="282">
        <v>0</v>
      </c>
      <c r="AC851" s="282">
        <f t="shared" si="55"/>
        <v>0</v>
      </c>
    </row>
    <row r="852" spans="1:29" s="9" customFormat="1" ht="15" customHeight="1">
      <c r="A852" s="93" t="s">
        <v>136</v>
      </c>
      <c r="B852" s="93" t="s">
        <v>3679</v>
      </c>
      <c r="C852" s="92" t="s">
        <v>1850</v>
      </c>
      <c r="D852" s="92" t="s">
        <v>3680</v>
      </c>
      <c r="E852" s="92" t="s">
        <v>4565</v>
      </c>
      <c r="F852" s="32" t="s">
        <v>4566</v>
      </c>
      <c r="G852" s="169" t="s">
        <v>35</v>
      </c>
      <c r="H852" s="92" t="s">
        <v>4582</v>
      </c>
      <c r="I852" s="32" t="e">
        <f>VLOOKUP(H852,'合同高级查询数据-8月返'!A:A,1,FALSE)</f>
        <v>#N/A</v>
      </c>
      <c r="J852" s="98" t="s">
        <v>37</v>
      </c>
      <c r="K852" s="49" t="s">
        <v>3198</v>
      </c>
      <c r="L852" s="105" t="s">
        <v>4583</v>
      </c>
      <c r="M852" s="105" t="s">
        <v>4584</v>
      </c>
      <c r="N852" s="105">
        <v>45139</v>
      </c>
      <c r="O852" s="322" t="s">
        <v>2193</v>
      </c>
      <c r="P852" s="180">
        <v>0</v>
      </c>
      <c r="Q852" s="265"/>
      <c r="R852" s="54">
        <f t="shared" si="52"/>
        <v>0</v>
      </c>
      <c r="S852" s="55">
        <v>202308</v>
      </c>
      <c r="T852" s="313" t="s">
        <v>4585</v>
      </c>
      <c r="U852" s="275"/>
      <c r="V852" s="273">
        <v>0</v>
      </c>
      <c r="W852" s="275"/>
      <c r="X852" s="105"/>
      <c r="Y852" s="105"/>
      <c r="Z852" s="196" t="s">
        <v>4586</v>
      </c>
      <c r="AA852" s="196">
        <v>0</v>
      </c>
      <c r="AB852" s="282">
        <v>60</v>
      </c>
      <c r="AC852" s="282">
        <f t="shared" si="55"/>
        <v>0</v>
      </c>
    </row>
    <row r="853" spans="1:29" s="9" customFormat="1" ht="15" customHeight="1">
      <c r="A853" s="93" t="s">
        <v>136</v>
      </c>
      <c r="B853" s="93" t="s">
        <v>3679</v>
      </c>
      <c r="C853" s="92" t="s">
        <v>1850</v>
      </c>
      <c r="D853" s="92" t="s">
        <v>3680</v>
      </c>
      <c r="E853" s="92" t="s">
        <v>4587</v>
      </c>
      <c r="F853" s="32" t="s">
        <v>4588</v>
      </c>
      <c r="G853" s="169" t="s">
        <v>35</v>
      </c>
      <c r="H853" s="92" t="s">
        <v>4589</v>
      </c>
      <c r="I853" s="32" t="e">
        <f>VLOOKUP(H853,'合同高级查询数据-8月返'!A:A,1,FALSE)</f>
        <v>#N/A</v>
      </c>
      <c r="J853" s="98" t="s">
        <v>37</v>
      </c>
      <c r="K853" s="49" t="s">
        <v>4590</v>
      </c>
      <c r="L853" s="105" t="s">
        <v>4588</v>
      </c>
      <c r="M853" s="105"/>
      <c r="N853" s="50" t="s">
        <v>4591</v>
      </c>
      <c r="O853" s="325" t="s">
        <v>4592</v>
      </c>
      <c r="P853" s="180">
        <v>9000</v>
      </c>
      <c r="Q853" s="265"/>
      <c r="R853" s="54">
        <f t="shared" si="52"/>
        <v>0</v>
      </c>
      <c r="S853" s="55">
        <v>202308</v>
      </c>
      <c r="T853" s="313" t="s">
        <v>4593</v>
      </c>
      <c r="U853" s="275"/>
      <c r="V853" s="273">
        <v>0</v>
      </c>
      <c r="W853" s="275"/>
      <c r="X853" s="105">
        <v>44986</v>
      </c>
      <c r="Y853" s="105"/>
      <c r="Z853" s="196" t="s">
        <v>4594</v>
      </c>
      <c r="AA853" s="196">
        <v>0.3</v>
      </c>
      <c r="AB853" s="282">
        <v>0</v>
      </c>
      <c r="AC853" s="282">
        <f t="shared" si="55"/>
        <v>0</v>
      </c>
    </row>
    <row r="854" spans="1:29" s="9" customFormat="1" ht="15" customHeight="1">
      <c r="A854" s="93" t="s">
        <v>136</v>
      </c>
      <c r="B854" s="93" t="s">
        <v>3679</v>
      </c>
      <c r="C854" s="92" t="s">
        <v>1850</v>
      </c>
      <c r="D854" s="92" t="s">
        <v>3680</v>
      </c>
      <c r="E854" s="92" t="s">
        <v>4587</v>
      </c>
      <c r="F854" s="32" t="s">
        <v>4588</v>
      </c>
      <c r="G854" s="169" t="s">
        <v>35</v>
      </c>
      <c r="H854" s="92" t="s">
        <v>4589</v>
      </c>
      <c r="I854" s="32" t="e">
        <f>VLOOKUP(H854,'合同高级查询数据-8月返'!A:A,1,FALSE)</f>
        <v>#N/A</v>
      </c>
      <c r="J854" s="98" t="s">
        <v>37</v>
      </c>
      <c r="K854" s="49" t="s">
        <v>4590</v>
      </c>
      <c r="L854" s="105" t="s">
        <v>4595</v>
      </c>
      <c r="M854" s="105"/>
      <c r="N854" s="105">
        <v>44197</v>
      </c>
      <c r="O854" s="322" t="s">
        <v>1714</v>
      </c>
      <c r="P854" s="180">
        <v>0</v>
      </c>
      <c r="Q854" s="265">
        <v>0</v>
      </c>
      <c r="R854" s="54">
        <f t="shared" si="52"/>
        <v>0</v>
      </c>
      <c r="S854" s="55">
        <v>202308</v>
      </c>
      <c r="T854" s="313" t="s">
        <v>4596</v>
      </c>
      <c r="U854" s="275"/>
      <c r="V854" s="273">
        <v>0</v>
      </c>
      <c r="W854" s="275"/>
      <c r="X854" s="105">
        <v>44986</v>
      </c>
      <c r="Y854" s="105"/>
      <c r="Z854" s="196" t="s">
        <v>4597</v>
      </c>
      <c r="AA854" s="196">
        <v>0.3</v>
      </c>
      <c r="AB854" s="282">
        <v>0</v>
      </c>
      <c r="AC854" s="282">
        <f t="shared" si="55"/>
        <v>0</v>
      </c>
    </row>
    <row r="855" spans="1:29" s="9" customFormat="1" ht="15" customHeight="1">
      <c r="A855" s="93" t="s">
        <v>136</v>
      </c>
      <c r="B855" s="93" t="s">
        <v>3679</v>
      </c>
      <c r="C855" s="92" t="s">
        <v>1850</v>
      </c>
      <c r="D855" s="92" t="s">
        <v>3680</v>
      </c>
      <c r="E855" s="92" t="s">
        <v>4587</v>
      </c>
      <c r="F855" s="32" t="s">
        <v>4588</v>
      </c>
      <c r="G855" s="169" t="s">
        <v>35</v>
      </c>
      <c r="H855" s="92" t="s">
        <v>4598</v>
      </c>
      <c r="I855" s="32" t="e">
        <f>VLOOKUP(H855,'合同高级查询数据-8月返'!A:A,1,FALSE)</f>
        <v>#N/A</v>
      </c>
      <c r="J855" s="98" t="s">
        <v>37</v>
      </c>
      <c r="K855" s="49" t="s">
        <v>4590</v>
      </c>
      <c r="L855" s="105" t="s">
        <v>4599</v>
      </c>
      <c r="M855" s="105" t="s">
        <v>4600</v>
      </c>
      <c r="N855" s="105" t="s">
        <v>4601</v>
      </c>
      <c r="O855" s="322" t="s">
        <v>3242</v>
      </c>
      <c r="P855" s="180">
        <v>0</v>
      </c>
      <c r="Q855" s="265">
        <v>0</v>
      </c>
      <c r="R855" s="54">
        <f t="shared" si="52"/>
        <v>0</v>
      </c>
      <c r="S855" s="55">
        <v>202308</v>
      </c>
      <c r="T855" s="313" t="s">
        <v>4602</v>
      </c>
      <c r="U855" s="275"/>
      <c r="V855" s="273">
        <v>0</v>
      </c>
      <c r="W855" s="275"/>
      <c r="X855" s="105">
        <v>44562</v>
      </c>
      <c r="Y855" s="105"/>
      <c r="Z855" s="196" t="s">
        <v>4603</v>
      </c>
      <c r="AA855" s="196">
        <v>0</v>
      </c>
      <c r="AB855" s="282">
        <v>0</v>
      </c>
      <c r="AC855" s="282">
        <f t="shared" si="55"/>
        <v>0</v>
      </c>
    </row>
    <row r="856" spans="1:29" s="10" customFormat="1" ht="15" customHeight="1">
      <c r="A856" s="95" t="s">
        <v>136</v>
      </c>
      <c r="B856" s="95" t="s">
        <v>3679</v>
      </c>
      <c r="C856" s="94" t="s">
        <v>1716</v>
      </c>
      <c r="D856" s="94" t="s">
        <v>3680</v>
      </c>
      <c r="E856" s="94" t="s">
        <v>4604</v>
      </c>
      <c r="F856" s="33" t="s">
        <v>4605</v>
      </c>
      <c r="G856" s="167" t="s">
        <v>35</v>
      </c>
      <c r="H856" s="94" t="s">
        <v>4606</v>
      </c>
      <c r="I856" s="33" t="e">
        <f>VLOOKUP(H856,'合同高级查询数据-8月返'!A:A,1,FALSE)</f>
        <v>#N/A</v>
      </c>
      <c r="J856" s="99" t="s">
        <v>37</v>
      </c>
      <c r="K856" s="107" t="s">
        <v>2252</v>
      </c>
      <c r="L856" s="108" t="s">
        <v>4607</v>
      </c>
      <c r="M856" s="108"/>
      <c r="N856" s="108" t="s">
        <v>4608</v>
      </c>
      <c r="O856" s="323" t="s">
        <v>4609</v>
      </c>
      <c r="P856" s="173">
        <v>9000</v>
      </c>
      <c r="Q856" s="262">
        <v>0</v>
      </c>
      <c r="R856" s="58">
        <f t="shared" si="52"/>
        <v>0</v>
      </c>
      <c r="S856" s="59">
        <v>202308</v>
      </c>
      <c r="T856" s="290" t="s">
        <v>4610</v>
      </c>
      <c r="U856" s="276"/>
      <c r="V856" s="269">
        <v>0</v>
      </c>
      <c r="W856" s="276"/>
      <c r="X856" s="108">
        <v>44378</v>
      </c>
      <c r="Y856" s="108">
        <v>45291</v>
      </c>
      <c r="Z856" s="193" t="s">
        <v>4611</v>
      </c>
      <c r="AA856" s="193">
        <v>0.3</v>
      </c>
      <c r="AB856" s="283">
        <v>0</v>
      </c>
      <c r="AC856" s="283">
        <f t="shared" si="55"/>
        <v>0</v>
      </c>
    </row>
    <row r="857" spans="1:29" s="10" customFormat="1" ht="15" customHeight="1">
      <c r="A857" s="95" t="s">
        <v>136</v>
      </c>
      <c r="B857" s="95" t="s">
        <v>3679</v>
      </c>
      <c r="C857" s="94" t="s">
        <v>1716</v>
      </c>
      <c r="D857" s="94" t="s">
        <v>3680</v>
      </c>
      <c r="E857" s="94" t="s">
        <v>4604</v>
      </c>
      <c r="F857" s="33" t="s">
        <v>4605</v>
      </c>
      <c r="G857" s="167" t="s">
        <v>35</v>
      </c>
      <c r="H857" s="94" t="s">
        <v>4606</v>
      </c>
      <c r="I857" s="33" t="e">
        <f>VLOOKUP(H857,'合同高级查询数据-8月返'!A:A,1,FALSE)</f>
        <v>#N/A</v>
      </c>
      <c r="J857" s="99" t="s">
        <v>37</v>
      </c>
      <c r="K857" s="107" t="s">
        <v>4612</v>
      </c>
      <c r="L857" s="108" t="s">
        <v>4613</v>
      </c>
      <c r="M857" s="108"/>
      <c r="N857" s="108" t="s">
        <v>4614</v>
      </c>
      <c r="O857" s="323" t="s">
        <v>1329</v>
      </c>
      <c r="P857" s="173">
        <v>9000</v>
      </c>
      <c r="Q857" s="262">
        <v>0</v>
      </c>
      <c r="R857" s="58">
        <f t="shared" si="52"/>
        <v>0</v>
      </c>
      <c r="S857" s="59">
        <v>202308</v>
      </c>
      <c r="T857" s="290" t="s">
        <v>4615</v>
      </c>
      <c r="U857" s="276"/>
      <c r="V857" s="269">
        <v>0</v>
      </c>
      <c r="W857" s="276"/>
      <c r="X857" s="108">
        <v>44378</v>
      </c>
      <c r="Y857" s="108">
        <v>45291</v>
      </c>
      <c r="Z857" s="193" t="s">
        <v>4616</v>
      </c>
      <c r="AA857" s="193">
        <v>0.3</v>
      </c>
      <c r="AB857" s="283">
        <v>0</v>
      </c>
      <c r="AC857" s="283">
        <f t="shared" si="55"/>
        <v>0</v>
      </c>
    </row>
    <row r="858" spans="1:29" s="10" customFormat="1" ht="15" customHeight="1">
      <c r="A858" s="95" t="s">
        <v>136</v>
      </c>
      <c r="B858" s="95" t="s">
        <v>3679</v>
      </c>
      <c r="C858" s="94" t="s">
        <v>1716</v>
      </c>
      <c r="D858" s="94" t="s">
        <v>3680</v>
      </c>
      <c r="E858" s="94" t="s">
        <v>4604</v>
      </c>
      <c r="F858" s="33" t="s">
        <v>4605</v>
      </c>
      <c r="G858" s="167" t="s">
        <v>35</v>
      </c>
      <c r="H858" s="94" t="s">
        <v>4606</v>
      </c>
      <c r="I858" s="33" t="e">
        <f>VLOOKUP(H858,'合同高级查询数据-8月返'!A:A,1,FALSE)</f>
        <v>#N/A</v>
      </c>
      <c r="J858" s="99" t="s">
        <v>325</v>
      </c>
      <c r="K858" s="107" t="s">
        <v>2252</v>
      </c>
      <c r="L858" s="108" t="s">
        <v>4617</v>
      </c>
      <c r="M858" s="108"/>
      <c r="N858" s="108" t="s">
        <v>4618</v>
      </c>
      <c r="O858" s="323" t="s">
        <v>4619</v>
      </c>
      <c r="P858" s="173">
        <v>9000</v>
      </c>
      <c r="Q858" s="262">
        <v>3</v>
      </c>
      <c r="R858" s="58">
        <f t="shared" si="52"/>
        <v>27000</v>
      </c>
      <c r="S858" s="59">
        <v>202308</v>
      </c>
      <c r="T858" s="290" t="s">
        <v>4620</v>
      </c>
      <c r="U858" s="276"/>
      <c r="V858" s="269">
        <v>2.14</v>
      </c>
      <c r="W858" s="276"/>
      <c r="X858" s="108">
        <v>44378</v>
      </c>
      <c r="Y858" s="108">
        <v>45291</v>
      </c>
      <c r="Z858" s="193" t="s">
        <v>4621</v>
      </c>
      <c r="AA858" s="193">
        <v>0.3</v>
      </c>
      <c r="AB858" s="283">
        <v>10</v>
      </c>
      <c r="AC858" s="283">
        <f t="shared" si="55"/>
        <v>3</v>
      </c>
    </row>
    <row r="859" spans="1:29" s="10" customFormat="1" ht="15" customHeight="1">
      <c r="A859" s="95" t="s">
        <v>136</v>
      </c>
      <c r="B859" s="95" t="s">
        <v>3679</v>
      </c>
      <c r="C859" s="94" t="s">
        <v>1716</v>
      </c>
      <c r="D859" s="94" t="s">
        <v>3680</v>
      </c>
      <c r="E859" s="94" t="s">
        <v>4604</v>
      </c>
      <c r="F859" s="33" t="s">
        <v>4605</v>
      </c>
      <c r="G859" s="167" t="s">
        <v>35</v>
      </c>
      <c r="H859" s="94" t="s">
        <v>4606</v>
      </c>
      <c r="I859" s="33" t="e">
        <f>VLOOKUP(H859,'合同高级查询数据-8月返'!A:A,1,FALSE)</f>
        <v>#N/A</v>
      </c>
      <c r="J859" s="99" t="s">
        <v>37</v>
      </c>
      <c r="K859" s="107" t="s">
        <v>2252</v>
      </c>
      <c r="L859" s="108" t="s">
        <v>4622</v>
      </c>
      <c r="M859" s="108" t="s">
        <v>4623</v>
      </c>
      <c r="N859" s="108" t="s">
        <v>4624</v>
      </c>
      <c r="O859" s="323" t="s">
        <v>4625</v>
      </c>
      <c r="P859" s="173">
        <v>9000</v>
      </c>
      <c r="Q859" s="262">
        <v>0</v>
      </c>
      <c r="R859" s="58">
        <f t="shared" si="52"/>
        <v>0</v>
      </c>
      <c r="S859" s="59">
        <v>202308</v>
      </c>
      <c r="T859" s="290" t="s">
        <v>4626</v>
      </c>
      <c r="U859" s="276"/>
      <c r="V859" s="269">
        <v>0</v>
      </c>
      <c r="W859" s="276"/>
      <c r="X859" s="108">
        <v>44378</v>
      </c>
      <c r="Y859" s="108">
        <v>45291</v>
      </c>
      <c r="Z859" s="193" t="s">
        <v>4627</v>
      </c>
      <c r="AA859" s="193">
        <v>0.3</v>
      </c>
      <c r="AB859" s="283">
        <v>0</v>
      </c>
      <c r="AC859" s="283">
        <f t="shared" si="55"/>
        <v>0</v>
      </c>
    </row>
    <row r="860" spans="1:29" s="9" customFormat="1" ht="15" customHeight="1">
      <c r="A860" s="93" t="s">
        <v>136</v>
      </c>
      <c r="B860" s="93" t="s">
        <v>3679</v>
      </c>
      <c r="C860" s="92" t="s">
        <v>2159</v>
      </c>
      <c r="D860" s="92" t="s">
        <v>3680</v>
      </c>
      <c r="E860" s="92" t="s">
        <v>4628</v>
      </c>
      <c r="F860" s="32" t="s">
        <v>4629</v>
      </c>
      <c r="G860" s="169" t="s">
        <v>35</v>
      </c>
      <c r="H860" s="92" t="s">
        <v>4630</v>
      </c>
      <c r="I860" s="32" t="e">
        <f>VLOOKUP(H860,'合同高级查询数据-8月返'!A:A,1,FALSE)</f>
        <v>#N/A</v>
      </c>
      <c r="J860" s="98" t="s">
        <v>37</v>
      </c>
      <c r="K860" s="49" t="s">
        <v>4631</v>
      </c>
      <c r="L860" s="105" t="s">
        <v>4632</v>
      </c>
      <c r="M860" s="105"/>
      <c r="N860" s="105" t="s">
        <v>4633</v>
      </c>
      <c r="O860" s="322" t="s">
        <v>4634</v>
      </c>
      <c r="P860" s="180">
        <v>9000</v>
      </c>
      <c r="Q860" s="265">
        <v>18.3</v>
      </c>
      <c r="R860" s="54">
        <f t="shared" si="52"/>
        <v>164700</v>
      </c>
      <c r="S860" s="55">
        <v>202308</v>
      </c>
      <c r="T860" s="313" t="s">
        <v>4635</v>
      </c>
      <c r="U860" s="275"/>
      <c r="V860" s="273">
        <v>18.215349617000001</v>
      </c>
      <c r="W860" s="275"/>
      <c r="X860" s="105">
        <v>44927</v>
      </c>
      <c r="Y860" s="105"/>
      <c r="Z860" s="196" t="s">
        <v>4636</v>
      </c>
      <c r="AA860" s="333">
        <v>0.3</v>
      </c>
      <c r="AB860" s="282">
        <v>40</v>
      </c>
      <c r="AC860" s="282">
        <f t="shared" si="55"/>
        <v>12</v>
      </c>
    </row>
    <row r="861" spans="1:29" s="9" customFormat="1" ht="15" customHeight="1">
      <c r="A861" s="93" t="s">
        <v>136</v>
      </c>
      <c r="B861" s="93" t="s">
        <v>3679</v>
      </c>
      <c r="C861" s="92" t="s">
        <v>2159</v>
      </c>
      <c r="D861" s="92" t="s">
        <v>3680</v>
      </c>
      <c r="E861" s="92" t="s">
        <v>4628</v>
      </c>
      <c r="F861" s="32" t="s">
        <v>4629</v>
      </c>
      <c r="G861" s="169" t="s">
        <v>35</v>
      </c>
      <c r="H861" s="92" t="s">
        <v>4630</v>
      </c>
      <c r="I861" s="32" t="e">
        <f>VLOOKUP(H861,'合同高级查询数据-8月返'!A:A,1,FALSE)</f>
        <v>#N/A</v>
      </c>
      <c r="J861" s="98" t="s">
        <v>325</v>
      </c>
      <c r="K861" s="49" t="s">
        <v>4637</v>
      </c>
      <c r="L861" s="105" t="s">
        <v>4638</v>
      </c>
      <c r="M861" s="105"/>
      <c r="N861" s="105">
        <v>44392</v>
      </c>
      <c r="O861" s="322" t="s">
        <v>426</v>
      </c>
      <c r="P861" s="180">
        <v>9000</v>
      </c>
      <c r="Q861" s="265">
        <v>2</v>
      </c>
      <c r="R861" s="54">
        <f t="shared" si="52"/>
        <v>18000</v>
      </c>
      <c r="S861" s="55">
        <v>202308</v>
      </c>
      <c r="T861" s="313" t="s">
        <v>4639</v>
      </c>
      <c r="U861" s="275"/>
      <c r="V861" s="273">
        <v>2</v>
      </c>
      <c r="W861" s="275"/>
      <c r="X861" s="105">
        <v>44927</v>
      </c>
      <c r="Y861" s="105"/>
      <c r="Z861" s="196" t="s">
        <v>4640</v>
      </c>
      <c r="AA861" s="333">
        <v>0.3</v>
      </c>
      <c r="AB861" s="282">
        <v>10</v>
      </c>
      <c r="AC861" s="282">
        <f t="shared" si="55"/>
        <v>3</v>
      </c>
    </row>
    <row r="862" spans="1:29" s="9" customFormat="1" ht="15" customHeight="1">
      <c r="A862" s="93" t="s">
        <v>136</v>
      </c>
      <c r="B862" s="93" t="s">
        <v>3679</v>
      </c>
      <c r="C862" s="92" t="s">
        <v>2159</v>
      </c>
      <c r="D862" s="92" t="s">
        <v>3680</v>
      </c>
      <c r="E862" s="92" t="s">
        <v>4628</v>
      </c>
      <c r="F862" s="32" t="s">
        <v>4629</v>
      </c>
      <c r="G862" s="169" t="s">
        <v>35</v>
      </c>
      <c r="H862" s="92" t="s">
        <v>4630</v>
      </c>
      <c r="I862" s="32" t="e">
        <f>VLOOKUP(H862,'合同高级查询数据-8月返'!A:A,1,FALSE)</f>
        <v>#N/A</v>
      </c>
      <c r="J862" s="98" t="s">
        <v>37</v>
      </c>
      <c r="K862" s="49" t="s">
        <v>2159</v>
      </c>
      <c r="L862" s="105" t="s">
        <v>4641</v>
      </c>
      <c r="M862" s="105" t="s">
        <v>4637</v>
      </c>
      <c r="N862" s="105">
        <v>44228</v>
      </c>
      <c r="O862" s="322" t="s">
        <v>1848</v>
      </c>
      <c r="P862" s="180">
        <v>0</v>
      </c>
      <c r="Q862" s="265">
        <v>0</v>
      </c>
      <c r="R862" s="54">
        <f t="shared" si="52"/>
        <v>0</v>
      </c>
      <c r="S862" s="55">
        <v>202308</v>
      </c>
      <c r="T862" s="313" t="s">
        <v>4642</v>
      </c>
      <c r="U862" s="275"/>
      <c r="V862" s="273">
        <v>0</v>
      </c>
      <c r="W862" s="275"/>
      <c r="X862" s="105">
        <v>44927</v>
      </c>
      <c r="Y862" s="105"/>
      <c r="Z862" s="196" t="s">
        <v>4643</v>
      </c>
      <c r="AA862" s="333">
        <v>0.3</v>
      </c>
      <c r="AB862" s="282">
        <v>0</v>
      </c>
      <c r="AC862" s="282">
        <f t="shared" si="55"/>
        <v>0</v>
      </c>
    </row>
    <row r="863" spans="1:29" s="10" customFormat="1" ht="15" customHeight="1">
      <c r="A863" s="95" t="s">
        <v>136</v>
      </c>
      <c r="B863" s="95" t="s">
        <v>3679</v>
      </c>
      <c r="C863" s="94" t="s">
        <v>2159</v>
      </c>
      <c r="D863" s="94" t="s">
        <v>3680</v>
      </c>
      <c r="E863" s="94" t="s">
        <v>4628</v>
      </c>
      <c r="F863" s="33" t="s">
        <v>4629</v>
      </c>
      <c r="G863" s="167" t="s">
        <v>35</v>
      </c>
      <c r="H863" s="94" t="s">
        <v>4644</v>
      </c>
      <c r="I863" s="33" t="e">
        <f>VLOOKUP(H863,'合同高级查询数据-8月返'!A:A,1,FALSE)</f>
        <v>#N/A</v>
      </c>
      <c r="J863" s="99" t="s">
        <v>37</v>
      </c>
      <c r="K863" s="107" t="s">
        <v>4645</v>
      </c>
      <c r="L863" s="108" t="s">
        <v>4646</v>
      </c>
      <c r="M863" s="108" t="s">
        <v>4647</v>
      </c>
      <c r="N863" s="110" t="s">
        <v>4648</v>
      </c>
      <c r="O863" s="323" t="s">
        <v>4649</v>
      </c>
      <c r="P863" s="173">
        <v>9000</v>
      </c>
      <c r="Q863" s="262">
        <v>60</v>
      </c>
      <c r="R863" s="58">
        <f t="shared" si="52"/>
        <v>540000</v>
      </c>
      <c r="S863" s="59">
        <v>202308</v>
      </c>
      <c r="T863" s="290" t="s">
        <v>4650</v>
      </c>
      <c r="U863" s="276"/>
      <c r="V863" s="269">
        <v>35.519362399999999</v>
      </c>
      <c r="W863" s="276"/>
      <c r="X863" s="108">
        <v>44927</v>
      </c>
      <c r="Y863" s="108">
        <v>45291</v>
      </c>
      <c r="Z863" s="193" t="s">
        <v>4651</v>
      </c>
      <c r="AA863" s="334">
        <v>0.3</v>
      </c>
      <c r="AB863" s="283">
        <v>200</v>
      </c>
      <c r="AC863" s="283">
        <f t="shared" si="55"/>
        <v>60</v>
      </c>
    </row>
    <row r="864" spans="1:29" s="9" customFormat="1" ht="15" customHeight="1">
      <c r="A864" s="93" t="s">
        <v>136</v>
      </c>
      <c r="B864" s="93" t="s">
        <v>3679</v>
      </c>
      <c r="C864" s="92" t="s">
        <v>2159</v>
      </c>
      <c r="D864" s="92" t="s">
        <v>3680</v>
      </c>
      <c r="E864" s="92" t="s">
        <v>4628</v>
      </c>
      <c r="F864" s="32" t="s">
        <v>4629</v>
      </c>
      <c r="G864" s="169" t="s">
        <v>35</v>
      </c>
      <c r="H864" s="92" t="s">
        <v>4652</v>
      </c>
      <c r="I864" s="32" t="e">
        <f>VLOOKUP(H864,'合同高级查询数据-8月返'!A:A,1,FALSE)</f>
        <v>#N/A</v>
      </c>
      <c r="J864" s="98" t="s">
        <v>37</v>
      </c>
      <c r="K864" s="127" t="s">
        <v>4653</v>
      </c>
      <c r="L864" s="105" t="s">
        <v>4654</v>
      </c>
      <c r="M864" s="105" t="s">
        <v>4637</v>
      </c>
      <c r="N864" s="50">
        <v>45058</v>
      </c>
      <c r="O864" s="322" t="s">
        <v>4655</v>
      </c>
      <c r="P864" s="180">
        <v>9000</v>
      </c>
      <c r="Q864" s="265">
        <v>133.9</v>
      </c>
      <c r="R864" s="54">
        <f t="shared" si="52"/>
        <v>1205100</v>
      </c>
      <c r="S864" s="55">
        <v>202308</v>
      </c>
      <c r="T864" s="313" t="s">
        <v>4656</v>
      </c>
      <c r="U864" s="275"/>
      <c r="V864" s="273">
        <v>133.88402013199999</v>
      </c>
      <c r="W864" s="275"/>
      <c r="X864" s="105"/>
      <c r="Y864" s="105"/>
      <c r="Z864" s="196" t="s">
        <v>4657</v>
      </c>
      <c r="AA864" s="333">
        <v>0.3</v>
      </c>
      <c r="AB864" s="282">
        <v>310</v>
      </c>
      <c r="AC864" s="282">
        <f>AB864*AA864</f>
        <v>93</v>
      </c>
    </row>
    <row r="865" spans="1:29" s="9" customFormat="1" ht="15" customHeight="1">
      <c r="A865" s="93" t="s">
        <v>136</v>
      </c>
      <c r="B865" s="93" t="s">
        <v>3679</v>
      </c>
      <c r="C865" s="92" t="s">
        <v>2159</v>
      </c>
      <c r="D865" s="92" t="s">
        <v>3680</v>
      </c>
      <c r="E865" s="92" t="s">
        <v>4628</v>
      </c>
      <c r="F865" s="32" t="s">
        <v>4629</v>
      </c>
      <c r="G865" s="169" t="s">
        <v>35</v>
      </c>
      <c r="H865" s="92" t="s">
        <v>4652</v>
      </c>
      <c r="I865" s="32" t="e">
        <f>VLOOKUP(H865,'合同高级查询数据-8月返'!A:A,1,FALSE)</f>
        <v>#N/A</v>
      </c>
      <c r="J865" s="98" t="s">
        <v>37</v>
      </c>
      <c r="K865" s="127" t="s">
        <v>4658</v>
      </c>
      <c r="L865" s="105" t="s">
        <v>4659</v>
      </c>
      <c r="M865" s="105" t="s">
        <v>4637</v>
      </c>
      <c r="N865" s="50">
        <v>45058</v>
      </c>
      <c r="O865" s="322" t="s">
        <v>174</v>
      </c>
      <c r="P865" s="180">
        <v>9000</v>
      </c>
      <c r="Q865" s="265"/>
      <c r="R865" s="54">
        <f t="shared" si="52"/>
        <v>0</v>
      </c>
      <c r="S865" s="55">
        <v>202308</v>
      </c>
      <c r="T865" s="313" t="s">
        <v>4660</v>
      </c>
      <c r="U865" s="275"/>
      <c r="V865" s="273">
        <v>0</v>
      </c>
      <c r="W865" s="275"/>
      <c r="X865" s="105"/>
      <c r="Y865" s="105"/>
      <c r="Z865" s="196" t="s">
        <v>4661</v>
      </c>
      <c r="AA865" s="333">
        <v>0.3</v>
      </c>
      <c r="AB865" s="282">
        <v>0</v>
      </c>
      <c r="AC865" s="282">
        <f>AB865*AA865</f>
        <v>0</v>
      </c>
    </row>
    <row r="866" spans="1:29" s="9" customFormat="1" ht="15" customHeight="1">
      <c r="A866" s="93" t="s">
        <v>191</v>
      </c>
      <c r="B866" s="93" t="s">
        <v>3679</v>
      </c>
      <c r="C866" s="92" t="s">
        <v>1850</v>
      </c>
      <c r="D866" s="92" t="s">
        <v>3680</v>
      </c>
      <c r="E866" s="92" t="s">
        <v>4662</v>
      </c>
      <c r="F866" s="32" t="s">
        <v>4663</v>
      </c>
      <c r="G866" s="169" t="s">
        <v>35</v>
      </c>
      <c r="H866" s="92" t="s">
        <v>4664</v>
      </c>
      <c r="I866" s="32" t="e">
        <f>VLOOKUP(H866,'合同高级查询数据-8月返'!A:A,1,FALSE)</f>
        <v>#N/A</v>
      </c>
      <c r="J866" s="98" t="s">
        <v>37</v>
      </c>
      <c r="K866" s="49" t="s">
        <v>2095</v>
      </c>
      <c r="L866" s="105" t="s">
        <v>4665</v>
      </c>
      <c r="M866" s="105"/>
      <c r="N866" s="50" t="s">
        <v>4666</v>
      </c>
      <c r="O866" s="325" t="s">
        <v>4667</v>
      </c>
      <c r="P866" s="180">
        <v>6740</v>
      </c>
      <c r="Q866" s="265">
        <v>83.4</v>
      </c>
      <c r="R866" s="54">
        <f t="shared" ref="R866:R867" si="56">ROUND(P866*Q866,2)</f>
        <v>562116</v>
      </c>
      <c r="S866" s="55">
        <v>202308</v>
      </c>
      <c r="T866" s="329" t="s">
        <v>4668</v>
      </c>
      <c r="U866" s="275"/>
      <c r="V866" s="273">
        <v>83.404075622999997</v>
      </c>
      <c r="W866" s="275"/>
      <c r="X866" s="105"/>
      <c r="Y866" s="105"/>
      <c r="Z866" s="196" t="s">
        <v>4669</v>
      </c>
      <c r="AA866" s="333">
        <v>0.4</v>
      </c>
      <c r="AB866" s="282">
        <v>160</v>
      </c>
      <c r="AC866" s="282">
        <f t="shared" ref="AC866:AC871" si="57">AA866*AB866</f>
        <v>64</v>
      </c>
    </row>
    <row r="867" spans="1:29" s="9" customFormat="1" ht="15" customHeight="1">
      <c r="A867" s="93" t="s">
        <v>191</v>
      </c>
      <c r="B867" s="93" t="s">
        <v>3679</v>
      </c>
      <c r="C867" s="92" t="s">
        <v>1850</v>
      </c>
      <c r="D867" s="92" t="s">
        <v>3680</v>
      </c>
      <c r="E867" s="92" t="s">
        <v>4662</v>
      </c>
      <c r="F867" s="32" t="s">
        <v>4663</v>
      </c>
      <c r="G867" s="169" t="s">
        <v>35</v>
      </c>
      <c r="H867" s="92" t="s">
        <v>4670</v>
      </c>
      <c r="I867" s="32" t="e">
        <f>VLOOKUP(H867,'合同高级查询数据-8月返'!A:A,1,FALSE)</f>
        <v>#N/A</v>
      </c>
      <c r="J867" s="98" t="s">
        <v>37</v>
      </c>
      <c r="K867" s="49" t="s">
        <v>2095</v>
      </c>
      <c r="L867" s="105" t="s">
        <v>4671</v>
      </c>
      <c r="M867" s="105" t="s">
        <v>4672</v>
      </c>
      <c r="N867" s="105">
        <v>45078</v>
      </c>
      <c r="O867" s="322" t="s">
        <v>343</v>
      </c>
      <c r="P867" s="180">
        <v>6740</v>
      </c>
      <c r="Q867" s="265">
        <v>74.709999999999994</v>
      </c>
      <c r="R867" s="54">
        <f t="shared" si="56"/>
        <v>503545.4</v>
      </c>
      <c r="S867" s="55">
        <v>202308</v>
      </c>
      <c r="T867" s="313" t="s">
        <v>4673</v>
      </c>
      <c r="U867" s="275"/>
      <c r="V867" s="273">
        <v>74.708061217999997</v>
      </c>
      <c r="W867" s="275"/>
      <c r="X867" s="105"/>
      <c r="Y867" s="105"/>
      <c r="Z867" s="196" t="s">
        <v>4674</v>
      </c>
      <c r="AA867" s="333">
        <v>0.4</v>
      </c>
      <c r="AB867" s="282">
        <v>140</v>
      </c>
      <c r="AC867" s="282">
        <f t="shared" si="57"/>
        <v>56</v>
      </c>
    </row>
    <row r="868" spans="1:29" s="9" customFormat="1" ht="15" customHeight="1">
      <c r="A868" s="93" t="s">
        <v>191</v>
      </c>
      <c r="B868" s="93" t="s">
        <v>3679</v>
      </c>
      <c r="C868" s="92" t="s">
        <v>1850</v>
      </c>
      <c r="D868" s="92" t="s">
        <v>3680</v>
      </c>
      <c r="E868" s="92" t="s">
        <v>4662</v>
      </c>
      <c r="F868" s="32" t="s">
        <v>4663</v>
      </c>
      <c r="G868" s="169" t="s">
        <v>35</v>
      </c>
      <c r="H868" s="92" t="s">
        <v>4675</v>
      </c>
      <c r="I868" s="32" t="e">
        <f>VLOOKUP(H868,'合同高级查询数据-8月返'!A:A,1,FALSE)</f>
        <v>#N/A</v>
      </c>
      <c r="J868" s="98" t="s">
        <v>37</v>
      </c>
      <c r="K868" s="49" t="s">
        <v>4676</v>
      </c>
      <c r="L868" s="105" t="s">
        <v>4677</v>
      </c>
      <c r="M868" s="105" t="s">
        <v>4678</v>
      </c>
      <c r="N868" s="105">
        <v>45146</v>
      </c>
      <c r="O868" s="322" t="s">
        <v>3011</v>
      </c>
      <c r="P868" s="180">
        <v>0</v>
      </c>
      <c r="Q868" s="265"/>
      <c r="R868" s="54">
        <f t="shared" ref="R868:R893" si="58">ROUND(P868*Q868,2)</f>
        <v>0</v>
      </c>
      <c r="S868" s="55">
        <v>202308</v>
      </c>
      <c r="T868" s="313" t="s">
        <v>4679</v>
      </c>
      <c r="U868" s="275"/>
      <c r="V868" s="273">
        <v>0</v>
      </c>
      <c r="W868" s="275"/>
      <c r="X868" s="105"/>
      <c r="Y868" s="105"/>
      <c r="Z868" s="196" t="s">
        <v>4680</v>
      </c>
      <c r="AA868" s="333">
        <v>0</v>
      </c>
      <c r="AB868" s="282">
        <v>120</v>
      </c>
      <c r="AC868" s="282">
        <f t="shared" si="57"/>
        <v>0</v>
      </c>
    </row>
    <row r="869" spans="1:29" s="10" customFormat="1" ht="15" customHeight="1">
      <c r="A869" s="95" t="s">
        <v>191</v>
      </c>
      <c r="B869" s="95" t="s">
        <v>3679</v>
      </c>
      <c r="C869" s="94" t="s">
        <v>2230</v>
      </c>
      <c r="D869" s="94" t="s">
        <v>3680</v>
      </c>
      <c r="E869" s="94" t="s">
        <v>4681</v>
      </c>
      <c r="F869" s="33" t="s">
        <v>4682</v>
      </c>
      <c r="G869" s="167" t="s">
        <v>35</v>
      </c>
      <c r="H869" s="94" t="s">
        <v>4683</v>
      </c>
      <c r="I869" s="33" t="e">
        <f>VLOOKUP(H869,'合同高级查询数据-8月返'!A:A,1,FALSE)</f>
        <v>#N/A</v>
      </c>
      <c r="J869" s="99" t="s">
        <v>37</v>
      </c>
      <c r="K869" s="107" t="s">
        <v>4684</v>
      </c>
      <c r="L869" s="108" t="s">
        <v>4685</v>
      </c>
      <c r="M869" s="108"/>
      <c r="N869" s="108" t="s">
        <v>4686</v>
      </c>
      <c r="O869" s="323" t="s">
        <v>1355</v>
      </c>
      <c r="P869" s="173">
        <v>6740</v>
      </c>
      <c r="Q869" s="262">
        <v>0</v>
      </c>
      <c r="R869" s="58">
        <f t="shared" si="58"/>
        <v>0</v>
      </c>
      <c r="S869" s="59">
        <v>202308</v>
      </c>
      <c r="T869" s="290" t="s">
        <v>4687</v>
      </c>
      <c r="U869" s="276"/>
      <c r="V869" s="269">
        <v>0</v>
      </c>
      <c r="W869" s="276"/>
      <c r="X869" s="108"/>
      <c r="Y869" s="108"/>
      <c r="Z869" s="193" t="s">
        <v>4688</v>
      </c>
      <c r="AA869" s="334">
        <v>0.4</v>
      </c>
      <c r="AB869" s="283">
        <v>0</v>
      </c>
      <c r="AC869" s="283">
        <f t="shared" si="57"/>
        <v>0</v>
      </c>
    </row>
    <row r="870" spans="1:29" s="9" customFormat="1" ht="15" customHeight="1">
      <c r="A870" s="93" t="s">
        <v>191</v>
      </c>
      <c r="B870" s="93" t="s">
        <v>3679</v>
      </c>
      <c r="C870" s="92" t="s">
        <v>2230</v>
      </c>
      <c r="D870" s="92" t="s">
        <v>3680</v>
      </c>
      <c r="E870" s="92" t="s">
        <v>4681</v>
      </c>
      <c r="F870" s="32" t="s">
        <v>4682</v>
      </c>
      <c r="G870" s="169" t="s">
        <v>35</v>
      </c>
      <c r="H870" s="92" t="s">
        <v>4689</v>
      </c>
      <c r="I870" s="32" t="e">
        <f>VLOOKUP(H870,'合同高级查询数据-8月返'!A:A,1,FALSE)</f>
        <v>#N/A</v>
      </c>
      <c r="J870" s="98" t="s">
        <v>37</v>
      </c>
      <c r="K870" s="49" t="s">
        <v>4684</v>
      </c>
      <c r="L870" s="105" t="s">
        <v>4690</v>
      </c>
      <c r="M870" s="105"/>
      <c r="N870" s="50" t="s">
        <v>4691</v>
      </c>
      <c r="O870" s="325" t="s">
        <v>4692</v>
      </c>
      <c r="P870" s="180">
        <v>6740</v>
      </c>
      <c r="Q870" s="265">
        <v>17.03</v>
      </c>
      <c r="R870" s="54">
        <f t="shared" si="58"/>
        <v>114782.2</v>
      </c>
      <c r="S870" s="55">
        <v>202308</v>
      </c>
      <c r="T870" s="313" t="s">
        <v>4693</v>
      </c>
      <c r="U870" s="275"/>
      <c r="V870" s="273">
        <v>17.032411575000001</v>
      </c>
      <c r="W870" s="275"/>
      <c r="X870" s="105"/>
      <c r="Y870" s="105"/>
      <c r="Z870" s="196" t="s">
        <v>4694</v>
      </c>
      <c r="AA870" s="333">
        <v>0.4</v>
      </c>
      <c r="AB870" s="282">
        <v>40</v>
      </c>
      <c r="AC870" s="282">
        <f t="shared" si="57"/>
        <v>16</v>
      </c>
    </row>
    <row r="871" spans="1:29" s="9" customFormat="1" ht="15" customHeight="1">
      <c r="A871" s="93" t="s">
        <v>191</v>
      </c>
      <c r="B871" s="93" t="s">
        <v>3679</v>
      </c>
      <c r="C871" s="92" t="s">
        <v>2230</v>
      </c>
      <c r="D871" s="92" t="s">
        <v>3680</v>
      </c>
      <c r="E871" s="92" t="s">
        <v>4695</v>
      </c>
      <c r="F871" s="32" t="s">
        <v>4696</v>
      </c>
      <c r="G871" s="169" t="s">
        <v>35</v>
      </c>
      <c r="H871" s="92" t="s">
        <v>4697</v>
      </c>
      <c r="I871" s="32" t="e">
        <f>VLOOKUP(H871,'合同高级查询数据-8月返'!A:A,1,FALSE)</f>
        <v>#N/A</v>
      </c>
      <c r="J871" s="98" t="s">
        <v>37</v>
      </c>
      <c r="K871" s="49" t="s">
        <v>2230</v>
      </c>
      <c r="L871" s="105" t="s">
        <v>4698</v>
      </c>
      <c r="M871" s="105" t="s">
        <v>4699</v>
      </c>
      <c r="N871" s="50">
        <v>45113</v>
      </c>
      <c r="O871" s="325" t="s">
        <v>319</v>
      </c>
      <c r="P871" s="180">
        <v>6740</v>
      </c>
      <c r="Q871" s="265">
        <v>82.38</v>
      </c>
      <c r="R871" s="54">
        <f t="shared" si="58"/>
        <v>555241.19999999995</v>
      </c>
      <c r="S871" s="55">
        <v>202308</v>
      </c>
      <c r="T871" s="313" t="s">
        <v>4700</v>
      </c>
      <c r="U871" s="275"/>
      <c r="V871" s="273">
        <v>82.379779833000001</v>
      </c>
      <c r="W871" s="275"/>
      <c r="X871" s="105"/>
      <c r="Y871" s="105"/>
      <c r="Z871" s="196" t="s">
        <v>4701</v>
      </c>
      <c r="AA871" s="333">
        <v>0.4</v>
      </c>
      <c r="AB871" s="282">
        <v>200</v>
      </c>
      <c r="AC871" s="282">
        <f t="shared" si="57"/>
        <v>80</v>
      </c>
    </row>
    <row r="872" spans="1:29" s="9" customFormat="1" ht="15" customHeight="1">
      <c r="A872" s="93" t="s">
        <v>191</v>
      </c>
      <c r="B872" s="93" t="s">
        <v>3679</v>
      </c>
      <c r="C872" s="92" t="s">
        <v>1716</v>
      </c>
      <c r="D872" s="92" t="s">
        <v>3680</v>
      </c>
      <c r="E872" s="92" t="s">
        <v>4702</v>
      </c>
      <c r="F872" s="32" t="s">
        <v>4703</v>
      </c>
      <c r="G872" s="169" t="s">
        <v>35</v>
      </c>
      <c r="H872" s="92" t="s">
        <v>4704</v>
      </c>
      <c r="I872" s="32" t="e">
        <f>VLOOKUP(H872,'合同高级查询数据-8月返'!A:A,1,FALSE)</f>
        <v>#N/A</v>
      </c>
      <c r="J872" s="98" t="s">
        <v>37</v>
      </c>
      <c r="K872" s="49" t="s">
        <v>4705</v>
      </c>
      <c r="L872" s="105" t="s">
        <v>4706</v>
      </c>
      <c r="M872" s="105"/>
      <c r="N872" s="105" t="s">
        <v>4707</v>
      </c>
      <c r="O872" s="322" t="s">
        <v>4708</v>
      </c>
      <c r="P872" s="180">
        <v>6740</v>
      </c>
      <c r="Q872" s="265">
        <v>0.52</v>
      </c>
      <c r="R872" s="54">
        <f t="shared" si="58"/>
        <v>3504.8</v>
      </c>
      <c r="S872" s="55">
        <v>202307</v>
      </c>
      <c r="T872" s="313" t="s">
        <v>4709</v>
      </c>
      <c r="U872" s="275"/>
      <c r="V872" s="275"/>
      <c r="W872" s="275"/>
      <c r="X872" s="105"/>
      <c r="Y872" s="105"/>
      <c r="Z872" s="196"/>
      <c r="AA872" s="333"/>
      <c r="AB872" s="282"/>
      <c r="AC872" s="282"/>
    </row>
    <row r="873" spans="1:29" s="9" customFormat="1" ht="15" customHeight="1">
      <c r="A873" s="93" t="s">
        <v>191</v>
      </c>
      <c r="B873" s="93" t="s">
        <v>3679</v>
      </c>
      <c r="C873" s="92" t="s">
        <v>1716</v>
      </c>
      <c r="D873" s="92" t="s">
        <v>3680</v>
      </c>
      <c r="E873" s="92" t="s">
        <v>4702</v>
      </c>
      <c r="F873" s="32" t="s">
        <v>4703</v>
      </c>
      <c r="G873" s="169" t="s">
        <v>35</v>
      </c>
      <c r="H873" s="92" t="s">
        <v>4704</v>
      </c>
      <c r="I873" s="32" t="e">
        <f>VLOOKUP(H873,'合同高级查询数据-8月返'!A:A,1,FALSE)</f>
        <v>#N/A</v>
      </c>
      <c r="J873" s="98" t="s">
        <v>37</v>
      </c>
      <c r="K873" s="49" t="s">
        <v>4705</v>
      </c>
      <c r="L873" s="105" t="s">
        <v>4706</v>
      </c>
      <c r="M873" s="105"/>
      <c r="N873" s="105" t="s">
        <v>4707</v>
      </c>
      <c r="O873" s="322" t="s">
        <v>4708</v>
      </c>
      <c r="P873" s="180">
        <v>6740</v>
      </c>
      <c r="Q873" s="265">
        <v>65.95</v>
      </c>
      <c r="R873" s="54">
        <f t="shared" si="58"/>
        <v>444503</v>
      </c>
      <c r="S873" s="55">
        <v>202308</v>
      </c>
      <c r="T873" s="313" t="s">
        <v>4710</v>
      </c>
      <c r="U873" s="275"/>
      <c r="V873" s="273">
        <v>65.949180603000002</v>
      </c>
      <c r="W873" s="275"/>
      <c r="X873" s="105"/>
      <c r="Y873" s="105"/>
      <c r="Z873" s="196" t="s">
        <v>4711</v>
      </c>
      <c r="AA873" s="333">
        <v>0.4</v>
      </c>
      <c r="AB873" s="282">
        <v>160</v>
      </c>
      <c r="AC873" s="282">
        <f t="shared" ref="AC873:AC893" si="59">AA873*AB873</f>
        <v>64</v>
      </c>
    </row>
    <row r="874" spans="1:29" s="9" customFormat="1" ht="15" customHeight="1">
      <c r="A874" s="93" t="s">
        <v>191</v>
      </c>
      <c r="B874" s="93" t="s">
        <v>3679</v>
      </c>
      <c r="C874" s="92" t="s">
        <v>1716</v>
      </c>
      <c r="D874" s="92" t="s">
        <v>3680</v>
      </c>
      <c r="E874" s="92" t="s">
        <v>4702</v>
      </c>
      <c r="F874" s="32" t="s">
        <v>4703</v>
      </c>
      <c r="G874" s="169" t="s">
        <v>35</v>
      </c>
      <c r="H874" s="92" t="s">
        <v>4704</v>
      </c>
      <c r="I874" s="32" t="e">
        <f>VLOOKUP(H874,'合同高级查询数据-8月返'!A:A,1,FALSE)</f>
        <v>#N/A</v>
      </c>
      <c r="J874" s="98" t="s">
        <v>37</v>
      </c>
      <c r="K874" s="49"/>
      <c r="L874" s="105" t="s">
        <v>4712</v>
      </c>
      <c r="M874" s="105"/>
      <c r="N874" s="105">
        <v>44958</v>
      </c>
      <c r="O874" s="322" t="s">
        <v>467</v>
      </c>
      <c r="P874" s="180">
        <v>6740</v>
      </c>
      <c r="Q874" s="265">
        <v>120</v>
      </c>
      <c r="R874" s="54">
        <f t="shared" si="58"/>
        <v>808800</v>
      </c>
      <c r="S874" s="55">
        <v>202308</v>
      </c>
      <c r="T874" s="313" t="s">
        <v>4713</v>
      </c>
      <c r="U874" s="275"/>
      <c r="V874" s="273">
        <v>114.096428316</v>
      </c>
      <c r="W874" s="275"/>
      <c r="X874" s="105"/>
      <c r="Y874" s="105"/>
      <c r="Z874" s="196" t="s">
        <v>4714</v>
      </c>
      <c r="AA874" s="333">
        <v>0.4</v>
      </c>
      <c r="AB874" s="282">
        <v>300</v>
      </c>
      <c r="AC874" s="282">
        <f t="shared" si="59"/>
        <v>120</v>
      </c>
    </row>
    <row r="875" spans="1:29" s="9" customFormat="1" ht="15" customHeight="1">
      <c r="A875" s="93" t="s">
        <v>191</v>
      </c>
      <c r="B875" s="93" t="s">
        <v>3679</v>
      </c>
      <c r="C875" s="92" t="s">
        <v>2159</v>
      </c>
      <c r="D875" s="92" t="s">
        <v>3680</v>
      </c>
      <c r="E875" s="92" t="s">
        <v>4715</v>
      </c>
      <c r="F875" s="32" t="s">
        <v>4716</v>
      </c>
      <c r="G875" s="169" t="s">
        <v>35</v>
      </c>
      <c r="H875" s="92" t="s">
        <v>4717</v>
      </c>
      <c r="I875" s="32" t="e">
        <f>VLOOKUP(H875,'合同高级查询数据-8月返'!A:A,1,FALSE)</f>
        <v>#N/A</v>
      </c>
      <c r="J875" s="98" t="s">
        <v>37</v>
      </c>
      <c r="K875" s="49" t="s">
        <v>2159</v>
      </c>
      <c r="L875" s="105" t="s">
        <v>4716</v>
      </c>
      <c r="M875" s="105"/>
      <c r="N875" s="105">
        <v>42659</v>
      </c>
      <c r="O875" s="322" t="s">
        <v>1355</v>
      </c>
      <c r="P875" s="180">
        <v>6740</v>
      </c>
      <c r="Q875" s="265">
        <v>0</v>
      </c>
      <c r="R875" s="54">
        <f t="shared" si="58"/>
        <v>0</v>
      </c>
      <c r="S875" s="55">
        <v>202308</v>
      </c>
      <c r="T875" s="313" t="s">
        <v>4718</v>
      </c>
      <c r="U875" s="275"/>
      <c r="V875" s="273">
        <v>0</v>
      </c>
      <c r="W875" s="275"/>
      <c r="X875" s="105">
        <v>44927</v>
      </c>
      <c r="Y875" s="105"/>
      <c r="Z875" s="196" t="s">
        <v>4719</v>
      </c>
      <c r="AA875" s="333">
        <v>0.4</v>
      </c>
      <c r="AB875" s="282">
        <v>0</v>
      </c>
      <c r="AC875" s="282">
        <f t="shared" si="59"/>
        <v>0</v>
      </c>
    </row>
    <row r="876" spans="1:29" s="9" customFormat="1" ht="15" customHeight="1">
      <c r="A876" s="93" t="s">
        <v>191</v>
      </c>
      <c r="B876" s="93" t="s">
        <v>3679</v>
      </c>
      <c r="C876" s="92" t="s">
        <v>2159</v>
      </c>
      <c r="D876" s="92" t="s">
        <v>3680</v>
      </c>
      <c r="E876" s="92" t="s">
        <v>4715</v>
      </c>
      <c r="F876" s="32" t="s">
        <v>4716</v>
      </c>
      <c r="G876" s="169" t="s">
        <v>35</v>
      </c>
      <c r="H876" s="92" t="s">
        <v>4717</v>
      </c>
      <c r="I876" s="32" t="e">
        <f>VLOOKUP(H876,'合同高级查询数据-8月返'!A:A,1,FALSE)</f>
        <v>#N/A</v>
      </c>
      <c r="J876" s="98" t="s">
        <v>37</v>
      </c>
      <c r="K876" s="49" t="s">
        <v>4720</v>
      </c>
      <c r="L876" s="105" t="s">
        <v>4721</v>
      </c>
      <c r="M876" s="105"/>
      <c r="N876" s="105" t="s">
        <v>4722</v>
      </c>
      <c r="O876" s="322" t="s">
        <v>4723</v>
      </c>
      <c r="P876" s="180">
        <v>6740</v>
      </c>
      <c r="Q876" s="265">
        <v>0</v>
      </c>
      <c r="R876" s="54">
        <f t="shared" si="58"/>
        <v>0</v>
      </c>
      <c r="S876" s="55">
        <v>202308</v>
      </c>
      <c r="T876" s="313" t="s">
        <v>4724</v>
      </c>
      <c r="U876" s="275"/>
      <c r="V876" s="273">
        <v>0</v>
      </c>
      <c r="W876" s="275"/>
      <c r="X876" s="105">
        <v>44927</v>
      </c>
      <c r="Y876" s="105"/>
      <c r="Z876" s="196" t="s">
        <v>4725</v>
      </c>
      <c r="AA876" s="333">
        <v>0.4</v>
      </c>
      <c r="AB876" s="282">
        <v>10</v>
      </c>
      <c r="AC876" s="282">
        <f t="shared" si="59"/>
        <v>4</v>
      </c>
    </row>
    <row r="877" spans="1:29" s="9" customFormat="1" ht="15" customHeight="1">
      <c r="A877" s="93" t="s">
        <v>191</v>
      </c>
      <c r="B877" s="93" t="s">
        <v>3679</v>
      </c>
      <c r="C877" s="92" t="s">
        <v>2159</v>
      </c>
      <c r="D877" s="92" t="s">
        <v>3680</v>
      </c>
      <c r="E877" s="92" t="s">
        <v>4715</v>
      </c>
      <c r="F877" s="32" t="s">
        <v>4716</v>
      </c>
      <c r="G877" s="169" t="s">
        <v>35</v>
      </c>
      <c r="H877" s="92" t="s">
        <v>4717</v>
      </c>
      <c r="I877" s="32" t="e">
        <f>VLOOKUP(H877,'合同高级查询数据-8月返'!A:A,1,FALSE)</f>
        <v>#N/A</v>
      </c>
      <c r="J877" s="98" t="s">
        <v>37</v>
      </c>
      <c r="K877" s="49" t="s">
        <v>4726</v>
      </c>
      <c r="L877" s="105" t="s">
        <v>4727</v>
      </c>
      <c r="M877" s="105"/>
      <c r="N877" s="105">
        <v>45017</v>
      </c>
      <c r="O877" s="322" t="s">
        <v>426</v>
      </c>
      <c r="P877" s="180">
        <v>6740</v>
      </c>
      <c r="Q877" s="265">
        <v>6.59</v>
      </c>
      <c r="R877" s="54">
        <f t="shared" si="58"/>
        <v>44416.6</v>
      </c>
      <c r="S877" s="55">
        <v>202308</v>
      </c>
      <c r="T877" s="313" t="s">
        <v>4728</v>
      </c>
      <c r="U877" s="275"/>
      <c r="V877" s="273">
        <v>6.5931477550000004</v>
      </c>
      <c r="W877" s="275"/>
      <c r="X877" s="105">
        <v>44927</v>
      </c>
      <c r="Y877" s="105"/>
      <c r="Z877" s="196" t="s">
        <v>4729</v>
      </c>
      <c r="AA877" s="333">
        <v>0.4</v>
      </c>
      <c r="AB877" s="282">
        <v>10</v>
      </c>
      <c r="AC877" s="282">
        <f t="shared" si="59"/>
        <v>4</v>
      </c>
    </row>
    <row r="878" spans="1:29" s="9" customFormat="1" ht="15" customHeight="1">
      <c r="A878" s="93" t="s">
        <v>191</v>
      </c>
      <c r="B878" s="93" t="s">
        <v>3679</v>
      </c>
      <c r="C878" s="92" t="s">
        <v>2159</v>
      </c>
      <c r="D878" s="92" t="s">
        <v>3680</v>
      </c>
      <c r="E878" s="92" t="s">
        <v>4715</v>
      </c>
      <c r="F878" s="32" t="s">
        <v>4716</v>
      </c>
      <c r="G878" s="169" t="s">
        <v>35</v>
      </c>
      <c r="H878" s="92" t="s">
        <v>4717</v>
      </c>
      <c r="I878" s="32" t="e">
        <f>VLOOKUP(H878,'合同高级查询数据-8月返'!A:A,1,FALSE)</f>
        <v>#N/A</v>
      </c>
      <c r="J878" s="98" t="s">
        <v>325</v>
      </c>
      <c r="K878" s="49" t="s">
        <v>2159</v>
      </c>
      <c r="L878" s="105" t="s">
        <v>4730</v>
      </c>
      <c r="M878" s="105" t="s">
        <v>4731</v>
      </c>
      <c r="N878" s="105">
        <v>42733</v>
      </c>
      <c r="O878" s="322" t="s">
        <v>426</v>
      </c>
      <c r="P878" s="180">
        <v>6740</v>
      </c>
      <c r="Q878" s="265">
        <v>1.81</v>
      </c>
      <c r="R878" s="54">
        <f t="shared" si="58"/>
        <v>12199.4</v>
      </c>
      <c r="S878" s="55">
        <v>202308</v>
      </c>
      <c r="T878" s="313" t="s">
        <v>4732</v>
      </c>
      <c r="U878" s="275"/>
      <c r="V878" s="273">
        <v>1.81</v>
      </c>
      <c r="W878" s="275"/>
      <c r="X878" s="105">
        <v>44927</v>
      </c>
      <c r="Y878" s="105"/>
      <c r="Z878" s="196" t="s">
        <v>4733</v>
      </c>
      <c r="AA878" s="333">
        <v>0.4</v>
      </c>
      <c r="AB878" s="282">
        <v>10</v>
      </c>
      <c r="AC878" s="282">
        <f t="shared" si="59"/>
        <v>4</v>
      </c>
    </row>
    <row r="879" spans="1:29" s="10" customFormat="1" ht="15" customHeight="1">
      <c r="A879" s="95" t="s">
        <v>29</v>
      </c>
      <c r="B879" s="94" t="s">
        <v>3679</v>
      </c>
      <c r="C879" s="94" t="s">
        <v>31</v>
      </c>
      <c r="D879" s="94" t="s">
        <v>72</v>
      </c>
      <c r="E879" s="94" t="s">
        <v>4734</v>
      </c>
      <c r="F879" s="167" t="s">
        <v>4735</v>
      </c>
      <c r="G879" s="94" t="s">
        <v>35</v>
      </c>
      <c r="H879" s="99" t="s">
        <v>4736</v>
      </c>
      <c r="I879" s="33" t="e">
        <f>VLOOKUP(H879,'合同高级查询数据-8月返'!A:A,1,FALSE)</f>
        <v>#N/A</v>
      </c>
      <c r="J879" s="107" t="s">
        <v>37</v>
      </c>
      <c r="K879" s="108" t="s">
        <v>71</v>
      </c>
      <c r="L879" s="108" t="s">
        <v>4737</v>
      </c>
      <c r="M879" s="108" t="s">
        <v>4738</v>
      </c>
      <c r="N879" s="108" t="s">
        <v>4739</v>
      </c>
      <c r="O879" s="176" t="s">
        <v>4740</v>
      </c>
      <c r="P879" s="256">
        <v>500</v>
      </c>
      <c r="Q879" s="58">
        <v>140</v>
      </c>
      <c r="R879" s="58">
        <f t="shared" si="58"/>
        <v>70000</v>
      </c>
      <c r="S879" s="59">
        <v>202308</v>
      </c>
      <c r="T879" s="328" t="s">
        <v>4741</v>
      </c>
      <c r="U879" s="276"/>
      <c r="V879" s="269">
        <v>39.648922423000002</v>
      </c>
      <c r="W879" s="108"/>
      <c r="X879" s="74">
        <v>44197</v>
      </c>
      <c r="Y879" s="74">
        <v>45291</v>
      </c>
      <c r="Z879" s="28" t="s">
        <v>4742</v>
      </c>
      <c r="AA879" s="335">
        <v>1</v>
      </c>
      <c r="AB879" s="269">
        <v>140</v>
      </c>
      <c r="AC879" s="283">
        <f t="shared" si="59"/>
        <v>140</v>
      </c>
    </row>
    <row r="880" spans="1:29" s="10" customFormat="1" ht="15" customHeight="1">
      <c r="A880" s="95" t="s">
        <v>29</v>
      </c>
      <c r="B880" s="94" t="s">
        <v>3679</v>
      </c>
      <c r="C880" s="94" t="s">
        <v>31</v>
      </c>
      <c r="D880" s="94" t="s">
        <v>72</v>
      </c>
      <c r="E880" s="94" t="s">
        <v>4734</v>
      </c>
      <c r="F880" s="167" t="s">
        <v>4735</v>
      </c>
      <c r="G880" s="94" t="s">
        <v>35</v>
      </c>
      <c r="H880" s="99" t="s">
        <v>4736</v>
      </c>
      <c r="I880" s="33" t="e">
        <f>VLOOKUP(H880,'合同高级查询数据-8月返'!A:A,1,FALSE)</f>
        <v>#N/A</v>
      </c>
      <c r="J880" s="107" t="s">
        <v>37</v>
      </c>
      <c r="K880" s="108" t="s">
        <v>1696</v>
      </c>
      <c r="L880" s="108" t="s">
        <v>4743</v>
      </c>
      <c r="M880" s="108" t="s">
        <v>4744</v>
      </c>
      <c r="N880" s="108" t="s">
        <v>4739</v>
      </c>
      <c r="O880" s="176" t="s">
        <v>1329</v>
      </c>
      <c r="P880" s="256">
        <v>500</v>
      </c>
      <c r="Q880" s="58">
        <v>0</v>
      </c>
      <c r="R880" s="58">
        <f t="shared" si="58"/>
        <v>0</v>
      </c>
      <c r="S880" s="59">
        <v>202308</v>
      </c>
      <c r="T880" s="290" t="s">
        <v>4745</v>
      </c>
      <c r="U880" s="276"/>
      <c r="V880" s="269"/>
      <c r="W880" s="108"/>
      <c r="X880" s="74">
        <v>44197</v>
      </c>
      <c r="Y880" s="74">
        <v>45291</v>
      </c>
      <c r="Z880" s="336">
        <v>0</v>
      </c>
      <c r="AA880" s="336">
        <v>0</v>
      </c>
      <c r="AB880" s="336">
        <v>0</v>
      </c>
      <c r="AC880" s="283">
        <f t="shared" si="59"/>
        <v>0</v>
      </c>
    </row>
    <row r="881" spans="1:29" s="10" customFormat="1" ht="15" customHeight="1">
      <c r="A881" s="95" t="s">
        <v>29</v>
      </c>
      <c r="B881" s="94" t="s">
        <v>3679</v>
      </c>
      <c r="C881" s="94" t="s">
        <v>31</v>
      </c>
      <c r="D881" s="94" t="s">
        <v>72</v>
      </c>
      <c r="E881" s="94" t="s">
        <v>4734</v>
      </c>
      <c r="F881" s="167" t="s">
        <v>4735</v>
      </c>
      <c r="G881" s="94" t="s">
        <v>35</v>
      </c>
      <c r="H881" s="99" t="s">
        <v>4736</v>
      </c>
      <c r="I881" s="33" t="e">
        <f>VLOOKUP(H881,'合同高级查询数据-8月返'!A:A,1,FALSE)</f>
        <v>#N/A</v>
      </c>
      <c r="J881" s="107" t="s">
        <v>37</v>
      </c>
      <c r="K881" s="108" t="s">
        <v>429</v>
      </c>
      <c r="L881" s="108" t="s">
        <v>4746</v>
      </c>
      <c r="M881" s="108" t="s">
        <v>4747</v>
      </c>
      <c r="N881" s="108">
        <v>44197</v>
      </c>
      <c r="O881" s="176" t="s">
        <v>2113</v>
      </c>
      <c r="P881" s="256">
        <v>500</v>
      </c>
      <c r="Q881" s="58">
        <v>80</v>
      </c>
      <c r="R881" s="58">
        <f t="shared" si="58"/>
        <v>40000</v>
      </c>
      <c r="S881" s="59">
        <v>202308</v>
      </c>
      <c r="T881" s="290" t="s">
        <v>4748</v>
      </c>
      <c r="U881" s="276"/>
      <c r="V881" s="269">
        <v>13.781292056</v>
      </c>
      <c r="W881" s="108"/>
      <c r="X881" s="74">
        <v>44197</v>
      </c>
      <c r="Y881" s="74">
        <v>45291</v>
      </c>
      <c r="Z881" s="28" t="s">
        <v>4749</v>
      </c>
      <c r="AA881" s="335">
        <v>1</v>
      </c>
      <c r="AB881" s="269">
        <v>80</v>
      </c>
      <c r="AC881" s="283">
        <f t="shared" si="59"/>
        <v>80</v>
      </c>
    </row>
    <row r="882" spans="1:29" s="10" customFormat="1" ht="15" customHeight="1">
      <c r="A882" s="95" t="s">
        <v>29</v>
      </c>
      <c r="B882" s="94" t="s">
        <v>3679</v>
      </c>
      <c r="C882" s="94" t="s">
        <v>31</v>
      </c>
      <c r="D882" s="94" t="s">
        <v>72</v>
      </c>
      <c r="E882" s="94" t="s">
        <v>4734</v>
      </c>
      <c r="F882" s="167" t="s">
        <v>4735</v>
      </c>
      <c r="G882" s="94" t="s">
        <v>35</v>
      </c>
      <c r="H882" s="99" t="s">
        <v>4736</v>
      </c>
      <c r="I882" s="33" t="e">
        <f>VLOOKUP(H882,'合同高级查询数据-8月返'!A:A,1,FALSE)</f>
        <v>#N/A</v>
      </c>
      <c r="J882" s="107" t="s">
        <v>37</v>
      </c>
      <c r="K882" s="108" t="s">
        <v>2860</v>
      </c>
      <c r="L882" s="108" t="s">
        <v>4750</v>
      </c>
      <c r="M882" s="108" t="s">
        <v>4751</v>
      </c>
      <c r="N882" s="108">
        <v>44197</v>
      </c>
      <c r="O882" s="176" t="s">
        <v>1767</v>
      </c>
      <c r="P882" s="256">
        <v>500</v>
      </c>
      <c r="Q882" s="58">
        <v>40</v>
      </c>
      <c r="R882" s="58">
        <f t="shared" si="58"/>
        <v>20000</v>
      </c>
      <c r="S882" s="59">
        <v>202308</v>
      </c>
      <c r="T882" s="290" t="s">
        <v>4748</v>
      </c>
      <c r="U882" s="276"/>
      <c r="V882" s="269">
        <v>13.138573608</v>
      </c>
      <c r="W882" s="108"/>
      <c r="X882" s="74">
        <v>44197</v>
      </c>
      <c r="Y882" s="74">
        <v>45291</v>
      </c>
      <c r="Z882" s="28" t="s">
        <v>4752</v>
      </c>
      <c r="AA882" s="335">
        <v>1</v>
      </c>
      <c r="AB882" s="269">
        <v>40</v>
      </c>
      <c r="AC882" s="283">
        <f t="shared" si="59"/>
        <v>40</v>
      </c>
    </row>
    <row r="883" spans="1:29" s="10" customFormat="1" ht="15" customHeight="1">
      <c r="A883" s="95" t="s">
        <v>29</v>
      </c>
      <c r="B883" s="94" t="s">
        <v>3679</v>
      </c>
      <c r="C883" s="94" t="s">
        <v>31</v>
      </c>
      <c r="D883" s="94" t="s">
        <v>72</v>
      </c>
      <c r="E883" s="94" t="s">
        <v>4734</v>
      </c>
      <c r="F883" s="167" t="s">
        <v>4735</v>
      </c>
      <c r="G883" s="94" t="s">
        <v>35</v>
      </c>
      <c r="H883" s="99" t="s">
        <v>4736</v>
      </c>
      <c r="I883" s="33" t="e">
        <f>VLOOKUP(H883,'合同高级查询数据-8月返'!A:A,1,FALSE)</f>
        <v>#N/A</v>
      </c>
      <c r="J883" s="107" t="s">
        <v>37</v>
      </c>
      <c r="K883" s="108" t="s">
        <v>2252</v>
      </c>
      <c r="L883" s="108" t="s">
        <v>4753</v>
      </c>
      <c r="M883" s="108" t="s">
        <v>4754</v>
      </c>
      <c r="N883" s="108" t="s">
        <v>4739</v>
      </c>
      <c r="O883" s="176" t="s">
        <v>4755</v>
      </c>
      <c r="P883" s="256">
        <v>500</v>
      </c>
      <c r="Q883" s="58">
        <v>80</v>
      </c>
      <c r="R883" s="58">
        <f t="shared" si="58"/>
        <v>40000</v>
      </c>
      <c r="S883" s="59">
        <v>202308</v>
      </c>
      <c r="T883" s="328" t="s">
        <v>4756</v>
      </c>
      <c r="U883" s="276"/>
      <c r="V883" s="269">
        <v>19.850443115000001</v>
      </c>
      <c r="W883" s="108"/>
      <c r="X883" s="74">
        <v>44197</v>
      </c>
      <c r="Y883" s="74">
        <v>45291</v>
      </c>
      <c r="Z883" s="28" t="s">
        <v>4757</v>
      </c>
      <c r="AA883" s="335">
        <v>1</v>
      </c>
      <c r="AB883" s="269">
        <v>80</v>
      </c>
      <c r="AC883" s="283">
        <f t="shared" si="59"/>
        <v>80</v>
      </c>
    </row>
    <row r="884" spans="1:29" s="10" customFormat="1" ht="15" customHeight="1">
      <c r="A884" s="95" t="s">
        <v>29</v>
      </c>
      <c r="B884" s="94" t="s">
        <v>3679</v>
      </c>
      <c r="C884" s="94" t="s">
        <v>31</v>
      </c>
      <c r="D884" s="94" t="s">
        <v>72</v>
      </c>
      <c r="E884" s="94" t="s">
        <v>4734</v>
      </c>
      <c r="F884" s="167" t="s">
        <v>4735</v>
      </c>
      <c r="G884" s="94" t="s">
        <v>35</v>
      </c>
      <c r="H884" s="99" t="s">
        <v>4736</v>
      </c>
      <c r="I884" s="33" t="e">
        <f>VLOOKUP(H884,'合同高级查询数据-8月返'!A:A,1,FALSE)</f>
        <v>#N/A</v>
      </c>
      <c r="J884" s="107" t="s">
        <v>37</v>
      </c>
      <c r="K884" s="108" t="s">
        <v>1276</v>
      </c>
      <c r="L884" s="108" t="s">
        <v>4758</v>
      </c>
      <c r="M884" s="108" t="s">
        <v>4759</v>
      </c>
      <c r="N884" s="108" t="s">
        <v>4739</v>
      </c>
      <c r="O884" s="176" t="s">
        <v>4760</v>
      </c>
      <c r="P884" s="256">
        <v>500</v>
      </c>
      <c r="Q884" s="58">
        <v>140</v>
      </c>
      <c r="R884" s="58">
        <f t="shared" si="58"/>
        <v>70000</v>
      </c>
      <c r="S884" s="59">
        <v>202308</v>
      </c>
      <c r="T884" s="328" t="s">
        <v>4761</v>
      </c>
      <c r="U884" s="276"/>
      <c r="V884" s="269">
        <v>23.608258094</v>
      </c>
      <c r="W884" s="108"/>
      <c r="X884" s="74">
        <v>44197</v>
      </c>
      <c r="Y884" s="74">
        <v>45291</v>
      </c>
      <c r="Z884" s="28" t="s">
        <v>4762</v>
      </c>
      <c r="AA884" s="335">
        <v>1</v>
      </c>
      <c r="AB884" s="269">
        <v>140</v>
      </c>
      <c r="AC884" s="283">
        <f t="shared" si="59"/>
        <v>140</v>
      </c>
    </row>
    <row r="885" spans="1:29" s="10" customFormat="1" ht="15" customHeight="1">
      <c r="A885" s="95" t="s">
        <v>29</v>
      </c>
      <c r="B885" s="94" t="s">
        <v>3679</v>
      </c>
      <c r="C885" s="94" t="s">
        <v>31</v>
      </c>
      <c r="D885" s="94" t="s">
        <v>72</v>
      </c>
      <c r="E885" s="94" t="s">
        <v>4734</v>
      </c>
      <c r="F885" s="167" t="s">
        <v>4735</v>
      </c>
      <c r="G885" s="94" t="s">
        <v>35</v>
      </c>
      <c r="H885" s="99" t="s">
        <v>4736</v>
      </c>
      <c r="I885" s="33" t="e">
        <f>VLOOKUP(H885,'合同高级查询数据-8月返'!A:A,1,FALSE)</f>
        <v>#N/A</v>
      </c>
      <c r="J885" s="107" t="s">
        <v>37</v>
      </c>
      <c r="K885" s="108" t="s">
        <v>1361</v>
      </c>
      <c r="L885" s="108" t="s">
        <v>4763</v>
      </c>
      <c r="M885" s="108" t="s">
        <v>4764</v>
      </c>
      <c r="N885" s="108" t="s">
        <v>4739</v>
      </c>
      <c r="O885" s="176" t="s">
        <v>4765</v>
      </c>
      <c r="P885" s="256">
        <v>500</v>
      </c>
      <c r="Q885" s="58">
        <v>40</v>
      </c>
      <c r="R885" s="58">
        <f t="shared" si="58"/>
        <v>20000</v>
      </c>
      <c r="S885" s="59">
        <v>202308</v>
      </c>
      <c r="T885" s="328" t="s">
        <v>4766</v>
      </c>
      <c r="U885" s="276"/>
      <c r="V885" s="269">
        <v>4.7447852319999999</v>
      </c>
      <c r="W885" s="108"/>
      <c r="X885" s="74">
        <v>44197</v>
      </c>
      <c r="Y885" s="74">
        <v>45291</v>
      </c>
      <c r="Z885" s="28" t="s">
        <v>4767</v>
      </c>
      <c r="AA885" s="335">
        <v>1</v>
      </c>
      <c r="AB885" s="269">
        <v>40</v>
      </c>
      <c r="AC885" s="283">
        <f t="shared" si="59"/>
        <v>40</v>
      </c>
    </row>
    <row r="886" spans="1:29" s="10" customFormat="1" ht="15" customHeight="1">
      <c r="A886" s="95" t="s">
        <v>29</v>
      </c>
      <c r="B886" s="94" t="s">
        <v>3679</v>
      </c>
      <c r="C886" s="94" t="s">
        <v>31</v>
      </c>
      <c r="D886" s="94" t="s">
        <v>72</v>
      </c>
      <c r="E886" s="94" t="s">
        <v>4734</v>
      </c>
      <c r="F886" s="167" t="s">
        <v>4735</v>
      </c>
      <c r="G886" s="94" t="s">
        <v>35</v>
      </c>
      <c r="H886" s="99" t="s">
        <v>4736</v>
      </c>
      <c r="I886" s="33" t="e">
        <f>VLOOKUP(H886,'合同高级查询数据-8月返'!A:A,1,FALSE)</f>
        <v>#N/A</v>
      </c>
      <c r="J886" s="107" t="s">
        <v>37</v>
      </c>
      <c r="K886" s="108" t="s">
        <v>1383</v>
      </c>
      <c r="L886" s="108" t="s">
        <v>4768</v>
      </c>
      <c r="M886" s="108" t="s">
        <v>4769</v>
      </c>
      <c r="N886" s="108" t="s">
        <v>4739</v>
      </c>
      <c r="O886" s="176" t="s">
        <v>589</v>
      </c>
      <c r="P886" s="256">
        <v>500</v>
      </c>
      <c r="Q886" s="58">
        <v>20</v>
      </c>
      <c r="R886" s="58">
        <f t="shared" si="58"/>
        <v>10000</v>
      </c>
      <c r="S886" s="59">
        <v>202308</v>
      </c>
      <c r="T886" s="328" t="s">
        <v>4770</v>
      </c>
      <c r="U886" s="276"/>
      <c r="V886" s="269">
        <v>3.3568744939999999</v>
      </c>
      <c r="W886" s="108"/>
      <c r="X886" s="74">
        <v>44197</v>
      </c>
      <c r="Y886" s="74">
        <v>45291</v>
      </c>
      <c r="Z886" s="28" t="s">
        <v>4771</v>
      </c>
      <c r="AA886" s="335">
        <v>1</v>
      </c>
      <c r="AB886" s="269">
        <v>20</v>
      </c>
      <c r="AC886" s="176">
        <f t="shared" si="59"/>
        <v>20</v>
      </c>
    </row>
    <row r="887" spans="1:29" s="10" customFormat="1" ht="15" customHeight="1">
      <c r="A887" s="95" t="s">
        <v>29</v>
      </c>
      <c r="B887" s="94" t="s">
        <v>3679</v>
      </c>
      <c r="C887" s="94" t="s">
        <v>71</v>
      </c>
      <c r="D887" s="94" t="s">
        <v>72</v>
      </c>
      <c r="E887" s="94" t="s">
        <v>4772</v>
      </c>
      <c r="F887" s="167" t="s">
        <v>4773</v>
      </c>
      <c r="G887" s="94" t="s">
        <v>35</v>
      </c>
      <c r="H887" s="99" t="s">
        <v>4774</v>
      </c>
      <c r="I887" s="33" t="e">
        <f>VLOOKUP(H887,'合同高级查询数据-8月返'!A:A,1,FALSE)</f>
        <v>#N/A</v>
      </c>
      <c r="J887" s="107" t="s">
        <v>76</v>
      </c>
      <c r="K887" s="108" t="s">
        <v>4775</v>
      </c>
      <c r="L887" s="108" t="s">
        <v>4776</v>
      </c>
      <c r="M887" s="108" t="s">
        <v>4777</v>
      </c>
      <c r="N887" s="108" t="s">
        <v>4778</v>
      </c>
      <c r="O887" s="176" t="s">
        <v>4779</v>
      </c>
      <c r="P887" s="256">
        <v>1000</v>
      </c>
      <c r="Q887" s="58">
        <v>47.5</v>
      </c>
      <c r="R887" s="58">
        <f t="shared" si="58"/>
        <v>47500</v>
      </c>
      <c r="S887" s="59">
        <v>202308</v>
      </c>
      <c r="T887" s="290" t="s">
        <v>4780</v>
      </c>
      <c r="U887" s="276"/>
      <c r="V887" s="269">
        <v>47.407440899000001</v>
      </c>
      <c r="W887" s="108"/>
      <c r="X887" s="74">
        <v>44501</v>
      </c>
      <c r="Y887" s="74">
        <v>45291</v>
      </c>
      <c r="Z887" s="28" t="s">
        <v>4781</v>
      </c>
      <c r="AA887" s="335">
        <v>0</v>
      </c>
      <c r="AB887" s="269">
        <v>200</v>
      </c>
      <c r="AC887" s="176">
        <f t="shared" si="59"/>
        <v>0</v>
      </c>
    </row>
    <row r="888" spans="1:29" s="10" customFormat="1" ht="15" customHeight="1">
      <c r="A888" s="95" t="s">
        <v>29</v>
      </c>
      <c r="B888" s="94" t="s">
        <v>3679</v>
      </c>
      <c r="C888" s="94" t="s">
        <v>1696</v>
      </c>
      <c r="D888" s="94" t="s">
        <v>72</v>
      </c>
      <c r="E888" s="94" t="s">
        <v>4772</v>
      </c>
      <c r="F888" s="167" t="s">
        <v>4773</v>
      </c>
      <c r="G888" s="94" t="s">
        <v>35</v>
      </c>
      <c r="H888" s="99" t="s">
        <v>4774</v>
      </c>
      <c r="I888" s="33" t="e">
        <f>VLOOKUP(H888,'合同高级查询数据-8月返'!A:A,1,FALSE)</f>
        <v>#N/A</v>
      </c>
      <c r="J888" s="107" t="s">
        <v>76</v>
      </c>
      <c r="K888" s="108" t="s">
        <v>4782</v>
      </c>
      <c r="L888" s="108" t="s">
        <v>4783</v>
      </c>
      <c r="M888" s="108" t="s">
        <v>4784</v>
      </c>
      <c r="N888" s="108" t="s">
        <v>4785</v>
      </c>
      <c r="O888" s="176" t="s">
        <v>4786</v>
      </c>
      <c r="P888" s="256">
        <v>1000</v>
      </c>
      <c r="Q888" s="58">
        <v>18.7</v>
      </c>
      <c r="R888" s="58">
        <f t="shared" si="58"/>
        <v>18700</v>
      </c>
      <c r="S888" s="59">
        <v>202308</v>
      </c>
      <c r="T888" s="290" t="s">
        <v>4787</v>
      </c>
      <c r="U888" s="276"/>
      <c r="V888" s="269">
        <v>18.641108585000001</v>
      </c>
      <c r="W888" s="108"/>
      <c r="X888" s="74">
        <v>44501</v>
      </c>
      <c r="Y888" s="74">
        <v>45291</v>
      </c>
      <c r="Z888" s="28" t="s">
        <v>4788</v>
      </c>
      <c r="AA888" s="335">
        <v>0</v>
      </c>
      <c r="AB888" s="269">
        <v>80</v>
      </c>
      <c r="AC888" s="176">
        <f t="shared" si="59"/>
        <v>0</v>
      </c>
    </row>
    <row r="889" spans="1:29" s="9" customFormat="1" ht="15" customHeight="1">
      <c r="A889" s="93" t="s">
        <v>29</v>
      </c>
      <c r="B889" s="92" t="s">
        <v>3679</v>
      </c>
      <c r="C889" s="92" t="s">
        <v>31</v>
      </c>
      <c r="D889" s="92" t="s">
        <v>72</v>
      </c>
      <c r="E889" s="92" t="s">
        <v>4789</v>
      </c>
      <c r="F889" s="169" t="s">
        <v>4790</v>
      </c>
      <c r="G889" s="92" t="s">
        <v>35</v>
      </c>
      <c r="H889" s="98" t="s">
        <v>4791</v>
      </c>
      <c r="I889" s="32" t="e">
        <f>VLOOKUP(H889,'合同高级查询数据-8月返'!A:A,1,FALSE)</f>
        <v>#N/A</v>
      </c>
      <c r="J889" s="49" t="s">
        <v>76</v>
      </c>
      <c r="K889" s="105" t="s">
        <v>4792</v>
      </c>
      <c r="L889" s="105" t="s">
        <v>4793</v>
      </c>
      <c r="M889" s="105" t="s">
        <v>4794</v>
      </c>
      <c r="N889" s="105">
        <v>39630</v>
      </c>
      <c r="O889" s="188" t="s">
        <v>1767</v>
      </c>
      <c r="P889" s="260">
        <v>50000</v>
      </c>
      <c r="Q889" s="54">
        <v>8.5</v>
      </c>
      <c r="R889" s="54">
        <f t="shared" si="58"/>
        <v>425000</v>
      </c>
      <c r="S889" s="55">
        <v>202308</v>
      </c>
      <c r="T889" s="313" t="s">
        <v>4795</v>
      </c>
      <c r="U889" s="275"/>
      <c r="V889" s="273">
        <v>14.27778011</v>
      </c>
      <c r="W889" s="105"/>
      <c r="X889" s="70"/>
      <c r="Y889" s="70"/>
      <c r="Z889" s="25" t="s">
        <v>4796</v>
      </c>
      <c r="AA889" s="337">
        <v>0.21249999999999999</v>
      </c>
      <c r="AB889" s="273">
        <v>40</v>
      </c>
      <c r="AC889" s="188">
        <f t="shared" si="59"/>
        <v>8.5</v>
      </c>
    </row>
    <row r="890" spans="1:29" s="9" customFormat="1" ht="15" customHeight="1">
      <c r="A890" s="93" t="s">
        <v>29</v>
      </c>
      <c r="B890" s="92" t="s">
        <v>3679</v>
      </c>
      <c r="C890" s="92" t="s">
        <v>31</v>
      </c>
      <c r="D890" s="92" t="s">
        <v>72</v>
      </c>
      <c r="E890" s="92" t="s">
        <v>4789</v>
      </c>
      <c r="F890" s="169" t="s">
        <v>4790</v>
      </c>
      <c r="G890" s="92" t="s">
        <v>35</v>
      </c>
      <c r="H890" s="98" t="s">
        <v>4797</v>
      </c>
      <c r="I890" s="32" t="e">
        <f>VLOOKUP(H890,'合同高级查询数据-8月返'!A:A,1,FALSE)</f>
        <v>#N/A</v>
      </c>
      <c r="J890" s="49" t="s">
        <v>76</v>
      </c>
      <c r="K890" s="105" t="s">
        <v>4798</v>
      </c>
      <c r="L890" s="105" t="s">
        <v>4799</v>
      </c>
      <c r="M890" s="105" t="s">
        <v>1295</v>
      </c>
      <c r="N890" s="105">
        <v>42347</v>
      </c>
      <c r="O890" s="188" t="s">
        <v>146</v>
      </c>
      <c r="P890" s="260">
        <v>50000</v>
      </c>
      <c r="Q890" s="54">
        <v>0</v>
      </c>
      <c r="R890" s="54">
        <f t="shared" si="58"/>
        <v>0</v>
      </c>
      <c r="S890" s="55">
        <v>202308</v>
      </c>
      <c r="T890" s="313" t="s">
        <v>4800</v>
      </c>
      <c r="U890" s="275"/>
      <c r="V890" s="273">
        <v>1.820572828</v>
      </c>
      <c r="W890" s="105"/>
      <c r="X890" s="70"/>
      <c r="Y890" s="25"/>
      <c r="Z890" s="25" t="s">
        <v>4801</v>
      </c>
      <c r="AA890" s="337">
        <v>0</v>
      </c>
      <c r="AB890" s="273">
        <v>20</v>
      </c>
      <c r="AC890" s="188">
        <f t="shared" si="59"/>
        <v>0</v>
      </c>
    </row>
    <row r="891" spans="1:29" s="9" customFormat="1" ht="15" customHeight="1">
      <c r="A891" s="93" t="s">
        <v>29</v>
      </c>
      <c r="B891" s="92" t="s">
        <v>3679</v>
      </c>
      <c r="C891" s="92" t="s">
        <v>31</v>
      </c>
      <c r="D891" s="92" t="s">
        <v>72</v>
      </c>
      <c r="E891" s="92" t="s">
        <v>4789</v>
      </c>
      <c r="F891" s="169" t="s">
        <v>4790</v>
      </c>
      <c r="G891" s="92" t="s">
        <v>35</v>
      </c>
      <c r="H891" s="98" t="s">
        <v>4791</v>
      </c>
      <c r="I891" s="32" t="e">
        <f>VLOOKUP(H891,'合同高级查询数据-8月返'!A:A,1,FALSE)</f>
        <v>#N/A</v>
      </c>
      <c r="J891" s="49" t="s">
        <v>37</v>
      </c>
      <c r="K891" s="105" t="s">
        <v>4802</v>
      </c>
      <c r="L891" s="105" t="s">
        <v>4803</v>
      </c>
      <c r="M891" s="105" t="s">
        <v>4804</v>
      </c>
      <c r="N891" s="105" t="s">
        <v>4805</v>
      </c>
      <c r="O891" s="188" t="s">
        <v>447</v>
      </c>
      <c r="P891" s="260">
        <v>7286</v>
      </c>
      <c r="Q891" s="54">
        <v>28</v>
      </c>
      <c r="R891" s="54">
        <f t="shared" si="58"/>
        <v>204008</v>
      </c>
      <c r="S891" s="55">
        <v>202308</v>
      </c>
      <c r="T891" s="313" t="s">
        <v>4806</v>
      </c>
      <c r="U891" s="275"/>
      <c r="V891" s="273">
        <v>16.393870543999999</v>
      </c>
      <c r="W891" s="105"/>
      <c r="X891" s="70"/>
      <c r="Y891" s="70"/>
      <c r="Z891" s="25" t="s">
        <v>4807</v>
      </c>
      <c r="AA891" s="337">
        <v>0.24</v>
      </c>
      <c r="AB891" s="273">
        <v>100</v>
      </c>
      <c r="AC891" s="188">
        <f t="shared" si="59"/>
        <v>24</v>
      </c>
    </row>
    <row r="892" spans="1:29" s="9" customFormat="1" ht="15" customHeight="1">
      <c r="A892" s="93" t="s">
        <v>29</v>
      </c>
      <c r="B892" s="92" t="s">
        <v>3679</v>
      </c>
      <c r="C892" s="92" t="s">
        <v>71</v>
      </c>
      <c r="D892" s="92" t="s">
        <v>72</v>
      </c>
      <c r="E892" s="92" t="s">
        <v>4789</v>
      </c>
      <c r="F892" s="169" t="s">
        <v>4790</v>
      </c>
      <c r="G892" s="92" t="s">
        <v>35</v>
      </c>
      <c r="H892" s="98" t="s">
        <v>4808</v>
      </c>
      <c r="I892" s="32" t="e">
        <f>VLOOKUP(H892,'合同高级查询数据-8月返'!A:A,1,FALSE)</f>
        <v>#N/A</v>
      </c>
      <c r="J892" s="49" t="s">
        <v>37</v>
      </c>
      <c r="K892" s="105"/>
      <c r="L892" s="105" t="s">
        <v>4809</v>
      </c>
      <c r="M892" s="105" t="s">
        <v>4810</v>
      </c>
      <c r="N892" s="105" t="s">
        <v>4811</v>
      </c>
      <c r="O892" s="188" t="s">
        <v>426</v>
      </c>
      <c r="P892" s="260">
        <v>0</v>
      </c>
      <c r="Q892" s="54">
        <v>0</v>
      </c>
      <c r="R892" s="54">
        <f t="shared" si="58"/>
        <v>0</v>
      </c>
      <c r="S892" s="55">
        <v>202308</v>
      </c>
      <c r="T892" s="313" t="s">
        <v>4812</v>
      </c>
      <c r="U892" s="275"/>
      <c r="V892" s="273">
        <v>0</v>
      </c>
      <c r="W892" s="105"/>
      <c r="X892" s="70"/>
      <c r="Y892" s="25"/>
      <c r="Z892" s="25" t="s">
        <v>4813</v>
      </c>
      <c r="AA892" s="337">
        <v>0</v>
      </c>
      <c r="AB892" s="273">
        <v>10</v>
      </c>
      <c r="AC892" s="188">
        <f t="shared" si="59"/>
        <v>0</v>
      </c>
    </row>
    <row r="893" spans="1:29" s="9" customFormat="1" ht="15" customHeight="1">
      <c r="A893" s="93" t="s">
        <v>29</v>
      </c>
      <c r="B893" s="92" t="s">
        <v>3775</v>
      </c>
      <c r="C893" s="92" t="s">
        <v>751</v>
      </c>
      <c r="D893" s="92" t="s">
        <v>72</v>
      </c>
      <c r="E893" s="92" t="s">
        <v>4814</v>
      </c>
      <c r="F893" s="169" t="s">
        <v>4815</v>
      </c>
      <c r="G893" s="92" t="s">
        <v>35</v>
      </c>
      <c r="H893" s="98" t="s">
        <v>4816</v>
      </c>
      <c r="I893" s="32" t="e">
        <f>VLOOKUP(H893,'合同高级查询数据-8月返'!A:A,1,FALSE)</f>
        <v>#N/A</v>
      </c>
      <c r="J893" s="49" t="s">
        <v>37</v>
      </c>
      <c r="K893" s="105" t="s">
        <v>4817</v>
      </c>
      <c r="L893" s="105" t="s">
        <v>4818</v>
      </c>
      <c r="M893" s="105" t="s">
        <v>4819</v>
      </c>
      <c r="N893" s="105">
        <v>44819</v>
      </c>
      <c r="O893" s="188" t="s">
        <v>146</v>
      </c>
      <c r="P893" s="260">
        <v>0</v>
      </c>
      <c r="Q893" s="54">
        <v>0</v>
      </c>
      <c r="R893" s="54">
        <f t="shared" si="58"/>
        <v>0</v>
      </c>
      <c r="S893" s="55">
        <v>202308</v>
      </c>
      <c r="T893" s="313" t="s">
        <v>4820</v>
      </c>
      <c r="U893" s="275"/>
      <c r="V893" s="273">
        <v>0</v>
      </c>
      <c r="W893" s="105"/>
      <c r="X893" s="70"/>
      <c r="Y893" s="70"/>
      <c r="Z893" s="25" t="s">
        <v>4821</v>
      </c>
      <c r="AA893" s="337">
        <v>0</v>
      </c>
      <c r="AB893" s="273">
        <v>20</v>
      </c>
      <c r="AC893" s="339">
        <f t="shared" si="59"/>
        <v>0</v>
      </c>
    </row>
    <row r="894" spans="1:29" s="9" customFormat="1" ht="15" customHeight="1">
      <c r="A894" s="319" t="s">
        <v>184</v>
      </c>
      <c r="B894" s="319" t="s">
        <v>4822</v>
      </c>
      <c r="C894" s="319" t="s">
        <v>71</v>
      </c>
      <c r="D894" s="319" t="s">
        <v>3680</v>
      </c>
      <c r="E894" s="39" t="s">
        <v>4823</v>
      </c>
      <c r="F894" s="319" t="s">
        <v>4824</v>
      </c>
      <c r="G894" s="320" t="s">
        <v>35</v>
      </c>
      <c r="H894" s="39" t="s">
        <v>4825</v>
      </c>
      <c r="I894" s="32" t="e">
        <f>VLOOKUP(H894,'合同高级查询数据-8月返'!A:A,1,FALSE)</f>
        <v>#N/A</v>
      </c>
      <c r="J894" s="124" t="s">
        <v>1293</v>
      </c>
      <c r="K894" s="320" t="s">
        <v>4826</v>
      </c>
      <c r="L894" s="321" t="s">
        <v>4827</v>
      </c>
      <c r="M894" s="127"/>
      <c r="N894" s="326" t="s">
        <v>4828</v>
      </c>
      <c r="O894" s="326" t="s">
        <v>4829</v>
      </c>
      <c r="P894" s="327">
        <v>21000</v>
      </c>
      <c r="Q894" s="330">
        <v>105</v>
      </c>
      <c r="R894" s="331">
        <f t="shared" ref="R894:R911" si="60">ROUND(P894*Q894,2)</f>
        <v>2205000</v>
      </c>
      <c r="S894" s="310">
        <v>202308</v>
      </c>
      <c r="T894" s="332" t="s">
        <v>4830</v>
      </c>
      <c r="U894" s="320"/>
      <c r="V894" s="149">
        <v>104.251236793</v>
      </c>
      <c r="W894" s="149"/>
      <c r="X894" s="178">
        <v>45108</v>
      </c>
      <c r="Y894" s="178"/>
      <c r="Z894" s="178" t="s">
        <v>4831</v>
      </c>
      <c r="AA894" s="338">
        <f>AC894/AB894</f>
        <v>0.38461538461538464</v>
      </c>
      <c r="AB894" s="25">
        <v>260</v>
      </c>
      <c r="AC894" s="25">
        <v>100</v>
      </c>
    </row>
    <row r="895" spans="1:29" s="9" customFormat="1" ht="15" customHeight="1">
      <c r="A895" s="319" t="s">
        <v>184</v>
      </c>
      <c r="B895" s="319" t="s">
        <v>4822</v>
      </c>
      <c r="C895" s="319" t="s">
        <v>71</v>
      </c>
      <c r="D895" s="319" t="s">
        <v>3680</v>
      </c>
      <c r="E895" s="39" t="s">
        <v>4823</v>
      </c>
      <c r="F895" s="319" t="s">
        <v>4824</v>
      </c>
      <c r="G895" s="320" t="s">
        <v>35</v>
      </c>
      <c r="H895" s="39" t="s">
        <v>4825</v>
      </c>
      <c r="I895" s="32" t="e">
        <f>VLOOKUP(H895,'合同高级查询数据-8月返'!A:A,1,FALSE)</f>
        <v>#N/A</v>
      </c>
      <c r="J895" s="124" t="s">
        <v>1293</v>
      </c>
      <c r="K895" s="320" t="s">
        <v>4826</v>
      </c>
      <c r="L895" s="321" t="s">
        <v>4827</v>
      </c>
      <c r="M895" s="127"/>
      <c r="N895" s="326" t="s">
        <v>4828</v>
      </c>
      <c r="O895" s="326" t="s">
        <v>4829</v>
      </c>
      <c r="P895" s="327">
        <v>21000</v>
      </c>
      <c r="Q895" s="330">
        <f>111.4-107</f>
        <v>4.4000000000000057</v>
      </c>
      <c r="R895" s="331">
        <f t="shared" si="60"/>
        <v>92400</v>
      </c>
      <c r="S895" s="310">
        <v>202307</v>
      </c>
      <c r="T895" s="332" t="s">
        <v>4832</v>
      </c>
      <c r="U895" s="320"/>
      <c r="V895" s="149">
        <v>106.024026257</v>
      </c>
      <c r="W895" s="149">
        <v>116.6</v>
      </c>
      <c r="X895" s="178">
        <v>45108</v>
      </c>
      <c r="Y895" s="178"/>
      <c r="Z895" s="178" t="s">
        <v>4831</v>
      </c>
      <c r="AA895" s="338">
        <f>AC895/AB895</f>
        <v>0.38461538461538464</v>
      </c>
      <c r="AB895" s="25">
        <v>260</v>
      </c>
      <c r="AC895" s="25">
        <v>100</v>
      </c>
    </row>
    <row r="896" spans="1:29" s="9" customFormat="1" ht="15" customHeight="1">
      <c r="A896" s="319" t="s">
        <v>184</v>
      </c>
      <c r="B896" s="319" t="s">
        <v>4822</v>
      </c>
      <c r="C896" s="319" t="s">
        <v>71</v>
      </c>
      <c r="D896" s="319" t="s">
        <v>3680</v>
      </c>
      <c r="E896" s="39" t="s">
        <v>4823</v>
      </c>
      <c r="F896" s="319" t="s">
        <v>4824</v>
      </c>
      <c r="G896" s="320" t="s">
        <v>35</v>
      </c>
      <c r="H896" s="39" t="s">
        <v>4825</v>
      </c>
      <c r="I896" s="32" t="e">
        <f>VLOOKUP(H896,'合同高级查询数据-8月返'!A:A,1,FALSE)</f>
        <v>#N/A</v>
      </c>
      <c r="J896" s="124" t="s">
        <v>1293</v>
      </c>
      <c r="K896" s="320" t="s">
        <v>4833</v>
      </c>
      <c r="L896" s="321" t="s">
        <v>4834</v>
      </c>
      <c r="M896" s="127"/>
      <c r="N896" s="326">
        <v>39326</v>
      </c>
      <c r="O896" s="326" t="s">
        <v>2055</v>
      </c>
      <c r="P896" s="327">
        <v>21000</v>
      </c>
      <c r="Q896" s="330">
        <v>0</v>
      </c>
      <c r="R896" s="331">
        <f t="shared" si="60"/>
        <v>0</v>
      </c>
      <c r="S896" s="310">
        <v>202308</v>
      </c>
      <c r="T896" s="332" t="s">
        <v>4835</v>
      </c>
      <c r="U896" s="320"/>
      <c r="V896" s="149">
        <v>0</v>
      </c>
      <c r="W896" s="149"/>
      <c r="X896" s="178">
        <v>45108</v>
      </c>
      <c r="Y896" s="178"/>
      <c r="Z896" s="178" t="s">
        <v>4836</v>
      </c>
      <c r="AA896" s="338">
        <v>0</v>
      </c>
      <c r="AB896" s="25">
        <v>0</v>
      </c>
      <c r="AC896" s="25">
        <v>0</v>
      </c>
    </row>
    <row r="897" spans="1:29" s="9" customFormat="1" ht="15" customHeight="1">
      <c r="A897" s="319" t="s">
        <v>184</v>
      </c>
      <c r="B897" s="319" t="s">
        <v>4822</v>
      </c>
      <c r="C897" s="319" t="s">
        <v>71</v>
      </c>
      <c r="D897" s="319" t="s">
        <v>3680</v>
      </c>
      <c r="E897" s="39" t="s">
        <v>4823</v>
      </c>
      <c r="F897" s="319" t="s">
        <v>4824</v>
      </c>
      <c r="G897" s="320" t="s">
        <v>35</v>
      </c>
      <c r="H897" s="39" t="s">
        <v>4825</v>
      </c>
      <c r="I897" s="32" t="e">
        <f>VLOOKUP(H897,'合同高级查询数据-8月返'!A:A,1,FALSE)</f>
        <v>#N/A</v>
      </c>
      <c r="J897" s="124" t="s">
        <v>1293</v>
      </c>
      <c r="K897" s="320" t="s">
        <v>4837</v>
      </c>
      <c r="L897" s="344" t="s">
        <v>4838</v>
      </c>
      <c r="M897" s="127"/>
      <c r="N897" s="326">
        <v>43435</v>
      </c>
      <c r="O897" s="320" t="s">
        <v>1714</v>
      </c>
      <c r="P897" s="327">
        <v>15000</v>
      </c>
      <c r="Q897" s="330">
        <v>0</v>
      </c>
      <c r="R897" s="331">
        <f t="shared" si="60"/>
        <v>0</v>
      </c>
      <c r="S897" s="310">
        <v>202308</v>
      </c>
      <c r="T897" s="332" t="s">
        <v>4839</v>
      </c>
      <c r="U897" s="365"/>
      <c r="V897" s="149">
        <v>0</v>
      </c>
      <c r="W897" s="149"/>
      <c r="X897" s="178">
        <v>45108</v>
      </c>
      <c r="Y897" s="178"/>
      <c r="Z897" s="178" t="s">
        <v>4840</v>
      </c>
      <c r="AA897" s="25" t="s">
        <v>4841</v>
      </c>
      <c r="AB897" s="25">
        <v>0</v>
      </c>
      <c r="AC897" s="25">
        <v>0</v>
      </c>
    </row>
    <row r="898" spans="1:29" s="9" customFormat="1" ht="15" customHeight="1">
      <c r="A898" s="319" t="s">
        <v>184</v>
      </c>
      <c r="B898" s="319" t="s">
        <v>4822</v>
      </c>
      <c r="C898" s="319" t="s">
        <v>71</v>
      </c>
      <c r="D898" s="319" t="s">
        <v>3680</v>
      </c>
      <c r="E898" s="39" t="s">
        <v>4823</v>
      </c>
      <c r="F898" s="319" t="s">
        <v>4824</v>
      </c>
      <c r="G898" s="320" t="s">
        <v>35</v>
      </c>
      <c r="H898" s="39" t="s">
        <v>4825</v>
      </c>
      <c r="I898" s="32" t="e">
        <f>VLOOKUP(H898,'合同高级查询数据-8月返'!A:A,1,FALSE)</f>
        <v>#N/A</v>
      </c>
      <c r="J898" s="124" t="s">
        <v>37</v>
      </c>
      <c r="K898" s="320" t="s">
        <v>4842</v>
      </c>
      <c r="L898" s="344" t="s">
        <v>4824</v>
      </c>
      <c r="M898" s="127"/>
      <c r="N898" s="326" t="s">
        <v>4843</v>
      </c>
      <c r="O898" s="320" t="s">
        <v>4844</v>
      </c>
      <c r="P898" s="327">
        <v>6000</v>
      </c>
      <c r="Q898" s="330">
        <v>51.4</v>
      </c>
      <c r="R898" s="331">
        <f t="shared" si="60"/>
        <v>308400</v>
      </c>
      <c r="S898" s="310">
        <v>202308</v>
      </c>
      <c r="T898" s="332" t="s">
        <v>4845</v>
      </c>
      <c r="U898" s="365"/>
      <c r="V898" s="149">
        <v>51.401337204000001</v>
      </c>
      <c r="W898" s="149"/>
      <c r="X898" s="178">
        <v>45108</v>
      </c>
      <c r="Y898" s="178"/>
      <c r="Z898" s="178" t="s">
        <v>4846</v>
      </c>
      <c r="AA898" s="338">
        <v>0.3</v>
      </c>
      <c r="AB898" s="25">
        <v>140</v>
      </c>
      <c r="AC898" s="25">
        <v>42</v>
      </c>
    </row>
    <row r="899" spans="1:29" s="9" customFormat="1" ht="15" customHeight="1">
      <c r="A899" s="319" t="s">
        <v>184</v>
      </c>
      <c r="B899" s="319" t="s">
        <v>4822</v>
      </c>
      <c r="C899" s="319" t="s">
        <v>71</v>
      </c>
      <c r="D899" s="319" t="s">
        <v>3680</v>
      </c>
      <c r="E899" s="39" t="s">
        <v>4823</v>
      </c>
      <c r="F899" s="319" t="s">
        <v>4824</v>
      </c>
      <c r="G899" s="320" t="s">
        <v>35</v>
      </c>
      <c r="H899" s="39" t="s">
        <v>4825</v>
      </c>
      <c r="I899" s="32" t="e">
        <f>VLOOKUP(H899,'合同高级查询数据-8月返'!A:A,1,FALSE)</f>
        <v>#N/A</v>
      </c>
      <c r="J899" s="124" t="s">
        <v>37</v>
      </c>
      <c r="K899" s="320" t="s">
        <v>4842</v>
      </c>
      <c r="L899" s="344" t="s">
        <v>4824</v>
      </c>
      <c r="M899" s="127"/>
      <c r="N899" s="326" t="s">
        <v>4843</v>
      </c>
      <c r="O899" s="320" t="s">
        <v>4844</v>
      </c>
      <c r="P899" s="327">
        <v>6000</v>
      </c>
      <c r="Q899" s="330">
        <f>44-43.5</f>
        <v>0.5</v>
      </c>
      <c r="R899" s="331">
        <f t="shared" si="60"/>
        <v>3000</v>
      </c>
      <c r="S899" s="310">
        <v>202307</v>
      </c>
      <c r="T899" s="332" t="s">
        <v>4847</v>
      </c>
      <c r="U899" s="365"/>
      <c r="V899" s="149">
        <v>43.503104094999998</v>
      </c>
      <c r="W899" s="149">
        <v>44.5</v>
      </c>
      <c r="X899" s="178">
        <v>45108</v>
      </c>
      <c r="Y899" s="178"/>
      <c r="Z899" s="178" t="s">
        <v>4846</v>
      </c>
      <c r="AA899" s="338">
        <v>0.3</v>
      </c>
      <c r="AB899" s="25">
        <v>140</v>
      </c>
      <c r="AC899" s="25">
        <v>42</v>
      </c>
    </row>
    <row r="900" spans="1:29" s="9" customFormat="1" ht="15" customHeight="1">
      <c r="A900" s="319" t="s">
        <v>184</v>
      </c>
      <c r="B900" s="319" t="s">
        <v>4822</v>
      </c>
      <c r="C900" s="319" t="s">
        <v>71</v>
      </c>
      <c r="D900" s="319" t="s">
        <v>3680</v>
      </c>
      <c r="E900" s="39" t="s">
        <v>4823</v>
      </c>
      <c r="F900" s="319" t="s">
        <v>4824</v>
      </c>
      <c r="G900" s="320" t="s">
        <v>35</v>
      </c>
      <c r="H900" s="39" t="s">
        <v>4825</v>
      </c>
      <c r="I900" s="32" t="e">
        <f>VLOOKUP(H900,'合同高级查询数据-8月返'!A:A,1,FALSE)</f>
        <v>#N/A</v>
      </c>
      <c r="J900" s="124" t="s">
        <v>1293</v>
      </c>
      <c r="K900" s="320" t="s">
        <v>4848</v>
      </c>
      <c r="L900" s="321" t="s">
        <v>4849</v>
      </c>
      <c r="M900" s="127"/>
      <c r="N900" s="326" t="s">
        <v>4850</v>
      </c>
      <c r="O900" s="326" t="s">
        <v>4851</v>
      </c>
      <c r="P900" s="327">
        <v>15000</v>
      </c>
      <c r="Q900" s="330">
        <v>0</v>
      </c>
      <c r="R900" s="331">
        <f t="shared" si="60"/>
        <v>0</v>
      </c>
      <c r="S900" s="310">
        <v>202308</v>
      </c>
      <c r="T900" s="332" t="s">
        <v>4852</v>
      </c>
      <c r="U900" s="365"/>
      <c r="V900" s="149">
        <v>0</v>
      </c>
      <c r="W900" s="149"/>
      <c r="X900" s="178">
        <v>45108</v>
      </c>
      <c r="Y900" s="178"/>
      <c r="Z900" s="178" t="s">
        <v>4853</v>
      </c>
      <c r="AA900" s="338">
        <v>0.3</v>
      </c>
      <c r="AB900" s="25">
        <v>0</v>
      </c>
      <c r="AC900" s="25">
        <v>0</v>
      </c>
    </row>
    <row r="901" spans="1:29" s="9" customFormat="1" ht="15" customHeight="1">
      <c r="A901" s="319" t="s">
        <v>184</v>
      </c>
      <c r="B901" s="319" t="s">
        <v>4822</v>
      </c>
      <c r="C901" s="319" t="s">
        <v>71</v>
      </c>
      <c r="D901" s="319" t="s">
        <v>3680</v>
      </c>
      <c r="E901" s="39" t="s">
        <v>4823</v>
      </c>
      <c r="F901" s="319" t="s">
        <v>4824</v>
      </c>
      <c r="G901" s="320" t="s">
        <v>35</v>
      </c>
      <c r="H901" s="39" t="s">
        <v>4825</v>
      </c>
      <c r="I901" s="32" t="e">
        <f>VLOOKUP(H901,'合同高级查询数据-8月返'!A:A,1,FALSE)</f>
        <v>#N/A</v>
      </c>
      <c r="J901" s="124" t="s">
        <v>1293</v>
      </c>
      <c r="K901" s="320" t="s">
        <v>4854</v>
      </c>
      <c r="L901" s="321" t="s">
        <v>4855</v>
      </c>
      <c r="M901" s="127" t="s">
        <v>4856</v>
      </c>
      <c r="N901" s="326">
        <v>44682</v>
      </c>
      <c r="O901" s="326" t="s">
        <v>724</v>
      </c>
      <c r="P901" s="327">
        <v>6000</v>
      </c>
      <c r="Q901" s="330">
        <v>248.4</v>
      </c>
      <c r="R901" s="331">
        <f t="shared" si="60"/>
        <v>1490400</v>
      </c>
      <c r="S901" s="310">
        <v>202308</v>
      </c>
      <c r="T901" s="332" t="s">
        <v>4857</v>
      </c>
      <c r="U901" s="365"/>
      <c r="V901" s="149">
        <v>248.326987003</v>
      </c>
      <c r="W901" s="149"/>
      <c r="X901" s="178">
        <v>45108</v>
      </c>
      <c r="Y901" s="178"/>
      <c r="Z901" s="178" t="s">
        <v>4858</v>
      </c>
      <c r="AA901" s="338">
        <v>0.2</v>
      </c>
      <c r="AB901" s="25">
        <v>600</v>
      </c>
      <c r="AC901" s="25">
        <v>120</v>
      </c>
    </row>
    <row r="902" spans="1:29" s="9" customFormat="1" ht="15" customHeight="1">
      <c r="A902" s="319" t="s">
        <v>184</v>
      </c>
      <c r="B902" s="319" t="s">
        <v>4822</v>
      </c>
      <c r="C902" s="319" t="s">
        <v>71</v>
      </c>
      <c r="D902" s="319" t="s">
        <v>3680</v>
      </c>
      <c r="E902" s="39" t="s">
        <v>4823</v>
      </c>
      <c r="F902" s="319" t="s">
        <v>4824</v>
      </c>
      <c r="G902" s="320" t="s">
        <v>35</v>
      </c>
      <c r="H902" s="39" t="s">
        <v>4825</v>
      </c>
      <c r="I902" s="32" t="e">
        <f>VLOOKUP(H902,'合同高级查询数据-8月返'!A:A,1,FALSE)</f>
        <v>#N/A</v>
      </c>
      <c r="J902" s="124" t="s">
        <v>1293</v>
      </c>
      <c r="K902" s="320" t="s">
        <v>4854</v>
      </c>
      <c r="L902" s="321" t="s">
        <v>4855</v>
      </c>
      <c r="M902" s="127" t="s">
        <v>4856</v>
      </c>
      <c r="N902" s="326">
        <v>44682</v>
      </c>
      <c r="O902" s="326" t="s">
        <v>724</v>
      </c>
      <c r="P902" s="327">
        <v>6000</v>
      </c>
      <c r="Q902" s="330">
        <f>246.7-244.4</f>
        <v>2.2999999999999829</v>
      </c>
      <c r="R902" s="331">
        <f t="shared" si="60"/>
        <v>13800</v>
      </c>
      <c r="S902" s="310">
        <v>202307</v>
      </c>
      <c r="T902" s="332" t="s">
        <v>4859</v>
      </c>
      <c r="U902" s="365"/>
      <c r="V902" s="149">
        <v>244.341494907</v>
      </c>
      <c r="W902" s="149">
        <v>249</v>
      </c>
      <c r="X902" s="178">
        <v>45108</v>
      </c>
      <c r="Y902" s="178"/>
      <c r="Z902" s="178" t="s">
        <v>4858</v>
      </c>
      <c r="AA902" s="338">
        <v>0.2</v>
      </c>
      <c r="AB902" s="25">
        <v>600</v>
      </c>
      <c r="AC902" s="25">
        <v>120</v>
      </c>
    </row>
    <row r="903" spans="1:29" s="9" customFormat="1" ht="15" customHeight="1">
      <c r="A903" s="319" t="s">
        <v>184</v>
      </c>
      <c r="B903" s="319" t="s">
        <v>4822</v>
      </c>
      <c r="C903" s="319" t="s">
        <v>71</v>
      </c>
      <c r="D903" s="319" t="s">
        <v>3680</v>
      </c>
      <c r="E903" s="39" t="s">
        <v>4823</v>
      </c>
      <c r="F903" s="319" t="s">
        <v>4824</v>
      </c>
      <c r="G903" s="320" t="s">
        <v>35</v>
      </c>
      <c r="H903" s="39" t="s">
        <v>4825</v>
      </c>
      <c r="I903" s="32" t="e">
        <f>VLOOKUP(H903,'合同高级查询数据-8月返'!A:A,1,FALSE)</f>
        <v>#N/A</v>
      </c>
      <c r="J903" s="124" t="s">
        <v>76</v>
      </c>
      <c r="K903" s="320" t="s">
        <v>4860</v>
      </c>
      <c r="L903" s="344" t="s">
        <v>4861</v>
      </c>
      <c r="M903" s="127"/>
      <c r="N903" s="326" t="s">
        <v>4862</v>
      </c>
      <c r="O903" s="326" t="s">
        <v>4863</v>
      </c>
      <c r="P903" s="327">
        <v>120000</v>
      </c>
      <c r="Q903" s="330">
        <v>20</v>
      </c>
      <c r="R903" s="54">
        <f t="shared" si="60"/>
        <v>2400000</v>
      </c>
      <c r="S903" s="310">
        <v>202308</v>
      </c>
      <c r="T903" s="332" t="s">
        <v>4864</v>
      </c>
      <c r="U903" s="365"/>
      <c r="V903" s="149">
        <v>9.8132142780000002</v>
      </c>
      <c r="W903" s="149"/>
      <c r="X903" s="178">
        <v>45108</v>
      </c>
      <c r="Y903" s="178"/>
      <c r="Z903" s="178" t="s">
        <v>4865</v>
      </c>
      <c r="AA903" s="338">
        <v>0.25</v>
      </c>
      <c r="AB903" s="25">
        <v>80</v>
      </c>
      <c r="AC903" s="25">
        <v>20</v>
      </c>
    </row>
    <row r="904" spans="1:29" s="9" customFormat="1" ht="15" customHeight="1">
      <c r="A904" s="319" t="s">
        <v>184</v>
      </c>
      <c r="B904" s="319" t="s">
        <v>4822</v>
      </c>
      <c r="C904" s="319" t="s">
        <v>1806</v>
      </c>
      <c r="D904" s="319" t="s">
        <v>3680</v>
      </c>
      <c r="E904" s="39" t="s">
        <v>4866</v>
      </c>
      <c r="F904" s="27" t="s">
        <v>4867</v>
      </c>
      <c r="G904" s="27" t="s">
        <v>35</v>
      </c>
      <c r="H904" s="124" t="s">
        <v>4868</v>
      </c>
      <c r="I904" s="32" t="e">
        <f>VLOOKUP(H904,'合同高级查询数据-8月返'!A:A,1,FALSE)</f>
        <v>#N/A</v>
      </c>
      <c r="J904" s="27" t="s">
        <v>37</v>
      </c>
      <c r="K904" s="27" t="s">
        <v>3096</v>
      </c>
      <c r="L904" s="170" t="s">
        <v>4867</v>
      </c>
      <c r="M904" s="127"/>
      <c r="N904" s="326">
        <v>43095</v>
      </c>
      <c r="O904" s="27" t="s">
        <v>4869</v>
      </c>
      <c r="P904" s="346">
        <v>9500</v>
      </c>
      <c r="Q904" s="330">
        <v>0</v>
      </c>
      <c r="R904" s="54">
        <f t="shared" si="60"/>
        <v>0</v>
      </c>
      <c r="S904" s="310">
        <v>202308</v>
      </c>
      <c r="T904" s="332" t="s">
        <v>4870</v>
      </c>
      <c r="U904" s="365"/>
      <c r="V904" s="149">
        <v>0</v>
      </c>
      <c r="W904" s="149"/>
      <c r="X904" s="178">
        <v>45139</v>
      </c>
      <c r="Y904" s="178"/>
      <c r="Z904" s="178" t="s">
        <v>4871</v>
      </c>
      <c r="AA904" s="25" t="s">
        <v>4872</v>
      </c>
      <c r="AB904" s="25">
        <v>0</v>
      </c>
      <c r="AC904" s="25">
        <v>0</v>
      </c>
    </row>
    <row r="905" spans="1:29" s="9" customFormat="1" ht="15" customHeight="1">
      <c r="A905" s="319" t="s">
        <v>184</v>
      </c>
      <c r="B905" s="319" t="s">
        <v>4822</v>
      </c>
      <c r="C905" s="319" t="s">
        <v>1806</v>
      </c>
      <c r="D905" s="319" t="s">
        <v>3680</v>
      </c>
      <c r="E905" s="39" t="s">
        <v>4866</v>
      </c>
      <c r="F905" s="27" t="s">
        <v>4867</v>
      </c>
      <c r="G905" s="27" t="s">
        <v>35</v>
      </c>
      <c r="H905" s="124" t="s">
        <v>4868</v>
      </c>
      <c r="I905" s="32" t="e">
        <f>VLOOKUP(H905,'合同高级查询数据-8月返'!A:A,1,FALSE)</f>
        <v>#N/A</v>
      </c>
      <c r="J905" s="27" t="s">
        <v>37</v>
      </c>
      <c r="K905" s="27" t="s">
        <v>4873</v>
      </c>
      <c r="L905" s="170" t="s">
        <v>4874</v>
      </c>
      <c r="M905" s="127"/>
      <c r="N905" s="326">
        <v>43205</v>
      </c>
      <c r="O905" s="319" t="s">
        <v>952</v>
      </c>
      <c r="P905" s="346">
        <v>9500</v>
      </c>
      <c r="Q905" s="330">
        <v>0</v>
      </c>
      <c r="R905" s="54">
        <f t="shared" si="60"/>
        <v>0</v>
      </c>
      <c r="S905" s="310">
        <v>202308</v>
      </c>
      <c r="T905" s="332" t="s">
        <v>4875</v>
      </c>
      <c r="U905" s="365"/>
      <c r="V905" s="149">
        <v>0</v>
      </c>
      <c r="W905" s="149"/>
      <c r="X905" s="178">
        <v>45139</v>
      </c>
      <c r="Y905" s="178"/>
      <c r="Z905" s="178" t="s">
        <v>4876</v>
      </c>
      <c r="AA905" s="25" t="s">
        <v>4872</v>
      </c>
      <c r="AB905" s="25">
        <v>0</v>
      </c>
      <c r="AC905" s="25">
        <v>0</v>
      </c>
    </row>
    <row r="906" spans="1:29" s="9" customFormat="1" ht="15" customHeight="1">
      <c r="A906" s="319" t="s">
        <v>184</v>
      </c>
      <c r="B906" s="319" t="s">
        <v>4822</v>
      </c>
      <c r="C906" s="319" t="s">
        <v>1806</v>
      </c>
      <c r="D906" s="319" t="s">
        <v>3680</v>
      </c>
      <c r="E906" s="39" t="s">
        <v>4866</v>
      </c>
      <c r="F906" s="27" t="s">
        <v>4867</v>
      </c>
      <c r="G906" s="27" t="s">
        <v>35</v>
      </c>
      <c r="H906" s="124" t="s">
        <v>4868</v>
      </c>
      <c r="I906" s="32" t="e">
        <f>VLOOKUP(H906,'合同高级查询数据-8月返'!A:A,1,FALSE)</f>
        <v>#N/A</v>
      </c>
      <c r="J906" s="27" t="s">
        <v>37</v>
      </c>
      <c r="K906" s="319" t="s">
        <v>4877</v>
      </c>
      <c r="L906" s="170" t="s">
        <v>4878</v>
      </c>
      <c r="M906" s="127"/>
      <c r="N906" s="326" t="s">
        <v>4879</v>
      </c>
      <c r="O906" s="319" t="s">
        <v>4880</v>
      </c>
      <c r="P906" s="346">
        <v>9500</v>
      </c>
      <c r="Q906" s="330">
        <v>24.8</v>
      </c>
      <c r="R906" s="54">
        <f t="shared" si="60"/>
        <v>235600</v>
      </c>
      <c r="S906" s="310">
        <v>202308</v>
      </c>
      <c r="T906" s="332" t="s">
        <v>4881</v>
      </c>
      <c r="U906" s="365"/>
      <c r="V906" s="149">
        <v>24.529867171999999</v>
      </c>
      <c r="W906" s="366">
        <v>24.97</v>
      </c>
      <c r="X906" s="178">
        <v>45139</v>
      </c>
      <c r="Y906" s="178"/>
      <c r="Z906" s="178" t="s">
        <v>4882</v>
      </c>
      <c r="AA906" s="338">
        <v>0.3</v>
      </c>
      <c r="AB906" s="25">
        <v>80</v>
      </c>
      <c r="AC906" s="25">
        <v>24</v>
      </c>
    </row>
    <row r="907" spans="1:29" s="9" customFormat="1" ht="15" customHeight="1">
      <c r="A907" s="319" t="s">
        <v>184</v>
      </c>
      <c r="B907" s="319" t="s">
        <v>4822</v>
      </c>
      <c r="C907" s="319" t="s">
        <v>1806</v>
      </c>
      <c r="D907" s="319" t="s">
        <v>3680</v>
      </c>
      <c r="E907" s="39" t="s">
        <v>4866</v>
      </c>
      <c r="F907" s="27" t="s">
        <v>4867</v>
      </c>
      <c r="G907" s="27" t="s">
        <v>35</v>
      </c>
      <c r="H907" s="124" t="s">
        <v>4868</v>
      </c>
      <c r="I907" s="32" t="e">
        <f>VLOOKUP(H907,'合同高级查询数据-8月返'!A:A,1,FALSE)</f>
        <v>#N/A</v>
      </c>
      <c r="J907" s="27" t="s">
        <v>37</v>
      </c>
      <c r="K907" s="319" t="s">
        <v>4883</v>
      </c>
      <c r="L907" s="170" t="s">
        <v>4884</v>
      </c>
      <c r="M907" s="127"/>
      <c r="N907" s="326" t="s">
        <v>4885</v>
      </c>
      <c r="O907" s="319" t="s">
        <v>1329</v>
      </c>
      <c r="P907" s="346">
        <v>9500</v>
      </c>
      <c r="Q907" s="330">
        <v>0</v>
      </c>
      <c r="R907" s="54">
        <f t="shared" si="60"/>
        <v>0</v>
      </c>
      <c r="S907" s="310">
        <v>202308</v>
      </c>
      <c r="T907" s="332" t="s">
        <v>4886</v>
      </c>
      <c r="U907" s="365"/>
      <c r="V907" s="149">
        <v>0</v>
      </c>
      <c r="W907" s="149"/>
      <c r="X907" s="178">
        <v>45139</v>
      </c>
      <c r="Y907" s="178"/>
      <c r="Z907" s="178" t="s">
        <v>4887</v>
      </c>
      <c r="AA907" s="25" t="s">
        <v>4872</v>
      </c>
      <c r="AB907" s="25">
        <v>0</v>
      </c>
      <c r="AC907" s="25">
        <v>0</v>
      </c>
    </row>
    <row r="908" spans="1:29" s="9" customFormat="1" ht="15" customHeight="1">
      <c r="A908" s="319" t="s">
        <v>184</v>
      </c>
      <c r="B908" s="319" t="s">
        <v>4822</v>
      </c>
      <c r="C908" s="319" t="s">
        <v>1806</v>
      </c>
      <c r="D908" s="319" t="s">
        <v>3680</v>
      </c>
      <c r="E908" s="39" t="s">
        <v>4866</v>
      </c>
      <c r="F908" s="27" t="s">
        <v>4888</v>
      </c>
      <c r="G908" s="27" t="s">
        <v>35</v>
      </c>
      <c r="H908" s="124" t="s">
        <v>4868</v>
      </c>
      <c r="I908" s="32" t="e">
        <f>VLOOKUP(H908,'合同高级查询数据-8月返'!A:A,1,FALSE)</f>
        <v>#N/A</v>
      </c>
      <c r="J908" s="27" t="s">
        <v>37</v>
      </c>
      <c r="K908" s="319" t="s">
        <v>4889</v>
      </c>
      <c r="L908" s="27" t="s">
        <v>4890</v>
      </c>
      <c r="M908" s="127"/>
      <c r="N908" s="326" t="s">
        <v>4891</v>
      </c>
      <c r="O908" s="319" t="s">
        <v>1329</v>
      </c>
      <c r="P908" s="346">
        <v>9500</v>
      </c>
      <c r="Q908" s="330">
        <v>0</v>
      </c>
      <c r="R908" s="54">
        <f t="shared" si="60"/>
        <v>0</v>
      </c>
      <c r="S908" s="310">
        <v>202308</v>
      </c>
      <c r="T908" s="332" t="s">
        <v>4892</v>
      </c>
      <c r="U908" s="365"/>
      <c r="V908" s="149">
        <v>0</v>
      </c>
      <c r="W908" s="149"/>
      <c r="X908" s="178">
        <v>45139</v>
      </c>
      <c r="Y908" s="178"/>
      <c r="Z908" s="178" t="s">
        <v>4893</v>
      </c>
      <c r="AA908" s="338">
        <v>0.3</v>
      </c>
      <c r="AB908" s="25">
        <v>0</v>
      </c>
      <c r="AC908" s="25">
        <v>0</v>
      </c>
    </row>
    <row r="909" spans="1:29" s="9" customFormat="1" ht="15" customHeight="1">
      <c r="A909" s="319" t="s">
        <v>184</v>
      </c>
      <c r="B909" s="319" t="s">
        <v>4822</v>
      </c>
      <c r="C909" s="319" t="s">
        <v>1806</v>
      </c>
      <c r="D909" s="319" t="s">
        <v>3680</v>
      </c>
      <c r="E909" s="39" t="s">
        <v>4866</v>
      </c>
      <c r="F909" s="27" t="s">
        <v>4888</v>
      </c>
      <c r="G909" s="27" t="s">
        <v>35</v>
      </c>
      <c r="H909" s="124" t="s">
        <v>4868</v>
      </c>
      <c r="I909" s="32" t="e">
        <f>VLOOKUP(H909,'合同高级查询数据-8月返'!A:A,1,FALSE)</f>
        <v>#N/A</v>
      </c>
      <c r="J909" s="27" t="s">
        <v>37</v>
      </c>
      <c r="K909" s="319" t="s">
        <v>4894</v>
      </c>
      <c r="L909" s="27" t="s">
        <v>4895</v>
      </c>
      <c r="M909" s="127"/>
      <c r="N909" s="326" t="s">
        <v>4896</v>
      </c>
      <c r="O909" s="319" t="s">
        <v>4897</v>
      </c>
      <c r="P909" s="346">
        <v>9500</v>
      </c>
      <c r="Q909" s="330">
        <v>12.4</v>
      </c>
      <c r="R909" s="54">
        <f t="shared" si="60"/>
        <v>117800</v>
      </c>
      <c r="S909" s="310">
        <v>202308</v>
      </c>
      <c r="T909" s="332" t="s">
        <v>4898</v>
      </c>
      <c r="U909" s="365"/>
      <c r="V909" s="149">
        <v>12.343800545000001</v>
      </c>
      <c r="W909" s="149"/>
      <c r="X909" s="178">
        <v>45139</v>
      </c>
      <c r="Y909" s="178"/>
      <c r="Z909" s="178" t="s">
        <v>4899</v>
      </c>
      <c r="AA909" s="338">
        <v>0.3</v>
      </c>
      <c r="AB909" s="25">
        <v>40</v>
      </c>
      <c r="AC909" s="25">
        <v>12</v>
      </c>
    </row>
    <row r="910" spans="1:29" s="9" customFormat="1" ht="15" customHeight="1">
      <c r="A910" s="319" t="s">
        <v>184</v>
      </c>
      <c r="B910" s="319" t="s">
        <v>4822</v>
      </c>
      <c r="C910" s="319" t="s">
        <v>1806</v>
      </c>
      <c r="D910" s="319" t="s">
        <v>3680</v>
      </c>
      <c r="E910" s="39" t="s">
        <v>4866</v>
      </c>
      <c r="F910" s="27" t="s">
        <v>4888</v>
      </c>
      <c r="G910" s="27" t="s">
        <v>35</v>
      </c>
      <c r="H910" s="124" t="s">
        <v>4868</v>
      </c>
      <c r="I910" s="32" t="e">
        <f>VLOOKUP(H910,'合同高级查询数据-8月返'!A:A,1,FALSE)</f>
        <v>#N/A</v>
      </c>
      <c r="J910" s="27" t="s">
        <v>37</v>
      </c>
      <c r="K910" s="27" t="s">
        <v>4900</v>
      </c>
      <c r="L910" s="27" t="s">
        <v>4901</v>
      </c>
      <c r="M910" s="127"/>
      <c r="N910" s="326" t="s">
        <v>4902</v>
      </c>
      <c r="O910" s="319" t="s">
        <v>4903</v>
      </c>
      <c r="P910" s="346">
        <v>9500</v>
      </c>
      <c r="Q910" s="330">
        <v>0</v>
      </c>
      <c r="R910" s="54">
        <f t="shared" si="60"/>
        <v>0</v>
      </c>
      <c r="S910" s="310">
        <v>202308</v>
      </c>
      <c r="T910" s="352" t="s">
        <v>4904</v>
      </c>
      <c r="U910" s="365"/>
      <c r="V910" s="149">
        <v>0</v>
      </c>
      <c r="W910" s="149"/>
      <c r="X910" s="178">
        <v>45139</v>
      </c>
      <c r="Y910" s="178"/>
      <c r="Z910" s="178" t="s">
        <v>4905</v>
      </c>
      <c r="AA910" s="25" t="s">
        <v>4906</v>
      </c>
      <c r="AB910" s="25">
        <v>0</v>
      </c>
      <c r="AC910" s="25">
        <v>0</v>
      </c>
    </row>
    <row r="911" spans="1:29" s="9" customFormat="1" ht="15" customHeight="1">
      <c r="A911" s="319" t="s">
        <v>184</v>
      </c>
      <c r="B911" s="319" t="s">
        <v>4822</v>
      </c>
      <c r="C911" s="319" t="s">
        <v>1806</v>
      </c>
      <c r="D911" s="319" t="s">
        <v>3680</v>
      </c>
      <c r="E911" s="39" t="s">
        <v>4866</v>
      </c>
      <c r="F911" s="27" t="s">
        <v>4888</v>
      </c>
      <c r="G911" s="27" t="s">
        <v>35</v>
      </c>
      <c r="H911" s="124" t="s">
        <v>4868</v>
      </c>
      <c r="I911" s="32" t="e">
        <f>VLOOKUP(H911,'合同高级查询数据-8月返'!A:A,1,FALSE)</f>
        <v>#N/A</v>
      </c>
      <c r="J911" s="27" t="s">
        <v>37</v>
      </c>
      <c r="K911" s="319" t="s">
        <v>4907</v>
      </c>
      <c r="L911" s="27" t="s">
        <v>4908</v>
      </c>
      <c r="M911" s="127"/>
      <c r="N911" s="326" t="s">
        <v>4909</v>
      </c>
      <c r="O911" s="319" t="s">
        <v>4903</v>
      </c>
      <c r="P911" s="346">
        <v>9500</v>
      </c>
      <c r="Q911" s="330">
        <v>0</v>
      </c>
      <c r="R911" s="54">
        <f t="shared" si="60"/>
        <v>0</v>
      </c>
      <c r="S911" s="310">
        <v>202308</v>
      </c>
      <c r="T911" s="352" t="s">
        <v>4910</v>
      </c>
      <c r="U911" s="365"/>
      <c r="V911" s="149">
        <v>0</v>
      </c>
      <c r="W911" s="149"/>
      <c r="X911" s="178">
        <v>45139</v>
      </c>
      <c r="Y911" s="178"/>
      <c r="Z911" s="178" t="s">
        <v>4911</v>
      </c>
      <c r="AA911" s="338">
        <v>0.3</v>
      </c>
      <c r="AB911" s="25">
        <v>0</v>
      </c>
      <c r="AC911" s="25">
        <v>0</v>
      </c>
    </row>
    <row r="912" spans="1:29" s="9" customFormat="1" ht="15" customHeight="1">
      <c r="A912" s="27" t="s">
        <v>184</v>
      </c>
      <c r="B912" s="319" t="s">
        <v>4822</v>
      </c>
      <c r="C912" s="27" t="s">
        <v>1806</v>
      </c>
      <c r="D912" s="319" t="s">
        <v>3680</v>
      </c>
      <c r="E912" s="39" t="s">
        <v>4866</v>
      </c>
      <c r="F912" s="27" t="s">
        <v>4912</v>
      </c>
      <c r="G912" s="27" t="s">
        <v>35</v>
      </c>
      <c r="H912" s="124" t="s">
        <v>4868</v>
      </c>
      <c r="I912" s="32" t="e">
        <f>VLOOKUP(H912,'合同高级查询数据-8月返'!A:A,1,FALSE)</f>
        <v>#N/A</v>
      </c>
      <c r="J912" s="27" t="s">
        <v>37</v>
      </c>
      <c r="K912" s="319" t="s">
        <v>4913</v>
      </c>
      <c r="L912" s="27" t="s">
        <v>4912</v>
      </c>
      <c r="M912" s="127"/>
      <c r="N912" s="134">
        <v>43405</v>
      </c>
      <c r="O912" s="347" t="s">
        <v>1848</v>
      </c>
      <c r="P912" s="346">
        <v>9500</v>
      </c>
      <c r="Q912" s="330">
        <v>0</v>
      </c>
      <c r="R912" s="331">
        <f t="shared" ref="R912:R941" si="61">ROUND(P912*Q912,2)</f>
        <v>0</v>
      </c>
      <c r="S912" s="310">
        <v>202308</v>
      </c>
      <c r="T912" s="353" t="s">
        <v>4914</v>
      </c>
      <c r="U912" s="314"/>
      <c r="V912" s="149">
        <v>0</v>
      </c>
      <c r="W912" s="149"/>
      <c r="X912" s="178">
        <v>45139</v>
      </c>
      <c r="Y912" s="178"/>
      <c r="Z912" s="371" t="s">
        <v>4915</v>
      </c>
      <c r="AA912" s="25" t="s">
        <v>4872</v>
      </c>
      <c r="AB912" s="25">
        <v>0</v>
      </c>
      <c r="AC912" s="25">
        <v>0</v>
      </c>
    </row>
    <row r="913" spans="1:29" s="9" customFormat="1" ht="15" customHeight="1">
      <c r="A913" s="27" t="s">
        <v>184</v>
      </c>
      <c r="B913" s="319" t="s">
        <v>4822</v>
      </c>
      <c r="C913" s="27" t="s">
        <v>1806</v>
      </c>
      <c r="D913" s="319" t="s">
        <v>3680</v>
      </c>
      <c r="E913" s="39" t="s">
        <v>4866</v>
      </c>
      <c r="F913" s="27" t="s">
        <v>4912</v>
      </c>
      <c r="G913" s="27" t="s">
        <v>35</v>
      </c>
      <c r="H913" s="124" t="s">
        <v>4868</v>
      </c>
      <c r="I913" s="32" t="e">
        <f>VLOOKUP(H913,'合同高级查询数据-8月返'!A:A,1,FALSE)</f>
        <v>#N/A</v>
      </c>
      <c r="J913" s="27" t="s">
        <v>37</v>
      </c>
      <c r="K913" s="319" t="s">
        <v>4916</v>
      </c>
      <c r="L913" s="27" t="s">
        <v>4917</v>
      </c>
      <c r="M913" s="127"/>
      <c r="N913" s="134" t="s">
        <v>4918</v>
      </c>
      <c r="O913" s="347" t="s">
        <v>4919</v>
      </c>
      <c r="P913" s="346">
        <v>9500</v>
      </c>
      <c r="Q913" s="330">
        <v>12.4</v>
      </c>
      <c r="R913" s="331">
        <f t="shared" si="61"/>
        <v>117800</v>
      </c>
      <c r="S913" s="310">
        <v>202308</v>
      </c>
      <c r="T913" s="353" t="s">
        <v>4920</v>
      </c>
      <c r="U913" s="314"/>
      <c r="V913" s="149">
        <v>12.360033035000001</v>
      </c>
      <c r="W913" s="149"/>
      <c r="X913" s="178">
        <v>45139</v>
      </c>
      <c r="Y913" s="178"/>
      <c r="Z913" s="371" t="s">
        <v>4921</v>
      </c>
      <c r="AA913" s="338">
        <v>0.3</v>
      </c>
      <c r="AB913" s="25">
        <v>40</v>
      </c>
      <c r="AC913" s="25">
        <v>12</v>
      </c>
    </row>
    <row r="914" spans="1:29" s="9" customFormat="1" ht="15" customHeight="1">
      <c r="A914" s="27" t="s">
        <v>184</v>
      </c>
      <c r="B914" s="319" t="s">
        <v>4822</v>
      </c>
      <c r="C914" s="27" t="s">
        <v>1806</v>
      </c>
      <c r="D914" s="319" t="s">
        <v>3680</v>
      </c>
      <c r="E914" s="39" t="s">
        <v>4866</v>
      </c>
      <c r="F914" s="27" t="s">
        <v>4912</v>
      </c>
      <c r="G914" s="27" t="s">
        <v>35</v>
      </c>
      <c r="H914" s="124" t="s">
        <v>4868</v>
      </c>
      <c r="I914" s="32" t="e">
        <f>VLOOKUP(H914,'合同高级查询数据-8月返'!A:A,1,FALSE)</f>
        <v>#N/A</v>
      </c>
      <c r="J914" s="27" t="s">
        <v>37</v>
      </c>
      <c r="K914" s="319" t="s">
        <v>4916</v>
      </c>
      <c r="L914" s="27" t="s">
        <v>4917</v>
      </c>
      <c r="M914" s="127"/>
      <c r="N914" s="134" t="s">
        <v>4918</v>
      </c>
      <c r="O914" s="347" t="s">
        <v>4919</v>
      </c>
      <c r="P914" s="346">
        <v>9500</v>
      </c>
      <c r="Q914" s="330">
        <f>12.65-12.6</f>
        <v>5.0000000000000711E-2</v>
      </c>
      <c r="R914" s="331">
        <f t="shared" si="61"/>
        <v>475</v>
      </c>
      <c r="S914" s="310">
        <v>202307</v>
      </c>
      <c r="T914" s="353" t="s">
        <v>4922</v>
      </c>
      <c r="U914" s="314"/>
      <c r="V914" s="149">
        <v>12.539217948999999</v>
      </c>
      <c r="W914" s="149">
        <v>12.75</v>
      </c>
      <c r="X914" s="178">
        <v>45139</v>
      </c>
      <c r="Y914" s="178"/>
      <c r="Z914" s="371" t="s">
        <v>4921</v>
      </c>
      <c r="AA914" s="338">
        <v>0.3</v>
      </c>
      <c r="AB914" s="25">
        <v>40</v>
      </c>
      <c r="AC914" s="25">
        <v>12</v>
      </c>
    </row>
    <row r="915" spans="1:29" s="10" customFormat="1" ht="15" customHeight="1">
      <c r="A915" s="48" t="s">
        <v>136</v>
      </c>
      <c r="B915" s="340" t="s">
        <v>4822</v>
      </c>
      <c r="C915" s="48" t="s">
        <v>1806</v>
      </c>
      <c r="D915" s="340" t="s">
        <v>3680</v>
      </c>
      <c r="E915" s="48" t="s">
        <v>4923</v>
      </c>
      <c r="F915" s="48" t="s">
        <v>4924</v>
      </c>
      <c r="G915" s="341" t="s">
        <v>35</v>
      </c>
      <c r="H915" s="342" t="s">
        <v>4925</v>
      </c>
      <c r="I915" s="33" t="e">
        <f>VLOOKUP(H915,'合同高级查询数据-8月返'!A:A,1,FALSE)</f>
        <v>#N/A</v>
      </c>
      <c r="J915" s="342" t="s">
        <v>325</v>
      </c>
      <c r="K915" s="341" t="s">
        <v>4926</v>
      </c>
      <c r="L915" s="341" t="s">
        <v>4927</v>
      </c>
      <c r="M915" s="308"/>
      <c r="N915" s="110" t="s">
        <v>4928</v>
      </c>
      <c r="O915" s="110" t="s">
        <v>531</v>
      </c>
      <c r="P915" s="348">
        <v>9000</v>
      </c>
      <c r="Q915" s="354">
        <v>0</v>
      </c>
      <c r="R915" s="355">
        <f t="shared" si="61"/>
        <v>0</v>
      </c>
      <c r="S915" s="311">
        <v>202308</v>
      </c>
      <c r="T915" s="356" t="s">
        <v>4929</v>
      </c>
      <c r="U915" s="315"/>
      <c r="V915" s="316">
        <v>0</v>
      </c>
      <c r="W915" s="316"/>
      <c r="X915" s="172">
        <v>44927</v>
      </c>
      <c r="Y915" s="372">
        <v>45291</v>
      </c>
      <c r="Z915" s="101" t="s">
        <v>4930</v>
      </c>
      <c r="AA915" s="373">
        <v>0</v>
      </c>
      <c r="AB915" s="28">
        <v>0</v>
      </c>
      <c r="AC915" s="28">
        <v>0</v>
      </c>
    </row>
    <row r="916" spans="1:29" s="10" customFormat="1" ht="15" customHeight="1">
      <c r="A916" s="48" t="s">
        <v>136</v>
      </c>
      <c r="B916" s="340" t="s">
        <v>4822</v>
      </c>
      <c r="C916" s="48" t="s">
        <v>1806</v>
      </c>
      <c r="D916" s="340" t="s">
        <v>3680</v>
      </c>
      <c r="E916" s="48" t="s">
        <v>4923</v>
      </c>
      <c r="F916" s="48" t="s">
        <v>4924</v>
      </c>
      <c r="G916" s="341" t="s">
        <v>35</v>
      </c>
      <c r="H916" s="342" t="s">
        <v>4925</v>
      </c>
      <c r="I916" s="33" t="e">
        <f>VLOOKUP(H916,'合同高级查询数据-8月返'!A:A,1,FALSE)</f>
        <v>#N/A</v>
      </c>
      <c r="J916" s="342" t="s">
        <v>325</v>
      </c>
      <c r="K916" s="341" t="s">
        <v>4931</v>
      </c>
      <c r="L916" s="341" t="s">
        <v>4932</v>
      </c>
      <c r="M916" s="308"/>
      <c r="N916" s="110" t="s">
        <v>4933</v>
      </c>
      <c r="O916" s="110" t="s">
        <v>4934</v>
      </c>
      <c r="P916" s="348">
        <v>9000</v>
      </c>
      <c r="Q916" s="354">
        <v>0</v>
      </c>
      <c r="R916" s="355">
        <f t="shared" si="61"/>
        <v>0</v>
      </c>
      <c r="S916" s="311">
        <v>202308</v>
      </c>
      <c r="T916" s="356" t="s">
        <v>4935</v>
      </c>
      <c r="U916" s="315"/>
      <c r="V916" s="316">
        <v>0</v>
      </c>
      <c r="W916" s="316"/>
      <c r="X916" s="172">
        <v>44927</v>
      </c>
      <c r="Y916" s="372">
        <v>45291</v>
      </c>
      <c r="Z916" s="101" t="s">
        <v>4936</v>
      </c>
      <c r="AA916" s="373" t="s">
        <v>4937</v>
      </c>
      <c r="AB916" s="28">
        <v>0</v>
      </c>
      <c r="AC916" s="28">
        <v>0</v>
      </c>
    </row>
    <row r="917" spans="1:29" s="10" customFormat="1" ht="15" customHeight="1">
      <c r="A917" s="48" t="s">
        <v>136</v>
      </c>
      <c r="B917" s="340" t="s">
        <v>4822</v>
      </c>
      <c r="C917" s="48" t="s">
        <v>1806</v>
      </c>
      <c r="D917" s="340" t="s">
        <v>3680</v>
      </c>
      <c r="E917" s="48" t="s">
        <v>4923</v>
      </c>
      <c r="F917" s="48" t="s">
        <v>4924</v>
      </c>
      <c r="G917" s="341" t="s">
        <v>35</v>
      </c>
      <c r="H917" s="342" t="s">
        <v>4925</v>
      </c>
      <c r="I917" s="33" t="e">
        <f>VLOOKUP(H917,'合同高级查询数据-8月返'!A:A,1,FALSE)</f>
        <v>#N/A</v>
      </c>
      <c r="J917" s="342" t="s">
        <v>37</v>
      </c>
      <c r="K917" s="341" t="s">
        <v>4938</v>
      </c>
      <c r="L917" s="341" t="s">
        <v>4939</v>
      </c>
      <c r="M917" s="308"/>
      <c r="N917" s="110"/>
      <c r="O917" s="110" t="s">
        <v>1569</v>
      </c>
      <c r="P917" s="348">
        <v>9000</v>
      </c>
      <c r="Q917" s="354">
        <v>48</v>
      </c>
      <c r="R917" s="355">
        <f t="shared" si="61"/>
        <v>432000</v>
      </c>
      <c r="S917" s="311">
        <v>202308</v>
      </c>
      <c r="T917" s="356" t="s">
        <v>4940</v>
      </c>
      <c r="U917" s="315"/>
      <c r="V917" s="316">
        <v>47.956379851999998</v>
      </c>
      <c r="W917" s="316"/>
      <c r="X917" s="172">
        <v>44927</v>
      </c>
      <c r="Y917" s="372">
        <v>45291</v>
      </c>
      <c r="Z917" s="101" t="s">
        <v>4941</v>
      </c>
      <c r="AA917" s="373">
        <v>0.3</v>
      </c>
      <c r="AB917" s="28">
        <v>160</v>
      </c>
      <c r="AC917" s="28">
        <v>48</v>
      </c>
    </row>
    <row r="918" spans="1:29" s="10" customFormat="1" ht="15" customHeight="1">
      <c r="A918" s="48" t="s">
        <v>136</v>
      </c>
      <c r="B918" s="340" t="s">
        <v>4822</v>
      </c>
      <c r="C918" s="48" t="s">
        <v>1806</v>
      </c>
      <c r="D918" s="340" t="s">
        <v>3680</v>
      </c>
      <c r="E918" s="48" t="s">
        <v>4923</v>
      </c>
      <c r="F918" s="48" t="s">
        <v>4924</v>
      </c>
      <c r="G918" s="341" t="s">
        <v>35</v>
      </c>
      <c r="H918" s="342" t="s">
        <v>4925</v>
      </c>
      <c r="I918" s="33" t="e">
        <f>VLOOKUP(H918,'合同高级查询数据-8月返'!A:A,1,FALSE)</f>
        <v>#N/A</v>
      </c>
      <c r="J918" s="342" t="s">
        <v>37</v>
      </c>
      <c r="K918" s="341" t="s">
        <v>4942</v>
      </c>
      <c r="L918" s="341" t="s">
        <v>4943</v>
      </c>
      <c r="M918" s="308"/>
      <c r="N918" s="110" t="s">
        <v>4944</v>
      </c>
      <c r="O918" s="110" t="s">
        <v>4380</v>
      </c>
      <c r="P918" s="348">
        <v>9000</v>
      </c>
      <c r="Q918" s="354">
        <v>90</v>
      </c>
      <c r="R918" s="355">
        <f t="shared" si="61"/>
        <v>810000</v>
      </c>
      <c r="S918" s="311">
        <v>202308</v>
      </c>
      <c r="T918" s="356" t="s">
        <v>4945</v>
      </c>
      <c r="U918" s="315"/>
      <c r="V918" s="316">
        <v>89.288488463999997</v>
      </c>
      <c r="W918" s="316"/>
      <c r="X918" s="172">
        <v>44927</v>
      </c>
      <c r="Y918" s="372">
        <v>45291</v>
      </c>
      <c r="Z918" s="101" t="s">
        <v>4946</v>
      </c>
      <c r="AA918" s="373">
        <v>0.3</v>
      </c>
      <c r="AB918" s="28">
        <v>300</v>
      </c>
      <c r="AC918" s="28">
        <v>90</v>
      </c>
    </row>
    <row r="919" spans="1:29" s="10" customFormat="1" ht="15" customHeight="1">
      <c r="A919" s="48" t="s">
        <v>136</v>
      </c>
      <c r="B919" s="340" t="s">
        <v>4822</v>
      </c>
      <c r="C919" s="48" t="s">
        <v>1806</v>
      </c>
      <c r="D919" s="340" t="s">
        <v>3680</v>
      </c>
      <c r="E919" s="48" t="s">
        <v>4923</v>
      </c>
      <c r="F919" s="48" t="s">
        <v>4924</v>
      </c>
      <c r="G919" s="341" t="s">
        <v>35</v>
      </c>
      <c r="H919" s="342" t="s">
        <v>4925</v>
      </c>
      <c r="I919" s="33" t="e">
        <f>VLOOKUP(H919,'合同高级查询数据-8月返'!A:A,1,FALSE)</f>
        <v>#N/A</v>
      </c>
      <c r="J919" s="342" t="s">
        <v>37</v>
      </c>
      <c r="K919" s="341" t="s">
        <v>4947</v>
      </c>
      <c r="L919" s="341" t="s">
        <v>4948</v>
      </c>
      <c r="M919" s="308"/>
      <c r="N919" s="110">
        <v>43008</v>
      </c>
      <c r="O919" s="110" t="s">
        <v>2113</v>
      </c>
      <c r="P919" s="348">
        <v>9000</v>
      </c>
      <c r="Q919" s="354">
        <v>24</v>
      </c>
      <c r="R919" s="355">
        <f t="shared" si="61"/>
        <v>216000</v>
      </c>
      <c r="S919" s="311">
        <v>202308</v>
      </c>
      <c r="T919" s="356" t="s">
        <v>4949</v>
      </c>
      <c r="U919" s="315"/>
      <c r="V919" s="316">
        <v>23.870673447000001</v>
      </c>
      <c r="W919" s="316"/>
      <c r="X919" s="172">
        <v>44927</v>
      </c>
      <c r="Y919" s="372">
        <v>45291</v>
      </c>
      <c r="Z919" s="101" t="s">
        <v>4950</v>
      </c>
      <c r="AA919" s="373">
        <v>0.3</v>
      </c>
      <c r="AB919" s="28">
        <v>80</v>
      </c>
      <c r="AC919" s="28">
        <v>24</v>
      </c>
    </row>
    <row r="920" spans="1:29" s="10" customFormat="1" ht="15" customHeight="1">
      <c r="A920" s="48" t="s">
        <v>136</v>
      </c>
      <c r="B920" s="340" t="s">
        <v>4822</v>
      </c>
      <c r="C920" s="48" t="s">
        <v>1806</v>
      </c>
      <c r="D920" s="340" t="s">
        <v>3680</v>
      </c>
      <c r="E920" s="48" t="s">
        <v>4923</v>
      </c>
      <c r="F920" s="48" t="s">
        <v>4924</v>
      </c>
      <c r="G920" s="341" t="s">
        <v>35</v>
      </c>
      <c r="H920" s="342" t="s">
        <v>4925</v>
      </c>
      <c r="I920" s="33" t="e">
        <f>VLOOKUP(H920,'合同高级查询数据-8月返'!A:A,1,FALSE)</f>
        <v>#N/A</v>
      </c>
      <c r="J920" s="342" t="s">
        <v>37</v>
      </c>
      <c r="K920" s="341" t="s">
        <v>4951</v>
      </c>
      <c r="L920" s="341" t="s">
        <v>4952</v>
      </c>
      <c r="M920" s="308"/>
      <c r="N920" s="110">
        <v>43008</v>
      </c>
      <c r="O920" s="110" t="s">
        <v>1569</v>
      </c>
      <c r="P920" s="348">
        <v>9000</v>
      </c>
      <c r="Q920" s="354">
        <v>48.1</v>
      </c>
      <c r="R920" s="355">
        <f t="shared" si="61"/>
        <v>432900</v>
      </c>
      <c r="S920" s="311">
        <v>202308</v>
      </c>
      <c r="T920" s="356" t="s">
        <v>4953</v>
      </c>
      <c r="U920" s="315"/>
      <c r="V920" s="316">
        <v>48.007035217000002</v>
      </c>
      <c r="W920" s="316"/>
      <c r="X920" s="172">
        <v>44927</v>
      </c>
      <c r="Y920" s="372">
        <v>45291</v>
      </c>
      <c r="Z920" s="101" t="s">
        <v>4954</v>
      </c>
      <c r="AA920" s="373">
        <v>0.3</v>
      </c>
      <c r="AB920" s="28">
        <v>160</v>
      </c>
      <c r="AC920" s="28">
        <v>48</v>
      </c>
    </row>
    <row r="921" spans="1:29" s="10" customFormat="1" ht="15" customHeight="1">
      <c r="A921" s="48" t="s">
        <v>136</v>
      </c>
      <c r="B921" s="340" t="s">
        <v>4822</v>
      </c>
      <c r="C921" s="48" t="s">
        <v>1806</v>
      </c>
      <c r="D921" s="340" t="s">
        <v>3680</v>
      </c>
      <c r="E921" s="48" t="s">
        <v>4923</v>
      </c>
      <c r="F921" s="48" t="s">
        <v>4924</v>
      </c>
      <c r="G921" s="341" t="s">
        <v>35</v>
      </c>
      <c r="H921" s="342" t="s">
        <v>4925</v>
      </c>
      <c r="I921" s="33" t="e">
        <f>VLOOKUP(H921,'合同高级查询数据-8月返'!A:A,1,FALSE)</f>
        <v>#N/A</v>
      </c>
      <c r="J921" s="342" t="s">
        <v>37</v>
      </c>
      <c r="K921" s="341" t="s">
        <v>4951</v>
      </c>
      <c r="L921" s="341" t="s">
        <v>4952</v>
      </c>
      <c r="M921" s="308"/>
      <c r="N921" s="110">
        <v>43008</v>
      </c>
      <c r="O921" s="110" t="s">
        <v>1569</v>
      </c>
      <c r="P921" s="348">
        <v>9000</v>
      </c>
      <c r="Q921" s="354">
        <f>54.05-53.2</f>
        <v>0.84999999999999432</v>
      </c>
      <c r="R921" s="355">
        <f t="shared" si="61"/>
        <v>7650</v>
      </c>
      <c r="S921" s="311">
        <v>202307</v>
      </c>
      <c r="T921" s="356" t="s">
        <v>4955</v>
      </c>
      <c r="U921" s="315"/>
      <c r="V921" s="316">
        <v>53.202791519000002</v>
      </c>
      <c r="W921" s="316">
        <v>54.9</v>
      </c>
      <c r="X921" s="172">
        <v>44927</v>
      </c>
      <c r="Y921" s="372">
        <v>45291</v>
      </c>
      <c r="Z921" s="101" t="s">
        <v>4954</v>
      </c>
      <c r="AA921" s="373">
        <v>0.3</v>
      </c>
      <c r="AB921" s="28">
        <v>160</v>
      </c>
      <c r="AC921" s="28">
        <v>48</v>
      </c>
    </row>
    <row r="922" spans="1:29" s="10" customFormat="1" ht="15" customHeight="1">
      <c r="A922" s="48" t="s">
        <v>136</v>
      </c>
      <c r="B922" s="340" t="s">
        <v>4822</v>
      </c>
      <c r="C922" s="48" t="s">
        <v>1806</v>
      </c>
      <c r="D922" s="340" t="s">
        <v>3680</v>
      </c>
      <c r="E922" s="48" t="s">
        <v>4923</v>
      </c>
      <c r="F922" s="48" t="s">
        <v>4924</v>
      </c>
      <c r="G922" s="341" t="s">
        <v>35</v>
      </c>
      <c r="H922" s="342" t="s">
        <v>4925</v>
      </c>
      <c r="I922" s="33" t="e">
        <f>VLOOKUP(H922,'合同高级查询数据-8月返'!A:A,1,FALSE)</f>
        <v>#N/A</v>
      </c>
      <c r="J922" s="342" t="s">
        <v>37</v>
      </c>
      <c r="K922" s="341" t="s">
        <v>4956</v>
      </c>
      <c r="L922" s="341" t="s">
        <v>4957</v>
      </c>
      <c r="M922" s="308" t="s">
        <v>4958</v>
      </c>
      <c r="N922" s="110" t="s">
        <v>4959</v>
      </c>
      <c r="O922" s="110" t="s">
        <v>4960</v>
      </c>
      <c r="P922" s="348">
        <v>9000</v>
      </c>
      <c r="Q922" s="354">
        <v>60</v>
      </c>
      <c r="R922" s="355">
        <f t="shared" si="61"/>
        <v>540000</v>
      </c>
      <c r="S922" s="311">
        <v>202308</v>
      </c>
      <c r="T922" s="356" t="s">
        <v>4961</v>
      </c>
      <c r="U922" s="315"/>
      <c r="V922" s="316">
        <v>59.470863952000002</v>
      </c>
      <c r="W922" s="316"/>
      <c r="X922" s="172">
        <v>44927</v>
      </c>
      <c r="Y922" s="372">
        <v>45291</v>
      </c>
      <c r="Z922" s="101" t="s">
        <v>4962</v>
      </c>
      <c r="AA922" s="373">
        <v>0.3</v>
      </c>
      <c r="AB922" s="28">
        <v>200</v>
      </c>
      <c r="AC922" s="28">
        <v>60</v>
      </c>
    </row>
    <row r="923" spans="1:29" s="10" customFormat="1" ht="15" customHeight="1">
      <c r="A923" s="48" t="s">
        <v>136</v>
      </c>
      <c r="B923" s="340" t="s">
        <v>4822</v>
      </c>
      <c r="C923" s="48" t="s">
        <v>1806</v>
      </c>
      <c r="D923" s="340" t="s">
        <v>3680</v>
      </c>
      <c r="E923" s="48" t="s">
        <v>4923</v>
      </c>
      <c r="F923" s="48" t="s">
        <v>4924</v>
      </c>
      <c r="G923" s="341" t="s">
        <v>35</v>
      </c>
      <c r="H923" s="342" t="s">
        <v>4925</v>
      </c>
      <c r="I923" s="33" t="e">
        <f>VLOOKUP(H923,'合同高级查询数据-8月返'!A:A,1,FALSE)</f>
        <v>#N/A</v>
      </c>
      <c r="J923" s="342" t="s">
        <v>37</v>
      </c>
      <c r="K923" s="341" t="s">
        <v>4963</v>
      </c>
      <c r="L923" s="341" t="s">
        <v>4964</v>
      </c>
      <c r="M923" s="308" t="s">
        <v>4965</v>
      </c>
      <c r="N923" s="110">
        <v>44927</v>
      </c>
      <c r="O923" s="110" t="s">
        <v>319</v>
      </c>
      <c r="P923" s="348">
        <v>9000</v>
      </c>
      <c r="Q923" s="354">
        <v>60</v>
      </c>
      <c r="R923" s="355">
        <f t="shared" ref="R923" si="62">ROUND(P923*Q923,2)</f>
        <v>540000</v>
      </c>
      <c r="S923" s="311">
        <v>202308</v>
      </c>
      <c r="T923" s="356" t="s">
        <v>4966</v>
      </c>
      <c r="U923" s="315"/>
      <c r="V923" s="316">
        <v>59.467959213</v>
      </c>
      <c r="W923" s="316"/>
      <c r="X923" s="172">
        <v>44927</v>
      </c>
      <c r="Y923" s="372">
        <v>45291</v>
      </c>
      <c r="Z923" s="101" t="s">
        <v>4967</v>
      </c>
      <c r="AA923" s="373">
        <v>0.3</v>
      </c>
      <c r="AB923" s="28">
        <v>200</v>
      </c>
      <c r="AC923" s="28">
        <v>60</v>
      </c>
    </row>
    <row r="924" spans="1:29" s="9" customFormat="1" ht="15" customHeight="1">
      <c r="A924" s="39" t="s">
        <v>136</v>
      </c>
      <c r="B924" s="319" t="s">
        <v>4822</v>
      </c>
      <c r="C924" s="39" t="s">
        <v>1806</v>
      </c>
      <c r="D924" s="319" t="s">
        <v>3680</v>
      </c>
      <c r="E924" s="39" t="s">
        <v>4923</v>
      </c>
      <c r="F924" s="39" t="s">
        <v>4924</v>
      </c>
      <c r="G924" s="125" t="s">
        <v>35</v>
      </c>
      <c r="H924" s="39" t="s">
        <v>4968</v>
      </c>
      <c r="I924" s="32" t="e">
        <f>VLOOKUP(H924,'合同高级查询数据-8月返'!A:A,1,FALSE)</f>
        <v>#N/A</v>
      </c>
      <c r="J924" s="343" t="s">
        <v>37</v>
      </c>
      <c r="K924" s="125" t="s">
        <v>4969</v>
      </c>
      <c r="L924" s="125" t="s">
        <v>4970</v>
      </c>
      <c r="M924" s="127" t="s">
        <v>4971</v>
      </c>
      <c r="N924" s="50" t="s">
        <v>4972</v>
      </c>
      <c r="O924" s="50" t="s">
        <v>4973</v>
      </c>
      <c r="P924" s="349">
        <v>9000</v>
      </c>
      <c r="Q924" s="330">
        <v>0</v>
      </c>
      <c r="R924" s="357">
        <f t="shared" si="61"/>
        <v>0</v>
      </c>
      <c r="S924" s="310">
        <v>202308</v>
      </c>
      <c r="T924" s="353" t="s">
        <v>4974</v>
      </c>
      <c r="U924" s="314"/>
      <c r="V924" s="149">
        <v>0</v>
      </c>
      <c r="W924" s="149"/>
      <c r="X924" s="47">
        <v>44041</v>
      </c>
      <c r="Y924" s="105"/>
      <c r="Z924" s="47" t="s">
        <v>4971</v>
      </c>
      <c r="AA924" s="338">
        <v>0</v>
      </c>
      <c r="AB924" s="25">
        <v>200</v>
      </c>
      <c r="AC924" s="25">
        <v>0</v>
      </c>
    </row>
    <row r="925" spans="1:29" s="10" customFormat="1" ht="15" customHeight="1">
      <c r="A925" s="48" t="s">
        <v>136</v>
      </c>
      <c r="B925" s="340" t="s">
        <v>4822</v>
      </c>
      <c r="C925" s="48" t="s">
        <v>1806</v>
      </c>
      <c r="D925" s="340" t="s">
        <v>3680</v>
      </c>
      <c r="E925" s="48" t="s">
        <v>4923</v>
      </c>
      <c r="F925" s="48" t="s">
        <v>4924</v>
      </c>
      <c r="G925" s="341" t="s">
        <v>35</v>
      </c>
      <c r="H925" s="342" t="s">
        <v>4925</v>
      </c>
      <c r="I925" s="33" t="e">
        <f>VLOOKUP(H925,'合同高级查询数据-8月返'!A:A,1,FALSE)</f>
        <v>#N/A</v>
      </c>
      <c r="J925" s="342" t="s">
        <v>37</v>
      </c>
      <c r="K925" s="341" t="s">
        <v>4975</v>
      </c>
      <c r="L925" s="341" t="s">
        <v>4976</v>
      </c>
      <c r="M925" s="308"/>
      <c r="N925" s="110" t="s">
        <v>4977</v>
      </c>
      <c r="O925" s="110" t="s">
        <v>521</v>
      </c>
      <c r="P925" s="348">
        <v>9000</v>
      </c>
      <c r="Q925" s="354">
        <v>0</v>
      </c>
      <c r="R925" s="355">
        <f t="shared" si="61"/>
        <v>0</v>
      </c>
      <c r="S925" s="311">
        <v>202308</v>
      </c>
      <c r="T925" s="356" t="s">
        <v>4978</v>
      </c>
      <c r="U925" s="315"/>
      <c r="V925" s="316">
        <v>0</v>
      </c>
      <c r="W925" s="316"/>
      <c r="X925" s="172">
        <v>44927</v>
      </c>
      <c r="Y925" s="372">
        <v>45291</v>
      </c>
      <c r="Z925" s="101" t="s">
        <v>4979</v>
      </c>
      <c r="AA925" s="373">
        <v>0.3</v>
      </c>
      <c r="AB925" s="28">
        <v>0</v>
      </c>
      <c r="AC925" s="28">
        <v>0</v>
      </c>
    </row>
    <row r="926" spans="1:29" s="10" customFormat="1" ht="15" customHeight="1">
      <c r="A926" s="28" t="s">
        <v>136</v>
      </c>
      <c r="B926" s="340" t="s">
        <v>4822</v>
      </c>
      <c r="C926" s="28" t="s">
        <v>1806</v>
      </c>
      <c r="D926" s="340" t="s">
        <v>3680</v>
      </c>
      <c r="E926" s="48" t="s">
        <v>4923</v>
      </c>
      <c r="F926" s="28" t="s">
        <v>4924</v>
      </c>
      <c r="G926" s="28" t="s">
        <v>35</v>
      </c>
      <c r="H926" s="342" t="s">
        <v>4925</v>
      </c>
      <c r="I926" s="33" t="e">
        <f>VLOOKUP(H926,'合同高级查询数据-8月返'!A:A,1,FALSE)</f>
        <v>#N/A</v>
      </c>
      <c r="J926" s="48" t="s">
        <v>1293</v>
      </c>
      <c r="K926" s="48" t="s">
        <v>4980</v>
      </c>
      <c r="L926" s="48" t="s">
        <v>4981</v>
      </c>
      <c r="M926" s="341" t="s">
        <v>4982</v>
      </c>
      <c r="N926" s="214">
        <v>44470</v>
      </c>
      <c r="O926" s="214" t="s">
        <v>319</v>
      </c>
      <c r="P926" s="348">
        <v>9000</v>
      </c>
      <c r="Q926" s="354">
        <v>70.2</v>
      </c>
      <c r="R926" s="61">
        <f t="shared" si="61"/>
        <v>631800</v>
      </c>
      <c r="S926" s="311">
        <v>202308</v>
      </c>
      <c r="T926" s="358" t="s">
        <v>4983</v>
      </c>
      <c r="U926" s="48"/>
      <c r="V926" s="316">
        <v>70.173037980999993</v>
      </c>
      <c r="W926" s="316"/>
      <c r="X926" s="172">
        <v>44927</v>
      </c>
      <c r="Y926" s="372">
        <v>45291</v>
      </c>
      <c r="Z926" s="28" t="s">
        <v>4984</v>
      </c>
      <c r="AA926" s="373">
        <v>0.3</v>
      </c>
      <c r="AB926" s="28">
        <v>200</v>
      </c>
      <c r="AC926" s="28">
        <v>60</v>
      </c>
    </row>
    <row r="927" spans="1:29" s="10" customFormat="1" ht="15" customHeight="1">
      <c r="A927" s="28" t="s">
        <v>136</v>
      </c>
      <c r="B927" s="340" t="s">
        <v>4822</v>
      </c>
      <c r="C927" s="28" t="s">
        <v>1806</v>
      </c>
      <c r="D927" s="340" t="s">
        <v>3680</v>
      </c>
      <c r="E927" s="48" t="s">
        <v>4923</v>
      </c>
      <c r="F927" s="28" t="s">
        <v>4924</v>
      </c>
      <c r="G927" s="28" t="s">
        <v>35</v>
      </c>
      <c r="H927" s="342" t="s">
        <v>4985</v>
      </c>
      <c r="I927" s="33" t="e">
        <f>VLOOKUP(H927,'合同高级查询数据-8月返'!A:A,1,FALSE)</f>
        <v>#N/A</v>
      </c>
      <c r="J927" s="48" t="s">
        <v>1293</v>
      </c>
      <c r="K927" s="48" t="s">
        <v>4986</v>
      </c>
      <c r="L927" s="48" t="s">
        <v>4987</v>
      </c>
      <c r="M927" s="28"/>
      <c r="N927" s="214" t="s">
        <v>4988</v>
      </c>
      <c r="O927" s="214" t="s">
        <v>1839</v>
      </c>
      <c r="P927" s="348">
        <v>10000</v>
      </c>
      <c r="Q927" s="354">
        <v>133.1</v>
      </c>
      <c r="R927" s="61">
        <f t="shared" si="61"/>
        <v>1331000</v>
      </c>
      <c r="S927" s="311">
        <v>202308</v>
      </c>
      <c r="T927" s="358" t="s">
        <v>4989</v>
      </c>
      <c r="U927" s="48"/>
      <c r="V927" s="316">
        <v>133.034319232</v>
      </c>
      <c r="W927" s="316"/>
      <c r="X927" s="214">
        <v>44136</v>
      </c>
      <c r="Y927" s="108">
        <v>45230</v>
      </c>
      <c r="Z927" s="28" t="s">
        <v>4990</v>
      </c>
      <c r="AA927" s="373">
        <v>0.2</v>
      </c>
      <c r="AB927" s="28">
        <v>400</v>
      </c>
      <c r="AC927" s="28">
        <v>80</v>
      </c>
    </row>
    <row r="928" spans="1:29" s="10" customFormat="1" ht="15" customHeight="1">
      <c r="A928" s="28" t="s">
        <v>136</v>
      </c>
      <c r="B928" s="340" t="s">
        <v>4822</v>
      </c>
      <c r="C928" s="28" t="s">
        <v>1806</v>
      </c>
      <c r="D928" s="340" t="s">
        <v>3680</v>
      </c>
      <c r="E928" s="48" t="s">
        <v>4923</v>
      </c>
      <c r="F928" s="28" t="s">
        <v>4924</v>
      </c>
      <c r="G928" s="28" t="s">
        <v>35</v>
      </c>
      <c r="H928" s="342" t="s">
        <v>4985</v>
      </c>
      <c r="I928" s="33" t="e">
        <f>VLOOKUP(H928,'合同高级查询数据-8月返'!A:A,1,FALSE)</f>
        <v>#N/A</v>
      </c>
      <c r="J928" s="48" t="s">
        <v>1293</v>
      </c>
      <c r="K928" s="48" t="s">
        <v>4986</v>
      </c>
      <c r="L928" s="48" t="s">
        <v>4987</v>
      </c>
      <c r="M928" s="28"/>
      <c r="N928" s="214" t="s">
        <v>4988</v>
      </c>
      <c r="O928" s="214" t="s">
        <v>1839</v>
      </c>
      <c r="P928" s="348">
        <v>10000</v>
      </c>
      <c r="Q928" s="354">
        <f>166.92-164.1</f>
        <v>2.8199999999999932</v>
      </c>
      <c r="R928" s="61">
        <f t="shared" si="61"/>
        <v>28200</v>
      </c>
      <c r="S928" s="311">
        <v>202307</v>
      </c>
      <c r="T928" s="358" t="s">
        <v>4991</v>
      </c>
      <c r="U928" s="48"/>
      <c r="V928" s="316">
        <v>164.03278637400001</v>
      </c>
      <c r="W928" s="316">
        <v>169.8</v>
      </c>
      <c r="X928" s="214">
        <v>44136</v>
      </c>
      <c r="Y928" s="108">
        <v>45230</v>
      </c>
      <c r="Z928" s="28" t="s">
        <v>4990</v>
      </c>
      <c r="AA928" s="373">
        <v>0.2</v>
      </c>
      <c r="AB928" s="28">
        <v>400</v>
      </c>
      <c r="AC928" s="28">
        <v>80</v>
      </c>
    </row>
    <row r="929" spans="1:29" s="10" customFormat="1" ht="15" customHeight="1">
      <c r="A929" s="28" t="s">
        <v>136</v>
      </c>
      <c r="B929" s="340" t="s">
        <v>4822</v>
      </c>
      <c r="C929" s="28" t="s">
        <v>1806</v>
      </c>
      <c r="D929" s="340" t="s">
        <v>3680</v>
      </c>
      <c r="E929" s="48" t="s">
        <v>4923</v>
      </c>
      <c r="F929" s="28" t="s">
        <v>4924</v>
      </c>
      <c r="G929" s="28" t="s">
        <v>35</v>
      </c>
      <c r="H929" s="342" t="s">
        <v>4992</v>
      </c>
      <c r="I929" s="33" t="e">
        <f>VLOOKUP(H929,'合同高级查询数据-8月返'!A:A,1,FALSE)</f>
        <v>#N/A</v>
      </c>
      <c r="J929" s="48" t="s">
        <v>76</v>
      </c>
      <c r="K929" s="48" t="s">
        <v>4993</v>
      </c>
      <c r="L929" s="48" t="s">
        <v>4994</v>
      </c>
      <c r="M929" s="28"/>
      <c r="N929" s="214">
        <v>44233</v>
      </c>
      <c r="O929" s="214" t="s">
        <v>146</v>
      </c>
      <c r="P929" s="348">
        <v>210000</v>
      </c>
      <c r="Q929" s="354">
        <v>1</v>
      </c>
      <c r="R929" s="61">
        <f t="shared" si="61"/>
        <v>210000</v>
      </c>
      <c r="S929" s="311">
        <v>202308</v>
      </c>
      <c r="T929" s="358" t="s">
        <v>4995</v>
      </c>
      <c r="U929" s="48"/>
      <c r="V929" s="316">
        <v>1.3259E-5</v>
      </c>
      <c r="W929" s="316"/>
      <c r="X929" s="214">
        <v>44233</v>
      </c>
      <c r="Y929" s="108">
        <v>45230</v>
      </c>
      <c r="Z929" s="28" t="s">
        <v>4996</v>
      </c>
      <c r="AA929" s="373">
        <f>AC929/AB929</f>
        <v>0.05</v>
      </c>
      <c r="AB929" s="28">
        <v>20</v>
      </c>
      <c r="AC929" s="28">
        <v>1</v>
      </c>
    </row>
    <row r="930" spans="1:29" s="10" customFormat="1" ht="15" customHeight="1">
      <c r="A930" s="28" t="s">
        <v>136</v>
      </c>
      <c r="B930" s="340" t="s">
        <v>4822</v>
      </c>
      <c r="C930" s="28" t="s">
        <v>1806</v>
      </c>
      <c r="D930" s="340" t="s">
        <v>3680</v>
      </c>
      <c r="E930" s="48" t="s">
        <v>4923</v>
      </c>
      <c r="F930" s="28" t="s">
        <v>4924</v>
      </c>
      <c r="G930" s="28" t="s">
        <v>35</v>
      </c>
      <c r="H930" s="342" t="s">
        <v>4925</v>
      </c>
      <c r="I930" s="33" t="e">
        <f>VLOOKUP(H930,'合同高级查询数据-8月返'!A:A,1,FALSE)</f>
        <v>#N/A</v>
      </c>
      <c r="J930" s="342" t="s">
        <v>37</v>
      </c>
      <c r="K930" s="48" t="s">
        <v>4997</v>
      </c>
      <c r="L930" s="341" t="s">
        <v>4998</v>
      </c>
      <c r="M930" s="308" t="s">
        <v>4999</v>
      </c>
      <c r="N930" s="110">
        <v>45047</v>
      </c>
      <c r="O930" s="214" t="s">
        <v>5000</v>
      </c>
      <c r="P930" s="348">
        <v>9000</v>
      </c>
      <c r="Q930" s="359">
        <v>168.6</v>
      </c>
      <c r="R930" s="61">
        <f t="shared" ref="R930:R936" si="63">ROUND(P930*Q930,2)</f>
        <v>1517400</v>
      </c>
      <c r="S930" s="311">
        <v>202308</v>
      </c>
      <c r="T930" s="358" t="s">
        <v>5001</v>
      </c>
      <c r="U930" s="48"/>
      <c r="V930" s="316">
        <v>168.578339075</v>
      </c>
      <c r="W930" s="316"/>
      <c r="X930" s="172">
        <v>45047</v>
      </c>
      <c r="Y930" s="372">
        <v>45291</v>
      </c>
      <c r="Z930" s="28" t="s">
        <v>5002</v>
      </c>
      <c r="AA930" s="373">
        <f t="shared" ref="AA930:AA936" si="64">AC930/AB930</f>
        <v>0.3</v>
      </c>
      <c r="AB930" s="28">
        <v>450</v>
      </c>
      <c r="AC930" s="28">
        <v>135</v>
      </c>
    </row>
    <row r="931" spans="1:29" s="10" customFormat="1" ht="15" customHeight="1">
      <c r="A931" s="28" t="s">
        <v>136</v>
      </c>
      <c r="B931" s="340" t="s">
        <v>4822</v>
      </c>
      <c r="C931" s="28" t="s">
        <v>1806</v>
      </c>
      <c r="D931" s="340" t="s">
        <v>3680</v>
      </c>
      <c r="E931" s="48" t="s">
        <v>4923</v>
      </c>
      <c r="F931" s="28" t="s">
        <v>4924</v>
      </c>
      <c r="G931" s="28" t="s">
        <v>35</v>
      </c>
      <c r="H931" s="342" t="s">
        <v>4925</v>
      </c>
      <c r="I931" s="33" t="e">
        <f>VLOOKUP(H931,'合同高级查询数据-8月返'!A:A,1,FALSE)</f>
        <v>#N/A</v>
      </c>
      <c r="J931" s="342" t="s">
        <v>37</v>
      </c>
      <c r="K931" s="48" t="s">
        <v>4997</v>
      </c>
      <c r="L931" s="341" t="s">
        <v>4998</v>
      </c>
      <c r="M931" s="308" t="s">
        <v>4999</v>
      </c>
      <c r="N931" s="110">
        <v>45047</v>
      </c>
      <c r="O931" s="214" t="s">
        <v>5000</v>
      </c>
      <c r="P931" s="348">
        <v>9000</v>
      </c>
      <c r="Q931" s="359">
        <f>183.7-183.5</f>
        <v>0.19999999999998863</v>
      </c>
      <c r="R931" s="61">
        <f t="shared" si="63"/>
        <v>1800</v>
      </c>
      <c r="S931" s="311">
        <v>202307</v>
      </c>
      <c r="T931" s="358" t="s">
        <v>5003</v>
      </c>
      <c r="U931" s="48"/>
      <c r="V931" s="316">
        <v>183.456826681</v>
      </c>
      <c r="W931" s="316">
        <v>183.7</v>
      </c>
      <c r="X931" s="172">
        <v>45047</v>
      </c>
      <c r="Y931" s="372">
        <v>45291</v>
      </c>
      <c r="Z931" s="28" t="s">
        <v>5002</v>
      </c>
      <c r="AA931" s="373">
        <f t="shared" si="64"/>
        <v>0.3</v>
      </c>
      <c r="AB931" s="28">
        <v>450</v>
      </c>
      <c r="AC931" s="28">
        <v>135</v>
      </c>
    </row>
    <row r="932" spans="1:29" s="10" customFormat="1" ht="15" customHeight="1">
      <c r="A932" s="28" t="s">
        <v>136</v>
      </c>
      <c r="B932" s="340" t="s">
        <v>4822</v>
      </c>
      <c r="C932" s="28" t="s">
        <v>1806</v>
      </c>
      <c r="D932" s="340" t="s">
        <v>3680</v>
      </c>
      <c r="E932" s="48" t="s">
        <v>4923</v>
      </c>
      <c r="F932" s="28" t="s">
        <v>4924</v>
      </c>
      <c r="G932" s="28" t="s">
        <v>35</v>
      </c>
      <c r="H932" s="342" t="s">
        <v>4925</v>
      </c>
      <c r="I932" s="33" t="e">
        <f>VLOOKUP(H932,'合同高级查询数据-8月返'!A:A,1,FALSE)</f>
        <v>#N/A</v>
      </c>
      <c r="J932" s="342" t="s">
        <v>37</v>
      </c>
      <c r="K932" s="48" t="s">
        <v>5004</v>
      </c>
      <c r="L932" s="341" t="s">
        <v>5005</v>
      </c>
      <c r="M932" s="308" t="s">
        <v>5006</v>
      </c>
      <c r="N932" s="110">
        <v>45047</v>
      </c>
      <c r="O932" s="214" t="s">
        <v>5007</v>
      </c>
      <c r="P932" s="348">
        <v>9000</v>
      </c>
      <c r="Q932" s="359">
        <v>76.099999999999994</v>
      </c>
      <c r="R932" s="61">
        <f t="shared" si="63"/>
        <v>684900</v>
      </c>
      <c r="S932" s="311">
        <v>202308</v>
      </c>
      <c r="T932" s="358" t="s">
        <v>5008</v>
      </c>
      <c r="U932" s="48"/>
      <c r="V932" s="316">
        <v>76.024907650000003</v>
      </c>
      <c r="W932" s="316"/>
      <c r="X932" s="172">
        <v>45047</v>
      </c>
      <c r="Y932" s="372">
        <v>45291</v>
      </c>
      <c r="Z932" s="28" t="s">
        <v>5009</v>
      </c>
      <c r="AA932" s="373">
        <f t="shared" si="64"/>
        <v>0.3</v>
      </c>
      <c r="AB932" s="28">
        <v>250</v>
      </c>
      <c r="AC932" s="28">
        <v>75</v>
      </c>
    </row>
    <row r="933" spans="1:29" s="10" customFormat="1" ht="15" customHeight="1">
      <c r="A933" s="28" t="s">
        <v>136</v>
      </c>
      <c r="B933" s="340" t="s">
        <v>4822</v>
      </c>
      <c r="C933" s="28" t="s">
        <v>1806</v>
      </c>
      <c r="D933" s="340" t="s">
        <v>3680</v>
      </c>
      <c r="E933" s="48" t="s">
        <v>4923</v>
      </c>
      <c r="F933" s="28" t="s">
        <v>4924</v>
      </c>
      <c r="G933" s="28" t="s">
        <v>35</v>
      </c>
      <c r="H933" s="342" t="s">
        <v>4925</v>
      </c>
      <c r="I933" s="33" t="e">
        <f>VLOOKUP(H933,'合同高级查询数据-8月返'!A:A,1,FALSE)</f>
        <v>#N/A</v>
      </c>
      <c r="J933" s="342" t="s">
        <v>37</v>
      </c>
      <c r="K933" s="48" t="s">
        <v>5004</v>
      </c>
      <c r="L933" s="341" t="s">
        <v>5005</v>
      </c>
      <c r="M933" s="308" t="s">
        <v>5006</v>
      </c>
      <c r="N933" s="110">
        <v>45047</v>
      </c>
      <c r="O933" s="214" t="s">
        <v>5007</v>
      </c>
      <c r="P933" s="348">
        <v>9000</v>
      </c>
      <c r="Q933" s="359">
        <f>77.554-77.4</f>
        <v>0.15399999999999636</v>
      </c>
      <c r="R933" s="61">
        <f t="shared" si="63"/>
        <v>1386</v>
      </c>
      <c r="S933" s="311">
        <v>202307</v>
      </c>
      <c r="T933" s="358" t="s">
        <v>5010</v>
      </c>
      <c r="U933" s="48"/>
      <c r="V933" s="316">
        <v>77.393370509999997</v>
      </c>
      <c r="W933" s="367">
        <v>77.554000000000002</v>
      </c>
      <c r="X933" s="172">
        <v>45047</v>
      </c>
      <c r="Y933" s="372">
        <v>45291</v>
      </c>
      <c r="Z933" s="28" t="s">
        <v>5009</v>
      </c>
      <c r="AA933" s="373">
        <f t="shared" si="64"/>
        <v>0.3</v>
      </c>
      <c r="AB933" s="28">
        <v>250</v>
      </c>
      <c r="AC933" s="28">
        <v>75</v>
      </c>
    </row>
    <row r="934" spans="1:29" s="10" customFormat="1" ht="15" customHeight="1">
      <c r="A934" s="28" t="s">
        <v>136</v>
      </c>
      <c r="B934" s="340" t="s">
        <v>4822</v>
      </c>
      <c r="C934" s="28" t="s">
        <v>1806</v>
      </c>
      <c r="D934" s="340" t="s">
        <v>3680</v>
      </c>
      <c r="E934" s="48" t="s">
        <v>4923</v>
      </c>
      <c r="F934" s="28" t="s">
        <v>4924</v>
      </c>
      <c r="G934" s="28" t="s">
        <v>35</v>
      </c>
      <c r="H934" s="342" t="s">
        <v>4925</v>
      </c>
      <c r="I934" s="33" t="e">
        <f>VLOOKUP(H934,'合同高级查询数据-8月返'!A:A,1,FALSE)</f>
        <v>#N/A</v>
      </c>
      <c r="J934" s="342" t="s">
        <v>37</v>
      </c>
      <c r="K934" s="48" t="s">
        <v>5011</v>
      </c>
      <c r="L934" s="341" t="s">
        <v>5012</v>
      </c>
      <c r="M934" s="308" t="s">
        <v>5013</v>
      </c>
      <c r="N934" s="110">
        <v>45047</v>
      </c>
      <c r="O934" s="214" t="s">
        <v>319</v>
      </c>
      <c r="P934" s="348">
        <v>9000</v>
      </c>
      <c r="Q934" s="359">
        <v>63.9</v>
      </c>
      <c r="R934" s="61">
        <f t="shared" si="63"/>
        <v>575100</v>
      </c>
      <c r="S934" s="311">
        <v>202308</v>
      </c>
      <c r="T934" s="358" t="s">
        <v>5014</v>
      </c>
      <c r="U934" s="48"/>
      <c r="V934" s="316">
        <v>63.806792827999999</v>
      </c>
      <c r="W934" s="316"/>
      <c r="X934" s="172">
        <v>45047</v>
      </c>
      <c r="Y934" s="372">
        <v>45291</v>
      </c>
      <c r="Z934" s="28" t="s">
        <v>5015</v>
      </c>
      <c r="AA934" s="373">
        <f t="shared" si="64"/>
        <v>0.3</v>
      </c>
      <c r="AB934" s="28">
        <v>200</v>
      </c>
      <c r="AC934" s="28">
        <v>60</v>
      </c>
    </row>
    <row r="935" spans="1:29" s="9" customFormat="1" ht="15" customHeight="1">
      <c r="A935" s="25" t="s">
        <v>136</v>
      </c>
      <c r="B935" s="319" t="s">
        <v>4822</v>
      </c>
      <c r="C935" s="25" t="s">
        <v>1806</v>
      </c>
      <c r="D935" s="319" t="s">
        <v>3680</v>
      </c>
      <c r="E935" s="39" t="s">
        <v>4923</v>
      </c>
      <c r="F935" s="25" t="s">
        <v>4924</v>
      </c>
      <c r="G935" s="25" t="s">
        <v>35</v>
      </c>
      <c r="H935" s="343" t="s">
        <v>5016</v>
      </c>
      <c r="I935" s="32" t="e">
        <f>VLOOKUP(H935,'合同高级查询数据-8月返'!A:A,1,FALSE)</f>
        <v>#N/A</v>
      </c>
      <c r="J935" s="343" t="s">
        <v>37</v>
      </c>
      <c r="K935" s="39" t="s">
        <v>5017</v>
      </c>
      <c r="L935" s="125" t="s">
        <v>5018</v>
      </c>
      <c r="M935" s="127" t="s">
        <v>5019</v>
      </c>
      <c r="N935" s="50">
        <v>45108</v>
      </c>
      <c r="O935" s="350" t="s">
        <v>447</v>
      </c>
      <c r="P935" s="349">
        <v>9000</v>
      </c>
      <c r="Q935" s="360">
        <v>35.5</v>
      </c>
      <c r="R935" s="57">
        <f t="shared" si="63"/>
        <v>319500</v>
      </c>
      <c r="S935" s="310">
        <v>202308</v>
      </c>
      <c r="T935" s="361" t="s">
        <v>5020</v>
      </c>
      <c r="U935" s="39"/>
      <c r="V935" s="149">
        <v>35.488855422999997</v>
      </c>
      <c r="W935" s="149"/>
      <c r="X935" s="178">
        <v>45108</v>
      </c>
      <c r="Y935" s="374"/>
      <c r="Z935" s="25" t="s">
        <v>5021</v>
      </c>
      <c r="AA935" s="338">
        <f t="shared" si="64"/>
        <v>0.3</v>
      </c>
      <c r="AB935" s="25">
        <v>100</v>
      </c>
      <c r="AC935" s="25">
        <v>30</v>
      </c>
    </row>
    <row r="936" spans="1:29" s="9" customFormat="1" ht="15" customHeight="1">
      <c r="A936" s="25" t="s">
        <v>136</v>
      </c>
      <c r="B936" s="319" t="s">
        <v>4822</v>
      </c>
      <c r="C936" s="25" t="s">
        <v>1806</v>
      </c>
      <c r="D936" s="319" t="s">
        <v>3680</v>
      </c>
      <c r="E936" s="39" t="s">
        <v>4923</v>
      </c>
      <c r="F936" s="25" t="s">
        <v>4924</v>
      </c>
      <c r="G936" s="25" t="s">
        <v>35</v>
      </c>
      <c r="H936" s="343" t="s">
        <v>5022</v>
      </c>
      <c r="I936" s="32" t="e">
        <f>VLOOKUP(H936,'合同高级查询数据-8月返'!A:A,1,FALSE)</f>
        <v>#N/A</v>
      </c>
      <c r="J936" s="343" t="s">
        <v>37</v>
      </c>
      <c r="K936" s="39" t="s">
        <v>5023</v>
      </c>
      <c r="L936" s="125" t="s">
        <v>5024</v>
      </c>
      <c r="M936" s="127" t="s">
        <v>5013</v>
      </c>
      <c r="N936" s="50">
        <v>45108</v>
      </c>
      <c r="O936" s="350" t="s">
        <v>447</v>
      </c>
      <c r="P936" s="349">
        <v>9000</v>
      </c>
      <c r="Q936" s="360">
        <v>30</v>
      </c>
      <c r="R936" s="57">
        <f t="shared" si="63"/>
        <v>270000</v>
      </c>
      <c r="S936" s="310">
        <v>202308</v>
      </c>
      <c r="T936" s="361" t="s">
        <v>5025</v>
      </c>
      <c r="U936" s="39"/>
      <c r="V936" s="149">
        <v>3.4191894899999999</v>
      </c>
      <c r="W936" s="149"/>
      <c r="X936" s="178">
        <v>45108</v>
      </c>
      <c r="Y936" s="374"/>
      <c r="Z936" s="25" t="s">
        <v>5026</v>
      </c>
      <c r="AA936" s="338">
        <f t="shared" si="64"/>
        <v>0.3</v>
      </c>
      <c r="AB936" s="25">
        <v>100</v>
      </c>
      <c r="AC936" s="25">
        <v>30</v>
      </c>
    </row>
    <row r="937" spans="1:29" s="10" customFormat="1" ht="15" customHeight="1">
      <c r="A937" s="48" t="s">
        <v>191</v>
      </c>
      <c r="B937" s="340" t="s">
        <v>4822</v>
      </c>
      <c r="C937" s="48" t="s">
        <v>1806</v>
      </c>
      <c r="D937" s="340" t="s">
        <v>3680</v>
      </c>
      <c r="E937" s="48" t="s">
        <v>5027</v>
      </c>
      <c r="F937" s="48" t="s">
        <v>5028</v>
      </c>
      <c r="G937" s="341" t="s">
        <v>5029</v>
      </c>
      <c r="H937" s="342" t="s">
        <v>5030</v>
      </c>
      <c r="I937" s="33" t="e">
        <f>VLOOKUP(H937,'合同高级查询数据-8月返'!A:A,1,FALSE)</f>
        <v>#N/A</v>
      </c>
      <c r="J937" s="342" t="s">
        <v>37</v>
      </c>
      <c r="K937" s="341" t="s">
        <v>5031</v>
      </c>
      <c r="L937" s="341" t="s">
        <v>5032</v>
      </c>
      <c r="M937" s="308"/>
      <c r="N937" s="110" t="s">
        <v>5033</v>
      </c>
      <c r="O937" s="341" t="s">
        <v>5034</v>
      </c>
      <c r="P937" s="348">
        <v>6740</v>
      </c>
      <c r="Q937" s="354">
        <v>178.72</v>
      </c>
      <c r="R937" s="355">
        <f t="shared" si="61"/>
        <v>1204572.8</v>
      </c>
      <c r="S937" s="311">
        <v>202308</v>
      </c>
      <c r="T937" s="362" t="s">
        <v>5035</v>
      </c>
      <c r="U937" s="368"/>
      <c r="V937" s="316">
        <v>178.72174072300001</v>
      </c>
      <c r="W937" s="369"/>
      <c r="X937" s="214">
        <v>44866</v>
      </c>
      <c r="Y937" s="214">
        <v>45230</v>
      </c>
      <c r="Z937" s="108" t="s">
        <v>5036</v>
      </c>
      <c r="AA937" s="373">
        <v>0.4</v>
      </c>
      <c r="AB937" s="28">
        <v>360</v>
      </c>
      <c r="AC937" s="28">
        <v>144</v>
      </c>
    </row>
    <row r="938" spans="1:29" s="10" customFormat="1" ht="15" customHeight="1">
      <c r="A938" s="28" t="s">
        <v>191</v>
      </c>
      <c r="B938" s="340" t="s">
        <v>4822</v>
      </c>
      <c r="C938" s="28" t="s">
        <v>1806</v>
      </c>
      <c r="D938" s="340" t="s">
        <v>3680</v>
      </c>
      <c r="E938" s="48" t="s">
        <v>5027</v>
      </c>
      <c r="F938" s="48" t="s">
        <v>5028</v>
      </c>
      <c r="G938" s="28" t="s">
        <v>35</v>
      </c>
      <c r="H938" s="342" t="s">
        <v>5030</v>
      </c>
      <c r="I938" s="33" t="e">
        <f>VLOOKUP(H938,'合同高级查询数据-8月返'!A:A,1,FALSE)</f>
        <v>#N/A</v>
      </c>
      <c r="J938" s="28" t="s">
        <v>307</v>
      </c>
      <c r="K938" s="48" t="s">
        <v>5037</v>
      </c>
      <c r="L938" s="28" t="s">
        <v>5038</v>
      </c>
      <c r="M938" s="28"/>
      <c r="N938" s="214">
        <v>44958</v>
      </c>
      <c r="O938" s="214" t="s">
        <v>1767</v>
      </c>
      <c r="P938" s="348">
        <v>6740</v>
      </c>
      <c r="Q938" s="354">
        <v>0</v>
      </c>
      <c r="R938" s="61">
        <f t="shared" si="61"/>
        <v>0</v>
      </c>
      <c r="S938" s="311">
        <v>202308</v>
      </c>
      <c r="T938" s="358" t="s">
        <v>5039</v>
      </c>
      <c r="U938" s="48"/>
      <c r="V938" s="316">
        <v>0</v>
      </c>
      <c r="W938" s="316"/>
      <c r="X938" s="214">
        <v>44866</v>
      </c>
      <c r="Y938" s="214">
        <v>45230</v>
      </c>
      <c r="Z938" s="375" t="s">
        <v>5040</v>
      </c>
      <c r="AA938" s="373">
        <v>0.4</v>
      </c>
      <c r="AB938" s="28">
        <v>0</v>
      </c>
      <c r="AC938" s="28">
        <v>0</v>
      </c>
    </row>
    <row r="939" spans="1:29" s="10" customFormat="1" ht="15" customHeight="1">
      <c r="A939" s="48" t="s">
        <v>191</v>
      </c>
      <c r="B939" s="340" t="s">
        <v>4822</v>
      </c>
      <c r="C939" s="48" t="s">
        <v>1806</v>
      </c>
      <c r="D939" s="340" t="s">
        <v>3680</v>
      </c>
      <c r="E939" s="48" t="s">
        <v>5027</v>
      </c>
      <c r="F939" s="48" t="s">
        <v>5028</v>
      </c>
      <c r="G939" s="341" t="s">
        <v>35</v>
      </c>
      <c r="H939" s="342" t="s">
        <v>5030</v>
      </c>
      <c r="I939" s="33" t="e">
        <f>VLOOKUP(H939,'合同高级查询数据-8月返'!A:A,1,FALSE)</f>
        <v>#N/A</v>
      </c>
      <c r="J939" s="342" t="s">
        <v>1293</v>
      </c>
      <c r="K939" s="341" t="s">
        <v>5041</v>
      </c>
      <c r="L939" s="341" t="s">
        <v>5042</v>
      </c>
      <c r="M939" s="308"/>
      <c r="N939" s="110">
        <v>43439</v>
      </c>
      <c r="O939" s="341" t="s">
        <v>1714</v>
      </c>
      <c r="P939" s="348">
        <v>6000</v>
      </c>
      <c r="Q939" s="354">
        <v>0</v>
      </c>
      <c r="R939" s="355">
        <f t="shared" si="61"/>
        <v>0</v>
      </c>
      <c r="S939" s="311">
        <v>202308</v>
      </c>
      <c r="T939" s="362" t="s">
        <v>5043</v>
      </c>
      <c r="U939" s="368"/>
      <c r="V939" s="316">
        <v>0</v>
      </c>
      <c r="W939" s="316"/>
      <c r="X939" s="214">
        <v>44866</v>
      </c>
      <c r="Y939" s="214">
        <v>45230</v>
      </c>
      <c r="Z939" s="108" t="s">
        <v>5044</v>
      </c>
      <c r="AA939" s="28" t="s">
        <v>4872</v>
      </c>
      <c r="AB939" s="28">
        <v>0</v>
      </c>
      <c r="AC939" s="28">
        <v>0</v>
      </c>
    </row>
    <row r="940" spans="1:29" s="10" customFormat="1" ht="15" customHeight="1">
      <c r="A940" s="48" t="s">
        <v>191</v>
      </c>
      <c r="B940" s="340" t="s">
        <v>4822</v>
      </c>
      <c r="C940" s="48" t="s">
        <v>1806</v>
      </c>
      <c r="D940" s="340" t="s">
        <v>3680</v>
      </c>
      <c r="E940" s="48" t="s">
        <v>5027</v>
      </c>
      <c r="F940" s="48" t="s">
        <v>5028</v>
      </c>
      <c r="G940" s="341" t="s">
        <v>35</v>
      </c>
      <c r="H940" s="342" t="s">
        <v>5030</v>
      </c>
      <c r="I940" s="33" t="e">
        <f>VLOOKUP(H940,'合同高级查询数据-8月返'!A:A,1,FALSE)</f>
        <v>#N/A</v>
      </c>
      <c r="J940" s="342" t="s">
        <v>76</v>
      </c>
      <c r="K940" s="341" t="s">
        <v>5045</v>
      </c>
      <c r="L940" s="341" t="s">
        <v>5046</v>
      </c>
      <c r="M940" s="308"/>
      <c r="N940" s="110">
        <v>43398</v>
      </c>
      <c r="O940" s="341" t="s">
        <v>146</v>
      </c>
      <c r="P940" s="348">
        <v>110000</v>
      </c>
      <c r="Q940" s="354">
        <v>2</v>
      </c>
      <c r="R940" s="355">
        <f t="shared" si="61"/>
        <v>220000</v>
      </c>
      <c r="S940" s="311">
        <v>202308</v>
      </c>
      <c r="T940" s="362" t="s">
        <v>5047</v>
      </c>
      <c r="U940" s="368"/>
      <c r="V940" s="316">
        <v>0.80361393599999997</v>
      </c>
      <c r="W940" s="316"/>
      <c r="X940" s="214">
        <v>44866</v>
      </c>
      <c r="Y940" s="214">
        <v>45230</v>
      </c>
      <c r="Z940" s="108" t="s">
        <v>5048</v>
      </c>
      <c r="AA940" s="373">
        <v>0.1</v>
      </c>
      <c r="AB940" s="28">
        <v>20</v>
      </c>
      <c r="AC940" s="28">
        <v>2</v>
      </c>
    </row>
    <row r="941" spans="1:29" s="9" customFormat="1" ht="15" customHeight="1">
      <c r="A941" s="39" t="s">
        <v>191</v>
      </c>
      <c r="B941" s="319" t="s">
        <v>4822</v>
      </c>
      <c r="C941" s="39" t="s">
        <v>1806</v>
      </c>
      <c r="D941" s="319" t="s">
        <v>3680</v>
      </c>
      <c r="E941" s="39" t="s">
        <v>5049</v>
      </c>
      <c r="F941" s="39" t="s">
        <v>5050</v>
      </c>
      <c r="G941" s="125" t="s">
        <v>35</v>
      </c>
      <c r="H941" s="343" t="s">
        <v>5051</v>
      </c>
      <c r="I941" s="32" t="e">
        <f>VLOOKUP(H941,'合同高级查询数据-8月返'!A:A,1,FALSE)</f>
        <v>#N/A</v>
      </c>
      <c r="J941" s="343" t="s">
        <v>4208</v>
      </c>
      <c r="K941" s="125" t="s">
        <v>5052</v>
      </c>
      <c r="L941" s="345" t="s">
        <v>5053</v>
      </c>
      <c r="M941" s="127" t="s">
        <v>5054</v>
      </c>
      <c r="N941" s="50">
        <v>44935</v>
      </c>
      <c r="O941" s="125" t="s">
        <v>319</v>
      </c>
      <c r="P941" s="349">
        <v>6740</v>
      </c>
      <c r="Q941" s="330">
        <v>80</v>
      </c>
      <c r="R941" s="357">
        <f t="shared" si="61"/>
        <v>539200</v>
      </c>
      <c r="S941" s="310">
        <v>202308</v>
      </c>
      <c r="T941" s="361" t="s">
        <v>5055</v>
      </c>
      <c r="U941" s="131"/>
      <c r="V941" s="149">
        <v>71.928493958000004</v>
      </c>
      <c r="W941" s="149"/>
      <c r="X941" s="178">
        <v>45108</v>
      </c>
      <c r="Y941" s="178"/>
      <c r="Z941" s="105" t="s">
        <v>5056</v>
      </c>
      <c r="AA941" s="338">
        <v>0.4</v>
      </c>
      <c r="AB941" s="25">
        <v>200</v>
      </c>
      <c r="AC941" s="25">
        <v>80</v>
      </c>
    </row>
    <row r="942" spans="1:29" s="9" customFormat="1" ht="15" customHeight="1">
      <c r="A942" s="25" t="s">
        <v>191</v>
      </c>
      <c r="B942" s="319" t="s">
        <v>4822</v>
      </c>
      <c r="C942" s="25" t="s">
        <v>1806</v>
      </c>
      <c r="D942" s="319" t="s">
        <v>3680</v>
      </c>
      <c r="E942" s="39" t="s">
        <v>5057</v>
      </c>
      <c r="F942" s="25" t="s">
        <v>5058</v>
      </c>
      <c r="G942" s="25" t="s">
        <v>35</v>
      </c>
      <c r="H942" s="343" t="s">
        <v>5059</v>
      </c>
      <c r="I942" s="32" t="e">
        <f>VLOOKUP(H942,'合同高级查询数据-8月返'!A:A,1,FALSE)</f>
        <v>#N/A</v>
      </c>
      <c r="J942" s="25" t="s">
        <v>1293</v>
      </c>
      <c r="K942" s="39" t="s">
        <v>5060</v>
      </c>
      <c r="L942" s="25" t="s">
        <v>5061</v>
      </c>
      <c r="M942" s="25"/>
      <c r="N942" s="350" t="s">
        <v>5062</v>
      </c>
      <c r="O942" s="350" t="s">
        <v>5063</v>
      </c>
      <c r="P942" s="349">
        <v>6740</v>
      </c>
      <c r="Q942" s="330">
        <v>344</v>
      </c>
      <c r="R942" s="57">
        <f t="shared" ref="R942:R975" si="65">ROUND(P942*Q942,2)</f>
        <v>2318560</v>
      </c>
      <c r="S942" s="310">
        <v>202308</v>
      </c>
      <c r="T942" s="361" t="s">
        <v>5064</v>
      </c>
      <c r="U942" s="39"/>
      <c r="V942" s="149">
        <v>299.55262358580001</v>
      </c>
      <c r="W942" s="149"/>
      <c r="X942" s="178">
        <v>45108</v>
      </c>
      <c r="Y942" s="178"/>
      <c r="Z942" s="320" t="s">
        <v>5065</v>
      </c>
      <c r="AA942" s="338">
        <v>0.4</v>
      </c>
      <c r="AB942" s="25">
        <v>860</v>
      </c>
      <c r="AC942" s="25">
        <v>344</v>
      </c>
    </row>
    <row r="943" spans="1:29" s="9" customFormat="1" ht="15" customHeight="1">
      <c r="A943" s="25" t="s">
        <v>191</v>
      </c>
      <c r="B943" s="319" t="s">
        <v>4822</v>
      </c>
      <c r="C943" s="25" t="s">
        <v>1806</v>
      </c>
      <c r="D943" s="319" t="s">
        <v>3680</v>
      </c>
      <c r="E943" s="39" t="s">
        <v>5057</v>
      </c>
      <c r="F943" s="25" t="s">
        <v>5058</v>
      </c>
      <c r="G943" s="25" t="s">
        <v>35</v>
      </c>
      <c r="H943" s="343" t="s">
        <v>5059</v>
      </c>
      <c r="I943" s="32" t="e">
        <f>VLOOKUP(H943,'合同高级查询数据-8月返'!A:A,1,FALSE)</f>
        <v>#N/A</v>
      </c>
      <c r="J943" s="25" t="s">
        <v>37</v>
      </c>
      <c r="K943" s="39" t="s">
        <v>5066</v>
      </c>
      <c r="L943" s="25" t="s">
        <v>5067</v>
      </c>
      <c r="M943" s="125" t="s">
        <v>5068</v>
      </c>
      <c r="N943" s="350" t="s">
        <v>5069</v>
      </c>
      <c r="O943" s="350" t="s">
        <v>2278</v>
      </c>
      <c r="P943" s="349">
        <v>6740</v>
      </c>
      <c r="Q943" s="330">
        <v>0</v>
      </c>
      <c r="R943" s="57">
        <f t="shared" si="65"/>
        <v>0</v>
      </c>
      <c r="S943" s="310">
        <v>202308</v>
      </c>
      <c r="T943" s="361" t="s">
        <v>5070</v>
      </c>
      <c r="U943" s="39"/>
      <c r="V943" s="149">
        <v>0</v>
      </c>
      <c r="W943" s="149"/>
      <c r="X943" s="178">
        <v>45108</v>
      </c>
      <c r="Y943" s="178"/>
      <c r="Z943" s="320" t="s">
        <v>5071</v>
      </c>
      <c r="AA943" s="338">
        <v>0.4</v>
      </c>
      <c r="AB943" s="25">
        <v>0</v>
      </c>
      <c r="AC943" s="25">
        <v>0</v>
      </c>
    </row>
    <row r="944" spans="1:29" s="9" customFormat="1" ht="15" customHeight="1">
      <c r="A944" s="25" t="s">
        <v>191</v>
      </c>
      <c r="B944" s="319" t="s">
        <v>4822</v>
      </c>
      <c r="C944" s="25" t="s">
        <v>1806</v>
      </c>
      <c r="D944" s="319" t="s">
        <v>3680</v>
      </c>
      <c r="E944" s="39" t="s">
        <v>5057</v>
      </c>
      <c r="F944" s="25" t="s">
        <v>5058</v>
      </c>
      <c r="G944" s="25" t="s">
        <v>35</v>
      </c>
      <c r="H944" s="343" t="s">
        <v>5059</v>
      </c>
      <c r="I944" s="32" t="e">
        <f>VLOOKUP(H944,'合同高级查询数据-8月返'!A:A,1,FALSE)</f>
        <v>#N/A</v>
      </c>
      <c r="J944" s="25" t="s">
        <v>307</v>
      </c>
      <c r="K944" s="39" t="s">
        <v>5037</v>
      </c>
      <c r="L944" s="25" t="s">
        <v>5038</v>
      </c>
      <c r="M944" s="25"/>
      <c r="N944" s="350" t="s">
        <v>5072</v>
      </c>
      <c r="O944" s="350" t="s">
        <v>1355</v>
      </c>
      <c r="P944" s="349">
        <v>6740</v>
      </c>
      <c r="Q944" s="330">
        <v>0</v>
      </c>
      <c r="R944" s="57">
        <f t="shared" si="65"/>
        <v>0</v>
      </c>
      <c r="S944" s="310">
        <v>202308</v>
      </c>
      <c r="T944" s="361" t="s">
        <v>5039</v>
      </c>
      <c r="U944" s="39"/>
      <c r="V944" s="149">
        <v>0</v>
      </c>
      <c r="W944" s="149"/>
      <c r="X944" s="178">
        <v>45108</v>
      </c>
      <c r="Y944" s="178"/>
      <c r="Z944" s="320" t="s">
        <v>5040</v>
      </c>
      <c r="AA944" s="338">
        <v>0.4</v>
      </c>
      <c r="AB944" s="25">
        <v>0</v>
      </c>
      <c r="AC944" s="25">
        <v>0</v>
      </c>
    </row>
    <row r="945" spans="1:29" s="9" customFormat="1" ht="15" customHeight="1">
      <c r="A945" s="39" t="s">
        <v>191</v>
      </c>
      <c r="B945" s="319" t="s">
        <v>4822</v>
      </c>
      <c r="C945" s="39" t="s">
        <v>1806</v>
      </c>
      <c r="D945" s="319" t="s">
        <v>3680</v>
      </c>
      <c r="E945" s="39" t="s">
        <v>5057</v>
      </c>
      <c r="F945" s="25" t="s">
        <v>5058</v>
      </c>
      <c r="G945" s="125" t="s">
        <v>35</v>
      </c>
      <c r="H945" s="343" t="s">
        <v>5059</v>
      </c>
      <c r="I945" s="32" t="e">
        <f>VLOOKUP(H945,'合同高级查询数据-8月返'!A:A,1,FALSE)</f>
        <v>#N/A</v>
      </c>
      <c r="J945" s="25" t="s">
        <v>37</v>
      </c>
      <c r="K945" s="125" t="s">
        <v>5073</v>
      </c>
      <c r="L945" s="125" t="s">
        <v>5074</v>
      </c>
      <c r="M945" s="127"/>
      <c r="N945" s="350" t="s">
        <v>5075</v>
      </c>
      <c r="O945" s="125" t="s">
        <v>5076</v>
      </c>
      <c r="P945" s="349">
        <v>6740</v>
      </c>
      <c r="Q945" s="330">
        <v>0</v>
      </c>
      <c r="R945" s="57">
        <f t="shared" si="65"/>
        <v>0</v>
      </c>
      <c r="S945" s="310">
        <v>202308</v>
      </c>
      <c r="T945" s="144" t="s">
        <v>5077</v>
      </c>
      <c r="U945" s="131"/>
      <c r="V945" s="149">
        <v>0</v>
      </c>
      <c r="W945" s="149"/>
      <c r="X945" s="178">
        <v>45108</v>
      </c>
      <c r="Y945" s="178"/>
      <c r="Z945" s="105" t="s">
        <v>5078</v>
      </c>
      <c r="AA945" s="338">
        <v>0.4</v>
      </c>
      <c r="AB945" s="25">
        <v>0</v>
      </c>
      <c r="AC945" s="25">
        <v>0</v>
      </c>
    </row>
    <row r="946" spans="1:29" s="10" customFormat="1" ht="15" customHeight="1">
      <c r="A946" s="28" t="s">
        <v>184</v>
      </c>
      <c r="B946" s="340" t="s">
        <v>4822</v>
      </c>
      <c r="C946" s="28" t="s">
        <v>1806</v>
      </c>
      <c r="D946" s="340" t="s">
        <v>3680</v>
      </c>
      <c r="E946" s="48" t="s">
        <v>5079</v>
      </c>
      <c r="F946" s="28" t="s">
        <v>5080</v>
      </c>
      <c r="G946" s="28" t="s">
        <v>35</v>
      </c>
      <c r="H946" s="48" t="s">
        <v>5081</v>
      </c>
      <c r="I946" s="33" t="e">
        <f>VLOOKUP(H946,'合同高级查询数据-8月返'!A:A,1,FALSE)</f>
        <v>#N/A</v>
      </c>
      <c r="J946" s="48" t="s">
        <v>1293</v>
      </c>
      <c r="K946" s="48" t="s">
        <v>5082</v>
      </c>
      <c r="L946" s="48" t="s">
        <v>5083</v>
      </c>
      <c r="M946" s="28"/>
      <c r="N946" s="214">
        <v>44131</v>
      </c>
      <c r="O946" s="214" t="s">
        <v>319</v>
      </c>
      <c r="P946" s="348">
        <v>20000</v>
      </c>
      <c r="Q946" s="354">
        <v>42.3</v>
      </c>
      <c r="R946" s="61">
        <f t="shared" si="65"/>
        <v>846000</v>
      </c>
      <c r="S946" s="311">
        <v>202308</v>
      </c>
      <c r="T946" s="358" t="s">
        <v>5084</v>
      </c>
      <c r="U946" s="48"/>
      <c r="V946" s="316">
        <v>40.929115107283003</v>
      </c>
      <c r="W946" s="316">
        <v>43.67</v>
      </c>
      <c r="X946" s="214">
        <v>44166</v>
      </c>
      <c r="Y946" s="108">
        <v>45260</v>
      </c>
      <c r="Z946" s="28" t="s">
        <v>5085</v>
      </c>
      <c r="AA946" s="373">
        <v>0.1</v>
      </c>
      <c r="AB946" s="28">
        <v>200</v>
      </c>
      <c r="AC946" s="28">
        <v>20</v>
      </c>
    </row>
    <row r="947" spans="1:29" s="9" customFormat="1" ht="15" customHeight="1">
      <c r="A947" s="39" t="s">
        <v>184</v>
      </c>
      <c r="B947" s="319" t="s">
        <v>4822</v>
      </c>
      <c r="C947" s="39" t="s">
        <v>1806</v>
      </c>
      <c r="D947" s="319" t="s">
        <v>3680</v>
      </c>
      <c r="E947" s="39" t="s">
        <v>4866</v>
      </c>
      <c r="F947" s="25" t="s">
        <v>5080</v>
      </c>
      <c r="G947" s="125" t="s">
        <v>35</v>
      </c>
      <c r="H947" s="124" t="s">
        <v>5086</v>
      </c>
      <c r="I947" s="32" t="e">
        <f>VLOOKUP(H947,'合同高级查询数据-8月返'!A:A,1,FALSE)</f>
        <v>#N/A</v>
      </c>
      <c r="J947" s="343" t="s">
        <v>1293</v>
      </c>
      <c r="K947" s="125" t="s">
        <v>5087</v>
      </c>
      <c r="L947" s="125" t="s">
        <v>5088</v>
      </c>
      <c r="M947" s="125" t="s">
        <v>5089</v>
      </c>
      <c r="N947" s="50" t="s">
        <v>5090</v>
      </c>
      <c r="O947" s="125" t="s">
        <v>5091</v>
      </c>
      <c r="P947" s="346">
        <v>9500</v>
      </c>
      <c r="Q947" s="330">
        <v>129.6</v>
      </c>
      <c r="R947" s="357">
        <f t="shared" si="65"/>
        <v>1231200</v>
      </c>
      <c r="S947" s="310">
        <v>202308</v>
      </c>
      <c r="T947" s="353" t="s">
        <v>5092</v>
      </c>
      <c r="U947" s="314"/>
      <c r="V947" s="149">
        <v>127.6106775431</v>
      </c>
      <c r="W947" s="149">
        <v>131.47999999999999</v>
      </c>
      <c r="X947" s="178">
        <v>45139</v>
      </c>
      <c r="Y947" s="178"/>
      <c r="Z947" s="25" t="s">
        <v>5093</v>
      </c>
      <c r="AA947" s="338">
        <v>0.3</v>
      </c>
      <c r="AB947" s="25">
        <v>400</v>
      </c>
      <c r="AC947" s="25">
        <v>108</v>
      </c>
    </row>
    <row r="948" spans="1:29" s="9" customFormat="1" ht="15" customHeight="1">
      <c r="A948" s="39" t="s">
        <v>184</v>
      </c>
      <c r="B948" s="319" t="s">
        <v>4822</v>
      </c>
      <c r="C948" s="39" t="s">
        <v>1806</v>
      </c>
      <c r="D948" s="319" t="s">
        <v>3680</v>
      </c>
      <c r="E948" s="39" t="s">
        <v>4866</v>
      </c>
      <c r="F948" s="25" t="s">
        <v>5080</v>
      </c>
      <c r="G948" s="125" t="s">
        <v>35</v>
      </c>
      <c r="H948" s="124" t="s">
        <v>5086</v>
      </c>
      <c r="I948" s="32" t="e">
        <f>VLOOKUP(H948,'合同高级查询数据-8月返'!A:A,1,FALSE)</f>
        <v>#N/A</v>
      </c>
      <c r="J948" s="343" t="s">
        <v>1293</v>
      </c>
      <c r="K948" s="125" t="s">
        <v>5094</v>
      </c>
      <c r="L948" s="125" t="s">
        <v>5095</v>
      </c>
      <c r="M948" s="125" t="s">
        <v>5096</v>
      </c>
      <c r="N948" s="50">
        <v>44501</v>
      </c>
      <c r="O948" s="125" t="s">
        <v>355</v>
      </c>
      <c r="P948" s="346">
        <v>9500</v>
      </c>
      <c r="Q948" s="330">
        <v>120</v>
      </c>
      <c r="R948" s="357">
        <f t="shared" si="65"/>
        <v>1140000</v>
      </c>
      <c r="S948" s="310">
        <v>202308</v>
      </c>
      <c r="T948" s="353" t="s">
        <v>5097</v>
      </c>
      <c r="U948" s="314"/>
      <c r="V948" s="149">
        <v>112.45199282839999</v>
      </c>
      <c r="W948" s="149">
        <v>120</v>
      </c>
      <c r="X948" s="178">
        <v>45139</v>
      </c>
      <c r="Y948" s="178"/>
      <c r="Z948" s="25" t="s">
        <v>5098</v>
      </c>
      <c r="AA948" s="338">
        <v>0.3</v>
      </c>
      <c r="AB948" s="25">
        <v>400</v>
      </c>
      <c r="AC948" s="25">
        <v>120</v>
      </c>
    </row>
    <row r="949" spans="1:29" s="10" customFormat="1" ht="15" customHeight="1">
      <c r="A949" s="28" t="s">
        <v>184</v>
      </c>
      <c r="B949" s="340" t="s">
        <v>4822</v>
      </c>
      <c r="C949" s="28" t="s">
        <v>1806</v>
      </c>
      <c r="D949" s="340" t="s">
        <v>3680</v>
      </c>
      <c r="E949" s="48" t="s">
        <v>5079</v>
      </c>
      <c r="F949" s="28" t="s">
        <v>5080</v>
      </c>
      <c r="G949" s="28" t="s">
        <v>35</v>
      </c>
      <c r="H949" s="48" t="s">
        <v>5081</v>
      </c>
      <c r="I949" s="33" t="e">
        <f>VLOOKUP(H949,'合同高级查询数据-8月返'!A:A,1,FALSE)</f>
        <v>#N/A</v>
      </c>
      <c r="J949" s="48" t="s">
        <v>76</v>
      </c>
      <c r="K949" s="48" t="s">
        <v>5099</v>
      </c>
      <c r="L949" s="48" t="s">
        <v>5100</v>
      </c>
      <c r="M949" s="28"/>
      <c r="N949" s="214">
        <v>44228</v>
      </c>
      <c r="O949" s="214" t="s">
        <v>146</v>
      </c>
      <c r="P949" s="348">
        <v>200000</v>
      </c>
      <c r="Q949" s="354">
        <v>1</v>
      </c>
      <c r="R949" s="61">
        <f t="shared" si="65"/>
        <v>200000</v>
      </c>
      <c r="S949" s="311">
        <v>202308</v>
      </c>
      <c r="T949" s="358" t="s">
        <v>5101</v>
      </c>
      <c r="U949" s="48"/>
      <c r="V949" s="316">
        <v>6.5640000000000002E-6</v>
      </c>
      <c r="W949" s="316">
        <v>1</v>
      </c>
      <c r="X949" s="214">
        <v>44166</v>
      </c>
      <c r="Y949" s="108">
        <v>45260</v>
      </c>
      <c r="Z949" s="28" t="s">
        <v>5102</v>
      </c>
      <c r="AA949" s="373">
        <f>AC949/AB949</f>
        <v>0.05</v>
      </c>
      <c r="AB949" s="28">
        <v>20</v>
      </c>
      <c r="AC949" s="28">
        <v>1</v>
      </c>
    </row>
    <row r="950" spans="1:29" s="9" customFormat="1" ht="15" customHeight="1">
      <c r="A950" s="25" t="s">
        <v>29</v>
      </c>
      <c r="B950" s="319" t="s">
        <v>5103</v>
      </c>
      <c r="C950" s="25" t="s">
        <v>31</v>
      </c>
      <c r="D950" s="319" t="s">
        <v>3680</v>
      </c>
      <c r="E950" s="39" t="s">
        <v>5079</v>
      </c>
      <c r="F950" s="25" t="s">
        <v>5080</v>
      </c>
      <c r="G950" s="25" t="s">
        <v>35</v>
      </c>
      <c r="H950" s="39" t="s">
        <v>5104</v>
      </c>
      <c r="I950" s="32" t="e">
        <f>VLOOKUP(H950,'合同高级查询数据-8月返'!A:A,1,FALSE)</f>
        <v>#N/A</v>
      </c>
      <c r="J950" s="39" t="s">
        <v>37</v>
      </c>
      <c r="K950" s="39" t="s">
        <v>2789</v>
      </c>
      <c r="L950" s="39" t="s">
        <v>5105</v>
      </c>
      <c r="M950" s="25"/>
      <c r="N950" s="350">
        <v>45139</v>
      </c>
      <c r="O950" s="350" t="s">
        <v>467</v>
      </c>
      <c r="P950" s="349">
        <v>5120</v>
      </c>
      <c r="Q950" s="330">
        <v>382.15800000000002</v>
      </c>
      <c r="R950" s="57">
        <f t="shared" si="65"/>
        <v>1956648.96</v>
      </c>
      <c r="S950" s="310">
        <v>202308</v>
      </c>
      <c r="T950" s="361" t="s">
        <v>5106</v>
      </c>
      <c r="U950" s="39"/>
      <c r="V950" s="370">
        <v>382.15792846699998</v>
      </c>
      <c r="W950" s="149"/>
      <c r="X950" s="350">
        <v>45139</v>
      </c>
      <c r="Y950" s="105"/>
      <c r="Z950" s="25" t="s">
        <v>5107</v>
      </c>
      <c r="AA950" s="338">
        <v>0</v>
      </c>
      <c r="AB950" s="25">
        <v>300</v>
      </c>
      <c r="AC950" s="25">
        <v>0</v>
      </c>
    </row>
    <row r="951" spans="1:29" s="10" customFormat="1" ht="15" customHeight="1">
      <c r="A951" s="29" t="s">
        <v>136</v>
      </c>
      <c r="B951" s="340" t="s">
        <v>5108</v>
      </c>
      <c r="C951" s="129" t="s">
        <v>1759</v>
      </c>
      <c r="D951" s="28" t="s">
        <v>303</v>
      </c>
      <c r="E951" s="48" t="s">
        <v>5109</v>
      </c>
      <c r="F951" s="29" t="s">
        <v>5110</v>
      </c>
      <c r="G951" s="303" t="s">
        <v>35</v>
      </c>
      <c r="H951" s="303" t="s">
        <v>5111</v>
      </c>
      <c r="I951" s="33" t="e">
        <f>VLOOKUP(H951,'合同高级查询数据-8月返'!A:A,1,FALSE)</f>
        <v>#N/A</v>
      </c>
      <c r="J951" s="303" t="s">
        <v>76</v>
      </c>
      <c r="K951" s="306" t="s">
        <v>5112</v>
      </c>
      <c r="L951" s="307" t="s">
        <v>5113</v>
      </c>
      <c r="M951" s="308" t="s">
        <v>5114</v>
      </c>
      <c r="N951" s="110" t="s">
        <v>5115</v>
      </c>
      <c r="O951" s="110" t="s">
        <v>531</v>
      </c>
      <c r="P951" s="351">
        <v>210000</v>
      </c>
      <c r="Q951" s="354">
        <v>0</v>
      </c>
      <c r="R951" s="58">
        <f t="shared" si="65"/>
        <v>0</v>
      </c>
      <c r="S951" s="311">
        <v>202308</v>
      </c>
      <c r="T951" s="363" t="s">
        <v>5116</v>
      </c>
      <c r="U951" s="315"/>
      <c r="V951" s="316">
        <v>0</v>
      </c>
      <c r="W951" s="316"/>
      <c r="X951" s="172">
        <v>43617</v>
      </c>
      <c r="Y951" s="372">
        <v>45443</v>
      </c>
      <c r="Z951" s="28" t="s">
        <v>5114</v>
      </c>
      <c r="AA951" s="373">
        <v>0</v>
      </c>
      <c r="AB951" s="28">
        <v>0</v>
      </c>
      <c r="AC951" s="28">
        <v>0</v>
      </c>
    </row>
    <row r="952" spans="1:29" s="9" customFormat="1" ht="15" customHeight="1">
      <c r="A952" s="26" t="s">
        <v>184</v>
      </c>
      <c r="B952" s="319" t="s">
        <v>5108</v>
      </c>
      <c r="C952" s="97" t="s">
        <v>1759</v>
      </c>
      <c r="D952" s="27" t="s">
        <v>303</v>
      </c>
      <c r="E952" s="39" t="s">
        <v>5117</v>
      </c>
      <c r="F952" s="26" t="s">
        <v>5118</v>
      </c>
      <c r="G952" s="124" t="s">
        <v>35</v>
      </c>
      <c r="H952" s="124" t="s">
        <v>5119</v>
      </c>
      <c r="I952" s="32" t="e">
        <f>VLOOKUP(H952,'合同高级查询数据-8月返'!A:A,1,FALSE)</f>
        <v>#N/A</v>
      </c>
      <c r="J952" s="124" t="s">
        <v>37</v>
      </c>
      <c r="K952" s="304" t="s">
        <v>5120</v>
      </c>
      <c r="L952" s="305" t="s">
        <v>5118</v>
      </c>
      <c r="M952" s="127"/>
      <c r="N952" s="50" t="s">
        <v>5121</v>
      </c>
      <c r="O952" s="50" t="s">
        <v>5122</v>
      </c>
      <c r="P952" s="349">
        <v>6000</v>
      </c>
      <c r="Q952" s="330">
        <v>58.5</v>
      </c>
      <c r="R952" s="54">
        <f t="shared" si="65"/>
        <v>351000</v>
      </c>
      <c r="S952" s="310">
        <v>202308</v>
      </c>
      <c r="T952" s="364" t="s">
        <v>5123</v>
      </c>
      <c r="U952" s="314"/>
      <c r="V952" s="149">
        <v>58.487552643000001</v>
      </c>
      <c r="W952" s="149"/>
      <c r="X952" s="350">
        <v>45017</v>
      </c>
      <c r="Y952" s="374"/>
      <c r="Z952" s="338" t="s">
        <v>5124</v>
      </c>
      <c r="AA952" s="338">
        <v>0.25</v>
      </c>
      <c r="AB952" s="25">
        <v>200</v>
      </c>
      <c r="AC952" s="25">
        <v>50</v>
      </c>
    </row>
    <row r="953" spans="1:29" s="9" customFormat="1" ht="15" customHeight="1">
      <c r="A953" s="26" t="s">
        <v>184</v>
      </c>
      <c r="B953" s="319" t="s">
        <v>5108</v>
      </c>
      <c r="C953" s="97" t="s">
        <v>1759</v>
      </c>
      <c r="D953" s="27" t="s">
        <v>303</v>
      </c>
      <c r="E953" s="39" t="s">
        <v>5117</v>
      </c>
      <c r="F953" s="26" t="s">
        <v>5118</v>
      </c>
      <c r="G953" s="124" t="s">
        <v>35</v>
      </c>
      <c r="H953" s="124" t="s">
        <v>5119</v>
      </c>
      <c r="I953" s="32" t="e">
        <f>VLOOKUP(H953,'合同高级查询数据-8月返'!A:A,1,FALSE)</f>
        <v>#N/A</v>
      </c>
      <c r="J953" s="124" t="s">
        <v>325</v>
      </c>
      <c r="K953" s="304" t="s">
        <v>5125</v>
      </c>
      <c r="L953" s="305" t="s">
        <v>5126</v>
      </c>
      <c r="M953" s="127"/>
      <c r="N953" s="50" t="s">
        <v>5127</v>
      </c>
      <c r="O953" s="50" t="s">
        <v>5128</v>
      </c>
      <c r="P953" s="349">
        <v>6000</v>
      </c>
      <c r="Q953" s="330">
        <v>1.8</v>
      </c>
      <c r="R953" s="54">
        <f t="shared" si="65"/>
        <v>10800</v>
      </c>
      <c r="S953" s="310">
        <v>202308</v>
      </c>
      <c r="T953" s="364" t="s">
        <v>5129</v>
      </c>
      <c r="U953" s="314"/>
      <c r="V953" s="149">
        <v>1.74</v>
      </c>
      <c r="W953" s="149"/>
      <c r="X953" s="350">
        <v>45017</v>
      </c>
      <c r="Y953" s="374"/>
      <c r="Z953" s="338" t="s">
        <v>5130</v>
      </c>
      <c r="AA953" s="338">
        <v>0.25</v>
      </c>
      <c r="AB953" s="25">
        <v>10</v>
      </c>
      <c r="AC953" s="25">
        <v>2.5</v>
      </c>
    </row>
    <row r="954" spans="1:29" s="9" customFormat="1" ht="15" customHeight="1">
      <c r="A954" s="26" t="s">
        <v>184</v>
      </c>
      <c r="B954" s="319" t="s">
        <v>5108</v>
      </c>
      <c r="C954" s="97" t="s">
        <v>1759</v>
      </c>
      <c r="D954" s="27" t="s">
        <v>303</v>
      </c>
      <c r="E954" s="39" t="s">
        <v>5117</v>
      </c>
      <c r="F954" s="26" t="s">
        <v>5118</v>
      </c>
      <c r="G954" s="124" t="s">
        <v>35</v>
      </c>
      <c r="H954" s="124" t="s">
        <v>5119</v>
      </c>
      <c r="I954" s="32" t="e">
        <f>VLOOKUP(H954,'合同高级查询数据-8月返'!A:A,1,FALSE)</f>
        <v>#N/A</v>
      </c>
      <c r="J954" s="124" t="s">
        <v>37</v>
      </c>
      <c r="K954" s="304" t="s">
        <v>5131</v>
      </c>
      <c r="L954" s="305" t="s">
        <v>5132</v>
      </c>
      <c r="M954" s="127"/>
      <c r="N954" s="50">
        <v>43368</v>
      </c>
      <c r="O954" s="50" t="s">
        <v>2113</v>
      </c>
      <c r="P954" s="349">
        <v>6000</v>
      </c>
      <c r="Q954" s="330">
        <v>23.8</v>
      </c>
      <c r="R954" s="54">
        <f t="shared" si="65"/>
        <v>142800</v>
      </c>
      <c r="S954" s="310">
        <v>202308</v>
      </c>
      <c r="T954" s="364" t="s">
        <v>5133</v>
      </c>
      <c r="U954" s="314"/>
      <c r="V954" s="149">
        <v>23.750349045</v>
      </c>
      <c r="W954" s="149"/>
      <c r="X954" s="350">
        <v>45017</v>
      </c>
      <c r="Y954" s="374"/>
      <c r="Z954" s="338" t="s">
        <v>5134</v>
      </c>
      <c r="AA954" s="338">
        <v>0.25</v>
      </c>
      <c r="AB954" s="25">
        <v>80</v>
      </c>
      <c r="AC954" s="25">
        <v>20</v>
      </c>
    </row>
    <row r="955" spans="1:29" s="9" customFormat="1" ht="15" customHeight="1">
      <c r="A955" s="26" t="s">
        <v>184</v>
      </c>
      <c r="B955" s="319" t="s">
        <v>5108</v>
      </c>
      <c r="C955" s="97" t="s">
        <v>1759</v>
      </c>
      <c r="D955" s="27" t="s">
        <v>303</v>
      </c>
      <c r="E955" s="39" t="s">
        <v>5117</v>
      </c>
      <c r="F955" s="26" t="s">
        <v>5118</v>
      </c>
      <c r="G955" s="124" t="s">
        <v>35</v>
      </c>
      <c r="H955" s="124" t="s">
        <v>5119</v>
      </c>
      <c r="I955" s="32" t="e">
        <f>VLOOKUP(H955,'合同高级查询数据-8月返'!A:A,1,FALSE)</f>
        <v>#N/A</v>
      </c>
      <c r="J955" s="124" t="s">
        <v>37</v>
      </c>
      <c r="K955" s="304" t="s">
        <v>5135</v>
      </c>
      <c r="L955" s="305" t="s">
        <v>5136</v>
      </c>
      <c r="M955" s="127"/>
      <c r="N955" s="50">
        <v>43449</v>
      </c>
      <c r="O955" s="50" t="s">
        <v>447</v>
      </c>
      <c r="P955" s="349">
        <v>6000</v>
      </c>
      <c r="Q955" s="330">
        <v>30.6</v>
      </c>
      <c r="R955" s="54">
        <f t="shared" si="65"/>
        <v>183600</v>
      </c>
      <c r="S955" s="310">
        <v>202308</v>
      </c>
      <c r="T955" s="364" t="s">
        <v>5137</v>
      </c>
      <c r="U955" s="314"/>
      <c r="V955" s="149">
        <v>30.585437774999999</v>
      </c>
      <c r="W955" s="149"/>
      <c r="X955" s="350">
        <v>45017</v>
      </c>
      <c r="Y955" s="374"/>
      <c r="Z955" s="338" t="s">
        <v>5138</v>
      </c>
      <c r="AA955" s="338">
        <v>0.25</v>
      </c>
      <c r="AB955" s="25">
        <v>100</v>
      </c>
      <c r="AC955" s="25">
        <v>25</v>
      </c>
    </row>
    <row r="956" spans="1:29" s="9" customFormat="1" ht="15" customHeight="1">
      <c r="A956" s="26" t="s">
        <v>184</v>
      </c>
      <c r="B956" s="319" t="s">
        <v>5108</v>
      </c>
      <c r="C956" s="97" t="s">
        <v>1759</v>
      </c>
      <c r="D956" s="27" t="s">
        <v>303</v>
      </c>
      <c r="E956" s="39" t="s">
        <v>5117</v>
      </c>
      <c r="F956" s="26" t="s">
        <v>5139</v>
      </c>
      <c r="G956" s="124" t="s">
        <v>35</v>
      </c>
      <c r="H956" s="124" t="s">
        <v>5119</v>
      </c>
      <c r="I956" s="32" t="e">
        <f>VLOOKUP(H956,'合同高级查询数据-8月返'!A:A,1,FALSE)</f>
        <v>#N/A</v>
      </c>
      <c r="J956" s="124" t="s">
        <v>37</v>
      </c>
      <c r="K956" s="304" t="s">
        <v>5140</v>
      </c>
      <c r="L956" s="305" t="s">
        <v>5141</v>
      </c>
      <c r="M956" s="127"/>
      <c r="N956" s="50" t="s">
        <v>5142</v>
      </c>
      <c r="O956" s="50" t="s">
        <v>5143</v>
      </c>
      <c r="P956" s="349">
        <v>6000</v>
      </c>
      <c r="Q956" s="330">
        <v>106.8</v>
      </c>
      <c r="R956" s="54">
        <f t="shared" si="65"/>
        <v>640800</v>
      </c>
      <c r="S956" s="310">
        <v>202308</v>
      </c>
      <c r="T956" s="364" t="s">
        <v>5144</v>
      </c>
      <c r="U956" s="314"/>
      <c r="V956" s="149">
        <v>106.77053832999999</v>
      </c>
      <c r="W956" s="149"/>
      <c r="X956" s="350">
        <v>45017</v>
      </c>
      <c r="Y956" s="374"/>
      <c r="Z956" s="338" t="s">
        <v>5145</v>
      </c>
      <c r="AA956" s="338">
        <v>0.25</v>
      </c>
      <c r="AB956" s="25">
        <v>360</v>
      </c>
      <c r="AC956" s="25">
        <v>90</v>
      </c>
    </row>
    <row r="957" spans="1:29" s="9" customFormat="1" ht="15" customHeight="1">
      <c r="A957" s="26" t="s">
        <v>184</v>
      </c>
      <c r="B957" s="319" t="s">
        <v>5108</v>
      </c>
      <c r="C957" s="97" t="s">
        <v>1759</v>
      </c>
      <c r="D957" s="27" t="s">
        <v>303</v>
      </c>
      <c r="E957" s="39" t="s">
        <v>5117</v>
      </c>
      <c r="F957" s="26" t="s">
        <v>5139</v>
      </c>
      <c r="G957" s="124" t="s">
        <v>35</v>
      </c>
      <c r="H957" s="124" t="s">
        <v>5119</v>
      </c>
      <c r="I957" s="32" t="e">
        <f>VLOOKUP(H957,'合同高级查询数据-8月返'!A:A,1,FALSE)</f>
        <v>#N/A</v>
      </c>
      <c r="J957" s="124" t="s">
        <v>37</v>
      </c>
      <c r="K957" s="304" t="s">
        <v>5146</v>
      </c>
      <c r="L957" s="305" t="s">
        <v>5147</v>
      </c>
      <c r="M957" s="127"/>
      <c r="N957" s="50">
        <v>43245</v>
      </c>
      <c r="O957" s="50" t="s">
        <v>1569</v>
      </c>
      <c r="P957" s="349">
        <v>6000</v>
      </c>
      <c r="Q957" s="330">
        <v>46</v>
      </c>
      <c r="R957" s="54">
        <f t="shared" si="65"/>
        <v>276000</v>
      </c>
      <c r="S957" s="310">
        <v>202308</v>
      </c>
      <c r="T957" s="364" t="s">
        <v>5148</v>
      </c>
      <c r="U957" s="314"/>
      <c r="V957" s="149">
        <v>45.926040649000001</v>
      </c>
      <c r="W957" s="149"/>
      <c r="X957" s="350">
        <v>45017</v>
      </c>
      <c r="Y957" s="374"/>
      <c r="Z957" s="338" t="s">
        <v>5149</v>
      </c>
      <c r="AA957" s="338">
        <v>0.25</v>
      </c>
      <c r="AB957" s="25">
        <v>160</v>
      </c>
      <c r="AC957" s="25">
        <v>40</v>
      </c>
    </row>
    <row r="958" spans="1:29" s="9" customFormat="1" ht="15" customHeight="1">
      <c r="A958" s="26" t="s">
        <v>184</v>
      </c>
      <c r="B958" s="319" t="s">
        <v>5108</v>
      </c>
      <c r="C958" s="97" t="s">
        <v>1759</v>
      </c>
      <c r="D958" s="27" t="s">
        <v>303</v>
      </c>
      <c r="E958" s="39" t="s">
        <v>5117</v>
      </c>
      <c r="F958" s="26" t="s">
        <v>5139</v>
      </c>
      <c r="G958" s="124" t="s">
        <v>35</v>
      </c>
      <c r="H958" s="124" t="s">
        <v>5119</v>
      </c>
      <c r="I958" s="32" t="e">
        <f>VLOOKUP(H958,'合同高级查询数据-8月返'!A:A,1,FALSE)</f>
        <v>#N/A</v>
      </c>
      <c r="J958" s="124" t="s">
        <v>37</v>
      </c>
      <c r="K958" s="304" t="s">
        <v>5150</v>
      </c>
      <c r="L958" s="305" t="s">
        <v>5151</v>
      </c>
      <c r="M958" s="127"/>
      <c r="N958" s="50">
        <v>43671</v>
      </c>
      <c r="O958" s="50" t="s">
        <v>1569</v>
      </c>
      <c r="P958" s="349">
        <v>8000</v>
      </c>
      <c r="Q958" s="330">
        <v>55.8</v>
      </c>
      <c r="R958" s="54">
        <f t="shared" si="65"/>
        <v>446400</v>
      </c>
      <c r="S958" s="310">
        <v>202308</v>
      </c>
      <c r="T958" s="364" t="s">
        <v>5152</v>
      </c>
      <c r="U958" s="314"/>
      <c r="V958" s="370">
        <v>55.731999999999999</v>
      </c>
      <c r="W958" s="149"/>
      <c r="X958" s="350">
        <v>45017</v>
      </c>
      <c r="Y958" s="374"/>
      <c r="Z958" s="338" t="s">
        <v>5153</v>
      </c>
      <c r="AA958" s="338">
        <v>0.25</v>
      </c>
      <c r="AB958" s="25">
        <v>160</v>
      </c>
      <c r="AC958" s="25">
        <v>40</v>
      </c>
    </row>
    <row r="959" spans="1:29" s="9" customFormat="1" ht="15" customHeight="1">
      <c r="A959" s="26" t="s">
        <v>184</v>
      </c>
      <c r="B959" s="319" t="s">
        <v>5108</v>
      </c>
      <c r="C959" s="97" t="s">
        <v>1759</v>
      </c>
      <c r="D959" s="27" t="s">
        <v>303</v>
      </c>
      <c r="E959" s="39" t="s">
        <v>5117</v>
      </c>
      <c r="F959" s="26" t="s">
        <v>5139</v>
      </c>
      <c r="G959" s="124" t="s">
        <v>35</v>
      </c>
      <c r="H959" s="124" t="s">
        <v>5119</v>
      </c>
      <c r="I959" s="32" t="e">
        <f>VLOOKUP(H959,'合同高级查询数据-8月返'!A:A,1,FALSE)</f>
        <v>#N/A</v>
      </c>
      <c r="J959" s="124" t="s">
        <v>37</v>
      </c>
      <c r="K959" s="304" t="s">
        <v>5150</v>
      </c>
      <c r="L959" s="305" t="s">
        <v>5154</v>
      </c>
      <c r="M959" s="127"/>
      <c r="N959" s="50">
        <v>44812</v>
      </c>
      <c r="O959" s="50" t="s">
        <v>3011</v>
      </c>
      <c r="P959" s="349">
        <v>6000</v>
      </c>
      <c r="Q959" s="330">
        <v>41.8</v>
      </c>
      <c r="R959" s="54">
        <f t="shared" si="65"/>
        <v>250800</v>
      </c>
      <c r="S959" s="310">
        <v>202308</v>
      </c>
      <c r="T959" s="364" t="s">
        <v>5155</v>
      </c>
      <c r="U959" s="314"/>
      <c r="V959" s="370">
        <v>41.79</v>
      </c>
      <c r="W959" s="149"/>
      <c r="X959" s="350">
        <v>45017</v>
      </c>
      <c r="Y959" s="374"/>
      <c r="Z959" s="338" t="s">
        <v>5156</v>
      </c>
      <c r="AA959" s="338">
        <v>0.25</v>
      </c>
      <c r="AB959" s="25">
        <v>120</v>
      </c>
      <c r="AC959" s="25">
        <v>30</v>
      </c>
    </row>
    <row r="960" spans="1:29" s="10" customFormat="1" ht="15" customHeight="1">
      <c r="A960" s="29" t="s">
        <v>136</v>
      </c>
      <c r="B960" s="340" t="s">
        <v>5108</v>
      </c>
      <c r="C960" s="129" t="s">
        <v>1759</v>
      </c>
      <c r="D960" s="30" t="s">
        <v>303</v>
      </c>
      <c r="E960" s="48" t="s">
        <v>5157</v>
      </c>
      <c r="F960" s="29" t="s">
        <v>5158</v>
      </c>
      <c r="G960" s="303" t="s">
        <v>35</v>
      </c>
      <c r="H960" s="303" t="s">
        <v>5159</v>
      </c>
      <c r="I960" s="33" t="e">
        <f>VLOOKUP(H960,'合同高级查询数据-8月返'!A:A,1,FALSE)</f>
        <v>#N/A</v>
      </c>
      <c r="J960" s="303" t="s">
        <v>37</v>
      </c>
      <c r="K960" s="306" t="s">
        <v>5158</v>
      </c>
      <c r="L960" s="307" t="s">
        <v>5158</v>
      </c>
      <c r="M960" s="308"/>
      <c r="N960" s="110">
        <v>44835</v>
      </c>
      <c r="O960" s="110" t="s">
        <v>447</v>
      </c>
      <c r="P960" s="348">
        <v>9000</v>
      </c>
      <c r="Q960" s="354">
        <v>76.278000000000006</v>
      </c>
      <c r="R960" s="58">
        <f t="shared" si="65"/>
        <v>686502</v>
      </c>
      <c r="S960" s="311">
        <v>202308</v>
      </c>
      <c r="T960" s="363" t="s">
        <v>5160</v>
      </c>
      <c r="U960" s="315"/>
      <c r="V960" s="367">
        <v>76.277955253000002</v>
      </c>
      <c r="W960" s="316"/>
      <c r="X960" s="110">
        <v>44835</v>
      </c>
      <c r="Y960" s="372">
        <v>45199</v>
      </c>
      <c r="Z960" s="373" t="s">
        <v>5161</v>
      </c>
      <c r="AA960" s="373">
        <v>0.3</v>
      </c>
      <c r="AB960" s="28">
        <v>100</v>
      </c>
      <c r="AC960" s="28">
        <v>30</v>
      </c>
    </row>
    <row r="961" spans="1:29" s="10" customFormat="1" ht="15" customHeight="1">
      <c r="A961" s="29" t="s">
        <v>136</v>
      </c>
      <c r="B961" s="340" t="s">
        <v>5108</v>
      </c>
      <c r="C961" s="129" t="s">
        <v>1759</v>
      </c>
      <c r="D961" s="30" t="s">
        <v>303</v>
      </c>
      <c r="E961" s="48" t="s">
        <v>5157</v>
      </c>
      <c r="F961" s="29" t="s">
        <v>5158</v>
      </c>
      <c r="G961" s="303" t="s">
        <v>35</v>
      </c>
      <c r="H961" s="303" t="s">
        <v>5159</v>
      </c>
      <c r="I961" s="33" t="e">
        <f>VLOOKUP(H961,'合同高级查询数据-8月返'!A:A,1,FALSE)</f>
        <v>#N/A</v>
      </c>
      <c r="J961" s="303" t="s">
        <v>37</v>
      </c>
      <c r="K961" s="306" t="s">
        <v>5158</v>
      </c>
      <c r="L961" s="307" t="s">
        <v>5158</v>
      </c>
      <c r="M961" s="308"/>
      <c r="N961" s="110">
        <v>44835</v>
      </c>
      <c r="O961" s="110" t="s">
        <v>447</v>
      </c>
      <c r="P961" s="348">
        <v>9000</v>
      </c>
      <c r="Q961" s="354">
        <v>3.1E-2</v>
      </c>
      <c r="R961" s="58">
        <f t="shared" si="65"/>
        <v>279</v>
      </c>
      <c r="S961" s="376">
        <v>202302</v>
      </c>
      <c r="T961" s="363" t="s">
        <v>5162</v>
      </c>
      <c r="U961" s="315"/>
      <c r="V961" s="367">
        <v>58.91</v>
      </c>
      <c r="W961" s="316">
        <v>58.941000000000003</v>
      </c>
      <c r="X961" s="110">
        <v>44835</v>
      </c>
      <c r="Y961" s="372">
        <v>45199</v>
      </c>
      <c r="Z961" s="373" t="s">
        <v>5161</v>
      </c>
      <c r="AA961" s="373">
        <v>0.3</v>
      </c>
      <c r="AB961" s="28">
        <v>100</v>
      </c>
      <c r="AC961" s="28">
        <v>30</v>
      </c>
    </row>
    <row r="962" spans="1:29" s="10" customFormat="1" ht="15" customHeight="1">
      <c r="A962" s="29" t="s">
        <v>136</v>
      </c>
      <c r="B962" s="340" t="s">
        <v>5108</v>
      </c>
      <c r="C962" s="129" t="s">
        <v>1759</v>
      </c>
      <c r="D962" s="30" t="s">
        <v>303</v>
      </c>
      <c r="E962" s="48" t="s">
        <v>5109</v>
      </c>
      <c r="F962" s="29" t="s">
        <v>5110</v>
      </c>
      <c r="G962" s="303" t="s">
        <v>35</v>
      </c>
      <c r="H962" s="303" t="s">
        <v>5163</v>
      </c>
      <c r="I962" s="33" t="e">
        <f>VLOOKUP(H962,'合同高级查询数据-8月返'!A:A,1,FALSE)</f>
        <v>#N/A</v>
      </c>
      <c r="J962" s="303" t="s">
        <v>325</v>
      </c>
      <c r="K962" s="306" t="s">
        <v>5164</v>
      </c>
      <c r="L962" s="307" t="s">
        <v>5164</v>
      </c>
      <c r="M962" s="308"/>
      <c r="N962" s="110" t="s">
        <v>5165</v>
      </c>
      <c r="O962" s="110" t="s">
        <v>5166</v>
      </c>
      <c r="P962" s="348">
        <v>9000</v>
      </c>
      <c r="Q962" s="354">
        <v>0</v>
      </c>
      <c r="R962" s="58">
        <f t="shared" si="65"/>
        <v>0</v>
      </c>
      <c r="S962" s="311">
        <v>202308</v>
      </c>
      <c r="T962" s="363" t="s">
        <v>5167</v>
      </c>
      <c r="U962" s="315"/>
      <c r="V962" s="316">
        <v>0</v>
      </c>
      <c r="W962" s="316"/>
      <c r="X962" s="172"/>
      <c r="Y962" s="372"/>
      <c r="Z962" s="373" t="s">
        <v>5168</v>
      </c>
      <c r="AA962" s="373">
        <v>0</v>
      </c>
      <c r="AB962" s="28">
        <v>0</v>
      </c>
      <c r="AC962" s="28">
        <v>0</v>
      </c>
    </row>
    <row r="963" spans="1:29" s="9" customFormat="1" ht="15" customHeight="1">
      <c r="A963" s="26" t="s">
        <v>136</v>
      </c>
      <c r="B963" s="319" t="s">
        <v>5108</v>
      </c>
      <c r="C963" s="97" t="s">
        <v>1759</v>
      </c>
      <c r="D963" s="27" t="s">
        <v>303</v>
      </c>
      <c r="E963" s="39" t="s">
        <v>5109</v>
      </c>
      <c r="F963" s="26" t="s">
        <v>5110</v>
      </c>
      <c r="G963" s="124" t="s">
        <v>35</v>
      </c>
      <c r="H963" s="124" t="s">
        <v>5169</v>
      </c>
      <c r="I963" s="32" t="e">
        <f>VLOOKUP(H963,'合同高级查询数据-8月返'!A:A,1,FALSE)</f>
        <v>#N/A</v>
      </c>
      <c r="J963" s="124" t="s">
        <v>37</v>
      </c>
      <c r="K963" s="304" t="s">
        <v>5170</v>
      </c>
      <c r="L963" s="305" t="s">
        <v>5171</v>
      </c>
      <c r="M963" s="127" t="s">
        <v>5172</v>
      </c>
      <c r="N963" s="50">
        <v>44805</v>
      </c>
      <c r="O963" s="50" t="s">
        <v>1767</v>
      </c>
      <c r="P963" s="349">
        <v>4666.66</v>
      </c>
      <c r="Q963" s="330">
        <v>13.3</v>
      </c>
      <c r="R963" s="54">
        <f t="shared" si="65"/>
        <v>62066.58</v>
      </c>
      <c r="S963" s="310">
        <v>202308</v>
      </c>
      <c r="T963" s="364" t="s">
        <v>5173</v>
      </c>
      <c r="U963" s="314"/>
      <c r="V963" s="149">
        <v>12.976626911</v>
      </c>
      <c r="W963" s="149">
        <v>13.5</v>
      </c>
      <c r="X963" s="178">
        <v>44927</v>
      </c>
      <c r="Y963" s="374"/>
      <c r="Z963" s="338" t="s">
        <v>5174</v>
      </c>
      <c r="AA963" s="338">
        <v>0.3</v>
      </c>
      <c r="AB963" s="25">
        <v>40</v>
      </c>
      <c r="AC963" s="25">
        <v>12</v>
      </c>
    </row>
    <row r="964" spans="1:29" s="9" customFormat="1" ht="15" customHeight="1">
      <c r="A964" s="26" t="s">
        <v>136</v>
      </c>
      <c r="B964" s="319" t="s">
        <v>5108</v>
      </c>
      <c r="C964" s="97" t="s">
        <v>1759</v>
      </c>
      <c r="D964" s="27" t="s">
        <v>303</v>
      </c>
      <c r="E964" s="39" t="s">
        <v>5109</v>
      </c>
      <c r="F964" s="26" t="s">
        <v>5110</v>
      </c>
      <c r="G964" s="124" t="s">
        <v>35</v>
      </c>
      <c r="H964" s="124" t="s">
        <v>5169</v>
      </c>
      <c r="I964" s="32" t="e">
        <f>VLOOKUP(H964,'合同高级查询数据-8月返'!A:A,1,FALSE)</f>
        <v>#N/A</v>
      </c>
      <c r="J964" s="124" t="s">
        <v>37</v>
      </c>
      <c r="K964" s="304" t="s">
        <v>5170</v>
      </c>
      <c r="L964" s="305" t="s">
        <v>5175</v>
      </c>
      <c r="M964" s="127" t="s">
        <v>5176</v>
      </c>
      <c r="N964" s="50" t="s">
        <v>5177</v>
      </c>
      <c r="O964" s="50" t="s">
        <v>5178</v>
      </c>
      <c r="P964" s="349">
        <v>9000</v>
      </c>
      <c r="Q964" s="330">
        <v>0</v>
      </c>
      <c r="R964" s="54">
        <f t="shared" si="65"/>
        <v>0</v>
      </c>
      <c r="S964" s="310">
        <v>202308</v>
      </c>
      <c r="T964" s="364" t="s">
        <v>5179</v>
      </c>
      <c r="U964" s="314"/>
      <c r="V964" s="149">
        <v>0</v>
      </c>
      <c r="W964" s="149"/>
      <c r="X964" s="178">
        <v>44927</v>
      </c>
      <c r="Y964" s="374"/>
      <c r="Z964" s="338" t="s">
        <v>5180</v>
      </c>
      <c r="AA964" s="338">
        <v>0</v>
      </c>
      <c r="AB964" s="25">
        <v>140</v>
      </c>
      <c r="AC964" s="25">
        <v>0</v>
      </c>
    </row>
    <row r="965" spans="1:29" s="9" customFormat="1" ht="15" customHeight="1">
      <c r="A965" s="26" t="s">
        <v>136</v>
      </c>
      <c r="B965" s="319" t="s">
        <v>5108</v>
      </c>
      <c r="C965" s="97" t="s">
        <v>1759</v>
      </c>
      <c r="D965" s="27" t="s">
        <v>303</v>
      </c>
      <c r="E965" s="39" t="s">
        <v>5109</v>
      </c>
      <c r="F965" s="26" t="s">
        <v>5110</v>
      </c>
      <c r="G965" s="124" t="s">
        <v>35</v>
      </c>
      <c r="H965" s="124" t="s">
        <v>5169</v>
      </c>
      <c r="I965" s="32" t="e">
        <f>VLOOKUP(H965,'合同高级查询数据-8月返'!A:A,1,FALSE)</f>
        <v>#N/A</v>
      </c>
      <c r="J965" s="124" t="s">
        <v>37</v>
      </c>
      <c r="K965" s="304" t="s">
        <v>5170</v>
      </c>
      <c r="L965" s="305" t="s">
        <v>5181</v>
      </c>
      <c r="M965" s="127" t="s">
        <v>5182</v>
      </c>
      <c r="N965" s="50">
        <v>45085</v>
      </c>
      <c r="O965" s="50" t="s">
        <v>146</v>
      </c>
      <c r="P965" s="349">
        <v>4666.66</v>
      </c>
      <c r="Q965" s="330">
        <v>6</v>
      </c>
      <c r="R965" s="54">
        <f t="shared" si="65"/>
        <v>27999.96</v>
      </c>
      <c r="S965" s="310">
        <v>202308</v>
      </c>
      <c r="T965" s="64" t="s">
        <v>5183</v>
      </c>
      <c r="U965" s="314"/>
      <c r="V965" s="149">
        <v>5.6404970000000004E-3</v>
      </c>
      <c r="W965" s="149"/>
      <c r="X965" s="178">
        <v>44927</v>
      </c>
      <c r="Y965" s="374"/>
      <c r="Z965" s="338" t="s">
        <v>5184</v>
      </c>
      <c r="AA965" s="338">
        <v>0.3</v>
      </c>
      <c r="AB965" s="25">
        <v>20</v>
      </c>
      <c r="AC965" s="25">
        <v>6</v>
      </c>
    </row>
    <row r="966" spans="1:29" s="9" customFormat="1" ht="15" customHeight="1">
      <c r="A966" s="26" t="s">
        <v>136</v>
      </c>
      <c r="B966" s="319" t="s">
        <v>5108</v>
      </c>
      <c r="C966" s="97" t="s">
        <v>1759</v>
      </c>
      <c r="D966" s="27" t="s">
        <v>303</v>
      </c>
      <c r="E966" s="304" t="s">
        <v>5185</v>
      </c>
      <c r="F966" s="26" t="s">
        <v>5186</v>
      </c>
      <c r="G966" s="124" t="s">
        <v>35</v>
      </c>
      <c r="H966" s="124" t="s">
        <v>5187</v>
      </c>
      <c r="I966" s="32" t="e">
        <f>VLOOKUP(H966,'合同高级查询数据-8月返'!A:A,1,FALSE)</f>
        <v>#N/A</v>
      </c>
      <c r="J966" s="124" t="s">
        <v>37</v>
      </c>
      <c r="K966" s="305" t="s">
        <v>5188</v>
      </c>
      <c r="L966" s="305" t="s">
        <v>5186</v>
      </c>
      <c r="M966" s="127" t="s">
        <v>5189</v>
      </c>
      <c r="N966" s="50">
        <v>45117</v>
      </c>
      <c r="O966" s="50" t="s">
        <v>319</v>
      </c>
      <c r="P966" s="349">
        <v>9000</v>
      </c>
      <c r="Q966" s="330">
        <v>86.1</v>
      </c>
      <c r="R966" s="54">
        <f t="shared" si="65"/>
        <v>774900</v>
      </c>
      <c r="S966" s="310">
        <v>202308</v>
      </c>
      <c r="T966" s="64" t="s">
        <v>5190</v>
      </c>
      <c r="U966" s="314"/>
      <c r="V966" s="370">
        <v>85.730033563000006</v>
      </c>
      <c r="W966" s="149">
        <v>86.1</v>
      </c>
      <c r="X966" s="178">
        <v>44927</v>
      </c>
      <c r="Y966" s="374"/>
      <c r="Z966" s="338" t="s">
        <v>5191</v>
      </c>
      <c r="AA966" s="338">
        <v>0.3</v>
      </c>
      <c r="AB966" s="25">
        <v>200</v>
      </c>
      <c r="AC966" s="25">
        <v>60</v>
      </c>
    </row>
    <row r="967" spans="1:29" s="9" customFormat="1" ht="15" customHeight="1">
      <c r="A967" s="26" t="s">
        <v>136</v>
      </c>
      <c r="B967" s="319" t="s">
        <v>5108</v>
      </c>
      <c r="C967" s="97" t="s">
        <v>1759</v>
      </c>
      <c r="D967" s="27" t="s">
        <v>303</v>
      </c>
      <c r="E967" s="39" t="s">
        <v>5192</v>
      </c>
      <c r="F967" s="26" t="s">
        <v>5193</v>
      </c>
      <c r="G967" s="124" t="s">
        <v>35</v>
      </c>
      <c r="H967" s="124" t="s">
        <v>5194</v>
      </c>
      <c r="I967" s="32" t="e">
        <f>VLOOKUP(H967,'合同高级查询数据-8月返'!A:A,1,FALSE)</f>
        <v>#N/A</v>
      </c>
      <c r="J967" s="124" t="s">
        <v>37</v>
      </c>
      <c r="K967" s="304" t="s">
        <v>5195</v>
      </c>
      <c r="L967" s="305" t="s">
        <v>5196</v>
      </c>
      <c r="M967" s="127" t="s">
        <v>5197</v>
      </c>
      <c r="N967" s="50" t="s">
        <v>5198</v>
      </c>
      <c r="O967" s="50" t="s">
        <v>5199</v>
      </c>
      <c r="P967" s="349">
        <v>9000</v>
      </c>
      <c r="Q967" s="330">
        <v>59.628</v>
      </c>
      <c r="R967" s="54">
        <f t="shared" si="65"/>
        <v>536652</v>
      </c>
      <c r="S967" s="310">
        <v>202308</v>
      </c>
      <c r="T967" s="364" t="s">
        <v>5200</v>
      </c>
      <c r="U967" s="314"/>
      <c r="V967" s="370">
        <v>59.627555389000001</v>
      </c>
      <c r="W967" s="370"/>
      <c r="X967" s="178">
        <v>45047</v>
      </c>
      <c r="Y967" s="178"/>
      <c r="Z967" s="338" t="s">
        <v>5197</v>
      </c>
      <c r="AA967" s="338">
        <v>0.3</v>
      </c>
      <c r="AB967" s="25">
        <v>180</v>
      </c>
      <c r="AC967" s="25">
        <v>54</v>
      </c>
    </row>
    <row r="968" spans="1:29" s="9" customFormat="1" ht="15" customHeight="1">
      <c r="A968" s="26" t="s">
        <v>762</v>
      </c>
      <c r="B968" s="319" t="s">
        <v>5108</v>
      </c>
      <c r="C968" s="97" t="s">
        <v>1759</v>
      </c>
      <c r="D968" s="27" t="s">
        <v>303</v>
      </c>
      <c r="E968" s="39" t="s">
        <v>5201</v>
      </c>
      <c r="F968" s="26" t="s">
        <v>5202</v>
      </c>
      <c r="G968" s="124" t="s">
        <v>35</v>
      </c>
      <c r="H968" s="124" t="s">
        <v>5203</v>
      </c>
      <c r="I968" s="32" t="e">
        <f>VLOOKUP(H968,'合同高级查询数据-8月返'!A:A,1,FALSE)</f>
        <v>#N/A</v>
      </c>
      <c r="J968" s="124" t="s">
        <v>37</v>
      </c>
      <c r="K968" s="304" t="s">
        <v>5195</v>
      </c>
      <c r="L968" s="305" t="s">
        <v>5204</v>
      </c>
      <c r="M968" s="127" t="s">
        <v>5197</v>
      </c>
      <c r="N968" s="50" t="s">
        <v>613</v>
      </c>
      <c r="O968" s="50" t="s">
        <v>668</v>
      </c>
      <c r="P968" s="349">
        <v>7500</v>
      </c>
      <c r="Q968" s="330">
        <v>0</v>
      </c>
      <c r="R968" s="54">
        <f t="shared" si="65"/>
        <v>0</v>
      </c>
      <c r="S968" s="310">
        <v>202308</v>
      </c>
      <c r="T968" s="364" t="s">
        <v>5205</v>
      </c>
      <c r="U968" s="314"/>
      <c r="V968" s="370">
        <v>0</v>
      </c>
      <c r="W968" s="149"/>
      <c r="X968" s="178">
        <v>45047</v>
      </c>
      <c r="Y968" s="178"/>
      <c r="Z968" s="338" t="s">
        <v>5206</v>
      </c>
      <c r="AA968" s="338">
        <v>0</v>
      </c>
      <c r="AB968" s="25">
        <v>0</v>
      </c>
      <c r="AC968" s="25">
        <v>0</v>
      </c>
    </row>
    <row r="969" spans="1:29" s="9" customFormat="1" ht="15" customHeight="1">
      <c r="A969" s="26" t="s">
        <v>191</v>
      </c>
      <c r="B969" s="319" t="s">
        <v>5108</v>
      </c>
      <c r="C969" s="97" t="s">
        <v>1759</v>
      </c>
      <c r="D969" s="27" t="s">
        <v>303</v>
      </c>
      <c r="E969" s="39" t="s">
        <v>5207</v>
      </c>
      <c r="F969" s="26" t="s">
        <v>5208</v>
      </c>
      <c r="G969" s="124" t="s">
        <v>35</v>
      </c>
      <c r="H969" s="124" t="s">
        <v>5209</v>
      </c>
      <c r="I969" s="32" t="e">
        <f>VLOOKUP(H969,'合同高级查询数据-8月返'!A:A,1,FALSE)</f>
        <v>#N/A</v>
      </c>
      <c r="J969" s="124" t="s">
        <v>37</v>
      </c>
      <c r="K969" s="304" t="s">
        <v>5210</v>
      </c>
      <c r="L969" s="305" t="s">
        <v>5211</v>
      </c>
      <c r="M969" s="127"/>
      <c r="N969" s="50" t="s">
        <v>5212</v>
      </c>
      <c r="O969" s="50" t="s">
        <v>5213</v>
      </c>
      <c r="P969" s="349">
        <v>6740</v>
      </c>
      <c r="Q969" s="330">
        <v>53.37</v>
      </c>
      <c r="R969" s="54">
        <f t="shared" si="65"/>
        <v>359713.8</v>
      </c>
      <c r="S969" s="310">
        <v>202308</v>
      </c>
      <c r="T969" s="364" t="s">
        <v>5214</v>
      </c>
      <c r="U969" s="314"/>
      <c r="V969" s="149">
        <v>52.944919585999997</v>
      </c>
      <c r="W969" s="149">
        <v>53.79</v>
      </c>
      <c r="X969" s="178">
        <v>45108</v>
      </c>
      <c r="Y969" s="178"/>
      <c r="Z969" s="338" t="s">
        <v>5215</v>
      </c>
      <c r="AA969" s="338">
        <v>0.4</v>
      </c>
      <c r="AB969" s="25">
        <v>120</v>
      </c>
      <c r="AC969" s="25">
        <v>48</v>
      </c>
    </row>
    <row r="970" spans="1:29" s="9" customFormat="1" ht="15" customHeight="1">
      <c r="A970" s="26" t="s">
        <v>191</v>
      </c>
      <c r="B970" s="319" t="s">
        <v>5108</v>
      </c>
      <c r="C970" s="97" t="s">
        <v>1759</v>
      </c>
      <c r="D970" s="27" t="s">
        <v>303</v>
      </c>
      <c r="E970" s="39" t="s">
        <v>5207</v>
      </c>
      <c r="F970" s="26" t="s">
        <v>5208</v>
      </c>
      <c r="G970" s="124" t="s">
        <v>35</v>
      </c>
      <c r="H970" s="124" t="s">
        <v>5209</v>
      </c>
      <c r="I970" s="32" t="e">
        <f>VLOOKUP(H970,'合同高级查询数据-8月返'!A:A,1,FALSE)</f>
        <v>#N/A</v>
      </c>
      <c r="J970" s="124" t="s">
        <v>37</v>
      </c>
      <c r="K970" s="304" t="s">
        <v>5210</v>
      </c>
      <c r="L970" s="305" t="s">
        <v>5211</v>
      </c>
      <c r="M970" s="127"/>
      <c r="N970" s="50" t="s">
        <v>5212</v>
      </c>
      <c r="O970" s="50" t="s">
        <v>5213</v>
      </c>
      <c r="P970" s="349">
        <v>6740</v>
      </c>
      <c r="Q970" s="330">
        <f>54.45-53.88</f>
        <v>0.57000000000000028</v>
      </c>
      <c r="R970" s="54">
        <f t="shared" si="65"/>
        <v>3841.8</v>
      </c>
      <c r="S970" s="310">
        <v>202307</v>
      </c>
      <c r="T970" s="364" t="s">
        <v>5216</v>
      </c>
      <c r="U970" s="314"/>
      <c r="V970" s="149">
        <v>53.878044127999999</v>
      </c>
      <c r="W970" s="149">
        <v>55.02</v>
      </c>
      <c r="X970" s="178">
        <v>45108</v>
      </c>
      <c r="Y970" s="178"/>
      <c r="Z970" s="338" t="s">
        <v>5215</v>
      </c>
      <c r="AA970" s="338">
        <v>0.4</v>
      </c>
      <c r="AB970" s="25">
        <v>120</v>
      </c>
      <c r="AC970" s="25">
        <v>48</v>
      </c>
    </row>
    <row r="971" spans="1:29" s="9" customFormat="1" ht="15" customHeight="1">
      <c r="A971" s="26" t="s">
        <v>191</v>
      </c>
      <c r="B971" s="319" t="s">
        <v>5108</v>
      </c>
      <c r="C971" s="97" t="s">
        <v>1759</v>
      </c>
      <c r="D971" s="27" t="s">
        <v>303</v>
      </c>
      <c r="E971" s="39" t="s">
        <v>5207</v>
      </c>
      <c r="F971" s="26" t="s">
        <v>5208</v>
      </c>
      <c r="G971" s="124" t="s">
        <v>35</v>
      </c>
      <c r="H971" s="124" t="s">
        <v>5209</v>
      </c>
      <c r="I971" s="32" t="e">
        <f>VLOOKUP(H971,'合同高级查询数据-8月返'!A:A,1,FALSE)</f>
        <v>#N/A</v>
      </c>
      <c r="J971" s="124" t="s">
        <v>37</v>
      </c>
      <c r="K971" s="304" t="s">
        <v>5217</v>
      </c>
      <c r="L971" s="305" t="s">
        <v>5218</v>
      </c>
      <c r="M971" s="127"/>
      <c r="N971" s="50">
        <v>44470</v>
      </c>
      <c r="O971" s="50" t="s">
        <v>3832</v>
      </c>
      <c r="P971" s="349">
        <v>6740</v>
      </c>
      <c r="Q971" s="330">
        <v>0</v>
      </c>
      <c r="R971" s="54">
        <f t="shared" si="65"/>
        <v>0</v>
      </c>
      <c r="S971" s="310">
        <v>202308</v>
      </c>
      <c r="T971" s="364" t="s">
        <v>5219</v>
      </c>
      <c r="U971" s="314"/>
      <c r="V971" s="149">
        <v>0</v>
      </c>
      <c r="W971" s="149"/>
      <c r="X971" s="178">
        <v>45108</v>
      </c>
      <c r="Y971" s="178"/>
      <c r="Z971" s="338" t="s">
        <v>5220</v>
      </c>
      <c r="AA971" s="338">
        <v>0.4</v>
      </c>
      <c r="AB971" s="25">
        <v>0</v>
      </c>
      <c r="AC971" s="25">
        <v>0</v>
      </c>
    </row>
    <row r="972" spans="1:29" s="9" customFormat="1" ht="15" customHeight="1">
      <c r="A972" s="26" t="s">
        <v>191</v>
      </c>
      <c r="B972" s="319" t="s">
        <v>5108</v>
      </c>
      <c r="C972" s="97" t="s">
        <v>1759</v>
      </c>
      <c r="D972" s="27" t="s">
        <v>303</v>
      </c>
      <c r="E972" s="39" t="s">
        <v>5207</v>
      </c>
      <c r="F972" s="26" t="s">
        <v>5208</v>
      </c>
      <c r="G972" s="124" t="s">
        <v>35</v>
      </c>
      <c r="H972" s="124" t="s">
        <v>5209</v>
      </c>
      <c r="I972" s="32" t="e">
        <f>VLOOKUP(H972,'合同高级查询数据-8月返'!A:A,1,FALSE)</f>
        <v>#N/A</v>
      </c>
      <c r="J972" s="124" t="s">
        <v>37</v>
      </c>
      <c r="K972" s="304" t="s">
        <v>5221</v>
      </c>
      <c r="L972" s="305" t="s">
        <v>5222</v>
      </c>
      <c r="M972" s="127"/>
      <c r="N972" s="50" t="s">
        <v>5223</v>
      </c>
      <c r="O972" s="50" t="s">
        <v>5224</v>
      </c>
      <c r="P972" s="349">
        <v>6740</v>
      </c>
      <c r="Q972" s="330">
        <v>110.45</v>
      </c>
      <c r="R972" s="54">
        <f t="shared" si="65"/>
        <v>744433</v>
      </c>
      <c r="S972" s="310">
        <v>202308</v>
      </c>
      <c r="T972" s="364" t="s">
        <v>5225</v>
      </c>
      <c r="U972" s="314"/>
      <c r="V972" s="149">
        <v>109.66554260300001</v>
      </c>
      <c r="W972" s="149">
        <v>111.23</v>
      </c>
      <c r="X972" s="178">
        <v>45108</v>
      </c>
      <c r="Y972" s="178"/>
      <c r="Z972" s="338" t="s">
        <v>5226</v>
      </c>
      <c r="AA972" s="338">
        <v>0.4</v>
      </c>
      <c r="AB972" s="25">
        <v>260</v>
      </c>
      <c r="AC972" s="25">
        <v>104</v>
      </c>
    </row>
    <row r="973" spans="1:29" s="9" customFormat="1" ht="15" customHeight="1">
      <c r="A973" s="26" t="s">
        <v>191</v>
      </c>
      <c r="B973" s="319" t="s">
        <v>5108</v>
      </c>
      <c r="C973" s="97" t="s">
        <v>1759</v>
      </c>
      <c r="D973" s="27" t="s">
        <v>303</v>
      </c>
      <c r="E973" s="39" t="s">
        <v>5207</v>
      </c>
      <c r="F973" s="26" t="s">
        <v>5208</v>
      </c>
      <c r="G973" s="124" t="s">
        <v>35</v>
      </c>
      <c r="H973" s="124" t="s">
        <v>5209</v>
      </c>
      <c r="I973" s="32" t="e">
        <f>VLOOKUP(H973,'合同高级查询数据-8月返'!A:A,1,FALSE)</f>
        <v>#N/A</v>
      </c>
      <c r="J973" s="124" t="s">
        <v>37</v>
      </c>
      <c r="K973" s="304" t="s">
        <v>5221</v>
      </c>
      <c r="L973" s="305" t="s">
        <v>5222</v>
      </c>
      <c r="M973" s="127"/>
      <c r="N973" s="50" t="s">
        <v>5223</v>
      </c>
      <c r="O973" s="50" t="s">
        <v>5224</v>
      </c>
      <c r="P973" s="349">
        <v>6740</v>
      </c>
      <c r="Q973" s="330">
        <f>105.12-104.33</f>
        <v>0.79000000000000625</v>
      </c>
      <c r="R973" s="54">
        <f t="shared" si="65"/>
        <v>5324.6</v>
      </c>
      <c r="S973" s="310">
        <v>202307</v>
      </c>
      <c r="T973" s="364" t="s">
        <v>5227</v>
      </c>
      <c r="U973" s="314"/>
      <c r="V973" s="149">
        <v>104.326843262</v>
      </c>
      <c r="W973" s="149">
        <v>105.91</v>
      </c>
      <c r="X973" s="178">
        <v>45108</v>
      </c>
      <c r="Y973" s="178"/>
      <c r="Z973" s="338" t="s">
        <v>5226</v>
      </c>
      <c r="AA973" s="338">
        <v>0.4</v>
      </c>
      <c r="AB973" s="25">
        <v>260</v>
      </c>
      <c r="AC973" s="25">
        <v>104</v>
      </c>
    </row>
    <row r="974" spans="1:29" s="10" customFormat="1" ht="15" customHeight="1">
      <c r="A974" s="29" t="s">
        <v>136</v>
      </c>
      <c r="B974" s="340" t="s">
        <v>5108</v>
      </c>
      <c r="C974" s="129" t="s">
        <v>1759</v>
      </c>
      <c r="D974" s="30" t="s">
        <v>303</v>
      </c>
      <c r="E974" s="306" t="s">
        <v>5228</v>
      </c>
      <c r="F974" s="29" t="s">
        <v>5229</v>
      </c>
      <c r="G974" s="303" t="s">
        <v>35</v>
      </c>
      <c r="H974" s="303" t="s">
        <v>5230</v>
      </c>
      <c r="I974" s="33" t="e">
        <f>VLOOKUP(H974,'合同高级查询数据-8月返'!A:A,1,FALSE)</f>
        <v>#N/A</v>
      </c>
      <c r="J974" s="303" t="s">
        <v>37</v>
      </c>
      <c r="K974" s="306" t="s">
        <v>5231</v>
      </c>
      <c r="L974" s="307" t="s">
        <v>5229</v>
      </c>
      <c r="M974" s="308"/>
      <c r="N974" s="110">
        <v>45017</v>
      </c>
      <c r="O974" s="110" t="s">
        <v>319</v>
      </c>
      <c r="P974" s="348">
        <v>9000</v>
      </c>
      <c r="Q974" s="354">
        <v>85.394999999999996</v>
      </c>
      <c r="R974" s="58">
        <f t="shared" si="65"/>
        <v>768555</v>
      </c>
      <c r="S974" s="311">
        <v>202308</v>
      </c>
      <c r="T974" s="363" t="s">
        <v>5232</v>
      </c>
      <c r="U974" s="315"/>
      <c r="V974" s="367">
        <v>85.752367964000001</v>
      </c>
      <c r="W974" s="367">
        <v>85.394999999999996</v>
      </c>
      <c r="X974" s="172">
        <v>45017</v>
      </c>
      <c r="Y974" s="372">
        <v>45382</v>
      </c>
      <c r="Z974" s="373" t="s">
        <v>5233</v>
      </c>
      <c r="AA974" s="373">
        <v>0.3</v>
      </c>
      <c r="AB974" s="28">
        <v>200</v>
      </c>
      <c r="AC974" s="28">
        <v>60</v>
      </c>
    </row>
    <row r="975" spans="1:29" s="9" customFormat="1" ht="15" customHeight="1">
      <c r="A975" s="26" t="s">
        <v>184</v>
      </c>
      <c r="B975" s="319" t="s">
        <v>5108</v>
      </c>
      <c r="C975" s="97" t="s">
        <v>1759</v>
      </c>
      <c r="D975" s="27" t="s">
        <v>303</v>
      </c>
      <c r="E975" s="304" t="s">
        <v>5234</v>
      </c>
      <c r="F975" s="26" t="s">
        <v>5235</v>
      </c>
      <c r="G975" s="124" t="s">
        <v>35</v>
      </c>
      <c r="H975" s="124" t="s">
        <v>5236</v>
      </c>
      <c r="I975" s="32" t="e">
        <f>VLOOKUP(H975,'合同高级查询数据-8月返'!A:A,1,FALSE)</f>
        <v>#N/A</v>
      </c>
      <c r="J975" s="124" t="s">
        <v>1293</v>
      </c>
      <c r="K975" s="304" t="s">
        <v>2860</v>
      </c>
      <c r="L975" s="305" t="s">
        <v>5237</v>
      </c>
      <c r="M975" s="127" t="s">
        <v>2862</v>
      </c>
      <c r="N975" s="50">
        <v>45039</v>
      </c>
      <c r="O975" s="50" t="s">
        <v>1767</v>
      </c>
      <c r="P975" s="349">
        <v>9500</v>
      </c>
      <c r="Q975" s="330">
        <v>17.61</v>
      </c>
      <c r="R975" s="54">
        <f t="shared" si="65"/>
        <v>167295</v>
      </c>
      <c r="S975" s="310">
        <v>202308</v>
      </c>
      <c r="T975" s="364" t="s">
        <v>5238</v>
      </c>
      <c r="U975" s="314"/>
      <c r="V975" s="149">
        <v>17.603498987854</v>
      </c>
      <c r="W975" s="149">
        <v>17.62</v>
      </c>
      <c r="X975" s="178">
        <v>45039</v>
      </c>
      <c r="Y975" s="374"/>
      <c r="Z975" s="338" t="s">
        <v>5239</v>
      </c>
      <c r="AA975" s="338">
        <v>0.3</v>
      </c>
      <c r="AB975" s="25">
        <v>40</v>
      </c>
      <c r="AC975" s="25">
        <v>12</v>
      </c>
    </row>
    <row r="976" spans="1:29" s="9" customFormat="1" ht="15" customHeight="1">
      <c r="A976" s="26" t="s">
        <v>184</v>
      </c>
      <c r="B976" s="319" t="s">
        <v>5240</v>
      </c>
      <c r="C976" s="97" t="s">
        <v>2359</v>
      </c>
      <c r="D976" s="27" t="s">
        <v>303</v>
      </c>
      <c r="E976" s="39" t="s">
        <v>5241</v>
      </c>
      <c r="F976" s="26" t="s">
        <v>5242</v>
      </c>
      <c r="G976" s="124" t="s">
        <v>35</v>
      </c>
      <c r="H976" s="124" t="s">
        <v>5243</v>
      </c>
      <c r="I976" s="32" t="e">
        <f>VLOOKUP(H976,'合同高级查询数据-8月返'!A:A,1,FALSE)</f>
        <v>#N/A</v>
      </c>
      <c r="J976" s="124" t="s">
        <v>325</v>
      </c>
      <c r="K976" s="304" t="s">
        <v>5244</v>
      </c>
      <c r="L976" s="305" t="s">
        <v>5244</v>
      </c>
      <c r="M976" s="127" t="s">
        <v>5245</v>
      </c>
      <c r="N976" s="50" t="s">
        <v>5246</v>
      </c>
      <c r="O976" s="50" t="s">
        <v>531</v>
      </c>
      <c r="P976" s="349">
        <v>9500</v>
      </c>
      <c r="Q976" s="330">
        <v>0</v>
      </c>
      <c r="R976" s="54">
        <f t="shared" ref="R976" si="66">ROUND(Q976*P976,2)</f>
        <v>0</v>
      </c>
      <c r="S976" s="310">
        <v>202308</v>
      </c>
      <c r="T976" s="364" t="s">
        <v>5247</v>
      </c>
      <c r="U976" s="314"/>
      <c r="V976" s="149">
        <v>0</v>
      </c>
      <c r="W976" s="149"/>
      <c r="X976" s="178">
        <v>45047</v>
      </c>
      <c r="Y976" s="178"/>
      <c r="Z976" s="338" t="s">
        <v>5248</v>
      </c>
      <c r="AA976" s="338">
        <v>0.3</v>
      </c>
      <c r="AB976" s="25">
        <v>0</v>
      </c>
      <c r="AC976" s="25">
        <v>0</v>
      </c>
    </row>
    <row r="977" spans="1:29" s="9" customFormat="1" ht="15" customHeight="1">
      <c r="A977" s="26" t="s">
        <v>184</v>
      </c>
      <c r="B977" s="319" t="s">
        <v>5240</v>
      </c>
      <c r="C977" s="97" t="s">
        <v>2359</v>
      </c>
      <c r="D977" s="27" t="s">
        <v>303</v>
      </c>
      <c r="E977" s="39" t="s">
        <v>5241</v>
      </c>
      <c r="F977" s="26" t="s">
        <v>5242</v>
      </c>
      <c r="G977" s="124" t="s">
        <v>35</v>
      </c>
      <c r="H977" s="124" t="s">
        <v>5243</v>
      </c>
      <c r="I977" s="32" t="e">
        <f>VLOOKUP(H977,'合同高级查询数据-8月返'!A:A,1,FALSE)</f>
        <v>#N/A</v>
      </c>
      <c r="J977" s="124" t="s">
        <v>37</v>
      </c>
      <c r="K977" s="304" t="s">
        <v>5249</v>
      </c>
      <c r="L977" s="305" t="s">
        <v>5250</v>
      </c>
      <c r="M977" s="127" t="s">
        <v>5245</v>
      </c>
      <c r="N977" s="50" t="s">
        <v>5251</v>
      </c>
      <c r="O977" s="50" t="s">
        <v>5252</v>
      </c>
      <c r="P977" s="349">
        <v>9500</v>
      </c>
      <c r="Q977" s="330">
        <v>19.2</v>
      </c>
      <c r="R977" s="54">
        <f t="shared" ref="R977:R1011" si="67">ROUND(P977*Q977,2)</f>
        <v>182400</v>
      </c>
      <c r="S977" s="310">
        <v>202308</v>
      </c>
      <c r="T977" s="364" t="s">
        <v>5253</v>
      </c>
      <c r="U977" s="314"/>
      <c r="V977" s="149">
        <v>19.175621032999999</v>
      </c>
      <c r="W977" s="149"/>
      <c r="X977" s="178">
        <v>45047</v>
      </c>
      <c r="Y977" s="178"/>
      <c r="Z977" s="338" t="s">
        <v>5254</v>
      </c>
      <c r="AA977" s="338">
        <v>0.3</v>
      </c>
      <c r="AB977" s="25">
        <v>40</v>
      </c>
      <c r="AC977" s="25">
        <f>AA977*AB977</f>
        <v>12</v>
      </c>
    </row>
    <row r="978" spans="1:29" s="9" customFormat="1" ht="15" customHeight="1">
      <c r="A978" s="26" t="s">
        <v>184</v>
      </c>
      <c r="B978" s="319" t="s">
        <v>5240</v>
      </c>
      <c r="C978" s="97" t="s">
        <v>2359</v>
      </c>
      <c r="D978" s="27" t="s">
        <v>303</v>
      </c>
      <c r="E978" s="39" t="s">
        <v>5241</v>
      </c>
      <c r="F978" s="26" t="s">
        <v>5242</v>
      </c>
      <c r="G978" s="124" t="s">
        <v>35</v>
      </c>
      <c r="H978" s="124" t="s">
        <v>5243</v>
      </c>
      <c r="I978" s="32" t="e">
        <f>VLOOKUP(H978,'合同高级查询数据-8月返'!A:A,1,FALSE)</f>
        <v>#N/A</v>
      </c>
      <c r="J978" s="124" t="s">
        <v>37</v>
      </c>
      <c r="K978" s="304" t="s">
        <v>5255</v>
      </c>
      <c r="L978" s="305" t="s">
        <v>5255</v>
      </c>
      <c r="M978" s="127" t="s">
        <v>5256</v>
      </c>
      <c r="N978" s="50" t="s">
        <v>5257</v>
      </c>
      <c r="O978" s="50" t="s">
        <v>1911</v>
      </c>
      <c r="P978" s="349">
        <v>9500</v>
      </c>
      <c r="Q978" s="330">
        <v>0</v>
      </c>
      <c r="R978" s="54">
        <f t="shared" si="67"/>
        <v>0</v>
      </c>
      <c r="S978" s="310">
        <v>202308</v>
      </c>
      <c r="T978" s="364" t="s">
        <v>5258</v>
      </c>
      <c r="U978" s="314"/>
      <c r="V978" s="149">
        <v>0</v>
      </c>
      <c r="W978" s="149"/>
      <c r="X978" s="178">
        <v>45047</v>
      </c>
      <c r="Y978" s="178"/>
      <c r="Z978" s="338" t="s">
        <v>5259</v>
      </c>
      <c r="AA978" s="338">
        <v>0.3</v>
      </c>
      <c r="AB978" s="25">
        <v>0</v>
      </c>
      <c r="AC978" s="25">
        <f>AA978*AB978</f>
        <v>0</v>
      </c>
    </row>
    <row r="979" spans="1:29" s="9" customFormat="1" ht="15" customHeight="1">
      <c r="A979" s="26" t="s">
        <v>136</v>
      </c>
      <c r="B979" s="319" t="s">
        <v>5240</v>
      </c>
      <c r="C979" s="97" t="s">
        <v>2359</v>
      </c>
      <c r="D979" s="27" t="s">
        <v>303</v>
      </c>
      <c r="E979" s="39" t="s">
        <v>5260</v>
      </c>
      <c r="F979" s="26" t="s">
        <v>5261</v>
      </c>
      <c r="G979" s="124" t="s">
        <v>35</v>
      </c>
      <c r="H979" s="124" t="s">
        <v>5262</v>
      </c>
      <c r="I979" s="32" t="e">
        <f>VLOOKUP(H979,'合同高级查询数据-8月返'!A:A,1,FALSE)</f>
        <v>#N/A</v>
      </c>
      <c r="J979" s="124" t="s">
        <v>37</v>
      </c>
      <c r="K979" s="304" t="s">
        <v>5263</v>
      </c>
      <c r="L979" s="305" t="s">
        <v>5264</v>
      </c>
      <c r="M979" s="127" t="s">
        <v>5265</v>
      </c>
      <c r="N979" s="50" t="s">
        <v>5266</v>
      </c>
      <c r="O979" s="50" t="s">
        <v>5267</v>
      </c>
      <c r="P979" s="349">
        <v>9000</v>
      </c>
      <c r="Q979" s="330">
        <v>30.5</v>
      </c>
      <c r="R979" s="54">
        <f t="shared" si="67"/>
        <v>274500</v>
      </c>
      <c r="S979" s="310">
        <v>202308</v>
      </c>
      <c r="T979" s="364" t="s">
        <v>5268</v>
      </c>
      <c r="U979" s="314"/>
      <c r="V979" s="149">
        <v>30.116051901999999</v>
      </c>
      <c r="W979" s="377">
        <v>30.85</v>
      </c>
      <c r="X979" s="178"/>
      <c r="Y979" s="374"/>
      <c r="Z979" s="338" t="s">
        <v>5269</v>
      </c>
      <c r="AA979" s="338">
        <v>0.3</v>
      </c>
      <c r="AB979" s="25">
        <v>100</v>
      </c>
      <c r="AC979" s="25">
        <f t="shared" ref="AC979:AC983" si="68">AB979*AA979</f>
        <v>30</v>
      </c>
    </row>
    <row r="980" spans="1:29" s="9" customFormat="1" ht="15" customHeight="1">
      <c r="A980" s="26" t="s">
        <v>136</v>
      </c>
      <c r="B980" s="319" t="s">
        <v>5240</v>
      </c>
      <c r="C980" s="97" t="s">
        <v>2359</v>
      </c>
      <c r="D980" s="27" t="s">
        <v>303</v>
      </c>
      <c r="E980" s="39" t="s">
        <v>5260</v>
      </c>
      <c r="F980" s="26" t="s">
        <v>5261</v>
      </c>
      <c r="G980" s="124" t="s">
        <v>35</v>
      </c>
      <c r="H980" s="124" t="s">
        <v>5262</v>
      </c>
      <c r="I980" s="32" t="e">
        <f>VLOOKUP(H980,'合同高级查询数据-8月返'!A:A,1,FALSE)</f>
        <v>#N/A</v>
      </c>
      <c r="J980" s="124" t="s">
        <v>37</v>
      </c>
      <c r="K980" s="304" t="s">
        <v>5263</v>
      </c>
      <c r="L980" s="305" t="s">
        <v>5264</v>
      </c>
      <c r="M980" s="127" t="s">
        <v>5265</v>
      </c>
      <c r="N980" s="50" t="s">
        <v>5266</v>
      </c>
      <c r="O980" s="50" t="s">
        <v>5267</v>
      </c>
      <c r="P980" s="349">
        <v>9000</v>
      </c>
      <c r="Q980" s="330">
        <f>32.435-32.1</f>
        <v>0.33500000000000085</v>
      </c>
      <c r="R980" s="54">
        <f t="shared" si="67"/>
        <v>3015</v>
      </c>
      <c r="S980" s="310">
        <v>202306</v>
      </c>
      <c r="T980" s="364" t="s">
        <v>5270</v>
      </c>
      <c r="U980" s="314"/>
      <c r="V980" s="149">
        <v>32.040449219000003</v>
      </c>
      <c r="W980" s="377">
        <v>32.83</v>
      </c>
      <c r="X980" s="178"/>
      <c r="Y980" s="374"/>
      <c r="Z980" s="338" t="s">
        <v>5269</v>
      </c>
      <c r="AA980" s="338">
        <v>0.3</v>
      </c>
      <c r="AB980" s="25">
        <v>100</v>
      </c>
      <c r="AC980" s="25">
        <f t="shared" si="68"/>
        <v>30</v>
      </c>
    </row>
    <row r="981" spans="1:29" s="9" customFormat="1" ht="15" customHeight="1">
      <c r="A981" s="26" t="s">
        <v>191</v>
      </c>
      <c r="B981" s="319" t="s">
        <v>5240</v>
      </c>
      <c r="C981" s="97" t="s">
        <v>2359</v>
      </c>
      <c r="D981" s="27" t="s">
        <v>303</v>
      </c>
      <c r="E981" s="39" t="s">
        <v>5271</v>
      </c>
      <c r="F981" s="26" t="s">
        <v>5272</v>
      </c>
      <c r="G981" s="124" t="s">
        <v>35</v>
      </c>
      <c r="H981" s="124" t="s">
        <v>5273</v>
      </c>
      <c r="I981" s="32" t="e">
        <f>VLOOKUP(H981,'合同高级查询数据-8月返'!A:A,1,FALSE)</f>
        <v>#N/A</v>
      </c>
      <c r="J981" s="124" t="s">
        <v>37</v>
      </c>
      <c r="K981" s="304" t="s">
        <v>2361</v>
      </c>
      <c r="L981" s="305" t="s">
        <v>5272</v>
      </c>
      <c r="M981" s="127" t="s">
        <v>5274</v>
      </c>
      <c r="N981" s="50" t="s">
        <v>5275</v>
      </c>
      <c r="O981" s="50" t="s">
        <v>5276</v>
      </c>
      <c r="P981" s="349">
        <v>6740</v>
      </c>
      <c r="Q981" s="330">
        <v>0</v>
      </c>
      <c r="R981" s="54">
        <f t="shared" si="67"/>
        <v>0</v>
      </c>
      <c r="S981" s="310">
        <v>202308</v>
      </c>
      <c r="T981" s="364" t="s">
        <v>5277</v>
      </c>
      <c r="U981" s="314"/>
      <c r="V981" s="149">
        <v>0</v>
      </c>
      <c r="W981" s="149"/>
      <c r="X981" s="178">
        <v>45108</v>
      </c>
      <c r="Y981" s="374"/>
      <c r="Z981" s="338" t="s">
        <v>5278</v>
      </c>
      <c r="AA981" s="338">
        <v>0.4</v>
      </c>
      <c r="AB981" s="25">
        <v>0</v>
      </c>
      <c r="AC981" s="25">
        <f t="shared" si="68"/>
        <v>0</v>
      </c>
    </row>
    <row r="982" spans="1:29" s="9" customFormat="1" ht="15" customHeight="1">
      <c r="A982" s="26" t="s">
        <v>191</v>
      </c>
      <c r="B982" s="319" t="s">
        <v>5240</v>
      </c>
      <c r="C982" s="97" t="s">
        <v>2359</v>
      </c>
      <c r="D982" s="27" t="s">
        <v>303</v>
      </c>
      <c r="E982" s="39" t="s">
        <v>5271</v>
      </c>
      <c r="F982" s="26" t="s">
        <v>5272</v>
      </c>
      <c r="G982" s="124" t="s">
        <v>35</v>
      </c>
      <c r="H982" s="124" t="s">
        <v>5273</v>
      </c>
      <c r="I982" s="32" t="e">
        <f>VLOOKUP(H982,'合同高级查询数据-8月返'!A:A,1,FALSE)</f>
        <v>#N/A</v>
      </c>
      <c r="J982" s="124" t="s">
        <v>37</v>
      </c>
      <c r="K982" s="304" t="s">
        <v>2361</v>
      </c>
      <c r="L982" s="305" t="s">
        <v>5279</v>
      </c>
      <c r="M982" s="127" t="s">
        <v>5280</v>
      </c>
      <c r="N982" s="50" t="s">
        <v>5281</v>
      </c>
      <c r="O982" s="50" t="s">
        <v>5282</v>
      </c>
      <c r="P982" s="349">
        <v>6740</v>
      </c>
      <c r="Q982" s="330">
        <v>8</v>
      </c>
      <c r="R982" s="54">
        <f t="shared" si="67"/>
        <v>53920</v>
      </c>
      <c r="S982" s="310">
        <v>202308</v>
      </c>
      <c r="T982" s="364" t="s">
        <v>5283</v>
      </c>
      <c r="U982" s="314"/>
      <c r="V982" s="149">
        <v>7.4930300709999997</v>
      </c>
      <c r="W982" s="149"/>
      <c r="X982" s="178">
        <v>45108</v>
      </c>
      <c r="Y982" s="374"/>
      <c r="Z982" s="338" t="s">
        <v>5284</v>
      </c>
      <c r="AA982" s="338">
        <v>0.4</v>
      </c>
      <c r="AB982" s="25">
        <v>20</v>
      </c>
      <c r="AC982" s="25">
        <f t="shared" si="68"/>
        <v>8</v>
      </c>
    </row>
    <row r="983" spans="1:29" s="9" customFormat="1" ht="15" customHeight="1">
      <c r="A983" s="26" t="s">
        <v>191</v>
      </c>
      <c r="B983" s="319" t="s">
        <v>5240</v>
      </c>
      <c r="C983" s="97" t="s">
        <v>2359</v>
      </c>
      <c r="D983" s="27" t="s">
        <v>303</v>
      </c>
      <c r="E983" s="39" t="s">
        <v>5271</v>
      </c>
      <c r="F983" s="26" t="s">
        <v>5272</v>
      </c>
      <c r="G983" s="124" t="s">
        <v>35</v>
      </c>
      <c r="H983" s="124" t="s">
        <v>5273</v>
      </c>
      <c r="I983" s="32" t="e">
        <f>VLOOKUP(H983,'合同高级查询数据-8月返'!A:A,1,FALSE)</f>
        <v>#N/A</v>
      </c>
      <c r="J983" s="124" t="s">
        <v>37</v>
      </c>
      <c r="K983" s="304" t="s">
        <v>2361</v>
      </c>
      <c r="L983" s="305" t="s">
        <v>5285</v>
      </c>
      <c r="M983" s="127" t="s">
        <v>5280</v>
      </c>
      <c r="N983" s="50">
        <v>45051</v>
      </c>
      <c r="O983" s="50" t="s">
        <v>494</v>
      </c>
      <c r="P983" s="349">
        <v>6740</v>
      </c>
      <c r="Q983" s="330">
        <v>214.45</v>
      </c>
      <c r="R983" s="54">
        <f t="shared" si="67"/>
        <v>1445393</v>
      </c>
      <c r="S983" s="310">
        <v>202308</v>
      </c>
      <c r="T983" s="364" t="s">
        <v>5286</v>
      </c>
      <c r="U983" s="314"/>
      <c r="V983" s="149">
        <v>214.44751585099999</v>
      </c>
      <c r="W983" s="149"/>
      <c r="X983" s="178">
        <v>45108</v>
      </c>
      <c r="Y983" s="374"/>
      <c r="Z983" s="338" t="s">
        <v>5287</v>
      </c>
      <c r="AA983" s="338">
        <v>0.4</v>
      </c>
      <c r="AB983" s="25">
        <v>500</v>
      </c>
      <c r="AC983" s="25">
        <f t="shared" si="68"/>
        <v>200</v>
      </c>
    </row>
    <row r="984" spans="1:29" s="9" customFormat="1" ht="15" customHeight="1">
      <c r="A984" s="26" t="s">
        <v>191</v>
      </c>
      <c r="B984" s="319" t="s">
        <v>5240</v>
      </c>
      <c r="C984" s="97" t="s">
        <v>2359</v>
      </c>
      <c r="D984" s="27" t="s">
        <v>303</v>
      </c>
      <c r="E984" s="39" t="s">
        <v>5271</v>
      </c>
      <c r="F984" s="26" t="s">
        <v>5272</v>
      </c>
      <c r="G984" s="124" t="s">
        <v>35</v>
      </c>
      <c r="H984" s="124" t="s">
        <v>5273</v>
      </c>
      <c r="I984" s="32" t="e">
        <f>VLOOKUP(H984,'合同高级查询数据-8月返'!A:A,1,FALSE)</f>
        <v>#N/A</v>
      </c>
      <c r="J984" s="124" t="s">
        <v>37</v>
      </c>
      <c r="K984" s="304" t="s">
        <v>2361</v>
      </c>
      <c r="L984" s="305" t="s">
        <v>5288</v>
      </c>
      <c r="M984" s="127" t="s">
        <v>5289</v>
      </c>
      <c r="N984" s="50">
        <v>45146</v>
      </c>
      <c r="O984" s="50" t="s">
        <v>355</v>
      </c>
      <c r="P984" s="349">
        <v>6740</v>
      </c>
      <c r="Q984" s="330">
        <f>ROUND(160*24/31,2)</f>
        <v>123.87</v>
      </c>
      <c r="R984" s="54">
        <f t="shared" si="67"/>
        <v>834883.8</v>
      </c>
      <c r="S984" s="310">
        <v>202308</v>
      </c>
      <c r="T984" s="364" t="s">
        <v>5290</v>
      </c>
      <c r="U984" s="314"/>
      <c r="V984" s="149">
        <v>120.286734811</v>
      </c>
      <c r="W984" s="149"/>
      <c r="X984" s="178">
        <v>45108</v>
      </c>
      <c r="Y984" s="374"/>
      <c r="Z984" s="338" t="s">
        <v>5291</v>
      </c>
      <c r="AA984" s="338">
        <v>0.4</v>
      </c>
      <c r="AB984" s="25">
        <v>400</v>
      </c>
      <c r="AC984" s="25">
        <v>160</v>
      </c>
    </row>
    <row r="985" spans="1:29" s="10" customFormat="1" ht="15" customHeight="1">
      <c r="A985" s="29" t="s">
        <v>184</v>
      </c>
      <c r="B985" s="340" t="s">
        <v>5292</v>
      </c>
      <c r="C985" s="129" t="s">
        <v>1987</v>
      </c>
      <c r="D985" s="30" t="s">
        <v>303</v>
      </c>
      <c r="E985" s="48" t="s">
        <v>5293</v>
      </c>
      <c r="F985" s="29" t="s">
        <v>5294</v>
      </c>
      <c r="G985" s="303" t="s">
        <v>35</v>
      </c>
      <c r="H985" s="303" t="s">
        <v>5295</v>
      </c>
      <c r="I985" s="33" t="e">
        <f>VLOOKUP(H985,'合同高级查询数据-8月返'!A:A,1,FALSE)</f>
        <v>#N/A</v>
      </c>
      <c r="J985" s="303" t="s">
        <v>37</v>
      </c>
      <c r="K985" s="306" t="s">
        <v>5296</v>
      </c>
      <c r="L985" s="307" t="s">
        <v>5297</v>
      </c>
      <c r="M985" s="308" t="s">
        <v>5298</v>
      </c>
      <c r="N985" s="110">
        <v>43830</v>
      </c>
      <c r="O985" s="110" t="s">
        <v>5299</v>
      </c>
      <c r="P985" s="348">
        <v>0</v>
      </c>
      <c r="Q985" s="354">
        <v>0</v>
      </c>
      <c r="R985" s="58">
        <f t="shared" si="67"/>
        <v>0</v>
      </c>
      <c r="S985" s="311">
        <v>202308</v>
      </c>
      <c r="T985" s="363" t="s">
        <v>5300</v>
      </c>
      <c r="U985" s="315"/>
      <c r="V985" s="316">
        <v>0</v>
      </c>
      <c r="W985" s="316"/>
      <c r="X985" s="172">
        <v>45047</v>
      </c>
      <c r="Y985" s="172"/>
      <c r="Z985" s="373" t="s">
        <v>5301</v>
      </c>
      <c r="AA985" s="373"/>
      <c r="AB985" s="28">
        <v>0</v>
      </c>
      <c r="AC985" s="28">
        <v>0</v>
      </c>
    </row>
    <row r="986" spans="1:29" s="9" customFormat="1" ht="15" customHeight="1">
      <c r="A986" s="26" t="s">
        <v>184</v>
      </c>
      <c r="B986" s="319" t="s">
        <v>5292</v>
      </c>
      <c r="C986" s="97" t="s">
        <v>1987</v>
      </c>
      <c r="D986" s="27" t="s">
        <v>303</v>
      </c>
      <c r="E986" s="39" t="s">
        <v>5293</v>
      </c>
      <c r="F986" s="26" t="s">
        <v>5294</v>
      </c>
      <c r="G986" s="124" t="s">
        <v>35</v>
      </c>
      <c r="H986" s="124" t="s">
        <v>5302</v>
      </c>
      <c r="I986" s="32" t="e">
        <f>VLOOKUP(H986,'合同高级查询数据-8月返'!A:A,1,FALSE)</f>
        <v>#N/A</v>
      </c>
      <c r="J986" s="124" t="s">
        <v>37</v>
      </c>
      <c r="K986" s="304" t="s">
        <v>5303</v>
      </c>
      <c r="L986" s="305" t="s">
        <v>5304</v>
      </c>
      <c r="M986" s="127" t="s">
        <v>5305</v>
      </c>
      <c r="N986" s="50">
        <v>43830</v>
      </c>
      <c r="O986" s="50" t="s">
        <v>5299</v>
      </c>
      <c r="P986" s="349">
        <v>0</v>
      </c>
      <c r="Q986" s="330">
        <v>0</v>
      </c>
      <c r="R986" s="54">
        <f t="shared" si="67"/>
        <v>0</v>
      </c>
      <c r="S986" s="310">
        <v>202308</v>
      </c>
      <c r="T986" s="364" t="s">
        <v>5306</v>
      </c>
      <c r="U986" s="314"/>
      <c r="V986" s="149">
        <v>0</v>
      </c>
      <c r="W986" s="149"/>
      <c r="X986" s="178">
        <v>45047</v>
      </c>
      <c r="Y986" s="178"/>
      <c r="Z986" s="338" t="s">
        <v>5307</v>
      </c>
      <c r="AA986" s="338"/>
      <c r="AB986" s="25">
        <v>0</v>
      </c>
      <c r="AC986" s="25">
        <v>0</v>
      </c>
    </row>
    <row r="987" spans="1:29" s="9" customFormat="1" ht="15" customHeight="1">
      <c r="A987" s="26" t="s">
        <v>184</v>
      </c>
      <c r="B987" s="319" t="s">
        <v>5292</v>
      </c>
      <c r="C987" s="97" t="s">
        <v>1987</v>
      </c>
      <c r="D987" s="27" t="s">
        <v>303</v>
      </c>
      <c r="E987" s="39" t="s">
        <v>5293</v>
      </c>
      <c r="F987" s="26" t="s">
        <v>5294</v>
      </c>
      <c r="G987" s="124" t="s">
        <v>35</v>
      </c>
      <c r="H987" s="124" t="s">
        <v>5302</v>
      </c>
      <c r="I987" s="32" t="e">
        <f>VLOOKUP(H987,'合同高级查询数据-8月返'!A:A,1,FALSE)</f>
        <v>#N/A</v>
      </c>
      <c r="J987" s="124" t="s">
        <v>37</v>
      </c>
      <c r="K987" s="304" t="s">
        <v>5308</v>
      </c>
      <c r="L987" s="305" t="s">
        <v>5309</v>
      </c>
      <c r="M987" s="127" t="s">
        <v>5298</v>
      </c>
      <c r="N987" s="50" t="s">
        <v>5310</v>
      </c>
      <c r="O987" s="50" t="s">
        <v>5311</v>
      </c>
      <c r="P987" s="349">
        <v>7083.2</v>
      </c>
      <c r="Q987" s="330">
        <v>14</v>
      </c>
      <c r="R987" s="54">
        <f t="shared" si="67"/>
        <v>99164.800000000003</v>
      </c>
      <c r="S987" s="310">
        <v>202308</v>
      </c>
      <c r="T987" s="364" t="s">
        <v>5312</v>
      </c>
      <c r="U987" s="314"/>
      <c r="V987" s="149">
        <v>13.958540916</v>
      </c>
      <c r="W987" s="149"/>
      <c r="X987" s="178">
        <v>45047</v>
      </c>
      <c r="Y987" s="178"/>
      <c r="Z987" s="338" t="s">
        <v>5313</v>
      </c>
      <c r="AA987" s="338">
        <v>0.3</v>
      </c>
      <c r="AB987" s="25">
        <v>40</v>
      </c>
      <c r="AC987" s="25">
        <f t="shared" ref="AC987:AC994" si="69">AB987*AA987</f>
        <v>12</v>
      </c>
    </row>
    <row r="988" spans="1:29" s="9" customFormat="1" ht="15" customHeight="1">
      <c r="A988" s="26" t="s">
        <v>184</v>
      </c>
      <c r="B988" s="319" t="s">
        <v>5292</v>
      </c>
      <c r="C988" s="97" t="s">
        <v>1987</v>
      </c>
      <c r="D988" s="27" t="s">
        <v>303</v>
      </c>
      <c r="E988" s="39" t="s">
        <v>5293</v>
      </c>
      <c r="F988" s="26" t="s">
        <v>5294</v>
      </c>
      <c r="G988" s="124" t="s">
        <v>35</v>
      </c>
      <c r="H988" s="124" t="s">
        <v>5302</v>
      </c>
      <c r="I988" s="32" t="e">
        <f>VLOOKUP(H988,'合同高级查询数据-8月返'!A:A,1,FALSE)</f>
        <v>#N/A</v>
      </c>
      <c r="J988" s="124" t="s">
        <v>37</v>
      </c>
      <c r="K988" s="304" t="s">
        <v>5314</v>
      </c>
      <c r="L988" s="305" t="s">
        <v>5315</v>
      </c>
      <c r="M988" s="127" t="s">
        <v>5305</v>
      </c>
      <c r="N988" s="50" t="s">
        <v>5316</v>
      </c>
      <c r="O988" s="50" t="s">
        <v>5317</v>
      </c>
      <c r="P988" s="349">
        <v>0</v>
      </c>
      <c r="Q988" s="330">
        <v>0</v>
      </c>
      <c r="R988" s="54">
        <f t="shared" si="67"/>
        <v>0</v>
      </c>
      <c r="S988" s="310">
        <v>202308</v>
      </c>
      <c r="T988" s="364" t="s">
        <v>5318</v>
      </c>
      <c r="U988" s="314"/>
      <c r="V988" s="149">
        <v>0</v>
      </c>
      <c r="W988" s="149"/>
      <c r="X988" s="178">
        <v>45047</v>
      </c>
      <c r="Y988" s="178"/>
      <c r="Z988" s="338" t="s">
        <v>5319</v>
      </c>
      <c r="AA988" s="338">
        <v>0.3</v>
      </c>
      <c r="AB988" s="25">
        <v>0</v>
      </c>
      <c r="AC988" s="25">
        <f t="shared" si="69"/>
        <v>0</v>
      </c>
    </row>
    <row r="989" spans="1:29" s="9" customFormat="1" ht="15" customHeight="1">
      <c r="A989" s="26" t="s">
        <v>136</v>
      </c>
      <c r="B989" s="319" t="s">
        <v>5292</v>
      </c>
      <c r="C989" s="97" t="s">
        <v>1987</v>
      </c>
      <c r="D989" s="27" t="s">
        <v>303</v>
      </c>
      <c r="E989" s="39" t="s">
        <v>5320</v>
      </c>
      <c r="F989" s="26" t="s">
        <v>5321</v>
      </c>
      <c r="G989" s="124" t="s">
        <v>35</v>
      </c>
      <c r="H989" s="124" t="s">
        <v>5322</v>
      </c>
      <c r="I989" s="32" t="e">
        <f>VLOOKUP(H989,'合同高级查询数据-8月返'!A:A,1,FALSE)</f>
        <v>#N/A</v>
      </c>
      <c r="J989" s="124" t="s">
        <v>37</v>
      </c>
      <c r="K989" s="304" t="s">
        <v>1989</v>
      </c>
      <c r="L989" s="305" t="s">
        <v>5323</v>
      </c>
      <c r="M989" s="127" t="s">
        <v>5324</v>
      </c>
      <c r="N989" s="50">
        <v>42919</v>
      </c>
      <c r="O989" s="50" t="s">
        <v>1767</v>
      </c>
      <c r="P989" s="349">
        <v>5333.33</v>
      </c>
      <c r="Q989" s="330">
        <v>15.548999999999999</v>
      </c>
      <c r="R989" s="54">
        <f t="shared" si="67"/>
        <v>82927.95</v>
      </c>
      <c r="S989" s="310">
        <v>202308</v>
      </c>
      <c r="T989" s="364" t="s">
        <v>5325</v>
      </c>
      <c r="U989" s="314"/>
      <c r="V989" s="370">
        <v>15.548593254</v>
      </c>
      <c r="W989" s="370"/>
      <c r="X989" s="178">
        <v>45108</v>
      </c>
      <c r="Y989" s="178"/>
      <c r="Z989" s="338" t="s">
        <v>5326</v>
      </c>
      <c r="AA989" s="338">
        <v>0.1</v>
      </c>
      <c r="AB989" s="25">
        <v>40</v>
      </c>
      <c r="AC989" s="25">
        <f t="shared" si="69"/>
        <v>4</v>
      </c>
    </row>
    <row r="990" spans="1:29" s="9" customFormat="1" ht="15" customHeight="1">
      <c r="A990" s="26" t="s">
        <v>136</v>
      </c>
      <c r="B990" s="319" t="s">
        <v>5292</v>
      </c>
      <c r="C990" s="97" t="s">
        <v>1987</v>
      </c>
      <c r="D990" s="27" t="s">
        <v>303</v>
      </c>
      <c r="E990" s="39" t="s">
        <v>5320</v>
      </c>
      <c r="F990" s="26" t="s">
        <v>5321</v>
      </c>
      <c r="G990" s="124" t="s">
        <v>35</v>
      </c>
      <c r="H990" s="124" t="s">
        <v>5327</v>
      </c>
      <c r="I990" s="32" t="e">
        <f>VLOOKUP(H990,'合同高级查询数据-8月返'!A:A,1,FALSE)</f>
        <v>#N/A</v>
      </c>
      <c r="J990" s="124" t="s">
        <v>37</v>
      </c>
      <c r="K990" s="304" t="s">
        <v>1989</v>
      </c>
      <c r="L990" s="305" t="s">
        <v>5328</v>
      </c>
      <c r="M990" s="127" t="s">
        <v>5329</v>
      </c>
      <c r="N990" s="50" t="s">
        <v>5330</v>
      </c>
      <c r="O990" s="50" t="s">
        <v>5331</v>
      </c>
      <c r="P990" s="349">
        <v>9000</v>
      </c>
      <c r="Q990" s="330">
        <v>3.2</v>
      </c>
      <c r="R990" s="54">
        <f t="shared" si="67"/>
        <v>28800</v>
      </c>
      <c r="S990" s="310">
        <v>202308</v>
      </c>
      <c r="T990" s="364" t="s">
        <v>5332</v>
      </c>
      <c r="U990" s="314"/>
      <c r="V990" s="149">
        <v>3.1231878370000001</v>
      </c>
      <c r="W990" s="149"/>
      <c r="X990" s="178">
        <v>45047</v>
      </c>
      <c r="Y990" s="178"/>
      <c r="Z990" s="338" t="s">
        <v>5333</v>
      </c>
      <c r="AA990" s="338">
        <v>0.3</v>
      </c>
      <c r="AB990" s="25">
        <v>10</v>
      </c>
      <c r="AC990" s="25">
        <f t="shared" si="69"/>
        <v>3</v>
      </c>
    </row>
    <row r="991" spans="1:29" s="9" customFormat="1" ht="15" customHeight="1">
      <c r="A991" s="26" t="s">
        <v>136</v>
      </c>
      <c r="B991" s="319" t="s">
        <v>5292</v>
      </c>
      <c r="C991" s="97" t="s">
        <v>1987</v>
      </c>
      <c r="D991" s="27" t="s">
        <v>303</v>
      </c>
      <c r="E991" s="39" t="s">
        <v>5320</v>
      </c>
      <c r="F991" s="26" t="s">
        <v>5321</v>
      </c>
      <c r="G991" s="124" t="s">
        <v>35</v>
      </c>
      <c r="H991" s="124" t="s">
        <v>5322</v>
      </c>
      <c r="I991" s="32" t="e">
        <f>VLOOKUP(H991,'合同高级查询数据-8月返'!A:A,1,FALSE)</f>
        <v>#N/A</v>
      </c>
      <c r="J991" s="124" t="s">
        <v>37</v>
      </c>
      <c r="K991" s="304" t="s">
        <v>1989</v>
      </c>
      <c r="L991" s="305" t="s">
        <v>5334</v>
      </c>
      <c r="M991" s="127" t="s">
        <v>5335</v>
      </c>
      <c r="N991" s="50" t="s">
        <v>5336</v>
      </c>
      <c r="O991" s="50" t="s">
        <v>1436</v>
      </c>
      <c r="P991" s="349">
        <v>5333.33</v>
      </c>
      <c r="Q991" s="330">
        <v>0</v>
      </c>
      <c r="R991" s="54">
        <f t="shared" si="67"/>
        <v>0</v>
      </c>
      <c r="S991" s="310">
        <v>202308</v>
      </c>
      <c r="T991" s="364" t="s">
        <v>5337</v>
      </c>
      <c r="U991" s="314"/>
      <c r="V991" s="149">
        <v>0</v>
      </c>
      <c r="W991" s="149"/>
      <c r="X991" s="178">
        <v>45108</v>
      </c>
      <c r="Y991" s="178"/>
      <c r="Z991" s="338" t="s">
        <v>5338</v>
      </c>
      <c r="AA991" s="338">
        <v>0.3</v>
      </c>
      <c r="AB991" s="25">
        <v>0</v>
      </c>
      <c r="AC991" s="25">
        <f t="shared" si="69"/>
        <v>0</v>
      </c>
    </row>
    <row r="992" spans="1:29" s="9" customFormat="1" ht="15" customHeight="1">
      <c r="A992" s="26" t="s">
        <v>136</v>
      </c>
      <c r="B992" s="319" t="s">
        <v>5292</v>
      </c>
      <c r="C992" s="97" t="s">
        <v>1987</v>
      </c>
      <c r="D992" s="27" t="s">
        <v>303</v>
      </c>
      <c r="E992" s="39" t="s">
        <v>5320</v>
      </c>
      <c r="F992" s="26" t="s">
        <v>5321</v>
      </c>
      <c r="G992" s="124" t="s">
        <v>35</v>
      </c>
      <c r="H992" s="124" t="s">
        <v>5339</v>
      </c>
      <c r="I992" s="32" t="e">
        <f>VLOOKUP(H992,'合同高级查询数据-8月返'!A:A,1,FALSE)</f>
        <v>#N/A</v>
      </c>
      <c r="J992" s="124" t="s">
        <v>37</v>
      </c>
      <c r="K992" s="304" t="s">
        <v>1989</v>
      </c>
      <c r="L992" s="305" t="s">
        <v>5340</v>
      </c>
      <c r="M992" s="127" t="s">
        <v>5335</v>
      </c>
      <c r="N992" s="50" t="s">
        <v>5341</v>
      </c>
      <c r="O992" s="50" t="s">
        <v>3242</v>
      </c>
      <c r="P992" s="349">
        <v>5333.33</v>
      </c>
      <c r="Q992" s="330">
        <v>0</v>
      </c>
      <c r="R992" s="54">
        <f t="shared" si="67"/>
        <v>0</v>
      </c>
      <c r="S992" s="310">
        <v>202308</v>
      </c>
      <c r="T992" s="364" t="s">
        <v>5342</v>
      </c>
      <c r="U992" s="314"/>
      <c r="V992" s="370">
        <v>0</v>
      </c>
      <c r="W992" s="370"/>
      <c r="X992" s="178"/>
      <c r="Y992" s="374"/>
      <c r="Z992" s="338" t="s">
        <v>5343</v>
      </c>
      <c r="AA992" s="338">
        <v>0.3</v>
      </c>
      <c r="AB992" s="25">
        <v>0</v>
      </c>
      <c r="AC992" s="25">
        <v>0</v>
      </c>
    </row>
    <row r="993" spans="1:29" s="9" customFormat="1" ht="15" customHeight="1">
      <c r="A993" s="26" t="s">
        <v>191</v>
      </c>
      <c r="B993" s="319" t="s">
        <v>5292</v>
      </c>
      <c r="C993" s="97" t="s">
        <v>1987</v>
      </c>
      <c r="D993" s="27" t="s">
        <v>303</v>
      </c>
      <c r="E993" s="39" t="s">
        <v>5344</v>
      </c>
      <c r="F993" s="26" t="s">
        <v>5345</v>
      </c>
      <c r="G993" s="124" t="s">
        <v>35</v>
      </c>
      <c r="H993" s="124" t="s">
        <v>5346</v>
      </c>
      <c r="I993" s="32" t="e">
        <f>VLOOKUP(H993,'合同高级查询数据-8月返'!A:A,1,FALSE)</f>
        <v>#N/A</v>
      </c>
      <c r="J993" s="124" t="s">
        <v>37</v>
      </c>
      <c r="K993" s="304" t="s">
        <v>1989</v>
      </c>
      <c r="L993" s="305" t="s">
        <v>5347</v>
      </c>
      <c r="M993" s="127" t="s">
        <v>5348</v>
      </c>
      <c r="N993" s="50" t="s">
        <v>5349</v>
      </c>
      <c r="O993" s="50" t="s">
        <v>5350</v>
      </c>
      <c r="P993" s="349">
        <v>6740</v>
      </c>
      <c r="Q993" s="330">
        <v>0</v>
      </c>
      <c r="R993" s="54">
        <f t="shared" si="67"/>
        <v>0</v>
      </c>
      <c r="S993" s="310">
        <v>202308</v>
      </c>
      <c r="T993" s="364" t="s">
        <v>5351</v>
      </c>
      <c r="U993" s="314"/>
      <c r="V993" s="149">
        <v>0</v>
      </c>
      <c r="W993" s="149"/>
      <c r="X993" s="178">
        <v>45108</v>
      </c>
      <c r="Y993" s="178"/>
      <c r="Z993" s="338" t="s">
        <v>5352</v>
      </c>
      <c r="AA993" s="338">
        <v>0.4</v>
      </c>
      <c r="AB993" s="25">
        <v>0</v>
      </c>
      <c r="AC993" s="25">
        <f t="shared" si="69"/>
        <v>0</v>
      </c>
    </row>
    <row r="994" spans="1:29" s="9" customFormat="1" ht="15" customHeight="1">
      <c r="A994" s="26" t="s">
        <v>191</v>
      </c>
      <c r="B994" s="319" t="s">
        <v>5292</v>
      </c>
      <c r="C994" s="97" t="s">
        <v>1987</v>
      </c>
      <c r="D994" s="27" t="s">
        <v>303</v>
      </c>
      <c r="E994" s="39" t="s">
        <v>5344</v>
      </c>
      <c r="F994" s="26" t="s">
        <v>5345</v>
      </c>
      <c r="G994" s="124" t="s">
        <v>35</v>
      </c>
      <c r="H994" s="124" t="s">
        <v>5346</v>
      </c>
      <c r="I994" s="32" t="e">
        <f>VLOOKUP(H994,'合同高级查询数据-8月返'!A:A,1,FALSE)</f>
        <v>#N/A</v>
      </c>
      <c r="J994" s="124" t="s">
        <v>37</v>
      </c>
      <c r="K994" s="304" t="s">
        <v>1989</v>
      </c>
      <c r="L994" s="305" t="s">
        <v>5353</v>
      </c>
      <c r="M994" s="127" t="s">
        <v>5354</v>
      </c>
      <c r="N994" s="50" t="s">
        <v>5355</v>
      </c>
      <c r="O994" s="50" t="s">
        <v>5356</v>
      </c>
      <c r="P994" s="349">
        <v>6740</v>
      </c>
      <c r="Q994" s="330">
        <v>114.68</v>
      </c>
      <c r="R994" s="54">
        <f t="shared" si="67"/>
        <v>772943.2</v>
      </c>
      <c r="S994" s="310">
        <v>202308</v>
      </c>
      <c r="T994" s="364" t="s">
        <v>5357</v>
      </c>
      <c r="U994" s="314"/>
      <c r="V994" s="149">
        <v>114.680091858</v>
      </c>
      <c r="W994" s="149"/>
      <c r="X994" s="178">
        <v>45108</v>
      </c>
      <c r="Y994" s="178"/>
      <c r="Z994" s="338" t="s">
        <v>5358</v>
      </c>
      <c r="AA994" s="338">
        <v>0.4</v>
      </c>
      <c r="AB994" s="25">
        <v>220</v>
      </c>
      <c r="AC994" s="25">
        <f t="shared" si="69"/>
        <v>88</v>
      </c>
    </row>
    <row r="995" spans="1:29" s="9" customFormat="1" ht="15" customHeight="1">
      <c r="A995" s="26" t="s">
        <v>184</v>
      </c>
      <c r="B995" s="319" t="s">
        <v>5240</v>
      </c>
      <c r="C995" s="97" t="s">
        <v>5359</v>
      </c>
      <c r="D995" s="27" t="s">
        <v>303</v>
      </c>
      <c r="E995" s="39" t="s">
        <v>5360</v>
      </c>
      <c r="F995" s="26" t="s">
        <v>5361</v>
      </c>
      <c r="G995" s="124" t="s">
        <v>35</v>
      </c>
      <c r="H995" s="124" t="s">
        <v>5362</v>
      </c>
      <c r="I995" s="32" t="e">
        <f>VLOOKUP(H995,'合同高级查询数据-8月返'!A:A,1,FALSE)</f>
        <v>#N/A</v>
      </c>
      <c r="J995" s="124" t="s">
        <v>37</v>
      </c>
      <c r="K995" s="304" t="s">
        <v>5363</v>
      </c>
      <c r="L995" s="305" t="s">
        <v>5364</v>
      </c>
      <c r="M995" s="127" t="s">
        <v>5365</v>
      </c>
      <c r="N995" s="50" t="s">
        <v>5366</v>
      </c>
      <c r="O995" s="50">
        <v>0</v>
      </c>
      <c r="P995" s="349">
        <v>8333.33</v>
      </c>
      <c r="Q995" s="330">
        <v>0</v>
      </c>
      <c r="R995" s="54">
        <f t="shared" si="67"/>
        <v>0</v>
      </c>
      <c r="S995" s="310">
        <v>202308</v>
      </c>
      <c r="T995" s="364" t="s">
        <v>5367</v>
      </c>
      <c r="U995" s="314"/>
      <c r="V995" s="149">
        <v>0</v>
      </c>
      <c r="W995" s="149"/>
      <c r="X995" s="178">
        <v>45047</v>
      </c>
      <c r="Y995" s="178"/>
      <c r="Z995" s="338" t="s">
        <v>5368</v>
      </c>
      <c r="AA995" s="338"/>
      <c r="AB995" s="25">
        <v>0</v>
      </c>
      <c r="AC995" s="25">
        <v>0</v>
      </c>
    </row>
    <row r="996" spans="1:29" s="9" customFormat="1" ht="15" customHeight="1">
      <c r="A996" s="26" t="s">
        <v>184</v>
      </c>
      <c r="B996" s="319" t="s">
        <v>5240</v>
      </c>
      <c r="C996" s="97" t="s">
        <v>5359</v>
      </c>
      <c r="D996" s="27" t="s">
        <v>303</v>
      </c>
      <c r="E996" s="39" t="s">
        <v>5360</v>
      </c>
      <c r="F996" s="26" t="s">
        <v>5361</v>
      </c>
      <c r="G996" s="124" t="s">
        <v>35</v>
      </c>
      <c r="H996" s="124" t="s">
        <v>5362</v>
      </c>
      <c r="I996" s="32" t="e">
        <f>VLOOKUP(H996,'合同高级查询数据-8月返'!A:A,1,FALSE)</f>
        <v>#N/A</v>
      </c>
      <c r="J996" s="124" t="s">
        <v>37</v>
      </c>
      <c r="K996" s="304" t="s">
        <v>5369</v>
      </c>
      <c r="L996" s="305" t="s">
        <v>5370</v>
      </c>
      <c r="M996" s="127" t="s">
        <v>5371</v>
      </c>
      <c r="N996" s="50" t="s">
        <v>5372</v>
      </c>
      <c r="O996" s="50" t="s">
        <v>5373</v>
      </c>
      <c r="P996" s="349">
        <v>8333.33</v>
      </c>
      <c r="Q996" s="330">
        <v>30.3</v>
      </c>
      <c r="R996" s="54">
        <f t="shared" si="67"/>
        <v>252499.9</v>
      </c>
      <c r="S996" s="310">
        <v>202308</v>
      </c>
      <c r="T996" s="364" t="s">
        <v>5374</v>
      </c>
      <c r="U996" s="314"/>
      <c r="V996" s="149">
        <v>30.270929336999998</v>
      </c>
      <c r="W996" s="149"/>
      <c r="X996" s="178">
        <v>45047</v>
      </c>
      <c r="Y996" s="178"/>
      <c r="Z996" s="338" t="s">
        <v>5375</v>
      </c>
      <c r="AA996" s="338">
        <v>0.3</v>
      </c>
      <c r="AB996" s="25">
        <v>80</v>
      </c>
      <c r="AC996" s="25">
        <f t="shared" ref="AC996:AC1000" si="70">AB996*AA996</f>
        <v>24</v>
      </c>
    </row>
    <row r="997" spans="1:29" s="9" customFormat="1" ht="15" customHeight="1">
      <c r="A997" s="26" t="s">
        <v>136</v>
      </c>
      <c r="B997" s="319" t="s">
        <v>5240</v>
      </c>
      <c r="C997" s="97" t="s">
        <v>5359</v>
      </c>
      <c r="D997" s="27" t="s">
        <v>303</v>
      </c>
      <c r="E997" s="39" t="s">
        <v>5376</v>
      </c>
      <c r="F997" s="26" t="s">
        <v>5377</v>
      </c>
      <c r="G997" s="124" t="s">
        <v>35</v>
      </c>
      <c r="H997" s="124" t="s">
        <v>5378</v>
      </c>
      <c r="I997" s="32" t="e">
        <f>VLOOKUP(H997,'合同高级查询数据-8月返'!A:A,1,FALSE)</f>
        <v>#N/A</v>
      </c>
      <c r="J997" s="124" t="s">
        <v>37</v>
      </c>
      <c r="K997" s="304" t="s">
        <v>5379</v>
      </c>
      <c r="L997" s="305" t="s">
        <v>5380</v>
      </c>
      <c r="M997" s="127" t="s">
        <v>5381</v>
      </c>
      <c r="N997" s="50" t="s">
        <v>5382</v>
      </c>
      <c r="O997" s="50" t="s">
        <v>5383</v>
      </c>
      <c r="P997" s="349">
        <v>9000</v>
      </c>
      <c r="Q997" s="330">
        <v>12.05</v>
      </c>
      <c r="R997" s="54">
        <f t="shared" si="67"/>
        <v>108450</v>
      </c>
      <c r="S997" s="310">
        <v>202308</v>
      </c>
      <c r="T997" s="364" t="s">
        <v>5384</v>
      </c>
      <c r="U997" s="314"/>
      <c r="V997" s="149">
        <v>11.947149142000001</v>
      </c>
      <c r="W997" s="149">
        <v>12.15</v>
      </c>
      <c r="X997" s="178">
        <v>45139</v>
      </c>
      <c r="Y997" s="178"/>
      <c r="Z997" s="338" t="s">
        <v>5385</v>
      </c>
      <c r="AA997" s="338">
        <v>0.3</v>
      </c>
      <c r="AB997" s="25">
        <v>40</v>
      </c>
      <c r="AC997" s="25">
        <f t="shared" si="70"/>
        <v>12</v>
      </c>
    </row>
    <row r="998" spans="1:29" s="9" customFormat="1" ht="15" customHeight="1">
      <c r="A998" s="26" t="s">
        <v>191</v>
      </c>
      <c r="B998" s="319" t="s">
        <v>5240</v>
      </c>
      <c r="C998" s="97" t="s">
        <v>5359</v>
      </c>
      <c r="D998" s="27" t="s">
        <v>303</v>
      </c>
      <c r="E998" s="39" t="s">
        <v>5386</v>
      </c>
      <c r="F998" s="26" t="s">
        <v>5387</v>
      </c>
      <c r="G998" s="124" t="s">
        <v>35</v>
      </c>
      <c r="H998" s="124" t="s">
        <v>5388</v>
      </c>
      <c r="I998" s="32" t="e">
        <f>VLOOKUP(H998,'合同高级查询数据-8月返'!A:A,1,FALSE)</f>
        <v>#N/A</v>
      </c>
      <c r="J998" s="124" t="s">
        <v>37</v>
      </c>
      <c r="K998" s="304" t="s">
        <v>5389</v>
      </c>
      <c r="L998" s="305" t="s">
        <v>5390</v>
      </c>
      <c r="M998" s="127" t="s">
        <v>5391</v>
      </c>
      <c r="N998" s="50" t="s">
        <v>5392</v>
      </c>
      <c r="O998" s="50" t="s">
        <v>1436</v>
      </c>
      <c r="P998" s="349">
        <v>6740</v>
      </c>
      <c r="Q998" s="330">
        <v>0</v>
      </c>
      <c r="R998" s="54">
        <f t="shared" si="67"/>
        <v>0</v>
      </c>
      <c r="S998" s="310">
        <v>202308</v>
      </c>
      <c r="T998" s="364" t="s">
        <v>5393</v>
      </c>
      <c r="U998" s="314"/>
      <c r="V998" s="149">
        <v>0</v>
      </c>
      <c r="W998" s="149"/>
      <c r="X998" s="178">
        <v>45108</v>
      </c>
      <c r="Y998" s="374"/>
      <c r="Z998" s="338" t="s">
        <v>5394</v>
      </c>
      <c r="AA998" s="338">
        <v>0.4</v>
      </c>
      <c r="AB998" s="25">
        <v>0</v>
      </c>
      <c r="AC998" s="25">
        <f t="shared" si="70"/>
        <v>0</v>
      </c>
    </row>
    <row r="999" spans="1:29" s="9" customFormat="1" ht="15" customHeight="1">
      <c r="A999" s="26" t="s">
        <v>191</v>
      </c>
      <c r="B999" s="319" t="s">
        <v>5240</v>
      </c>
      <c r="C999" s="97" t="s">
        <v>5359</v>
      </c>
      <c r="D999" s="27" t="s">
        <v>303</v>
      </c>
      <c r="E999" s="39" t="s">
        <v>5386</v>
      </c>
      <c r="F999" s="26" t="s">
        <v>5387</v>
      </c>
      <c r="G999" s="124" t="s">
        <v>35</v>
      </c>
      <c r="H999" s="124" t="s">
        <v>5388</v>
      </c>
      <c r="I999" s="32" t="e">
        <f>VLOOKUP(H999,'合同高级查询数据-8月返'!A:A,1,FALSE)</f>
        <v>#N/A</v>
      </c>
      <c r="J999" s="124" t="s">
        <v>37</v>
      </c>
      <c r="K999" s="304" t="s">
        <v>5389</v>
      </c>
      <c r="L999" s="305" t="s">
        <v>5395</v>
      </c>
      <c r="M999" s="127" t="s">
        <v>5391</v>
      </c>
      <c r="N999" s="50" t="s">
        <v>5396</v>
      </c>
      <c r="O999" s="50" t="s">
        <v>3782</v>
      </c>
      <c r="P999" s="349">
        <v>6740</v>
      </c>
      <c r="Q999" s="330">
        <v>9.6</v>
      </c>
      <c r="R999" s="54">
        <f t="shared" si="67"/>
        <v>64704</v>
      </c>
      <c r="S999" s="310">
        <v>202308</v>
      </c>
      <c r="T999" s="364" t="s">
        <v>5397</v>
      </c>
      <c r="U999" s="314"/>
      <c r="V999" s="149">
        <v>9.6006517410000001</v>
      </c>
      <c r="W999" s="149"/>
      <c r="X999" s="178">
        <v>45108</v>
      </c>
      <c r="Y999" s="374"/>
      <c r="Z999" s="338" t="s">
        <v>5398</v>
      </c>
      <c r="AA999" s="338">
        <v>0.4</v>
      </c>
      <c r="AB999" s="25">
        <v>20</v>
      </c>
      <c r="AC999" s="25">
        <f t="shared" si="70"/>
        <v>8</v>
      </c>
    </row>
    <row r="1000" spans="1:29" s="9" customFormat="1" ht="15" customHeight="1">
      <c r="A1000" s="26" t="s">
        <v>191</v>
      </c>
      <c r="B1000" s="319" t="s">
        <v>5240</v>
      </c>
      <c r="C1000" s="97" t="s">
        <v>5359</v>
      </c>
      <c r="D1000" s="27" t="s">
        <v>303</v>
      </c>
      <c r="E1000" s="39" t="s">
        <v>5386</v>
      </c>
      <c r="F1000" s="26" t="s">
        <v>5387</v>
      </c>
      <c r="G1000" s="124" t="s">
        <v>35</v>
      </c>
      <c r="H1000" s="124" t="s">
        <v>5388</v>
      </c>
      <c r="I1000" s="32" t="e">
        <f>VLOOKUP(H1000,'合同高级查询数据-8月返'!A:A,1,FALSE)</f>
        <v>#N/A</v>
      </c>
      <c r="J1000" s="124" t="s">
        <v>37</v>
      </c>
      <c r="K1000" s="304" t="s">
        <v>5389</v>
      </c>
      <c r="L1000" s="305" t="s">
        <v>5395</v>
      </c>
      <c r="M1000" s="127" t="s">
        <v>5391</v>
      </c>
      <c r="N1000" s="50" t="s">
        <v>5396</v>
      </c>
      <c r="O1000" s="50" t="s">
        <v>3782</v>
      </c>
      <c r="P1000" s="349">
        <v>6740</v>
      </c>
      <c r="Q1000" s="330">
        <f>10.38-10.37</f>
        <v>1.0000000000001563E-2</v>
      </c>
      <c r="R1000" s="54">
        <f t="shared" si="67"/>
        <v>67.400000000000006</v>
      </c>
      <c r="S1000" s="310">
        <v>202307</v>
      </c>
      <c r="T1000" s="364" t="s">
        <v>5399</v>
      </c>
      <c r="U1000" s="314"/>
      <c r="V1000" s="149">
        <v>10.372252464000001</v>
      </c>
      <c r="W1000" s="149">
        <v>10.39</v>
      </c>
      <c r="X1000" s="178">
        <v>45108</v>
      </c>
      <c r="Y1000" s="374"/>
      <c r="Z1000" s="338" t="s">
        <v>5398</v>
      </c>
      <c r="AA1000" s="338">
        <v>0.4</v>
      </c>
      <c r="AB1000" s="25">
        <v>20</v>
      </c>
      <c r="AC1000" s="25">
        <f t="shared" si="70"/>
        <v>8</v>
      </c>
    </row>
    <row r="1001" spans="1:29" s="10" customFormat="1" ht="15" customHeight="1">
      <c r="A1001" s="29" t="s">
        <v>184</v>
      </c>
      <c r="B1001" s="340" t="s">
        <v>5400</v>
      </c>
      <c r="C1001" s="129" t="s">
        <v>1942</v>
      </c>
      <c r="D1001" s="30" t="s">
        <v>303</v>
      </c>
      <c r="E1001" s="48" t="s">
        <v>5401</v>
      </c>
      <c r="F1001" s="29" t="s">
        <v>5402</v>
      </c>
      <c r="G1001" s="303" t="s">
        <v>35</v>
      </c>
      <c r="H1001" s="303" t="s">
        <v>5403</v>
      </c>
      <c r="I1001" s="33" t="e">
        <f>VLOOKUP(H1001,'合同高级查询数据-8月返'!A:A,1,FALSE)</f>
        <v>#N/A</v>
      </c>
      <c r="J1001" s="303" t="s">
        <v>37</v>
      </c>
      <c r="K1001" s="306" t="s">
        <v>5404</v>
      </c>
      <c r="L1001" s="307" t="s">
        <v>5404</v>
      </c>
      <c r="M1001" s="308" t="s">
        <v>5405</v>
      </c>
      <c r="N1001" s="110" t="s">
        <v>5406</v>
      </c>
      <c r="O1001" s="110" t="s">
        <v>5407</v>
      </c>
      <c r="P1001" s="348">
        <v>6250</v>
      </c>
      <c r="Q1001" s="354">
        <v>0</v>
      </c>
      <c r="R1001" s="58">
        <f t="shared" si="67"/>
        <v>0</v>
      </c>
      <c r="S1001" s="311">
        <v>202308</v>
      </c>
      <c r="T1001" s="363" t="s">
        <v>5408</v>
      </c>
      <c r="U1001" s="315"/>
      <c r="V1001" s="316">
        <v>0</v>
      </c>
      <c r="W1001" s="316"/>
      <c r="X1001" s="172">
        <v>45017</v>
      </c>
      <c r="Y1001" s="172">
        <v>45382</v>
      </c>
      <c r="Z1001" s="373"/>
      <c r="AA1001" s="373">
        <v>0</v>
      </c>
      <c r="AB1001" s="28">
        <v>0</v>
      </c>
      <c r="AC1001" s="28">
        <f t="shared" ref="AC1001:AC1006" si="71">AA1001*AB1001</f>
        <v>0</v>
      </c>
    </row>
    <row r="1002" spans="1:29" s="10" customFormat="1" ht="15" customHeight="1">
      <c r="A1002" s="29" t="s">
        <v>184</v>
      </c>
      <c r="B1002" s="340" t="s">
        <v>5400</v>
      </c>
      <c r="C1002" s="129" t="s">
        <v>1942</v>
      </c>
      <c r="D1002" s="30" t="s">
        <v>303</v>
      </c>
      <c r="E1002" s="48" t="s">
        <v>5401</v>
      </c>
      <c r="F1002" s="29" t="s">
        <v>5402</v>
      </c>
      <c r="G1002" s="303" t="s">
        <v>35</v>
      </c>
      <c r="H1002" s="303" t="s">
        <v>5409</v>
      </c>
      <c r="I1002" s="33" t="e">
        <f>VLOOKUP(H1002,'合同高级查询数据-8月返'!A:A,1,FALSE)</f>
        <v>#N/A</v>
      </c>
      <c r="J1002" s="303" t="s">
        <v>37</v>
      </c>
      <c r="K1002" s="306" t="s">
        <v>5410</v>
      </c>
      <c r="L1002" s="307" t="s">
        <v>5411</v>
      </c>
      <c r="M1002" s="308" t="s">
        <v>5405</v>
      </c>
      <c r="N1002" s="110" t="s">
        <v>5412</v>
      </c>
      <c r="O1002" s="110" t="s">
        <v>5413</v>
      </c>
      <c r="P1002" s="348">
        <v>6250</v>
      </c>
      <c r="Q1002" s="354">
        <v>70.97</v>
      </c>
      <c r="R1002" s="58">
        <f t="shared" si="67"/>
        <v>443562.5</v>
      </c>
      <c r="S1002" s="311">
        <v>202308</v>
      </c>
      <c r="T1002" s="363" t="s">
        <v>5414</v>
      </c>
      <c r="U1002" s="315"/>
      <c r="V1002" s="367">
        <v>70.970176696999999</v>
      </c>
      <c r="W1002" s="316"/>
      <c r="X1002" s="172">
        <v>45017</v>
      </c>
      <c r="Y1002" s="172">
        <v>45382</v>
      </c>
      <c r="Z1002" s="373" t="s">
        <v>5415</v>
      </c>
      <c r="AA1002" s="373">
        <v>0.3</v>
      </c>
      <c r="AB1002" s="28">
        <v>220</v>
      </c>
      <c r="AC1002" s="28">
        <f t="shared" si="71"/>
        <v>66</v>
      </c>
    </row>
    <row r="1003" spans="1:29" s="10" customFormat="1" ht="15" customHeight="1">
      <c r="A1003" s="29" t="s">
        <v>184</v>
      </c>
      <c r="B1003" s="340" t="s">
        <v>5400</v>
      </c>
      <c r="C1003" s="129" t="s">
        <v>1942</v>
      </c>
      <c r="D1003" s="30" t="s">
        <v>303</v>
      </c>
      <c r="E1003" s="48" t="s">
        <v>5401</v>
      </c>
      <c r="F1003" s="29" t="s">
        <v>5402</v>
      </c>
      <c r="G1003" s="303" t="s">
        <v>35</v>
      </c>
      <c r="H1003" s="303" t="s">
        <v>5409</v>
      </c>
      <c r="I1003" s="33" t="e">
        <f>VLOOKUP(H1003,'合同高级查询数据-8月返'!A:A,1,FALSE)</f>
        <v>#N/A</v>
      </c>
      <c r="J1003" s="303" t="s">
        <v>37</v>
      </c>
      <c r="K1003" s="306" t="s">
        <v>5416</v>
      </c>
      <c r="L1003" s="307" t="s">
        <v>5417</v>
      </c>
      <c r="M1003" s="308" t="s">
        <v>5405</v>
      </c>
      <c r="N1003" s="110" t="s">
        <v>5418</v>
      </c>
      <c r="O1003" s="110" t="s">
        <v>5419</v>
      </c>
      <c r="P1003" s="348">
        <v>6250</v>
      </c>
      <c r="Q1003" s="354">
        <v>0</v>
      </c>
      <c r="R1003" s="58">
        <f t="shared" si="67"/>
        <v>0</v>
      </c>
      <c r="S1003" s="311">
        <v>202308</v>
      </c>
      <c r="T1003" s="363" t="s">
        <v>5420</v>
      </c>
      <c r="U1003" s="315"/>
      <c r="V1003" s="316">
        <v>0</v>
      </c>
      <c r="W1003" s="316"/>
      <c r="X1003" s="172">
        <v>45017</v>
      </c>
      <c r="Y1003" s="172">
        <v>45382</v>
      </c>
      <c r="Z1003" s="373"/>
      <c r="AA1003" s="373">
        <v>0</v>
      </c>
      <c r="AB1003" s="28">
        <v>0</v>
      </c>
      <c r="AC1003" s="28">
        <f t="shared" si="71"/>
        <v>0</v>
      </c>
    </row>
    <row r="1004" spans="1:29" s="9" customFormat="1" ht="15" customHeight="1">
      <c r="A1004" s="26" t="s">
        <v>184</v>
      </c>
      <c r="B1004" s="319" t="s">
        <v>5400</v>
      </c>
      <c r="C1004" s="97" t="s">
        <v>1942</v>
      </c>
      <c r="D1004" s="27" t="s">
        <v>303</v>
      </c>
      <c r="E1004" s="39" t="s">
        <v>5401</v>
      </c>
      <c r="F1004" s="26" t="s">
        <v>5402</v>
      </c>
      <c r="G1004" s="124" t="s">
        <v>35</v>
      </c>
      <c r="H1004" s="124" t="s">
        <v>5421</v>
      </c>
      <c r="I1004" s="32" t="e">
        <f>VLOOKUP(H1004,'合同高级查询数据-8月返'!A:A,1,FALSE)</f>
        <v>#N/A</v>
      </c>
      <c r="J1004" s="124" t="s">
        <v>37</v>
      </c>
      <c r="K1004" s="304" t="s">
        <v>2649</v>
      </c>
      <c r="L1004" s="305" t="s">
        <v>5422</v>
      </c>
      <c r="M1004" s="127" t="s">
        <v>5423</v>
      </c>
      <c r="N1004" s="50" t="s">
        <v>1834</v>
      </c>
      <c r="O1004" s="50" t="s">
        <v>5424</v>
      </c>
      <c r="P1004" s="349">
        <v>6250</v>
      </c>
      <c r="Q1004" s="330">
        <v>0</v>
      </c>
      <c r="R1004" s="54">
        <f t="shared" si="67"/>
        <v>0</v>
      </c>
      <c r="S1004" s="310">
        <v>202308</v>
      </c>
      <c r="T1004" s="364" t="s">
        <v>5425</v>
      </c>
      <c r="U1004" s="314"/>
      <c r="V1004" s="149">
        <v>0</v>
      </c>
      <c r="W1004" s="149"/>
      <c r="X1004" s="178"/>
      <c r="Y1004" s="374"/>
      <c r="Z1004" s="338"/>
      <c r="AA1004" s="338">
        <v>0</v>
      </c>
      <c r="AB1004" s="25">
        <v>0</v>
      </c>
      <c r="AC1004" s="25">
        <f t="shared" si="71"/>
        <v>0</v>
      </c>
    </row>
    <row r="1005" spans="1:29" s="9" customFormat="1" ht="15" customHeight="1">
      <c r="A1005" s="26" t="s">
        <v>136</v>
      </c>
      <c r="B1005" s="319" t="s">
        <v>5400</v>
      </c>
      <c r="C1005" s="97" t="s">
        <v>1942</v>
      </c>
      <c r="D1005" s="27" t="s">
        <v>303</v>
      </c>
      <c r="E1005" s="39" t="s">
        <v>5426</v>
      </c>
      <c r="F1005" s="26" t="s">
        <v>5427</v>
      </c>
      <c r="G1005" s="124" t="s">
        <v>35</v>
      </c>
      <c r="H1005" s="124" t="s">
        <v>5428</v>
      </c>
      <c r="I1005" s="32" t="e">
        <f>VLOOKUP(H1005,'合同高级查询数据-8月返'!A:A,1,FALSE)</f>
        <v>#N/A</v>
      </c>
      <c r="J1005" s="124" t="s">
        <v>37</v>
      </c>
      <c r="K1005" s="304" t="s">
        <v>5429</v>
      </c>
      <c r="L1005" s="305" t="s">
        <v>5430</v>
      </c>
      <c r="M1005" s="127" t="s">
        <v>5431</v>
      </c>
      <c r="N1005" s="50" t="s">
        <v>5432</v>
      </c>
      <c r="O1005" s="50" t="s">
        <v>5433</v>
      </c>
      <c r="P1005" s="349">
        <v>8333.33</v>
      </c>
      <c r="Q1005" s="330">
        <v>5.3</v>
      </c>
      <c r="R1005" s="54">
        <f t="shared" si="67"/>
        <v>44166.65</v>
      </c>
      <c r="S1005" s="310">
        <v>202308</v>
      </c>
      <c r="T1005" s="364" t="s">
        <v>5434</v>
      </c>
      <c r="U1005" s="314"/>
      <c r="V1005" s="149">
        <v>5.2750599859999996</v>
      </c>
      <c r="W1005" s="149"/>
      <c r="X1005" s="178">
        <v>45078</v>
      </c>
      <c r="Y1005" s="374"/>
      <c r="Z1005" s="338" t="s">
        <v>5435</v>
      </c>
      <c r="AA1005" s="338">
        <v>0.25</v>
      </c>
      <c r="AB1005" s="25">
        <v>20</v>
      </c>
      <c r="AC1005" s="25">
        <f t="shared" si="71"/>
        <v>5</v>
      </c>
    </row>
    <row r="1006" spans="1:29" s="9" customFormat="1" ht="15" customHeight="1">
      <c r="A1006" s="26" t="s">
        <v>191</v>
      </c>
      <c r="B1006" s="319" t="s">
        <v>5400</v>
      </c>
      <c r="C1006" s="97" t="s">
        <v>1942</v>
      </c>
      <c r="D1006" s="27" t="s">
        <v>303</v>
      </c>
      <c r="E1006" s="39" t="s">
        <v>5436</v>
      </c>
      <c r="F1006" s="26" t="s">
        <v>5437</v>
      </c>
      <c r="G1006" s="124" t="s">
        <v>35</v>
      </c>
      <c r="H1006" s="124" t="s">
        <v>5438</v>
      </c>
      <c r="I1006" s="32" t="e">
        <f>VLOOKUP(H1006,'合同高级查询数据-8月返'!A:A,1,FALSE)</f>
        <v>#N/A</v>
      </c>
      <c r="J1006" s="124" t="s">
        <v>37</v>
      </c>
      <c r="K1006" s="304" t="s">
        <v>5439</v>
      </c>
      <c r="L1006" s="305" t="s">
        <v>5440</v>
      </c>
      <c r="M1006" s="127" t="s">
        <v>5441</v>
      </c>
      <c r="N1006" s="50" t="s">
        <v>5442</v>
      </c>
      <c r="O1006" s="50" t="s">
        <v>5443</v>
      </c>
      <c r="P1006" s="349">
        <v>6740</v>
      </c>
      <c r="Q1006" s="330">
        <v>9.48</v>
      </c>
      <c r="R1006" s="54">
        <f t="shared" si="67"/>
        <v>63895.199999999997</v>
      </c>
      <c r="S1006" s="310">
        <v>202308</v>
      </c>
      <c r="T1006" s="364" t="s">
        <v>5444</v>
      </c>
      <c r="U1006" s="314"/>
      <c r="V1006" s="149">
        <v>9.4812507630000002</v>
      </c>
      <c r="W1006" s="149"/>
      <c r="X1006" s="178">
        <v>45108</v>
      </c>
      <c r="Y1006" s="178"/>
      <c r="Z1006" s="338" t="s">
        <v>5445</v>
      </c>
      <c r="AA1006" s="338">
        <v>0.4</v>
      </c>
      <c r="AB1006" s="25">
        <v>20</v>
      </c>
      <c r="AC1006" s="25">
        <f t="shared" si="71"/>
        <v>8</v>
      </c>
    </row>
    <row r="1007" spans="1:29" s="9" customFormat="1" ht="15" customHeight="1">
      <c r="A1007" s="26" t="s">
        <v>191</v>
      </c>
      <c r="B1007" s="319" t="s">
        <v>5400</v>
      </c>
      <c r="C1007" s="97" t="s">
        <v>1942</v>
      </c>
      <c r="D1007" s="27" t="s">
        <v>303</v>
      </c>
      <c r="E1007" s="39" t="s">
        <v>5436</v>
      </c>
      <c r="F1007" s="26" t="s">
        <v>5437</v>
      </c>
      <c r="G1007" s="124" t="s">
        <v>35</v>
      </c>
      <c r="H1007" s="124" t="s">
        <v>5446</v>
      </c>
      <c r="I1007" s="32" t="e">
        <f>VLOOKUP(H1007,'合同高级查询数据-8月返'!A:A,1,FALSE)</f>
        <v>#N/A</v>
      </c>
      <c r="J1007" s="124" t="s">
        <v>37</v>
      </c>
      <c r="K1007" s="304" t="s">
        <v>5447</v>
      </c>
      <c r="L1007" s="305" t="s">
        <v>5448</v>
      </c>
      <c r="M1007" s="127" t="s">
        <v>5449</v>
      </c>
      <c r="N1007" s="50" t="s">
        <v>5450</v>
      </c>
      <c r="O1007" s="50" t="s">
        <v>5451</v>
      </c>
      <c r="P1007" s="349">
        <v>6740</v>
      </c>
      <c r="Q1007" s="330">
        <v>267.95999999999998</v>
      </c>
      <c r="R1007" s="54">
        <f t="shared" si="67"/>
        <v>1806050.4</v>
      </c>
      <c r="S1007" s="310">
        <v>202308</v>
      </c>
      <c r="T1007" s="364" t="s">
        <v>5452</v>
      </c>
      <c r="U1007" s="314"/>
      <c r="V1007" s="370">
        <v>267.95450711400002</v>
      </c>
      <c r="W1007" s="149"/>
      <c r="X1007" s="178">
        <v>45050</v>
      </c>
      <c r="Y1007" s="374"/>
      <c r="Z1007" s="338" t="s">
        <v>5453</v>
      </c>
      <c r="AA1007" s="338">
        <v>0.4</v>
      </c>
      <c r="AB1007" s="25">
        <v>400</v>
      </c>
      <c r="AC1007" s="25">
        <v>160</v>
      </c>
    </row>
    <row r="1008" spans="1:29" s="9" customFormat="1" ht="15" customHeight="1">
      <c r="A1008" s="26" t="s">
        <v>191</v>
      </c>
      <c r="B1008" s="319" t="s">
        <v>5400</v>
      </c>
      <c r="C1008" s="97" t="s">
        <v>1942</v>
      </c>
      <c r="D1008" s="27" t="s">
        <v>303</v>
      </c>
      <c r="E1008" s="39" t="s">
        <v>5436</v>
      </c>
      <c r="F1008" s="26" t="s">
        <v>5437</v>
      </c>
      <c r="G1008" s="124" t="s">
        <v>35</v>
      </c>
      <c r="H1008" s="124" t="s">
        <v>5446</v>
      </c>
      <c r="I1008" s="32" t="e">
        <f>VLOOKUP(H1008,'合同高级查询数据-8月返'!A:A,1,FALSE)</f>
        <v>#N/A</v>
      </c>
      <c r="J1008" s="124" t="s">
        <v>37</v>
      </c>
      <c r="K1008" s="304" t="s">
        <v>5447</v>
      </c>
      <c r="L1008" s="305" t="s">
        <v>5448</v>
      </c>
      <c r="M1008" s="127" t="s">
        <v>5449</v>
      </c>
      <c r="N1008" s="50">
        <v>45051</v>
      </c>
      <c r="O1008" s="50" t="s">
        <v>724</v>
      </c>
      <c r="P1008" s="349">
        <v>6740</v>
      </c>
      <c r="Q1008" s="330">
        <f>253.61-253.45</f>
        <v>0.16000000000002501</v>
      </c>
      <c r="R1008" s="54">
        <f t="shared" si="67"/>
        <v>1078.4000000000001</v>
      </c>
      <c r="S1008" s="310">
        <v>202307</v>
      </c>
      <c r="T1008" s="364" t="s">
        <v>5454</v>
      </c>
      <c r="U1008" s="314"/>
      <c r="V1008" s="370">
        <v>253.446</v>
      </c>
      <c r="W1008" s="149">
        <v>253.78299999999999</v>
      </c>
      <c r="X1008" s="178">
        <v>45050</v>
      </c>
      <c r="Y1008" s="374"/>
      <c r="Z1008" s="338" t="s">
        <v>5453</v>
      </c>
      <c r="AA1008" s="338">
        <v>0.4</v>
      </c>
      <c r="AB1008" s="25">
        <v>400</v>
      </c>
      <c r="AC1008" s="25">
        <v>160</v>
      </c>
    </row>
    <row r="1009" spans="1:29" s="9" customFormat="1" ht="15" customHeight="1">
      <c r="A1009" s="26" t="s">
        <v>191</v>
      </c>
      <c r="B1009" s="319" t="s">
        <v>5400</v>
      </c>
      <c r="C1009" s="97" t="s">
        <v>1942</v>
      </c>
      <c r="D1009" s="27" t="s">
        <v>303</v>
      </c>
      <c r="E1009" s="39" t="s">
        <v>5436</v>
      </c>
      <c r="F1009" s="26" t="s">
        <v>5437</v>
      </c>
      <c r="G1009" s="124" t="s">
        <v>35</v>
      </c>
      <c r="H1009" s="124" t="s">
        <v>5446</v>
      </c>
      <c r="I1009" s="32" t="e">
        <f>VLOOKUP(H1009,'合同高级查询数据-8月返'!A:A,1,FALSE)</f>
        <v>#N/A</v>
      </c>
      <c r="J1009" s="124" t="s">
        <v>37</v>
      </c>
      <c r="K1009" s="304" t="s">
        <v>5455</v>
      </c>
      <c r="L1009" s="305" t="s">
        <v>5456</v>
      </c>
      <c r="M1009" s="127" t="s">
        <v>5441</v>
      </c>
      <c r="N1009" s="50">
        <v>45148</v>
      </c>
      <c r="O1009" s="50" t="s">
        <v>447</v>
      </c>
      <c r="P1009" s="349">
        <v>6740</v>
      </c>
      <c r="Q1009" s="330">
        <f>ROUND(40*22/31,2)</f>
        <v>28.39</v>
      </c>
      <c r="R1009" s="54">
        <f t="shared" si="67"/>
        <v>191348.6</v>
      </c>
      <c r="S1009" s="310">
        <v>202308</v>
      </c>
      <c r="T1009" s="364" t="s">
        <v>5457</v>
      </c>
      <c r="U1009" s="314"/>
      <c r="V1009" s="149">
        <v>1.0290348E-2</v>
      </c>
      <c r="W1009" s="149"/>
      <c r="X1009" s="178">
        <v>45050</v>
      </c>
      <c r="Y1009" s="374"/>
      <c r="Z1009" s="338" t="s">
        <v>5458</v>
      </c>
      <c r="AA1009" s="338">
        <v>0.4</v>
      </c>
      <c r="AB1009" s="25">
        <v>100</v>
      </c>
      <c r="AC1009" s="25">
        <v>40</v>
      </c>
    </row>
    <row r="1010" spans="1:29" s="9" customFormat="1" ht="15" customHeight="1">
      <c r="A1010" s="26" t="s">
        <v>191</v>
      </c>
      <c r="B1010" s="319" t="s">
        <v>5400</v>
      </c>
      <c r="C1010" s="97" t="s">
        <v>1942</v>
      </c>
      <c r="D1010" s="27" t="s">
        <v>303</v>
      </c>
      <c r="E1010" s="39" t="s">
        <v>5436</v>
      </c>
      <c r="F1010" s="26" t="s">
        <v>5437</v>
      </c>
      <c r="G1010" s="124" t="s">
        <v>35</v>
      </c>
      <c r="H1010" s="124" t="s">
        <v>5446</v>
      </c>
      <c r="I1010" s="32" t="e">
        <f>VLOOKUP(H1010,'合同高级查询数据-8月返'!A:A,1,FALSE)</f>
        <v>#N/A</v>
      </c>
      <c r="J1010" s="124" t="s">
        <v>37</v>
      </c>
      <c r="K1010" s="304" t="s">
        <v>5459</v>
      </c>
      <c r="L1010" s="305" t="s">
        <v>5460</v>
      </c>
      <c r="M1010" s="127" t="s">
        <v>5441</v>
      </c>
      <c r="N1010" s="50">
        <v>45148</v>
      </c>
      <c r="O1010" s="50" t="s">
        <v>447</v>
      </c>
      <c r="P1010" s="349">
        <v>6740</v>
      </c>
      <c r="Q1010" s="330">
        <f>ROUND(40*22/31,2)</f>
        <v>28.39</v>
      </c>
      <c r="R1010" s="54">
        <f t="shared" si="67"/>
        <v>191348.6</v>
      </c>
      <c r="S1010" s="310">
        <v>202308</v>
      </c>
      <c r="T1010" s="364" t="s">
        <v>5461</v>
      </c>
      <c r="U1010" s="314"/>
      <c r="V1010" s="149">
        <v>4.2337149999999999E-3</v>
      </c>
      <c r="W1010" s="149"/>
      <c r="X1010" s="178">
        <v>45050</v>
      </c>
      <c r="Y1010" s="374"/>
      <c r="Z1010" s="338" t="s">
        <v>5462</v>
      </c>
      <c r="AA1010" s="338">
        <v>0.4</v>
      </c>
      <c r="AB1010" s="25">
        <v>100</v>
      </c>
      <c r="AC1010" s="25">
        <v>40</v>
      </c>
    </row>
    <row r="1011" spans="1:29" s="9" customFormat="1" ht="15" customHeight="1">
      <c r="A1011" s="26" t="s">
        <v>191</v>
      </c>
      <c r="B1011" s="319" t="s">
        <v>5400</v>
      </c>
      <c r="C1011" s="97" t="s">
        <v>1942</v>
      </c>
      <c r="D1011" s="27" t="s">
        <v>303</v>
      </c>
      <c r="E1011" s="39" t="s">
        <v>5436</v>
      </c>
      <c r="F1011" s="26" t="s">
        <v>5437</v>
      </c>
      <c r="G1011" s="124" t="s">
        <v>35</v>
      </c>
      <c r="H1011" s="124" t="s">
        <v>5446</v>
      </c>
      <c r="I1011" s="32" t="e">
        <f>VLOOKUP(H1011,'合同高级查询数据-8月返'!A:A,1,FALSE)</f>
        <v>#N/A</v>
      </c>
      <c r="J1011" s="124" t="s">
        <v>37</v>
      </c>
      <c r="K1011" s="304" t="s">
        <v>5463</v>
      </c>
      <c r="L1011" s="305" t="s">
        <v>5464</v>
      </c>
      <c r="M1011" s="127" t="s">
        <v>5449</v>
      </c>
      <c r="N1011" s="50">
        <v>45148</v>
      </c>
      <c r="O1011" s="50" t="s">
        <v>319</v>
      </c>
      <c r="P1011" s="349">
        <v>6740</v>
      </c>
      <c r="Q1011" s="330">
        <v>69.959999999999994</v>
      </c>
      <c r="R1011" s="54">
        <f t="shared" si="67"/>
        <v>471530.4</v>
      </c>
      <c r="S1011" s="310">
        <v>202308</v>
      </c>
      <c r="T1011" s="364" t="s">
        <v>5465</v>
      </c>
      <c r="U1011" s="314"/>
      <c r="V1011" s="149">
        <v>69.957217768000007</v>
      </c>
      <c r="W1011" s="149"/>
      <c r="X1011" s="178">
        <v>45050</v>
      </c>
      <c r="Y1011" s="374"/>
      <c r="Z1011" s="338" t="s">
        <v>5466</v>
      </c>
      <c r="AA1011" s="338">
        <v>0.4</v>
      </c>
      <c r="AB1011" s="25">
        <v>200</v>
      </c>
      <c r="AC1011" s="25">
        <v>80</v>
      </c>
    </row>
    <row r="1027712" s="13" customFormat="1" ht="15" customHeight="1"/>
    <row r="1027713" s="13" customFormat="1" ht="15" customHeight="1"/>
    <row r="1027714" s="13" customFormat="1" ht="15" customHeight="1"/>
    <row r="1027715" s="13" customFormat="1" ht="15" customHeight="1"/>
    <row r="1027716" s="13" customFormat="1" ht="15" customHeight="1"/>
    <row r="1027717" s="13" customFormat="1" ht="15" customHeight="1"/>
    <row r="1027718" s="13" customFormat="1" ht="15" customHeight="1"/>
    <row r="1027719" s="13" customFormat="1" ht="15" customHeight="1"/>
    <row r="1027720" s="13" customFormat="1" ht="15" customHeight="1"/>
    <row r="1027721" s="13" customFormat="1" ht="15" customHeight="1"/>
    <row r="1027722" s="13" customFormat="1" ht="15" customHeight="1"/>
    <row r="1027723" s="13" customFormat="1" ht="15" customHeight="1"/>
    <row r="1027724" s="13" customFormat="1" ht="15" customHeight="1"/>
    <row r="1027725" s="13" customFormat="1" ht="15" customHeight="1"/>
    <row r="1027726" s="13" customFormat="1" ht="15" customHeight="1"/>
    <row r="1027727" s="13" customFormat="1" ht="15" customHeight="1"/>
    <row r="1027728" s="13" customFormat="1" ht="15" customHeight="1"/>
    <row r="1027729" s="13" customFormat="1" ht="15" customHeight="1"/>
    <row r="1027730" s="13" customFormat="1" ht="15" customHeight="1"/>
    <row r="1027731" s="13" customFormat="1" ht="15" customHeight="1"/>
    <row r="1027732" s="13" customFormat="1" ht="15" customHeight="1"/>
    <row r="1027733" s="13" customFormat="1" ht="15" customHeight="1"/>
    <row r="1027734" s="13" customFormat="1" ht="15" customHeight="1"/>
    <row r="1027735" s="13" customFormat="1" ht="15" customHeight="1"/>
    <row r="1027736" s="13" customFormat="1" ht="15" customHeight="1"/>
    <row r="1027737" s="13" customFormat="1" ht="15" customHeight="1"/>
    <row r="1027738" s="13" customFormat="1" ht="15" customHeight="1"/>
    <row r="1027739" s="13" customFormat="1" ht="15" customHeight="1"/>
    <row r="1027740" s="13" customFormat="1" ht="15" customHeight="1"/>
    <row r="1027741" s="13" customFormat="1" ht="15" customHeight="1"/>
    <row r="1027742" s="13" customFormat="1" ht="15" customHeight="1"/>
    <row r="1027743" s="13" customFormat="1" ht="15" customHeight="1"/>
    <row r="1027744" s="13" customFormat="1" ht="15" customHeight="1"/>
    <row r="1027745" s="13" customFormat="1" ht="15" customHeight="1"/>
    <row r="1027746" s="13" customFormat="1" ht="15" customHeight="1"/>
    <row r="1027747" s="13" customFormat="1" ht="15" customHeight="1"/>
    <row r="1027748" s="13" customFormat="1" ht="15" customHeight="1"/>
    <row r="1027749" s="13" customFormat="1" ht="15" customHeight="1"/>
    <row r="1027750" s="13" customFormat="1" ht="15" customHeight="1"/>
    <row r="1027751" s="13" customFormat="1" ht="15" customHeight="1"/>
    <row r="1027752" s="13" customFormat="1" ht="15" customHeight="1"/>
    <row r="1027753" s="13" customFormat="1" ht="15" customHeight="1"/>
    <row r="1027754" s="13" customFormat="1" ht="15" customHeight="1"/>
    <row r="1027755" s="13" customFormat="1" ht="15" customHeight="1"/>
    <row r="1027756" s="13" customFormat="1" ht="15" customHeight="1"/>
    <row r="1027757" s="13" customFormat="1" ht="15" customHeight="1"/>
    <row r="1027758" s="13" customFormat="1" ht="15" customHeight="1"/>
    <row r="1027759" s="13" customFormat="1" ht="15" customHeight="1"/>
    <row r="1027760" s="13" customFormat="1" ht="15" customHeight="1"/>
    <row r="1027761" s="13" customFormat="1" ht="15" customHeight="1"/>
    <row r="1027762" s="13" customFormat="1" ht="15" customHeight="1"/>
    <row r="1027763" s="13" customFormat="1" ht="15" customHeight="1"/>
    <row r="1027764" s="13" customFormat="1" ht="15" customHeight="1"/>
    <row r="1027765" s="13" customFormat="1" ht="15" customHeight="1"/>
    <row r="1027766" s="13" customFormat="1" ht="15" customHeight="1"/>
    <row r="1027767" s="13" customFormat="1" ht="15" customHeight="1"/>
    <row r="1027768" s="13" customFormat="1" ht="15" customHeight="1"/>
    <row r="1027769" s="13" customFormat="1" ht="15" customHeight="1"/>
    <row r="1027770" s="13" customFormat="1" ht="15" customHeight="1"/>
    <row r="1027771" s="13" customFormat="1" ht="15" customHeight="1"/>
    <row r="1027772" s="13" customFormat="1" ht="15" customHeight="1"/>
    <row r="1027773" s="13" customFormat="1" ht="15" customHeight="1"/>
    <row r="1027774" s="13" customFormat="1" ht="15" customHeight="1"/>
    <row r="1027775" s="13" customFormat="1" ht="15" customHeight="1"/>
    <row r="1027776" s="13" customFormat="1" ht="15" customHeight="1"/>
    <row r="1027777" s="13" customFormat="1" ht="15" customHeight="1"/>
    <row r="1027778" s="13" customFormat="1" ht="15" customHeight="1"/>
    <row r="1027779" s="13" customFormat="1" ht="15" customHeight="1"/>
    <row r="1027780" s="13" customFormat="1" ht="15" customHeight="1"/>
    <row r="1027781" s="13" customFormat="1" ht="15" customHeight="1"/>
    <row r="1027782" s="13" customFormat="1" ht="15" customHeight="1"/>
    <row r="1027783" s="13" customFormat="1" ht="15" customHeight="1"/>
    <row r="1027784" s="13" customFormat="1" ht="15" customHeight="1"/>
    <row r="1027785" s="13" customFormat="1" ht="15" customHeight="1"/>
    <row r="1027786" s="13" customFormat="1" ht="15" customHeight="1"/>
    <row r="1027787" s="13" customFormat="1" ht="15" customHeight="1"/>
    <row r="1027788" s="13" customFormat="1" ht="15" customHeight="1"/>
    <row r="1027789" s="13" customFormat="1" ht="15" customHeight="1"/>
    <row r="1027790" s="13" customFormat="1" ht="15" customHeight="1"/>
    <row r="1027791" s="13" customFormat="1" ht="15" customHeight="1"/>
    <row r="1027792" s="13" customFormat="1" ht="15" customHeight="1"/>
    <row r="1027793" s="13" customFormat="1" ht="15" customHeight="1"/>
    <row r="1027794" s="13" customFormat="1" ht="15" customHeight="1"/>
    <row r="1027795" s="13" customFormat="1" ht="15" customHeight="1"/>
    <row r="1027796" s="13" customFormat="1" ht="15" customHeight="1"/>
    <row r="1027797" s="13" customFormat="1" ht="15" customHeight="1"/>
    <row r="1027798" s="13" customFormat="1" ht="15" customHeight="1"/>
    <row r="1027799" s="13" customFormat="1" ht="15" customHeight="1"/>
    <row r="1027800" s="13" customFormat="1" ht="15" customHeight="1"/>
    <row r="1027801" s="13" customFormat="1" ht="15" customHeight="1"/>
    <row r="1027802" s="13" customFormat="1" ht="15" customHeight="1"/>
    <row r="1027803" s="13" customFormat="1" ht="15" customHeight="1"/>
    <row r="1027804" s="13" customFormat="1" ht="15" customHeight="1"/>
    <row r="1027805" s="13" customFormat="1" ht="15" customHeight="1"/>
    <row r="1027806" s="13" customFormat="1" ht="15" customHeight="1"/>
    <row r="1027807" s="13" customFormat="1" ht="15" customHeight="1"/>
    <row r="1027808" s="13" customFormat="1" ht="15" customHeight="1"/>
    <row r="1027809" s="13" customFormat="1" ht="15" customHeight="1"/>
    <row r="1027810" s="13" customFormat="1" ht="15" customHeight="1"/>
    <row r="1027811" s="13" customFormat="1" ht="15" customHeight="1"/>
    <row r="1027812" s="13" customFormat="1" ht="15" customHeight="1"/>
    <row r="1027813" s="13" customFormat="1" ht="15" customHeight="1"/>
    <row r="1027814" s="13" customFormat="1" ht="15" customHeight="1"/>
    <row r="1027815" s="13" customFormat="1" ht="15" customHeight="1"/>
    <row r="1027816" s="13" customFormat="1" ht="15" customHeight="1"/>
    <row r="1027817" s="13" customFormat="1" ht="15" customHeight="1"/>
    <row r="1027818" s="13" customFormat="1" ht="15" customHeight="1"/>
    <row r="1027819" s="13" customFormat="1" ht="15" customHeight="1"/>
    <row r="1027820" s="13" customFormat="1" ht="15" customHeight="1"/>
    <row r="1027821" s="13" customFormat="1" ht="15" customHeight="1"/>
    <row r="1027822" s="13" customFormat="1" ht="15" customHeight="1"/>
    <row r="1027823" s="13" customFormat="1" ht="15" customHeight="1"/>
    <row r="1027824" s="13" customFormat="1" ht="15" customHeight="1"/>
    <row r="1027825" s="13" customFormat="1" ht="15" customHeight="1"/>
    <row r="1027826" s="13" customFormat="1" ht="15" customHeight="1"/>
    <row r="1027827" s="13" customFormat="1" ht="15" customHeight="1"/>
    <row r="1027828" s="13" customFormat="1" ht="15" customHeight="1"/>
    <row r="1027829" s="13" customFormat="1" ht="15" customHeight="1"/>
    <row r="1027830" s="13" customFormat="1" ht="15" customHeight="1"/>
    <row r="1027831" s="13" customFormat="1" ht="15" customHeight="1"/>
    <row r="1027832" s="13" customFormat="1" ht="15" customHeight="1"/>
    <row r="1027833" s="13" customFormat="1" ht="15" customHeight="1"/>
    <row r="1027834" s="13" customFormat="1" ht="15" customHeight="1"/>
    <row r="1027835" s="13" customFormat="1" ht="15" customHeight="1"/>
    <row r="1027836" s="13" customFormat="1" ht="15" customHeight="1"/>
    <row r="1027837" s="13" customFormat="1" ht="15" customHeight="1"/>
    <row r="1027838" s="13" customFormat="1" ht="15" customHeight="1"/>
    <row r="1027839" s="13" customFormat="1" ht="15" customHeight="1"/>
    <row r="1027840" s="13" customFormat="1" ht="15" customHeight="1"/>
    <row r="1027841" s="13" customFormat="1" ht="15" customHeight="1"/>
    <row r="1027842" s="13" customFormat="1" ht="15" customHeight="1"/>
    <row r="1027843" s="13" customFormat="1" ht="15" customHeight="1"/>
    <row r="1027844" s="13" customFormat="1" ht="15" customHeight="1"/>
    <row r="1027845" s="13" customFormat="1" ht="15" customHeight="1"/>
    <row r="1027846" s="13" customFormat="1" ht="15" customHeight="1"/>
    <row r="1027847" s="13" customFormat="1" ht="15" customHeight="1"/>
    <row r="1027848" s="13" customFormat="1" ht="15" customHeight="1"/>
    <row r="1027849" s="13" customFormat="1" ht="15" customHeight="1"/>
    <row r="1027850" s="13" customFormat="1" ht="15" customHeight="1"/>
    <row r="1027851" s="13" customFormat="1" ht="15" customHeight="1"/>
    <row r="1027852" s="13" customFormat="1" ht="15" customHeight="1"/>
    <row r="1027853" s="13" customFormat="1" ht="15" customHeight="1"/>
    <row r="1027854" s="13" customFormat="1" ht="15" customHeight="1"/>
    <row r="1027855" s="13" customFormat="1" ht="15" customHeight="1"/>
    <row r="1027856" s="13" customFormat="1" ht="15" customHeight="1"/>
    <row r="1027857" s="13" customFormat="1" ht="15" customHeight="1"/>
    <row r="1027858" s="13" customFormat="1" ht="15" customHeight="1"/>
    <row r="1027859" s="13" customFormat="1" ht="15" customHeight="1"/>
    <row r="1027860" s="13" customFormat="1" ht="15" customHeight="1"/>
    <row r="1027861" s="13" customFormat="1" ht="15" customHeight="1"/>
    <row r="1027862" s="13" customFormat="1" ht="15" customHeight="1"/>
    <row r="1027863" s="13" customFormat="1" ht="15" customHeight="1"/>
    <row r="1027864" s="13" customFormat="1" ht="15" customHeight="1"/>
    <row r="1027865" s="13" customFormat="1" ht="15" customHeight="1"/>
    <row r="1027866" s="13" customFormat="1" ht="15" customHeight="1"/>
    <row r="1027867" s="13" customFormat="1" ht="15" customHeight="1"/>
    <row r="1027868" s="13" customFormat="1" ht="15" customHeight="1"/>
    <row r="1027869" s="13" customFormat="1" ht="15" customHeight="1"/>
  </sheetData>
  <sheetProtection formatCells="0" insertHyperlinks="0" autoFilter="0"/>
  <autoFilter ref="A1:AY1011" xr:uid="{00000000-0009-0000-0000-000000000000}"/>
  <phoneticPr fontId="13" type="noConversion"/>
  <conditionalFormatting sqref="A88 C88 E88:H88 K88 M88:R88">
    <cfRule type="expression" dxfId="281" priority="1241">
      <formula>(#REF!&lt;&gt;"")*(#REF!&lt;&gt;"")</formula>
    </cfRule>
  </conditionalFormatting>
  <conditionalFormatting sqref="A90 E90:H90 K90 M90">
    <cfRule type="expression" dxfId="280" priority="1239">
      <formula>(#REF!&lt;&gt;"")*(A$1&lt;&gt;"")</formula>
    </cfRule>
  </conditionalFormatting>
  <conditionalFormatting sqref="A93 C93 E93:G93 J93:K93">
    <cfRule type="expression" dxfId="279" priority="1234">
      <formula>(#REF!&lt;&gt;"")*(#REF!&lt;&gt;"")</formula>
    </cfRule>
  </conditionalFormatting>
  <conditionalFormatting sqref="A151:A159 C151:C159">
    <cfRule type="expression" dxfId="278" priority="1159">
      <formula>(#REF!&lt;&gt;"")*(#REF!&lt;&gt;"")</formula>
    </cfRule>
  </conditionalFormatting>
  <conditionalFormatting sqref="A161 C161">
    <cfRule type="expression" dxfId="277" priority="1201">
      <formula>(#REF!&lt;&gt;"")*(#REF!&lt;&gt;"")</formula>
    </cfRule>
  </conditionalFormatting>
  <conditionalFormatting sqref="A169 C169">
    <cfRule type="expression" dxfId="276" priority="1190">
      <formula>(#REF!&lt;&gt;"")*(#REF!&lt;&gt;"")</formula>
    </cfRule>
  </conditionalFormatting>
  <conditionalFormatting sqref="A181 C181">
    <cfRule type="expression" dxfId="275" priority="1150">
      <formula>(#REF!&lt;&gt;"")*(#REF!&lt;&gt;"")</formula>
    </cfRule>
  </conditionalFormatting>
  <conditionalFormatting sqref="A188 C188">
    <cfRule type="expression" dxfId="274" priority="1134">
      <formula>(#REF!&lt;&gt;"")*(A$1&lt;&gt;"")</formula>
    </cfRule>
  </conditionalFormatting>
  <conditionalFormatting sqref="A190 E190:G190 J190:K190 O190:P190">
    <cfRule type="expression" dxfId="273" priority="1129">
      <formula>(#REF!&lt;&gt;"")*(A$1&lt;&gt;"")</formula>
    </cfRule>
  </conditionalFormatting>
  <conditionalFormatting sqref="A683:A690">
    <cfRule type="expression" dxfId="272" priority="711">
      <formula>(#REF!&lt;&gt;"")*(#REF!&lt;&gt;"")</formula>
    </cfRule>
  </conditionalFormatting>
  <conditionalFormatting sqref="A691:A696 C695:C696 E695:H696">
    <cfRule type="expression" dxfId="271" priority="386">
      <formula>(#REF!&lt;&gt;"")*(A$1&lt;&gt;"")</formula>
    </cfRule>
  </conditionalFormatting>
  <conditionalFormatting sqref="A743:A747">
    <cfRule type="expression" dxfId="270" priority="349">
      <formula>(#REF!&lt;&gt;"")*(#REF!&lt;&gt;"")</formula>
    </cfRule>
  </conditionalFormatting>
  <conditionalFormatting sqref="A765:A771">
    <cfRule type="expression" dxfId="269" priority="335">
      <formula>(#REF!&lt;&gt;"")*(#REF!&lt;&gt;"")</formula>
    </cfRule>
  </conditionalFormatting>
  <conditionalFormatting sqref="A773:A774">
    <cfRule type="expression" dxfId="268" priority="451">
      <formula>(#REF!&lt;&gt;"")*(#REF!&lt;&gt;"")</formula>
    </cfRule>
  </conditionalFormatting>
  <conditionalFormatting sqref="A797:A822 C797:C822">
    <cfRule type="expression" dxfId="267" priority="382">
      <formula>(#REF!&lt;&gt;"")*(#REF!&lt;&gt;"")</formula>
    </cfRule>
  </conditionalFormatting>
  <conditionalFormatting sqref="A837:A878">
    <cfRule type="expression" dxfId="266" priority="375">
      <formula>(#REF!&lt;&gt;"")*(#REF!&lt;&gt;"")</formula>
    </cfRule>
  </conditionalFormatting>
  <conditionalFormatting sqref="A912:A915 F912:G915 J912:O915 R912:R915">
    <cfRule type="expression" dxfId="265" priority="35">
      <formula>(#REF!&lt;&gt;"")*(A$1&lt;&gt;"")</formula>
    </cfRule>
  </conditionalFormatting>
  <conditionalFormatting sqref="A937 C937 F937:G937 J937:M937 O937:R937 C939:C940 Q939:R940 C945 G945 K945:M945 O945">
    <cfRule type="expression" dxfId="264" priority="331">
      <formula>(#REF!&lt;&gt;"")*(A$1&lt;&gt;"")</formula>
    </cfRule>
  </conditionalFormatting>
  <conditionalFormatting sqref="A952:A1011 F979:H1011">
    <cfRule type="expression" dxfId="263" priority="24">
      <formula>(#REF!&lt;&gt;"")*(A$1&lt;&gt;"")</formula>
    </cfRule>
  </conditionalFormatting>
  <conditionalFormatting sqref="C743">
    <cfRule type="expression" dxfId="262" priority="660">
      <formula>(#REF!&lt;&gt;"")*(#REF!&lt;&gt;"")</formula>
    </cfRule>
  </conditionalFormatting>
  <conditionalFormatting sqref="C773:C774 E773:G774">
    <cfRule type="expression" dxfId="261" priority="450">
      <formula>(#REF!&lt;&gt;"")*(#REF!&lt;&gt;"")</formula>
    </cfRule>
  </conditionalFormatting>
  <conditionalFormatting sqref="C912:C924 A919:A924 F919:G924 J919:R924">
    <cfRule type="expression" dxfId="260" priority="19">
      <formula>(#REF!&lt;&gt;"")*(A$1&lt;&gt;"")</formula>
    </cfRule>
  </conditionalFormatting>
  <conditionalFormatting sqref="C849:H878">
    <cfRule type="expression" dxfId="259" priority="366">
      <formula>(#REF!&lt;&gt;"")*(#REF!&lt;&gt;"")</formula>
    </cfRule>
  </conditionalFormatting>
  <conditionalFormatting sqref="D823:H836 K833:L836">
    <cfRule type="expression" dxfId="258" priority="407">
      <formula>(#REF!&lt;&gt;"")*(#REF!&lt;&gt;"")</formula>
    </cfRule>
  </conditionalFormatting>
  <conditionalFormatting sqref="E154">
    <cfRule type="expression" dxfId="257" priority="1217">
      <formula>(#REF!&lt;&gt;"")*(#REF!&lt;&gt;"")</formula>
    </cfRule>
  </conditionalFormatting>
  <conditionalFormatting sqref="E691:E696">
    <cfRule type="expression" dxfId="256" priority="385">
      <formula>(#REF!&lt;&gt;"")*(#REF!&lt;&gt;"")</formula>
    </cfRule>
  </conditionalFormatting>
  <conditionalFormatting sqref="E894:E965">
    <cfRule type="expression" dxfId="255" priority="3">
      <formula>(#REF!&lt;&gt;"")*(E$1&lt;&gt;"")</formula>
    </cfRule>
  </conditionalFormatting>
  <conditionalFormatting sqref="E966">
    <cfRule type="expression" dxfId="254" priority="184">
      <formula>(#REF!&lt;&gt;"")*(E$1&lt;&gt;"")</formula>
    </cfRule>
  </conditionalFormatting>
  <conditionalFormatting sqref="E967:E973">
    <cfRule type="expression" dxfId="253" priority="38">
      <formula>(#REF!&lt;&gt;"")*(E$1&lt;&gt;"")</formula>
    </cfRule>
  </conditionalFormatting>
  <conditionalFormatting sqref="E974:E975">
    <cfRule type="expression" dxfId="252" priority="150">
      <formula>(#REF!&lt;&gt;"")*(E$1&lt;&gt;"")</formula>
    </cfRule>
  </conditionalFormatting>
  <conditionalFormatting sqref="E976:E1011">
    <cfRule type="expression" dxfId="251" priority="23">
      <formula>(#REF!&lt;&gt;"")*(E$1&lt;&gt;"")</formula>
    </cfRule>
  </conditionalFormatting>
  <conditionalFormatting sqref="E71:G71 J71:K71 M71:R71">
    <cfRule type="expression" dxfId="250" priority="1270">
      <formula>(#REF!&lt;&gt;"")*(#REF!&lt;&gt;"")</formula>
    </cfRule>
  </conditionalFormatting>
  <conditionalFormatting sqref="E691:G693">
    <cfRule type="expression" dxfId="249" priority="667">
      <formula>(#REF!&lt;&gt;"")*(E$1&lt;&gt;"")</formula>
    </cfRule>
  </conditionalFormatting>
  <conditionalFormatting sqref="E807:G813">
    <cfRule type="expression" dxfId="248" priority="445">
      <formula>(#REF!&lt;&gt;"")*(#REF!&lt;&gt;"")</formula>
    </cfRule>
  </conditionalFormatting>
  <conditionalFormatting sqref="E814:G816 J814:M817 O814:O817">
    <cfRule type="expression" dxfId="247" priority="559">
      <formula>(#REF!&lt;&gt;"")*(E$1&lt;&gt;"")</formula>
    </cfRule>
  </conditionalFormatting>
  <conditionalFormatting sqref="E188:H188 J188:K188 M188:R188 H189:H190 H691:H694 J693:O696">
    <cfRule type="expression" dxfId="246" priority="1135">
      <formula>(#REF!&lt;&gt;"")*(E$1&lt;&gt;"")</formula>
    </cfRule>
  </conditionalFormatting>
  <conditionalFormatting sqref="E683:H690 A694 C694 R727:R728 Z727:Z806 T743 T744:U747 E778:E784 Z807:AC810 Z820:Z822 T822 Y823:Z824 Z825:Z826 Y827:Z827 Z828:Z831 Y832:Z832 Z833:Z839 C840:F846 G846 AB846:AC848 Z846:AA859 C847:G848 AB849:AB859 Z860:AB863 Z864:AC865 AB866:AC874 AB875:AB878 P879:P893">
    <cfRule type="expression" dxfId="245" priority="716">
      <formula>(#REF!&lt;&gt;"")*(#REF!&lt;&gt;"")</formula>
    </cfRule>
  </conditionalFormatting>
  <conditionalFormatting sqref="E743:H747">
    <cfRule type="expression" dxfId="244" priority="342">
      <formula>(#REF!&lt;&gt;"")*(#REF!&lt;&gt;"")</formula>
    </cfRule>
  </conditionalFormatting>
  <conditionalFormatting sqref="E797:H806">
    <cfRule type="expression" dxfId="243" priority="468">
      <formula>(#REF!&lt;&gt;"")*(#REF!&lt;&gt;"")</formula>
    </cfRule>
  </conditionalFormatting>
  <conditionalFormatting sqref="E817:H818">
    <cfRule type="expression" dxfId="242" priority="547">
      <formula>(#REF!&lt;&gt;"")*(E$1&lt;&gt;"")</formula>
    </cfRule>
  </conditionalFormatting>
  <conditionalFormatting sqref="F67:F68">
    <cfRule type="expression" dxfId="241" priority="1192">
      <formula>(#REF!&lt;&gt;"")*(#REF!&lt;&gt;"")</formula>
    </cfRule>
  </conditionalFormatting>
  <conditionalFormatting sqref="F151:F159 N151:N159 K157:L159">
    <cfRule type="expression" dxfId="240" priority="1156">
      <formula>(#REF!&lt;&gt;"")*(G$1&lt;&gt;"")</formula>
    </cfRule>
  </conditionalFormatting>
  <conditionalFormatting sqref="F161 L161">
    <cfRule type="expression" dxfId="239" priority="1199">
      <formula>(#REF!&lt;&gt;"")*(G$1&lt;&gt;"")</formula>
    </cfRule>
  </conditionalFormatting>
  <conditionalFormatting sqref="F169 K169:L169 N169">
    <cfRule type="expression" dxfId="238" priority="1188">
      <formula>(#REF!&lt;&gt;"")*(G$1&lt;&gt;"")</formula>
    </cfRule>
  </conditionalFormatting>
  <conditionalFormatting sqref="F181">
    <cfRule type="expression" dxfId="237" priority="1147">
      <formula>(#REF!&lt;&gt;"")*(G$1&lt;&gt;"")</formula>
    </cfRule>
  </conditionalFormatting>
  <conditionalFormatting sqref="F938:F940">
    <cfRule type="expression" dxfId="236" priority="268">
      <formula>(#REF!&lt;&gt;"")*(F$1&lt;&gt;"")</formula>
    </cfRule>
  </conditionalFormatting>
  <conditionalFormatting sqref="F693:G694">
    <cfRule type="expression" dxfId="235" priority="676">
      <formula>(#REF!&lt;&gt;"")*(#REF!&lt;&gt;"")</formula>
    </cfRule>
  </conditionalFormatting>
  <conditionalFormatting sqref="F952:G959">
    <cfRule type="expression" dxfId="234" priority="300">
      <formula>(#REF!&lt;&gt;"")*(F$1&lt;&gt;"")</formula>
    </cfRule>
  </conditionalFormatting>
  <conditionalFormatting sqref="F962:G978">
    <cfRule type="expression" dxfId="233" priority="42">
      <formula>(#REF!&lt;&gt;"")*(F$1&lt;&gt;"")</formula>
    </cfRule>
  </conditionalFormatting>
  <conditionalFormatting sqref="F695:H696">
    <cfRule type="expression" dxfId="232" priority="384">
      <formula>(#REF!&lt;&gt;"")*(#REF!&lt;&gt;"")</formula>
    </cfRule>
  </conditionalFormatting>
  <conditionalFormatting sqref="G960:G961">
    <cfRule type="expression" dxfId="231" priority="161">
      <formula>(#REF!&lt;&gt;"")*(G$1&lt;&gt;"")</formula>
    </cfRule>
  </conditionalFormatting>
  <conditionalFormatting sqref="H71:H77 M72">
    <cfRule type="expression" dxfId="230" priority="1269">
      <formula>(#REF!&lt;&gt;"")*(#REF!&lt;&gt;"")</formula>
    </cfRule>
  </conditionalFormatting>
  <conditionalFormatting sqref="H96:H99">
    <cfRule type="expression" dxfId="229" priority="1280">
      <formula>(#REF!&lt;&gt;"")*(#REF!&lt;&gt;"")</formula>
    </cfRule>
  </conditionalFormatting>
  <conditionalFormatting sqref="H101:H104">
    <cfRule type="expression" dxfId="228" priority="1279">
      <formula>(#REF!&lt;&gt;"")*(#REF!&lt;&gt;"")</formula>
    </cfRule>
  </conditionalFormatting>
  <conditionalFormatting sqref="H195:H196">
    <cfRule type="expression" dxfId="227" priority="1124">
      <formula>(#REF!&lt;&gt;"")*(#REF!&lt;&gt;"")</formula>
    </cfRule>
  </conditionalFormatting>
  <conditionalFormatting sqref="H691:H694">
    <cfRule type="expression" dxfId="226" priority="664">
      <formula>(#REF!&lt;&gt;"")*(#REF!&lt;&gt;"")</formula>
    </cfRule>
  </conditionalFormatting>
  <conditionalFormatting sqref="H778:H784">
    <cfRule type="expression" dxfId="225" priority="523">
      <formula>(#REF!&lt;&gt;"")*(#REF!&lt;&gt;"")</formula>
    </cfRule>
  </conditionalFormatting>
  <conditionalFormatting sqref="H807:H816">
    <cfRule type="expression" dxfId="224" priority="447">
      <formula>(#REF!&lt;&gt;"")*(#REF!&lt;&gt;"")</formula>
    </cfRule>
  </conditionalFormatting>
  <conditionalFormatting sqref="H819:H822">
    <cfRule type="expression" dxfId="223" priority="1282">
      <formula>(#REF!&lt;&gt;"")*(H$1&lt;&gt;"")</formula>
    </cfRule>
  </conditionalFormatting>
  <conditionalFormatting sqref="H915:H923">
    <cfRule type="expression" dxfId="222" priority="17">
      <formula>(#REF!&lt;&gt;"")*(H$1&lt;&gt;"")</formula>
    </cfRule>
  </conditionalFormatting>
  <conditionalFormatting sqref="H925:H936">
    <cfRule type="expression" dxfId="221" priority="5">
      <formula>(#REF!&lt;&gt;"")*(H$1&lt;&gt;"")</formula>
    </cfRule>
  </conditionalFormatting>
  <conditionalFormatting sqref="H937:H940">
    <cfRule type="expression" dxfId="220" priority="198">
      <formula>(#REF!&lt;&gt;"")*(H$1&lt;&gt;"")</formula>
    </cfRule>
  </conditionalFormatting>
  <conditionalFormatting sqref="H967:H978">
    <cfRule type="expression" dxfId="219" priority="37">
      <formula>(#REF!&lt;&gt;"")*(H$1&lt;&gt;"")</formula>
    </cfRule>
  </conditionalFormatting>
  <conditionalFormatting sqref="J2:J14">
    <cfRule type="expression" dxfId="218" priority="1177">
      <formula>(#REF!&lt;&gt;"")*(J$1&lt;&gt;"")</formula>
    </cfRule>
  </conditionalFormatting>
  <conditionalFormatting sqref="J50:J51 J121 J127 J141">
    <cfRule type="expression" dxfId="217" priority="1277">
      <formula>(#REF!&lt;&gt;"")*(J$1&lt;&gt;"")</formula>
    </cfRule>
  </conditionalFormatting>
  <conditionalFormatting sqref="J56:J60">
    <cfRule type="expression" dxfId="216" priority="1194">
      <formula>(#REF!&lt;&gt;"")*(J$1&lt;&gt;"")</formula>
    </cfRule>
  </conditionalFormatting>
  <conditionalFormatting sqref="J178">
    <cfRule type="expression" dxfId="215" priority="1165">
      <formula>(#REF!&lt;&gt;"")*(J$1&lt;&gt;"")</formula>
    </cfRule>
  </conditionalFormatting>
  <conditionalFormatting sqref="J180">
    <cfRule type="expression" dxfId="214" priority="1163">
      <formula>(#REF!&lt;&gt;"")*(J$1&lt;&gt;"")</formula>
    </cfRule>
  </conditionalFormatting>
  <conditionalFormatting sqref="J183:J184">
    <cfRule type="expression" dxfId="213" priority="1138">
      <formula>(#REF!&lt;&gt;"")*(J$1&lt;&gt;"")</formula>
    </cfRule>
  </conditionalFormatting>
  <conditionalFormatting sqref="J187">
    <cfRule type="expression" dxfId="212" priority="1136">
      <formula>(#REF!&lt;&gt;"")*(J$1&lt;&gt;"")</formula>
    </cfRule>
  </conditionalFormatting>
  <conditionalFormatting sqref="J192 P192:Q192">
    <cfRule type="expression" dxfId="211" priority="1127">
      <formula>($A192&lt;&gt;"")*(#REF!&lt;&gt;"")</formula>
    </cfRule>
  </conditionalFormatting>
  <conditionalFormatting sqref="J196">
    <cfRule type="expression" dxfId="210" priority="1122">
      <formula>(#REF!&lt;&gt;"")*(J$1&lt;&gt;"")</formula>
    </cfRule>
  </conditionalFormatting>
  <conditionalFormatting sqref="J204">
    <cfRule type="expression" dxfId="209" priority="1116">
      <formula>(#REF!&lt;&gt;"")*(J$1&lt;&gt;"")</formula>
    </cfRule>
  </conditionalFormatting>
  <conditionalFormatting sqref="J709:J710">
    <cfRule type="expression" dxfId="208" priority="657">
      <formula>(#REF!&lt;&gt;"")*(J$1&lt;&gt;"")</formula>
    </cfRule>
  </conditionalFormatting>
  <conditionalFormatting sqref="J748:J749">
    <cfRule type="expression" dxfId="207" priority="448">
      <formula>(#REF!&lt;&gt;"")*(#REF!&lt;&gt;"")</formula>
    </cfRule>
  </conditionalFormatting>
  <conditionalFormatting sqref="J759:J761">
    <cfRule type="expression" dxfId="206" priority="414">
      <formula>(#REF!&lt;&gt;"")*(#REF!&lt;&gt;"")</formula>
    </cfRule>
  </conditionalFormatting>
  <conditionalFormatting sqref="J764">
    <cfRule type="expression" dxfId="205" priority="638">
      <formula>(#REF!&lt;&gt;"")*(#REF!&lt;&gt;"")</formula>
    </cfRule>
  </conditionalFormatting>
  <conditionalFormatting sqref="J778:J779">
    <cfRule type="expression" dxfId="204" priority="521">
      <formula>(#REF!&lt;&gt;"")*(#REF!&lt;&gt;"")</formula>
    </cfRule>
  </conditionalFormatting>
  <conditionalFormatting sqref="J818:J819">
    <cfRule type="expression" dxfId="203" priority="535">
      <formula>(#REF!&lt;&gt;"")*(#REF!&lt;&gt;"")</formula>
    </cfRule>
  </conditionalFormatting>
  <conditionalFormatting sqref="J832:J836">
    <cfRule type="expression" dxfId="202" priority="408">
      <formula>(#REF!&lt;&gt;"")*(#REF!&lt;&gt;"")</formula>
    </cfRule>
  </conditionalFormatting>
  <conditionalFormatting sqref="J926:J929">
    <cfRule type="expression" dxfId="201" priority="16">
      <formula>(#REF!&lt;&gt;"")*(J$1&lt;&gt;"")</formula>
    </cfRule>
  </conditionalFormatting>
  <conditionalFormatting sqref="J151:L151">
    <cfRule type="expression" dxfId="200" priority="1228">
      <formula>(#REF!&lt;&gt;"")*(K$1&lt;&gt;"")</formula>
    </cfRule>
  </conditionalFormatting>
  <conditionalFormatting sqref="J694:L696">
    <cfRule type="expression" dxfId="199" priority="390">
      <formula>(#REF!&lt;&gt;"")*(#REF!&lt;&gt;"")</formula>
    </cfRule>
  </conditionalFormatting>
  <conditionalFormatting sqref="J771:L771">
    <cfRule type="expression" dxfId="198" priority="533">
      <formula>(#REF!&lt;&gt;"")*(#REF!&lt;&gt;"")</formula>
    </cfRule>
  </conditionalFormatting>
  <conditionalFormatting sqref="J947:L947 N947:O947 A947:A948 C947:C948 G947:G948">
    <cfRule type="expression" dxfId="197" priority="321">
      <formula>(#REF!&lt;&gt;"")*(A$1&lt;&gt;"")</formula>
    </cfRule>
  </conditionalFormatting>
  <conditionalFormatting sqref="J952:M1011 O952:O1011">
    <cfRule type="expression" dxfId="196" priority="27">
      <formula>(#REF!&lt;&gt;"")*(J$1&lt;&gt;"")</formula>
    </cfRule>
  </conditionalFormatting>
  <conditionalFormatting sqref="J683:O690">
    <cfRule type="expression" dxfId="195" priority="699">
      <formula>(#REF!&lt;&gt;"")*(#REF!&lt;&gt;"")</formula>
    </cfRule>
  </conditionalFormatting>
  <conditionalFormatting sqref="J774:O774">
    <cfRule type="expression" dxfId="194" priority="625">
      <formula>(#REF!&lt;&gt;"")*(#REF!&lt;&gt;"")</formula>
    </cfRule>
  </conditionalFormatting>
  <conditionalFormatting sqref="J840:O878">
    <cfRule type="expression" dxfId="193" priority="367">
      <formula>(#REF!&lt;&gt;"")*(#REF!&lt;&gt;"")</formula>
    </cfRule>
  </conditionalFormatting>
  <conditionalFormatting sqref="J691:P692 C693 F694:G694">
    <cfRule type="expression" dxfId="192" priority="720">
      <formula>(#REF!&lt;&gt;"")*(C$1&lt;&gt;"")</formula>
    </cfRule>
  </conditionalFormatting>
  <conditionalFormatting sqref="J823:P831">
    <cfRule type="expression" dxfId="191" priority="431">
      <formula>(#REF!&lt;&gt;"")*(#REF!&lt;&gt;"")</formula>
    </cfRule>
  </conditionalFormatting>
  <conditionalFormatting sqref="J744:Q747">
    <cfRule type="expression" dxfId="190" priority="344">
      <formula>(#REF!&lt;&gt;"")*(#REF!&lt;&gt;"")</formula>
    </cfRule>
  </conditionalFormatting>
  <conditionalFormatting sqref="J820:Q822">
    <cfRule type="expression" dxfId="189" priority="379">
      <formula>(#REF!&lt;&gt;"")*(#REF!&lt;&gt;"")</formula>
    </cfRule>
  </conditionalFormatting>
  <conditionalFormatting sqref="J743:R743">
    <cfRule type="expression" dxfId="188" priority="646">
      <formula>(#REF!&lt;&gt;"")*(#REF!&lt;&gt;"")</formula>
    </cfRule>
  </conditionalFormatting>
  <conditionalFormatting sqref="J765:R769 C765:C771 E765:G771">
    <cfRule type="expression" dxfId="187" priority="333">
      <formula>(#REF!&lt;&gt;"")*(#REF!&lt;&gt;"")</formula>
    </cfRule>
  </conditionalFormatting>
  <conditionalFormatting sqref="J797:R813">
    <cfRule type="expression" dxfId="186" priority="443">
      <formula>(#REF!&lt;&gt;"")*(#REF!&lt;&gt;"")</formula>
    </cfRule>
  </conditionalFormatting>
  <conditionalFormatting sqref="K73:K75 A73:A77 E73:G77">
    <cfRule type="expression" dxfId="185" priority="1261">
      <formula>($A73&lt;&gt;"")*(#REF!&lt;&gt;"")</formula>
    </cfRule>
  </conditionalFormatting>
  <conditionalFormatting sqref="K77">
    <cfRule type="expression" dxfId="184" priority="1247">
      <formula>(#REF!&lt;&gt;"")*(#REF!&lt;&gt;"")</formula>
    </cfRule>
  </conditionalFormatting>
  <conditionalFormatting sqref="K814:K819">
    <cfRule type="expression" dxfId="183" priority="536">
      <formula>(#REF!&lt;&gt;"")*(#REF!&lt;&gt;"")</formula>
    </cfRule>
  </conditionalFormatting>
  <conditionalFormatting sqref="K952:K1011 M952:M1011 T967:T1011">
    <cfRule type="expression" dxfId="182" priority="25">
      <formula>(#REF!&lt;&gt;"")*(#REF!&lt;&gt;"")</formula>
    </cfRule>
  </conditionalFormatting>
  <conditionalFormatting sqref="K693:L693">
    <cfRule type="expression" dxfId="181" priority="673">
      <formula>(#REF!&lt;&gt;"")*(#REF!&lt;&gt;"")</formula>
    </cfRule>
  </conditionalFormatting>
  <conditionalFormatting sqref="K818:M819 O818:P819 E819:G819">
    <cfRule type="expression" dxfId="180" priority="539">
      <formula>(#REF!&lt;&gt;"")*(E$1&lt;&gt;"")</formula>
    </cfRule>
  </conditionalFormatting>
  <conditionalFormatting sqref="K832:N832">
    <cfRule type="expression" dxfId="179" priority="516">
      <formula>(#REF!&lt;&gt;"")*(#REF!&lt;&gt;"")</formula>
    </cfRule>
  </conditionalFormatting>
  <conditionalFormatting sqref="M2:M14">
    <cfRule type="expression" dxfId="178" priority="1178">
      <formula>(#REF!&lt;&gt;"")*(#REF!&lt;&gt;"")</formula>
    </cfRule>
  </conditionalFormatting>
  <conditionalFormatting sqref="M61 M70 A71 C71 H154:H157">
    <cfRule type="expression" dxfId="177" priority="1278">
      <formula>(#REF!&lt;&gt;"")*(#REF!&lt;&gt;"")</formula>
    </cfRule>
  </conditionalFormatting>
  <conditionalFormatting sqref="M64:M65 T71 T88">
    <cfRule type="expression" dxfId="176" priority="1274">
      <formula>(#REF!&lt;&gt;"")*(#REF!&lt;&gt;"")</formula>
    </cfRule>
  </conditionalFormatting>
  <conditionalFormatting sqref="M88:M89">
    <cfRule type="expression" dxfId="175" priority="1237">
      <formula>(#REF!&lt;&gt;"")*(#REF!&lt;&gt;"")</formula>
    </cfRule>
  </conditionalFormatting>
  <conditionalFormatting sqref="M91:M93">
    <cfRule type="expression" dxfId="174" priority="1233">
      <formula>(#REF!&lt;&gt;"")*(#REF!&lt;&gt;"")</formula>
    </cfRule>
  </conditionalFormatting>
  <conditionalFormatting sqref="M115:M150 C837:H839 J837:M839 G840:H845 H846:H848 B879:H893 J879:N893">
    <cfRule type="expression" dxfId="173" priority="1283">
      <formula>(#REF!&lt;&gt;"")*(#REF!&lt;&gt;"")</formula>
    </cfRule>
  </conditionalFormatting>
  <conditionalFormatting sqref="M168">
    <cfRule type="expression" dxfId="172" priority="1191">
      <formula>(#REF!&lt;&gt;"")*(#REF!&lt;&gt;"")</formula>
    </cfRule>
  </conditionalFormatting>
  <conditionalFormatting sqref="M171">
    <cfRule type="expression" dxfId="171" priority="1184">
      <formula>(#REF!&lt;&gt;"")*(#REF!&lt;&gt;"")</formula>
    </cfRule>
  </conditionalFormatting>
  <conditionalFormatting sqref="M173">
    <cfRule type="expression" dxfId="170" priority="1183">
      <formula>(#REF!&lt;&gt;"")*(#REF!&lt;&gt;"")</formula>
    </cfRule>
  </conditionalFormatting>
  <conditionalFormatting sqref="M177:M178">
    <cfRule type="expression" dxfId="169" priority="1164">
      <formula>(#REF!&lt;&gt;"")*(#REF!&lt;&gt;"")</formula>
    </cfRule>
  </conditionalFormatting>
  <conditionalFormatting sqref="M180">
    <cfRule type="expression" dxfId="168" priority="1162">
      <formula>(#REF!&lt;&gt;"")*(#REF!&lt;&gt;"")</formula>
    </cfRule>
  </conditionalFormatting>
  <conditionalFormatting sqref="M183:M184">
    <cfRule type="expression" dxfId="167" priority="1139">
      <formula>(#REF!&lt;&gt;"")*(#REF!&lt;&gt;"")</formula>
    </cfRule>
  </conditionalFormatting>
  <conditionalFormatting sqref="M187">
    <cfRule type="expression" dxfId="166" priority="1137">
      <formula>(#REF!&lt;&gt;"")*(#REF!&lt;&gt;"")</formula>
    </cfRule>
  </conditionalFormatting>
  <conditionalFormatting sqref="M189:M190 Q189:Q190 K190">
    <cfRule type="expression" dxfId="165" priority="1130">
      <formula>(#REF!&lt;&gt;"")*(#REF!&lt;&gt;"")</formula>
    </cfRule>
  </conditionalFormatting>
  <conditionalFormatting sqref="M192">
    <cfRule type="expression" dxfId="164" priority="1126">
      <formula>($A192&lt;&gt;"")*(#REF!&lt;&gt;"")</formula>
    </cfRule>
  </conditionalFormatting>
  <conditionalFormatting sqref="M196">
    <cfRule type="expression" dxfId="163" priority="1123">
      <formula>(#REF!&lt;&gt;"")*(M$1&lt;&gt;"")</formula>
    </cfRule>
  </conditionalFormatting>
  <conditionalFormatting sqref="M200">
    <cfRule type="expression" dxfId="162" priority="1120">
      <formula>(#REF!&lt;&gt;"")*(#REF!&lt;&gt;"")</formula>
    </cfRule>
  </conditionalFormatting>
  <conditionalFormatting sqref="M204">
    <cfRule type="expression" dxfId="161" priority="1117">
      <formula>(#REF!&lt;&gt;"")*(#REF!&lt;&gt;"")</formula>
    </cfRule>
  </conditionalFormatting>
  <conditionalFormatting sqref="M689:M696">
    <cfRule type="expression" dxfId="160" priority="395">
      <formula>(#REF!&lt;&gt;"")*(#REF!&lt;&gt;"")</formula>
    </cfRule>
  </conditionalFormatting>
  <conditionalFormatting sqref="M729:M742">
    <cfRule type="expression" dxfId="159" priority="648">
      <formula>(#REF!&lt;&gt;"")*(#REF!&lt;&gt;"")</formula>
    </cfRule>
  </conditionalFormatting>
  <conditionalFormatting sqref="M744:M764">
    <cfRule type="expression" dxfId="158" priority="345">
      <formula>(#REF!&lt;&gt;"")*(#REF!&lt;&gt;"")</formula>
    </cfRule>
  </conditionalFormatting>
  <conditionalFormatting sqref="M771:M773">
    <cfRule type="expression" dxfId="157" priority="532">
      <formula>(#REF!&lt;&gt;"")*(#REF!&lt;&gt;"")</formula>
    </cfRule>
  </conditionalFormatting>
  <conditionalFormatting sqref="M775:M786">
    <cfRule type="expression" dxfId="156" priority="410">
      <formula>(#REF!&lt;&gt;"")*(#REF!&lt;&gt;"")</formula>
    </cfRule>
  </conditionalFormatting>
  <conditionalFormatting sqref="M814:M819">
    <cfRule type="expression" dxfId="155" priority="537">
      <formula>(#REF!&lt;&gt;"")*(#REF!&lt;&gt;"")</formula>
    </cfRule>
  </conditionalFormatting>
  <conditionalFormatting sqref="M832:M836">
    <cfRule type="expression" dxfId="154" priority="406">
      <formula>(#REF!&lt;&gt;"")*(#REF!&lt;&gt;"")</formula>
    </cfRule>
  </conditionalFormatting>
  <conditionalFormatting sqref="M930:M936">
    <cfRule type="expression" dxfId="153" priority="6">
      <formula>(#REF!&lt;&gt;"")*(M$1&lt;&gt;"")</formula>
    </cfRule>
  </conditionalFormatting>
  <conditionalFormatting sqref="M941">
    <cfRule type="expression" dxfId="152" priority="136">
      <formula>(#REF!&lt;&gt;"")*(M$1&lt;&gt;"")</formula>
    </cfRule>
  </conditionalFormatting>
  <conditionalFormatting sqref="M73:R75">
    <cfRule type="expression" dxfId="150" priority="1255">
      <formula>($A73&lt;&gt;"")*(#REF!&lt;&gt;"")</formula>
    </cfRule>
  </conditionalFormatting>
  <conditionalFormatting sqref="N161">
    <cfRule type="expression" dxfId="149" priority="1195">
      <formula>(#REF!&lt;&gt;"")*(O$1&lt;&gt;"")</formula>
    </cfRule>
  </conditionalFormatting>
  <conditionalFormatting sqref="N181">
    <cfRule type="expression" dxfId="148" priority="1142">
      <formula>(#REF!&lt;&gt;"")*(O$1&lt;&gt;"")</formula>
    </cfRule>
  </conditionalFormatting>
  <conditionalFormatting sqref="N693:N696">
    <cfRule type="expression" dxfId="147" priority="393">
      <formula>(#REF!&lt;&gt;"")*(#REF!&lt;&gt;"")</formula>
    </cfRule>
  </conditionalFormatting>
  <conditionalFormatting sqref="N814:N819">
    <cfRule type="expression" dxfId="146" priority="538">
      <formula>(#REF!&lt;&gt;"")*(N$1&lt;&gt;"")</formula>
    </cfRule>
  </conditionalFormatting>
  <conditionalFormatting sqref="N952:N964 X960:X961">
    <cfRule type="expression" dxfId="145" priority="160">
      <formula>(#REF!&lt;&gt;"")*(N$1&lt;&gt;"")</formula>
    </cfRule>
  </conditionalFormatting>
  <conditionalFormatting sqref="N967:N1011">
    <cfRule type="expression" dxfId="144" priority="26">
      <formula>(#REF!&lt;&gt;"")*(N$1&lt;&gt;"")</formula>
    </cfRule>
  </conditionalFormatting>
  <conditionalFormatting sqref="N832:O839">
    <cfRule type="expression" dxfId="143" priority="400">
      <formula>(#REF!&lt;&gt;"")*(#REF!&lt;&gt;"")</formula>
    </cfRule>
  </conditionalFormatting>
  <conditionalFormatting sqref="N93:Q93">
    <cfRule type="expression" dxfId="142" priority="1231">
      <formula>(#REF!&lt;&gt;"")*(#REF!&lt;&gt;"")</formula>
    </cfRule>
  </conditionalFormatting>
  <conditionalFormatting sqref="N771:Q771">
    <cfRule type="expression" dxfId="141" priority="531">
      <formula>(#REF!&lt;&gt;"")*(#REF!&lt;&gt;"")</formula>
    </cfRule>
  </conditionalFormatting>
  <conditionalFormatting sqref="O685">
    <cfRule type="expression" dxfId="140" priority="706">
      <formula>(#REF!&lt;&gt;"")*(#REF!&lt;&gt;"")</formula>
    </cfRule>
  </conditionalFormatting>
  <conditionalFormatting sqref="O694:O696">
    <cfRule type="expression" dxfId="139" priority="391">
      <formula>(#REF!&lt;&gt;"")*(#REF!&lt;&gt;"")</formula>
    </cfRule>
  </conditionalFormatting>
  <conditionalFormatting sqref="O721">
    <cfRule type="expression" dxfId="138" priority="652">
      <formula>(#REF!&lt;&gt;"")*(O$1&lt;&gt;"")</formula>
    </cfRule>
  </conditionalFormatting>
  <conditionalFormatting sqref="O754:O755">
    <cfRule type="expression" dxfId="137" priority="644">
      <formula>(#REF!&lt;&gt;"")*(#REF!&lt;&gt;"")</formula>
    </cfRule>
  </conditionalFormatting>
  <conditionalFormatting sqref="O762:O763">
    <cfRule type="expression" dxfId="136" priority="621">
      <formula>(#REF!&lt;&gt;"")*(#REF!&lt;&gt;"")</formula>
    </cfRule>
  </conditionalFormatting>
  <conditionalFormatting sqref="O832:O878">
    <cfRule type="expression" dxfId="135" priority="372">
      <formula>(#REF!&lt;&gt;"")*(#REF!&lt;&gt;"")</formula>
    </cfRule>
  </conditionalFormatting>
  <conditionalFormatting sqref="O823:P831">
    <cfRule type="expression" dxfId="134" priority="429">
      <formula>(#REF!&lt;&gt;"")*(#REF!&lt;&gt;"")</formula>
    </cfRule>
  </conditionalFormatting>
  <conditionalFormatting sqref="O90:Q90">
    <cfRule type="expression" dxfId="133" priority="1238">
      <formula>(#REF!&lt;&gt;"")*(O$1&lt;&gt;"")</formula>
    </cfRule>
  </conditionalFormatting>
  <conditionalFormatting sqref="P76:P77">
    <cfRule type="expression" dxfId="132" priority="1246">
      <formula>($A76&lt;&gt;"")*(#REF!&lt;&gt;"")</formula>
    </cfRule>
  </conditionalFormatting>
  <conditionalFormatting sqref="P151:P153 K152:L155">
    <cfRule type="expression" dxfId="131" priority="1180">
      <formula>(#REF!&lt;&gt;"")*(L$1&lt;&gt;"")</formula>
    </cfRule>
  </conditionalFormatting>
  <conditionalFormatting sqref="P154">
    <cfRule type="expression" dxfId="130" priority="1215">
      <formula>(#REF!&lt;&gt;"")*(#REF!&lt;&gt;"")</formula>
    </cfRule>
    <cfRule type="expression" dxfId="129" priority="1216">
      <formula>(#REF!&lt;&gt;"")*(#REF!&lt;&gt;"")</formula>
    </cfRule>
  </conditionalFormatting>
  <conditionalFormatting sqref="P155:P157 L156">
    <cfRule type="expression" dxfId="128" priority="1209">
      <formula>(#REF!&lt;&gt;"")*(M$1&lt;&gt;"")</formula>
    </cfRule>
  </conditionalFormatting>
  <conditionalFormatting sqref="P158:P159">
    <cfRule type="expression" dxfId="127" priority="1153">
      <formula>(#REF!&lt;&gt;"")*(#REF!&lt;&gt;"")</formula>
    </cfRule>
    <cfRule type="expression" dxfId="126" priority="1154">
      <formula>(#REF!&lt;&gt;"")*(#REF!&lt;&gt;"")</formula>
    </cfRule>
  </conditionalFormatting>
  <conditionalFormatting sqref="P161">
    <cfRule type="expression" dxfId="125" priority="1197">
      <formula>(#REF!&lt;&gt;"")*(#REF!&lt;&gt;"")</formula>
    </cfRule>
    <cfRule type="expression" dxfId="124" priority="1196">
      <formula>(#REF!&lt;&gt;"")*(#REF!&lt;&gt;"")</formula>
    </cfRule>
  </conditionalFormatting>
  <conditionalFormatting sqref="P169">
    <cfRule type="expression" dxfId="123" priority="1186">
      <formula>(#REF!&lt;&gt;"")*(#REF!&lt;&gt;"")</formula>
    </cfRule>
    <cfRule type="expression" dxfId="122" priority="1185">
      <formula>(#REF!&lt;&gt;"")*(#REF!&lt;&gt;"")</formula>
    </cfRule>
  </conditionalFormatting>
  <conditionalFormatting sqref="P176">
    <cfRule type="expression" dxfId="121" priority="1161">
      <formula>(#REF!&lt;&gt;"")*(Q$1&lt;&gt;"")</formula>
    </cfRule>
  </conditionalFormatting>
  <conditionalFormatting sqref="P181">
    <cfRule type="expression" dxfId="120" priority="1144">
      <formula>(#REF!&lt;&gt;"")*(#REF!&lt;&gt;"")</formula>
    </cfRule>
    <cfRule type="expression" dxfId="119" priority="1145">
      <formula>(#REF!&lt;&gt;"")*(#REF!&lt;&gt;"")</formula>
    </cfRule>
  </conditionalFormatting>
  <conditionalFormatting sqref="P683:P690">
    <cfRule type="expression" dxfId="118" priority="693">
      <formula>(#REF!&lt;&gt;"")*(#REF!&lt;&gt;"")</formula>
    </cfRule>
  </conditionalFormatting>
  <conditionalFormatting sqref="P691:P696">
    <cfRule type="expression" dxfId="117" priority="398">
      <formula>(#REF!&lt;&gt;"")*(P$1&lt;&gt;"")</formula>
    </cfRule>
  </conditionalFormatting>
  <conditionalFormatting sqref="P693:P696">
    <cfRule type="expression" dxfId="116" priority="392">
      <formula>(#REF!&lt;&gt;"")*(#REF!&lt;&gt;"")</formula>
    </cfRule>
  </conditionalFormatting>
  <conditionalFormatting sqref="P772:P773 P778:R779">
    <cfRule type="expression" dxfId="115" priority="668">
      <formula>(#REF!&lt;&gt;"")*(#REF!&lt;&gt;"")</formula>
    </cfRule>
  </conditionalFormatting>
  <conditionalFormatting sqref="P814:P817">
    <cfRule type="expression" dxfId="114" priority="545">
      <formula>(#REF!&lt;&gt;"")*(#REF!&lt;&gt;"")</formula>
    </cfRule>
    <cfRule type="expression" dxfId="113" priority="546">
      <formula>(#REF!&lt;&gt;"")*(#REF!&lt;&gt;"")</formula>
    </cfRule>
  </conditionalFormatting>
  <conditionalFormatting sqref="P832:P836">
    <cfRule type="expression" dxfId="112" priority="405">
      <formula>(#REF!&lt;&gt;"")*(#REF!&lt;&gt;"")</formula>
    </cfRule>
    <cfRule type="expression" dxfId="111" priority="403">
      <formula>(#REF!&lt;&gt;"")*(#REF!&lt;&gt;"")</formula>
    </cfRule>
  </conditionalFormatting>
  <conditionalFormatting sqref="P915:P916 L916:M916 A917 F917:G917 J917:R917 L918:M918 P918 Y924 N937 J946 J948:O948">
    <cfRule type="expression" dxfId="110" priority="330">
      <formula>(#REF!&lt;&gt;"")*(A$1&lt;&gt;"")</formula>
    </cfRule>
  </conditionalFormatting>
  <conditionalFormatting sqref="P30:Q30">
    <cfRule type="expression" dxfId="109" priority="1273">
      <formula>(#REF!&lt;&gt;"")*(#REF!&lt;&gt;"")</formula>
    </cfRule>
  </conditionalFormatting>
  <conditionalFormatting sqref="P71:Q72">
    <cfRule type="expression" dxfId="108" priority="1266">
      <formula>(#REF!&lt;&gt;"")*(#REF!&lt;&gt;"")</formula>
    </cfRule>
  </conditionalFormatting>
  <conditionalFormatting sqref="P73:Q75 P76 P77:Q77">
    <cfRule type="expression" dxfId="107" priority="1264">
      <formula>($A73&lt;&gt;"")*(#REF!&lt;&gt;"")</formula>
    </cfRule>
  </conditionalFormatting>
  <conditionalFormatting sqref="P88:Q88">
    <cfRule type="expression" dxfId="106" priority="1275">
      <formula>(#REF!&lt;&gt;"")*(#REF!&lt;&gt;"")</formula>
    </cfRule>
  </conditionalFormatting>
  <conditionalFormatting sqref="P93:Q93">
    <cfRule type="expression" dxfId="105" priority="1235">
      <formula>(#REF!&lt;&gt;"")*(#REF!&lt;&gt;"")</formula>
    </cfRule>
  </conditionalFormatting>
  <conditionalFormatting sqref="P702:Q702">
    <cfRule type="expression" dxfId="104" priority="655">
      <formula>(#REF!&lt;&gt;"")*(#REF!&lt;&gt;"")</formula>
    </cfRule>
  </conditionalFormatting>
  <conditionalFormatting sqref="P743:Q743 P750:Q751 Q764">
    <cfRule type="expression" dxfId="103" priority="717">
      <formula>(#REF!&lt;&gt;"")*(#REF!&lt;&gt;"")</formula>
    </cfRule>
  </conditionalFormatting>
  <conditionalFormatting sqref="P750:Q751">
    <cfRule type="expression" dxfId="102" priority="654">
      <formula>(#REF!&lt;&gt;"")*(#REF!&lt;&gt;"")</formula>
    </cfRule>
  </conditionalFormatting>
  <conditionalFormatting sqref="P765:Q769">
    <cfRule type="expression" dxfId="101" priority="334">
      <formula>(#REF!&lt;&gt;"")*(#REF!&lt;&gt;"")</formula>
    </cfRule>
  </conditionalFormatting>
  <conditionalFormatting sqref="P771:Q784">
    <cfRule type="expression" dxfId="100" priority="465">
      <formula>(#REF!&lt;&gt;"")*(#REF!&lt;&gt;"")</formula>
    </cfRule>
  </conditionalFormatting>
  <conditionalFormatting sqref="P774:Q777">
    <cfRule type="expression" dxfId="99" priority="462">
      <formula>(#REF!&lt;&gt;"")*(#REF!&lt;&gt;"")</formula>
    </cfRule>
  </conditionalFormatting>
  <conditionalFormatting sqref="P780:Q780">
    <cfRule type="expression" dxfId="98" priority="618">
      <formula>(#REF!&lt;&gt;"")*(#REF!&lt;&gt;"")</formula>
    </cfRule>
  </conditionalFormatting>
  <conditionalFormatting sqref="P796:Q813">
    <cfRule type="expression" dxfId="97" priority="446">
      <formula>(#REF!&lt;&gt;"")*(#REF!&lt;&gt;"")</formula>
    </cfRule>
  </conditionalFormatting>
  <conditionalFormatting sqref="P820:Q822">
    <cfRule type="expression" dxfId="96" priority="381">
      <formula>(#REF!&lt;&gt;"")*(#REF!&lt;&gt;"")</formula>
    </cfRule>
  </conditionalFormatting>
  <conditionalFormatting sqref="P72:R72">
    <cfRule type="expression" dxfId="95" priority="1265">
      <formula>(#REF!&lt;&gt;"")*(#REF!&lt;&gt;"")</formula>
    </cfRule>
  </conditionalFormatting>
  <conditionalFormatting sqref="P192:R192">
    <cfRule type="expression" dxfId="94" priority="1125">
      <formula>($A192&lt;&gt;"")*(#REF!&lt;&gt;"")</formula>
    </cfRule>
  </conditionalFormatting>
  <conditionalFormatting sqref="P781:R784">
    <cfRule type="expression" dxfId="93" priority="526">
      <formula>(#REF!&lt;&gt;"")*(#REF!&lt;&gt;"")</formula>
    </cfRule>
  </conditionalFormatting>
  <conditionalFormatting sqref="Q76">
    <cfRule type="expression" dxfId="92" priority="1254">
      <formula>(#REF!&lt;&gt;"")*(#REF!&lt;&gt;"")</formula>
    </cfRule>
    <cfRule type="expression" dxfId="91" priority="1251">
      <formula>(#REF!&lt;&gt;"")*(#REF!&lt;&gt;"")</formula>
    </cfRule>
  </conditionalFormatting>
  <conditionalFormatting sqref="Q77">
    <cfRule type="expression" dxfId="90" priority="1245">
      <formula>($A77&lt;&gt;"")*(#REF!&lt;&gt;"")</formula>
    </cfRule>
  </conditionalFormatting>
  <conditionalFormatting sqref="Q91:Q93">
    <cfRule type="expression" dxfId="89" priority="1236">
      <formula>(#REF!&lt;&gt;"")*(#REF!&lt;&gt;"")</formula>
    </cfRule>
  </conditionalFormatting>
  <conditionalFormatting sqref="Q151:Q159">
    <cfRule type="expression" dxfId="88" priority="1155">
      <formula>(#REF!&lt;&gt;"")*(R$1&lt;&gt;"")</formula>
    </cfRule>
  </conditionalFormatting>
  <conditionalFormatting sqref="Q161">
    <cfRule type="expression" dxfId="87" priority="1198">
      <formula>(#REF!&lt;&gt;"")*(R$1&lt;&gt;"")</formula>
    </cfRule>
  </conditionalFormatting>
  <conditionalFormatting sqref="Q169">
    <cfRule type="expression" dxfId="86" priority="1187">
      <formula>(#REF!&lt;&gt;"")*(R$1&lt;&gt;"")</formula>
    </cfRule>
  </conditionalFormatting>
  <conditionalFormatting sqref="Q170">
    <cfRule type="expression" dxfId="85" priority="1166">
      <formula>(#REF!&lt;&gt;"")*(#REF!&lt;&gt;"")</formula>
    </cfRule>
  </conditionalFormatting>
  <conditionalFormatting sqref="Q181">
    <cfRule type="expression" dxfId="84" priority="1146">
      <formula>(#REF!&lt;&gt;"")*(R$1&lt;&gt;"")</formula>
    </cfRule>
  </conditionalFormatting>
  <conditionalFormatting sqref="Q200">
    <cfRule type="expression" dxfId="83" priority="1121">
      <formula>(#REF!&lt;&gt;"")*(#REF!&lt;&gt;"")</formula>
    </cfRule>
  </conditionalFormatting>
  <conditionalFormatting sqref="Q683:Q696">
    <cfRule type="expression" dxfId="82" priority="388">
      <formula>(#REF!&lt;&gt;"")*(#REF!&lt;&gt;"")</formula>
    </cfRule>
    <cfRule type="expression" dxfId="81" priority="387">
      <formula>(#REF!&lt;&gt;"")*(#REF!&lt;&gt;"")</formula>
    </cfRule>
  </conditionalFormatting>
  <conditionalFormatting sqref="Q744:Q749">
    <cfRule type="expression" dxfId="80" priority="343">
      <formula>(#REF!&lt;&gt;"")*(#REF!&lt;&gt;"")</formula>
    </cfRule>
    <cfRule type="expression" dxfId="79" priority="348">
      <formula>(#REF!&lt;&gt;"")*(#REF!&lt;&gt;"")</formula>
    </cfRule>
  </conditionalFormatting>
  <conditionalFormatting sqref="Q752:Q764">
    <cfRule type="expression" dxfId="78" priority="411">
      <formula>(#REF!&lt;&gt;"")*(#REF!&lt;&gt;"")</formula>
    </cfRule>
  </conditionalFormatting>
  <conditionalFormatting sqref="Q770">
    <cfRule type="expression" dxfId="77" priority="458">
      <formula>(#REF!&lt;&gt;"")*(#REF!&lt;&gt;"")</formula>
    </cfRule>
    <cfRule type="expression" dxfId="76" priority="459">
      <formula>(#REF!&lt;&gt;"")*(#REF!&lt;&gt;"")</formula>
    </cfRule>
  </conditionalFormatting>
  <conditionalFormatting sqref="Q772:Q777">
    <cfRule type="expression" dxfId="75" priority="463">
      <formula>(#REF!&lt;&gt;"")*(#REF!&lt;&gt;"")</formula>
    </cfRule>
  </conditionalFormatting>
  <conditionalFormatting sqref="Q781:Q784">
    <cfRule type="expression" dxfId="74" priority="525">
      <formula>(#REF!&lt;&gt;"")*(#REF!&lt;&gt;"")</formula>
    </cfRule>
  </conditionalFormatting>
  <conditionalFormatting sqref="Q797:Q822 E820:G822">
    <cfRule type="expression" dxfId="73" priority="380">
      <formula>(#REF!&lt;&gt;"")*(#REF!&lt;&gt;"")</formula>
    </cfRule>
  </conditionalFormatting>
  <conditionalFormatting sqref="Q814:Q819">
    <cfRule type="expression" dxfId="72" priority="542">
      <formula>(#REF!&lt;&gt;"")*(#REF!&lt;&gt;"")</formula>
    </cfRule>
  </conditionalFormatting>
  <conditionalFormatting sqref="Q837:Q878">
    <cfRule type="expression" dxfId="71" priority="368">
      <formula>(#REF!&lt;&gt;"")*(#REF!&lt;&gt;"")</formula>
    </cfRule>
  </conditionalFormatting>
  <conditionalFormatting sqref="Q894:Q929">
    <cfRule type="expression" dxfId="70" priority="13">
      <formula>(#REF!&lt;&gt;"")*(Q$1&lt;&gt;"")</formula>
    </cfRule>
  </conditionalFormatting>
  <conditionalFormatting sqref="Q938">
    <cfRule type="expression" dxfId="69" priority="270">
      <formula>(#REF!&lt;&gt;"")*(Q$1&lt;&gt;"")</formula>
    </cfRule>
  </conditionalFormatting>
  <conditionalFormatting sqref="Q941:Q1011">
    <cfRule type="expression" dxfId="68" priority="1">
      <formula>(#REF!&lt;&gt;"")*(Q$1&lt;&gt;"")</formula>
    </cfRule>
  </conditionalFormatting>
  <conditionalFormatting sqref="R151:R159">
    <cfRule type="expression" dxfId="67" priority="1157">
      <formula>(#REF!&lt;&gt;"")*(#REF!&lt;&gt;"")</formula>
    </cfRule>
  </conditionalFormatting>
  <conditionalFormatting sqref="R161">
    <cfRule type="expression" dxfId="66" priority="1200">
      <formula>(#REF!&lt;&gt;"")*(#REF!&lt;&gt;"")</formula>
    </cfRule>
  </conditionalFormatting>
  <conditionalFormatting sqref="R169">
    <cfRule type="expression" dxfId="65" priority="1189">
      <formula>(#REF!&lt;&gt;"")*(#REF!&lt;&gt;"")</formula>
    </cfRule>
  </conditionalFormatting>
  <conditionalFormatting sqref="R176">
    <cfRule type="expression" dxfId="64" priority="1160">
      <formula>(#REF!&lt;&gt;"")*(#REF!&lt;&gt;"")</formula>
    </cfRule>
  </conditionalFormatting>
  <conditionalFormatting sqref="R181">
    <cfRule type="expression" dxfId="63" priority="1148">
      <formula>(#REF!&lt;&gt;"")*(#REF!&lt;&gt;"")</formula>
    </cfRule>
  </conditionalFormatting>
  <conditionalFormatting sqref="R693:R696">
    <cfRule type="expression" dxfId="62" priority="389">
      <formula>(#REF!&lt;&gt;"")*(#REF!&lt;&gt;"")</formula>
    </cfRule>
  </conditionalFormatting>
  <conditionalFormatting sqref="R770:R777">
    <cfRule type="expression" dxfId="61" priority="457">
      <formula>(#REF!&lt;&gt;"")*(#REF!&lt;&gt;"")</formula>
    </cfRule>
  </conditionalFormatting>
  <conditionalFormatting sqref="R820:R836">
    <cfRule type="expression" dxfId="60" priority="378">
      <formula>(#REF!&lt;&gt;"")*(#REF!&lt;&gt;"")</formula>
    </cfRule>
  </conditionalFormatting>
  <conditionalFormatting sqref="R926:R936">
    <cfRule type="expression" dxfId="59" priority="8">
      <formula>(#REF!&lt;&gt;"")*(R$1&lt;&gt;"")</formula>
    </cfRule>
  </conditionalFormatting>
  <conditionalFormatting sqref="R938">
    <cfRule type="expression" dxfId="58" priority="269">
      <formula>(#REF!&lt;&gt;"")*(R$1&lt;&gt;"")</formula>
    </cfRule>
  </conditionalFormatting>
  <conditionalFormatting sqref="R942:R950 J949:J950">
    <cfRule type="expression" dxfId="57" priority="4">
      <formula>(#REF!&lt;&gt;"")*(J$1&lt;&gt;"")</formula>
    </cfRule>
  </conditionalFormatting>
  <conditionalFormatting sqref="S961">
    <cfRule type="expression" dxfId="56" priority="104">
      <formula>(#REF!&lt;&gt;"")*(S$1&lt;&gt;"")</formula>
    </cfRule>
  </conditionalFormatting>
  <conditionalFormatting sqref="T73:T75 C73:C76 J73:K77 M73:O77">
    <cfRule type="expression" dxfId="55" priority="1262">
      <formula>($A73&lt;&gt;"")*(#REF!&lt;&gt;"")</formula>
    </cfRule>
  </conditionalFormatting>
  <conditionalFormatting sqref="T76">
    <cfRule type="expression" dxfId="54" priority="1271">
      <formula>(#REF!&lt;&gt;"")*(#REF!&lt;&gt;"")</formula>
    </cfRule>
  </conditionalFormatting>
  <conditionalFormatting sqref="T683:T696">
    <cfRule type="expression" dxfId="53" priority="671">
      <formula>(#REF!&lt;&gt;"")*(#REF!&lt;&gt;"")</formula>
    </cfRule>
  </conditionalFormatting>
  <conditionalFormatting sqref="T952:T964">
    <cfRule type="expression" dxfId="52" priority="158">
      <formula>(#REF!&lt;&gt;"")*(#REF!&lt;&gt;"")</formula>
    </cfRule>
  </conditionalFormatting>
  <conditionalFormatting sqref="T77:U77">
    <cfRule type="expression" dxfId="51" priority="1249">
      <formula>($A77&lt;&gt;"")*(#REF!&lt;&gt;"")</formula>
    </cfRule>
  </conditionalFormatting>
  <conditionalFormatting sqref="T190:U190">
    <cfRule type="expression" dxfId="50" priority="1118">
      <formula>(#REF!&lt;&gt;"")*(#REF!&lt;&gt;"")</formula>
    </cfRule>
  </conditionalFormatting>
  <conditionalFormatting sqref="U814:U819">
    <cfRule type="expression" dxfId="49" priority="540">
      <formula>(#REF!&lt;&gt;"")*(W$1&lt;&gt;"")</formula>
    </cfRule>
  </conditionalFormatting>
  <conditionalFormatting sqref="U952:U1011">
    <cfRule type="expression" dxfId="48" priority="28">
      <formula>(#REF!&lt;&gt;"")*(W$1&lt;&gt;"")</formula>
    </cfRule>
  </conditionalFormatting>
  <conditionalFormatting sqref="W906">
    <cfRule type="expression" dxfId="47" priority="304">
      <formula>(#REF!&lt;&gt;"")*(W$1&lt;&gt;"")</formula>
    </cfRule>
  </conditionalFormatting>
  <conditionalFormatting sqref="W937">
    <cfRule type="expression" dxfId="46" priority="308">
      <formula>(#REF!&lt;&gt;"")*(W$1&lt;&gt;"")</formula>
    </cfRule>
  </conditionalFormatting>
  <conditionalFormatting sqref="W979:W980">
    <cfRule type="expression" dxfId="45" priority="59">
      <formula>(#REF!&lt;&gt;"")*(W$1&lt;&gt;"")</formula>
    </cfRule>
  </conditionalFormatting>
  <conditionalFormatting sqref="Y879:AB892">
    <cfRule type="expression" dxfId="44" priority="479">
      <formula>(#REF!&lt;&gt;"")*(#REF!&lt;&gt;"")</formula>
    </cfRule>
  </conditionalFormatting>
  <conditionalFormatting sqref="Y893:AC893">
    <cfRule type="expression" dxfId="43" priority="495">
      <formula>(#REF!&lt;&gt;"")*(#REF!&lt;&gt;"")</formula>
    </cfRule>
  </conditionalFormatting>
  <conditionalFormatting sqref="Z77">
    <cfRule type="expression" dxfId="42" priority="1250">
      <formula>($A77&lt;&gt;"")*(#REF!&lt;&gt;"")</formula>
    </cfRule>
  </conditionalFormatting>
  <conditionalFormatting sqref="Z368">
    <cfRule type="duplicateValues" dxfId="41" priority="1114"/>
  </conditionalFormatting>
  <conditionalFormatting sqref="Z369">
    <cfRule type="duplicateValues" dxfId="40" priority="1113"/>
  </conditionalFormatting>
  <conditionalFormatting sqref="Z370">
    <cfRule type="duplicateValues" dxfId="39" priority="1112"/>
  </conditionalFormatting>
  <conditionalFormatting sqref="Z371">
    <cfRule type="duplicateValues" dxfId="38" priority="1111"/>
  </conditionalFormatting>
  <conditionalFormatting sqref="Z937">
    <cfRule type="expression" dxfId="37" priority="326">
      <formula>(#REF!&lt;&gt;"")*(#REF!&lt;&gt;"")</formula>
    </cfRule>
  </conditionalFormatting>
  <conditionalFormatting sqref="Z945">
    <cfRule type="expression" dxfId="36" priority="327">
      <formula>(#REF!&lt;&gt;"")*(#REF!&lt;&gt;"")</formula>
    </cfRule>
  </conditionalFormatting>
  <conditionalFormatting sqref="Z947:Z948">
    <cfRule type="expression" dxfId="35" priority="320">
      <formula>(#REF!&lt;&gt;"")*(#REF!&lt;&gt;"")</formula>
    </cfRule>
  </conditionalFormatting>
  <conditionalFormatting sqref="Z1027857">
    <cfRule type="expression" dxfId="34" priority="1286">
      <formula>(#REF!&lt;&gt;"")*(AB$1&lt;&gt;"")</formula>
    </cfRule>
  </conditionalFormatting>
  <conditionalFormatting sqref="Z1027860:Z1027863">
    <cfRule type="expression" dxfId="33" priority="1284">
      <formula>(#REF!&lt;&gt;"")*(#REF!&lt;&gt;"")</formula>
    </cfRule>
  </conditionalFormatting>
  <conditionalFormatting sqref="Z811:AA813">
    <cfRule type="expression" dxfId="32" priority="576">
      <formula>(#REF!&lt;&gt;"")*(#REF!&lt;&gt;"")</formula>
    </cfRule>
  </conditionalFormatting>
  <conditionalFormatting sqref="Z866:AA878">
    <cfRule type="expression" dxfId="31" priority="480">
      <formula>(#REF!&lt;&gt;"")*(#REF!&lt;&gt;"")</formula>
    </cfRule>
  </conditionalFormatting>
  <conditionalFormatting sqref="Z71:AC72 Z76:AC76 Z88:AC88 Z1027858">
    <cfRule type="expression" dxfId="30" priority="1285">
      <formula>(#REF!&lt;&gt;"")*(#REF!&lt;&gt;"")</formula>
    </cfRule>
  </conditionalFormatting>
  <conditionalFormatting sqref="Z73:AC74 Z75 AB75:AC75 M77">
    <cfRule type="expression" dxfId="29" priority="1272">
      <formula>($A73&lt;&gt;"")*(#REF!&lt;&gt;"")</formula>
    </cfRule>
  </conditionalFormatting>
  <conditionalFormatting sqref="Z840:AC845 AC849:AC863">
    <cfRule type="expression" dxfId="28" priority="482">
      <formula>(#REF!&lt;&gt;"")*(#REF!&lt;&gt;"")</formula>
    </cfRule>
  </conditionalFormatting>
  <conditionalFormatting sqref="AA83">
    <cfRule type="expression" dxfId="27" priority="1176">
      <formula>($A83&lt;&gt;"")*(#REF!&lt;&gt;"")</formula>
    </cfRule>
  </conditionalFormatting>
  <conditionalFormatting sqref="AA87">
    <cfRule type="expression" dxfId="26" priority="1193">
      <formula>(#REF!&lt;&gt;"")*(#REF!&lt;&gt;"")</formula>
    </cfRule>
  </conditionalFormatting>
  <conditionalFormatting sqref="AA96">
    <cfRule type="expression" dxfId="25" priority="1175">
      <formula>($A96&lt;&gt;"")*(#REF!&lt;&gt;"")</formula>
    </cfRule>
  </conditionalFormatting>
  <conditionalFormatting sqref="AA98">
    <cfRule type="expression" dxfId="24" priority="1174">
      <formula>($A98&lt;&gt;"")*(#REF!&lt;&gt;"")</formula>
    </cfRule>
  </conditionalFormatting>
  <conditionalFormatting sqref="AA102">
    <cfRule type="expression" dxfId="23" priority="1173">
      <formula>($A102&lt;&gt;"")*(#REF!&lt;&gt;"")</formula>
    </cfRule>
  </conditionalFormatting>
  <conditionalFormatting sqref="AA138:AA139">
    <cfRule type="expression" dxfId="22" priority="1171">
      <formula>($A138&lt;&gt;"")*(#REF!&lt;&gt;"")</formula>
    </cfRule>
  </conditionalFormatting>
  <conditionalFormatting sqref="AA141:AA144">
    <cfRule type="expression" dxfId="21" priority="1169">
      <formula>($A141&lt;&gt;"")*(#REF!&lt;&gt;"")</formula>
    </cfRule>
  </conditionalFormatting>
  <conditionalFormatting sqref="AA151 AA155 AA157">
    <cfRule type="expression" dxfId="20" priority="1168">
      <formula>($A151&lt;&gt;"")*(#REF!&lt;&gt;"")</formula>
    </cfRule>
  </conditionalFormatting>
  <conditionalFormatting sqref="AA174">
    <cfRule type="expression" dxfId="19" priority="1167">
      <formula>(#REF!&lt;&gt;"")*(#REF!&lt;&gt;"")</formula>
    </cfRule>
  </conditionalFormatting>
  <conditionalFormatting sqref="AA205">
    <cfRule type="expression" dxfId="18" priority="1115">
      <formula>(#REF!&lt;&gt;"")*(#REF!&lt;&gt;"")</formula>
    </cfRule>
  </conditionalFormatting>
  <conditionalFormatting sqref="AA77:AC77">
    <cfRule type="expression" dxfId="17" priority="1244">
      <formula>(#REF!&lt;&gt;"")*(#REF!&lt;&gt;"")</formula>
    </cfRule>
  </conditionalFormatting>
  <conditionalFormatting sqref="AA743:AC743">
    <cfRule type="expression" dxfId="16" priority="611">
      <formula>(#REF!&lt;&gt;"")*(#REF!&lt;&gt;"")</formula>
    </cfRule>
  </conditionalFormatting>
  <conditionalFormatting sqref="AA747:AC747">
    <cfRule type="expression" dxfId="15" priority="610">
      <formula>(#REF!&lt;&gt;"")*(#REF!&lt;&gt;"")</formula>
    </cfRule>
  </conditionalFormatting>
  <conditionalFormatting sqref="AA750:AC751">
    <cfRule type="expression" dxfId="14" priority="460">
      <formula>(#REF!&lt;&gt;"")*(#REF!&lt;&gt;"")</formula>
    </cfRule>
  </conditionalFormatting>
  <conditionalFormatting sqref="AA765:AC779">
    <cfRule type="expression" dxfId="13" priority="461">
      <formula>(#REF!&lt;&gt;"")*(#REF!&lt;&gt;"")</formula>
    </cfRule>
  </conditionalFormatting>
  <conditionalFormatting sqref="AA781:AC784">
    <cfRule type="expression" dxfId="12" priority="520">
      <formula>(#REF!&lt;&gt;"")*(#REF!&lt;&gt;"")</formula>
    </cfRule>
  </conditionalFormatting>
  <conditionalFormatting sqref="AA797:AC806">
    <cfRule type="expression" dxfId="11" priority="555">
      <formula>(#REF!&lt;&gt;"")*(#REF!&lt;&gt;"")</formula>
    </cfRule>
  </conditionalFormatting>
  <conditionalFormatting sqref="AB154">
    <cfRule type="expression" dxfId="10" priority="1221">
      <formula>(#REF!&lt;&gt;"")*(#REF!&lt;&gt;"")</formula>
    </cfRule>
  </conditionalFormatting>
  <conditionalFormatting sqref="AB813">
    <cfRule type="expression" dxfId="9" priority="575">
      <formula>(#REF!&lt;&gt;"")*(#REF!&lt;&gt;"")</formula>
    </cfRule>
  </conditionalFormatting>
  <conditionalFormatting sqref="AB815:AB824 AB825:AC839">
    <cfRule type="expression" dxfId="8" priority="518">
      <formula>(#REF!&lt;&gt;"")*(#REF!&lt;&gt;"")</formula>
    </cfRule>
  </conditionalFormatting>
  <conditionalFormatting sqref="AB151:AC151">
    <cfRule type="expression" dxfId="7" priority="1226">
      <formula>(#REF!&lt;&gt;"")*(#REF!&lt;&gt;"")</formula>
    </cfRule>
  </conditionalFormatting>
  <conditionalFormatting sqref="AB155:AC159">
    <cfRule type="expression" dxfId="6" priority="1158">
      <formula>(#REF!&lt;&gt;"")*(#REF!&lt;&gt;"")</formula>
    </cfRule>
  </conditionalFormatting>
  <conditionalFormatting sqref="AB181:AC181">
    <cfRule type="expression" dxfId="5" priority="1149">
      <formula>(#REF!&lt;&gt;"")*(#REF!&lt;&gt;"")</formula>
    </cfRule>
  </conditionalFormatting>
  <conditionalFormatting sqref="AB811:AC812">
    <cfRule type="expression" dxfId="4" priority="554">
      <formula>(#REF!&lt;&gt;"")*(#REF!&lt;&gt;"")</formula>
    </cfRule>
  </conditionalFormatting>
  <conditionalFormatting sqref="AC155:AC159">
    <cfRule type="expression" dxfId="3" priority="1152">
      <formula>(#REF!&lt;&gt;"")*(#REF!&lt;&gt;"")</formula>
    </cfRule>
  </conditionalFormatting>
  <conditionalFormatting sqref="AC181">
    <cfRule type="expression" dxfId="2" priority="1143">
      <formula>(#REF!&lt;&gt;"")*(#REF!&lt;&gt;"")</formula>
    </cfRule>
  </conditionalFormatting>
  <conditionalFormatting sqref="AC813:AC824">
    <cfRule type="expression" dxfId="1" priority="534">
      <formula>(#REF!&lt;&gt;"")*(#REF!&lt;&gt;"")</formula>
    </cfRule>
  </conditionalFormatting>
  <conditionalFormatting sqref="AC875:AC892">
    <cfRule type="expression" dxfId="0" priority="481">
      <formula>(#REF!&lt;&gt;"")*(#REF!&lt;&gt;"")</formula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9" id="{00000000-000E-0000-0000-000049010000}">
            <xm:f>('C:/IDC/A计提表/2020年/202008/[2020年8月IDC费用支付明细表-华东-WO.xlsx]202008华东及第三方-带宽'!#REF!&lt;&gt;"")*('C:/IDC/A计提表/2020年/202008/[2020年8月IDC费用支付明细表-华东-WO.xlsx]202008华东及第三方-带宽'!#REF!&lt;&gt;"")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M951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L56"/>
  <sheetViews>
    <sheetView workbookViewId="0">
      <selection activeCell="C64" sqref="C64"/>
    </sheetView>
  </sheetViews>
  <sheetFormatPr baseColWidth="10" defaultColWidth="8.6640625" defaultRowHeight="15"/>
  <cols>
    <col min="1" max="1" width="19.1640625" style="5" customWidth="1"/>
    <col min="2" max="2" width="25.6640625" style="5" customWidth="1"/>
    <col min="3" max="3" width="24.33203125" style="5" customWidth="1"/>
    <col min="4" max="4" width="6.5" style="5" customWidth="1"/>
    <col min="5" max="5" width="7.83203125" style="5" customWidth="1"/>
    <col min="6" max="6" width="12.33203125" style="5" customWidth="1"/>
    <col min="7" max="7" width="13.33203125" style="5" customWidth="1"/>
    <col min="8" max="8" width="5.1640625" style="5" customWidth="1"/>
    <col min="9" max="9" width="10.6640625" style="5" customWidth="1"/>
    <col min="10" max="10" width="5.1640625" style="5" customWidth="1"/>
    <col min="11" max="11" width="10.6640625" style="5" customWidth="1"/>
    <col min="12" max="12" width="6.5" style="5" customWidth="1"/>
    <col min="13" max="13" width="10" style="5" customWidth="1"/>
    <col min="14" max="14" width="10.5" style="5" customWidth="1"/>
    <col min="15" max="15" width="13.5" style="5" customWidth="1"/>
    <col min="16" max="16" width="40.1640625" style="5" customWidth="1"/>
    <col min="17" max="18" width="12.33203125" style="5" customWidth="1"/>
    <col min="19" max="19" width="5.1640625" style="5" customWidth="1"/>
    <col min="20" max="20" width="6.5" style="5" customWidth="1"/>
    <col min="21" max="21" width="8" style="5" customWidth="1"/>
    <col min="22" max="22" width="6.5" style="5" customWidth="1"/>
    <col min="23" max="23" width="14.33203125" style="5" customWidth="1"/>
    <col min="24" max="25" width="6.5" style="5" customWidth="1"/>
    <col min="26" max="26" width="31.6640625" style="5" customWidth="1"/>
    <col min="27" max="27" width="18" style="5" customWidth="1"/>
    <col min="28" max="29" width="24.33203125" style="5" customWidth="1"/>
    <col min="30" max="31" width="6.5" style="5" customWidth="1"/>
    <col min="32" max="32" width="7.83203125" style="5" customWidth="1"/>
    <col min="33" max="33" width="6.5" style="5" customWidth="1"/>
    <col min="34" max="34" width="16.1640625" style="5" customWidth="1"/>
    <col min="35" max="35" width="24.33203125" style="5" customWidth="1"/>
    <col min="36" max="36" width="6.33203125" style="5" customWidth="1"/>
    <col min="37" max="37" width="6.5" style="5" customWidth="1"/>
    <col min="38" max="38" width="5.1640625" style="5" customWidth="1"/>
    <col min="39" max="16384" width="8.6640625" style="5"/>
  </cols>
  <sheetData>
    <row r="1" spans="1:38">
      <c r="A1" s="6" t="s">
        <v>5467</v>
      </c>
      <c r="B1" s="7" t="s">
        <v>5468</v>
      </c>
      <c r="C1" s="7" t="s">
        <v>5469</v>
      </c>
      <c r="D1" s="6" t="s">
        <v>5470</v>
      </c>
      <c r="E1" s="6" t="s">
        <v>5471</v>
      </c>
      <c r="F1" s="6" t="s">
        <v>5472</v>
      </c>
      <c r="G1" s="6" t="s">
        <v>5473</v>
      </c>
      <c r="H1" s="6" t="s">
        <v>5474</v>
      </c>
      <c r="I1" s="6" t="s">
        <v>5475</v>
      </c>
      <c r="J1" s="6" t="s">
        <v>5476</v>
      </c>
      <c r="K1" s="6" t="s">
        <v>5477</v>
      </c>
      <c r="L1" s="6" t="s">
        <v>5478</v>
      </c>
      <c r="M1" s="6" t="s">
        <v>5479</v>
      </c>
      <c r="N1" s="6" t="s">
        <v>5480</v>
      </c>
      <c r="O1" s="6" t="s">
        <v>5481</v>
      </c>
      <c r="P1" s="6" t="s">
        <v>5482</v>
      </c>
      <c r="Q1" s="6" t="s">
        <v>5483</v>
      </c>
      <c r="R1" s="6" t="s">
        <v>24</v>
      </c>
      <c r="S1" s="6" t="s">
        <v>5484</v>
      </c>
      <c r="T1" s="6" t="s">
        <v>5485</v>
      </c>
      <c r="U1" s="6" t="s">
        <v>5486</v>
      </c>
      <c r="V1" s="6" t="s">
        <v>5487</v>
      </c>
      <c r="W1" s="6" t="s">
        <v>5488</v>
      </c>
      <c r="X1" s="6" t="s">
        <v>5489</v>
      </c>
      <c r="Y1" s="6" t="s">
        <v>5490</v>
      </c>
      <c r="Z1" s="6" t="s">
        <v>5491</v>
      </c>
      <c r="AA1" s="6" t="s">
        <v>5492</v>
      </c>
      <c r="AB1" s="6" t="s">
        <v>5493</v>
      </c>
      <c r="AC1" s="6" t="s">
        <v>5493</v>
      </c>
      <c r="AD1" s="6" t="s">
        <v>5471</v>
      </c>
      <c r="AE1" s="6" t="s">
        <v>5494</v>
      </c>
      <c r="AF1" s="6" t="s">
        <v>5495</v>
      </c>
      <c r="AG1" s="6" t="s">
        <v>5496</v>
      </c>
      <c r="AH1" s="6" t="s">
        <v>5497</v>
      </c>
      <c r="AI1" s="6" t="s">
        <v>5494</v>
      </c>
      <c r="AJ1" s="6" t="s">
        <v>5498</v>
      </c>
      <c r="AK1" s="6" t="s">
        <v>5499</v>
      </c>
      <c r="AL1" s="6" t="s">
        <v>5500</v>
      </c>
    </row>
    <row r="2" spans="1:38">
      <c r="A2" s="5" t="s">
        <v>5501</v>
      </c>
      <c r="B2" s="5" t="e">
        <f>VLOOKUP(A2,'202308带宽'!H:H,1,FALSE)</f>
        <v>#N/A</v>
      </c>
      <c r="C2" s="5" t="s">
        <v>5502</v>
      </c>
      <c r="D2" s="5" t="s">
        <v>5503</v>
      </c>
      <c r="E2" s="5" t="s">
        <v>5504</v>
      </c>
      <c r="F2" s="5" t="s">
        <v>5505</v>
      </c>
      <c r="G2" s="5" t="s">
        <v>5506</v>
      </c>
      <c r="H2" s="5" t="s">
        <v>5507</v>
      </c>
      <c r="I2" s="5" t="s">
        <v>5508</v>
      </c>
      <c r="J2" s="5" t="s">
        <v>5509</v>
      </c>
      <c r="K2" s="5" t="s">
        <v>5510</v>
      </c>
      <c r="L2" s="5" t="s">
        <v>5511</v>
      </c>
      <c r="M2" s="5" t="s">
        <v>5512</v>
      </c>
      <c r="N2" s="5" t="s">
        <v>5513</v>
      </c>
      <c r="O2" s="5" t="s">
        <v>5514</v>
      </c>
      <c r="P2" s="5" t="s">
        <v>5515</v>
      </c>
      <c r="Q2" s="5" t="s">
        <v>5516</v>
      </c>
      <c r="R2" s="5" t="s">
        <v>5517</v>
      </c>
      <c r="S2" s="5" t="s">
        <v>5518</v>
      </c>
      <c r="T2" s="5" t="s">
        <v>5519</v>
      </c>
      <c r="U2" s="5" t="s">
        <v>5518</v>
      </c>
      <c r="V2" s="5" t="s">
        <v>5518</v>
      </c>
      <c r="W2" s="5" t="s">
        <v>5520</v>
      </c>
      <c r="X2" s="5" t="s">
        <v>5521</v>
      </c>
      <c r="Y2" s="5" t="s">
        <v>5522</v>
      </c>
      <c r="Z2" s="5" t="s">
        <v>5518</v>
      </c>
      <c r="AA2" s="5" t="s">
        <v>5518</v>
      </c>
      <c r="AB2" s="5" t="s">
        <v>5523</v>
      </c>
      <c r="AC2" s="5" t="s">
        <v>5523</v>
      </c>
      <c r="AD2" s="5" t="s">
        <v>5522</v>
      </c>
      <c r="AE2" s="5" t="s">
        <v>5518</v>
      </c>
      <c r="AF2" s="5" t="s">
        <v>5524</v>
      </c>
      <c r="AG2" s="5" t="s">
        <v>5522</v>
      </c>
      <c r="AH2" s="5" t="s">
        <v>5511</v>
      </c>
      <c r="AI2" s="5" t="s">
        <v>5518</v>
      </c>
      <c r="AJ2" s="5" t="s">
        <v>5525</v>
      </c>
      <c r="AK2" s="5" t="s">
        <v>5518</v>
      </c>
      <c r="AL2" s="5" t="s">
        <v>5518</v>
      </c>
    </row>
    <row r="3" spans="1:38">
      <c r="A3" s="5" t="s">
        <v>5526</v>
      </c>
      <c r="B3" s="5" t="e">
        <f>VLOOKUP(A3,'202308带宽'!H:H,1,FALSE)</f>
        <v>#N/A</v>
      </c>
      <c r="C3" s="5" t="s">
        <v>5527</v>
      </c>
      <c r="D3" s="5" t="s">
        <v>5528</v>
      </c>
      <c r="E3" s="5" t="s">
        <v>5504</v>
      </c>
      <c r="F3" s="5" t="s">
        <v>5529</v>
      </c>
      <c r="G3" s="5" t="s">
        <v>5506</v>
      </c>
      <c r="H3" s="5" t="s">
        <v>5530</v>
      </c>
      <c r="I3" s="5" t="s">
        <v>5508</v>
      </c>
      <c r="J3" s="5" t="s">
        <v>3750</v>
      </c>
      <c r="K3" s="5" t="s">
        <v>5510</v>
      </c>
      <c r="L3" s="5" t="s">
        <v>5511</v>
      </c>
      <c r="M3" s="5" t="s">
        <v>5531</v>
      </c>
      <c r="N3" s="5" t="s">
        <v>5513</v>
      </c>
      <c r="O3" s="5" t="s">
        <v>5532</v>
      </c>
      <c r="P3" s="5" t="s">
        <v>5533</v>
      </c>
      <c r="Q3" s="5" t="s">
        <v>5534</v>
      </c>
      <c r="R3" s="5" t="s">
        <v>5535</v>
      </c>
      <c r="S3" s="5" t="s">
        <v>5518</v>
      </c>
      <c r="T3" s="5" t="s">
        <v>5519</v>
      </c>
      <c r="U3" s="5" t="s">
        <v>5518</v>
      </c>
      <c r="V3" s="5" t="s">
        <v>5518</v>
      </c>
      <c r="W3" s="5" t="s">
        <v>5536</v>
      </c>
      <c r="X3" s="5" t="s">
        <v>5537</v>
      </c>
      <c r="Y3" s="5" t="s">
        <v>5511</v>
      </c>
      <c r="Z3" s="5" t="s">
        <v>5538</v>
      </c>
      <c r="AA3" s="5" t="s">
        <v>5539</v>
      </c>
      <c r="AB3" s="5" t="s">
        <v>5540</v>
      </c>
      <c r="AC3" s="5" t="s">
        <v>5540</v>
      </c>
      <c r="AD3" s="5" t="s">
        <v>5522</v>
      </c>
      <c r="AE3" s="5" t="s">
        <v>5518</v>
      </c>
      <c r="AF3" s="5" t="s">
        <v>5524</v>
      </c>
      <c r="AG3" s="5" t="s">
        <v>5522</v>
      </c>
      <c r="AH3" s="5" t="s">
        <v>5522</v>
      </c>
      <c r="AI3" s="5" t="s">
        <v>5518</v>
      </c>
      <c r="AJ3" s="5" t="s">
        <v>5541</v>
      </c>
      <c r="AK3" s="5" t="s">
        <v>5518</v>
      </c>
      <c r="AL3" s="5" t="s">
        <v>5518</v>
      </c>
    </row>
    <row r="4" spans="1:38">
      <c r="A4" s="5" t="s">
        <v>5542</v>
      </c>
      <c r="B4" s="5" t="e">
        <f>VLOOKUP(A4,'202308带宽'!H:H,1,FALSE)</f>
        <v>#N/A</v>
      </c>
      <c r="C4" s="5" t="s">
        <v>5543</v>
      </c>
      <c r="D4" s="5" t="s">
        <v>5503</v>
      </c>
      <c r="E4" s="5" t="s">
        <v>5504</v>
      </c>
      <c r="F4" s="5" t="s">
        <v>5544</v>
      </c>
      <c r="G4" s="5" t="s">
        <v>5506</v>
      </c>
      <c r="H4" s="5" t="s">
        <v>30</v>
      </c>
      <c r="I4" s="5" t="s">
        <v>5508</v>
      </c>
      <c r="J4" s="5" t="s">
        <v>3750</v>
      </c>
      <c r="K4" s="5" t="s">
        <v>5510</v>
      </c>
      <c r="L4" s="5" t="s">
        <v>5511</v>
      </c>
      <c r="M4" s="5" t="s">
        <v>5531</v>
      </c>
      <c r="N4" s="5" t="s">
        <v>5513</v>
      </c>
      <c r="O4" s="5" t="s">
        <v>5545</v>
      </c>
      <c r="P4" s="5" t="s">
        <v>5546</v>
      </c>
      <c r="Q4" s="5" t="s">
        <v>5547</v>
      </c>
      <c r="R4" s="5" t="s">
        <v>5548</v>
      </c>
      <c r="S4" s="5" t="s">
        <v>5518</v>
      </c>
      <c r="T4" s="5" t="s">
        <v>5519</v>
      </c>
      <c r="U4" s="5" t="s">
        <v>5518</v>
      </c>
      <c r="V4" s="5" t="s">
        <v>5518</v>
      </c>
      <c r="W4" s="5" t="s">
        <v>5549</v>
      </c>
      <c r="X4" s="5" t="s">
        <v>5537</v>
      </c>
      <c r="Y4" s="5" t="s">
        <v>5522</v>
      </c>
      <c r="Z4" s="5" t="s">
        <v>5518</v>
      </c>
      <c r="AA4" s="5" t="s">
        <v>5518</v>
      </c>
      <c r="AB4" s="5" t="s">
        <v>5550</v>
      </c>
      <c r="AC4" s="5" t="s">
        <v>5550</v>
      </c>
      <c r="AD4" s="5" t="s">
        <v>5522</v>
      </c>
      <c r="AE4" s="5" t="s">
        <v>5518</v>
      </c>
      <c r="AF4" s="5" t="s">
        <v>5524</v>
      </c>
      <c r="AG4" s="5" t="s">
        <v>5522</v>
      </c>
      <c r="AH4" s="5" t="s">
        <v>5522</v>
      </c>
      <c r="AI4" s="5" t="s">
        <v>5518</v>
      </c>
      <c r="AJ4" s="5" t="s">
        <v>5541</v>
      </c>
      <c r="AK4" s="5" t="s">
        <v>5518</v>
      </c>
      <c r="AL4" s="5" t="s">
        <v>5518</v>
      </c>
    </row>
    <row r="5" spans="1:38" hidden="1">
      <c r="A5" s="5" t="s">
        <v>2328</v>
      </c>
      <c r="B5" s="5" t="str">
        <f>VLOOKUP(A5,'202308带宽'!H:H,1,FALSE)</f>
        <v>182315IDC00413</v>
      </c>
      <c r="D5" s="5" t="s">
        <v>5503</v>
      </c>
      <c r="E5" s="5" t="s">
        <v>5504</v>
      </c>
      <c r="F5" s="5" t="s">
        <v>5551</v>
      </c>
      <c r="G5" s="5" t="s">
        <v>5506</v>
      </c>
      <c r="H5" s="5" t="s">
        <v>5552</v>
      </c>
      <c r="I5" s="5" t="s">
        <v>5508</v>
      </c>
      <c r="J5" s="5" t="s">
        <v>1717</v>
      </c>
      <c r="K5" s="5" t="s">
        <v>5510</v>
      </c>
      <c r="L5" s="5" t="s">
        <v>5511</v>
      </c>
      <c r="M5" s="5" t="s">
        <v>5531</v>
      </c>
      <c r="N5" s="5" t="s">
        <v>5513</v>
      </c>
      <c r="O5" s="5" t="s">
        <v>5553</v>
      </c>
      <c r="P5" s="5" t="s">
        <v>5554</v>
      </c>
      <c r="Q5" s="5" t="s">
        <v>5516</v>
      </c>
      <c r="R5" s="5" t="s">
        <v>5517</v>
      </c>
      <c r="S5" s="5" t="s">
        <v>5518</v>
      </c>
      <c r="T5" s="5" t="s">
        <v>5519</v>
      </c>
      <c r="U5" s="5" t="s">
        <v>5518</v>
      </c>
      <c r="V5" s="5" t="s">
        <v>5518</v>
      </c>
      <c r="W5" s="5" t="s">
        <v>5555</v>
      </c>
      <c r="X5" s="5" t="s">
        <v>5537</v>
      </c>
      <c r="Y5" s="5" t="s">
        <v>5522</v>
      </c>
      <c r="Z5" s="5" t="s">
        <v>5518</v>
      </c>
      <c r="AA5" s="5" t="s">
        <v>5556</v>
      </c>
      <c r="AB5" s="5" t="s">
        <v>5550</v>
      </c>
      <c r="AC5" s="5" t="s">
        <v>5550</v>
      </c>
      <c r="AD5" s="5" t="s">
        <v>5522</v>
      </c>
      <c r="AE5" s="5" t="s">
        <v>5518</v>
      </c>
      <c r="AF5" s="5" t="s">
        <v>5557</v>
      </c>
      <c r="AG5" s="5" t="s">
        <v>5522</v>
      </c>
      <c r="AH5" s="5" t="s">
        <v>5522</v>
      </c>
      <c r="AI5" s="5" t="s">
        <v>5518</v>
      </c>
      <c r="AJ5" s="5" t="s">
        <v>5541</v>
      </c>
      <c r="AK5" s="5" t="s">
        <v>5518</v>
      </c>
      <c r="AL5" s="5" t="s">
        <v>5518</v>
      </c>
    </row>
    <row r="6" spans="1:38" hidden="1">
      <c r="A6" s="5" t="s">
        <v>2413</v>
      </c>
      <c r="B6" s="5" t="str">
        <f>VLOOKUP(A6,'202308带宽'!H:H,1,FALSE)</f>
        <v>182315IDC00418</v>
      </c>
      <c r="D6" s="5" t="s">
        <v>5503</v>
      </c>
      <c r="E6" s="5" t="s">
        <v>5504</v>
      </c>
      <c r="F6" s="5" t="s">
        <v>5551</v>
      </c>
      <c r="G6" s="5" t="s">
        <v>5506</v>
      </c>
      <c r="H6" s="5" t="s">
        <v>5552</v>
      </c>
      <c r="I6" s="5" t="s">
        <v>5508</v>
      </c>
      <c r="J6" s="5" t="s">
        <v>1717</v>
      </c>
      <c r="K6" s="5" t="s">
        <v>5510</v>
      </c>
      <c r="L6" s="5" t="s">
        <v>5511</v>
      </c>
      <c r="M6" s="5" t="s">
        <v>5531</v>
      </c>
      <c r="N6" s="5" t="s">
        <v>5513</v>
      </c>
      <c r="O6" s="5" t="s">
        <v>5553</v>
      </c>
      <c r="P6" s="5" t="s">
        <v>5558</v>
      </c>
      <c r="Q6" s="5" t="s">
        <v>5559</v>
      </c>
      <c r="R6" s="5" t="s">
        <v>5560</v>
      </c>
      <c r="S6" s="5" t="s">
        <v>5518</v>
      </c>
      <c r="T6" s="5" t="s">
        <v>5519</v>
      </c>
      <c r="U6" s="5" t="s">
        <v>5518</v>
      </c>
      <c r="V6" s="5" t="s">
        <v>5518</v>
      </c>
      <c r="W6" s="5" t="s">
        <v>5561</v>
      </c>
      <c r="X6" s="5" t="s">
        <v>5537</v>
      </c>
      <c r="Y6" s="5" t="s">
        <v>5522</v>
      </c>
      <c r="Z6" s="5" t="s">
        <v>5518</v>
      </c>
      <c r="AA6" s="5" t="s">
        <v>5556</v>
      </c>
      <c r="AB6" s="5" t="s">
        <v>5540</v>
      </c>
      <c r="AC6" s="5" t="s">
        <v>5540</v>
      </c>
      <c r="AD6" s="5" t="s">
        <v>5522</v>
      </c>
      <c r="AE6" s="5" t="s">
        <v>5518</v>
      </c>
      <c r="AF6" s="5" t="s">
        <v>5557</v>
      </c>
      <c r="AG6" s="5" t="s">
        <v>5522</v>
      </c>
      <c r="AH6" s="5" t="s">
        <v>5522</v>
      </c>
      <c r="AI6" s="5" t="s">
        <v>5518</v>
      </c>
      <c r="AJ6" s="5" t="s">
        <v>5541</v>
      </c>
      <c r="AK6" s="5" t="s">
        <v>5518</v>
      </c>
      <c r="AL6" s="5" t="s">
        <v>5518</v>
      </c>
    </row>
    <row r="7" spans="1:38">
      <c r="A7" s="5" t="s">
        <v>5562</v>
      </c>
      <c r="B7" s="5" t="e">
        <f>VLOOKUP(A7,'202308带宽'!H:H,1,FALSE)</f>
        <v>#N/A</v>
      </c>
      <c r="C7" s="5" t="s">
        <v>5527</v>
      </c>
      <c r="D7" s="5" t="s">
        <v>5528</v>
      </c>
      <c r="E7" s="5" t="s">
        <v>5504</v>
      </c>
      <c r="F7" s="5" t="s">
        <v>5551</v>
      </c>
      <c r="G7" s="5" t="s">
        <v>5506</v>
      </c>
      <c r="H7" s="5" t="s">
        <v>30</v>
      </c>
      <c r="I7" s="5" t="s">
        <v>5508</v>
      </c>
      <c r="J7" s="5" t="s">
        <v>139</v>
      </c>
      <c r="K7" s="5" t="s">
        <v>5510</v>
      </c>
      <c r="L7" s="5" t="s">
        <v>5511</v>
      </c>
      <c r="M7" s="5" t="s">
        <v>5531</v>
      </c>
      <c r="N7" s="5" t="s">
        <v>5513</v>
      </c>
      <c r="O7" s="5" t="s">
        <v>5563</v>
      </c>
      <c r="P7" s="5" t="s">
        <v>5564</v>
      </c>
      <c r="Q7" s="5" t="s">
        <v>5516</v>
      </c>
      <c r="R7" s="5" t="s">
        <v>5565</v>
      </c>
      <c r="S7" s="5" t="s">
        <v>5518</v>
      </c>
      <c r="T7" s="5" t="s">
        <v>5519</v>
      </c>
      <c r="U7" s="5" t="s">
        <v>5518</v>
      </c>
      <c r="V7" s="5" t="s">
        <v>5518</v>
      </c>
      <c r="W7" s="5" t="s">
        <v>5566</v>
      </c>
      <c r="X7" s="5" t="s">
        <v>5537</v>
      </c>
      <c r="Y7" s="5" t="s">
        <v>5511</v>
      </c>
      <c r="Z7" s="5" t="s">
        <v>5567</v>
      </c>
      <c r="AA7" s="5" t="s">
        <v>5568</v>
      </c>
      <c r="AB7" s="5" t="s">
        <v>5550</v>
      </c>
      <c r="AC7" s="5" t="s">
        <v>5550</v>
      </c>
      <c r="AD7" s="5" t="s">
        <v>5522</v>
      </c>
      <c r="AE7" s="5" t="s">
        <v>5518</v>
      </c>
      <c r="AF7" s="5" t="s">
        <v>5524</v>
      </c>
      <c r="AG7" s="5" t="s">
        <v>5522</v>
      </c>
      <c r="AH7" s="5" t="s">
        <v>5522</v>
      </c>
      <c r="AI7" s="5" t="s">
        <v>5518</v>
      </c>
      <c r="AJ7" s="5" t="s">
        <v>5541</v>
      </c>
      <c r="AK7" s="5" t="s">
        <v>5518</v>
      </c>
      <c r="AL7" s="5" t="s">
        <v>5518</v>
      </c>
    </row>
    <row r="8" spans="1:38" hidden="1">
      <c r="A8" s="5" t="s">
        <v>3588</v>
      </c>
      <c r="B8" s="5" t="str">
        <f>VLOOKUP(A8,'202308带宽'!H:H,1,FALSE)</f>
        <v>182315IDC00419</v>
      </c>
      <c r="D8" s="5" t="s">
        <v>5503</v>
      </c>
      <c r="E8" s="5" t="s">
        <v>5504</v>
      </c>
      <c r="F8" s="5" t="s">
        <v>5551</v>
      </c>
      <c r="G8" s="5" t="s">
        <v>5506</v>
      </c>
      <c r="H8" s="5" t="s">
        <v>5552</v>
      </c>
      <c r="I8" s="5" t="s">
        <v>5508</v>
      </c>
      <c r="J8" s="5" t="s">
        <v>1717</v>
      </c>
      <c r="K8" s="5" t="s">
        <v>5510</v>
      </c>
      <c r="L8" s="5" t="s">
        <v>5511</v>
      </c>
      <c r="M8" s="5" t="s">
        <v>5531</v>
      </c>
      <c r="N8" s="5" t="s">
        <v>5513</v>
      </c>
      <c r="O8" s="5" t="s">
        <v>5569</v>
      </c>
      <c r="P8" s="5" t="s">
        <v>5570</v>
      </c>
      <c r="Q8" s="5" t="s">
        <v>5534</v>
      </c>
      <c r="R8" s="5" t="s">
        <v>5517</v>
      </c>
      <c r="S8" s="5" t="s">
        <v>5518</v>
      </c>
      <c r="T8" s="5" t="s">
        <v>5519</v>
      </c>
      <c r="U8" s="5" t="s">
        <v>5518</v>
      </c>
      <c r="V8" s="5" t="s">
        <v>5518</v>
      </c>
      <c r="W8" s="5" t="s">
        <v>5571</v>
      </c>
      <c r="X8" s="5" t="s">
        <v>5537</v>
      </c>
      <c r="Y8" s="5" t="s">
        <v>5522</v>
      </c>
      <c r="Z8" s="5" t="s">
        <v>5518</v>
      </c>
      <c r="AA8" s="5" t="s">
        <v>5518</v>
      </c>
      <c r="AB8" s="5" t="s">
        <v>5540</v>
      </c>
      <c r="AC8" s="5" t="s">
        <v>5540</v>
      </c>
      <c r="AD8" s="5" t="s">
        <v>5522</v>
      </c>
      <c r="AE8" s="5" t="s">
        <v>5518</v>
      </c>
      <c r="AF8" s="5" t="s">
        <v>5524</v>
      </c>
      <c r="AG8" s="5" t="s">
        <v>5522</v>
      </c>
      <c r="AH8" s="5" t="s">
        <v>5522</v>
      </c>
      <c r="AI8" s="5" t="s">
        <v>5518</v>
      </c>
      <c r="AJ8" s="5" t="s">
        <v>5541</v>
      </c>
      <c r="AK8" s="5" t="s">
        <v>5518</v>
      </c>
      <c r="AL8" s="5" t="s">
        <v>5518</v>
      </c>
    </row>
    <row r="9" spans="1:38">
      <c r="A9" s="5" t="s">
        <v>5572</v>
      </c>
      <c r="B9" s="5" t="e">
        <f>VLOOKUP(A9,'202308带宽'!H:H,1,FALSE)</f>
        <v>#N/A</v>
      </c>
      <c r="C9" s="5" t="s">
        <v>5502</v>
      </c>
      <c r="D9" s="5" t="s">
        <v>5503</v>
      </c>
      <c r="E9" s="5" t="s">
        <v>5504</v>
      </c>
      <c r="F9" s="5" t="s">
        <v>5573</v>
      </c>
      <c r="G9" s="5" t="s">
        <v>5506</v>
      </c>
      <c r="H9" s="5" t="s">
        <v>5507</v>
      </c>
      <c r="I9" s="5" t="s">
        <v>5508</v>
      </c>
      <c r="J9" s="5" t="s">
        <v>5509</v>
      </c>
      <c r="K9" s="5" t="s">
        <v>5510</v>
      </c>
      <c r="L9" s="5" t="s">
        <v>5511</v>
      </c>
      <c r="M9" s="5" t="s">
        <v>5574</v>
      </c>
      <c r="N9" s="5" t="s">
        <v>5513</v>
      </c>
      <c r="O9" s="5" t="s">
        <v>5575</v>
      </c>
      <c r="P9" s="5" t="s">
        <v>5576</v>
      </c>
      <c r="Q9" s="5" t="s">
        <v>5534</v>
      </c>
      <c r="R9" s="5" t="s">
        <v>5577</v>
      </c>
      <c r="S9" s="5" t="s">
        <v>5518</v>
      </c>
      <c r="T9" s="5" t="s">
        <v>5519</v>
      </c>
      <c r="U9" s="5" t="s">
        <v>5518</v>
      </c>
      <c r="V9" s="5" t="s">
        <v>5518</v>
      </c>
      <c r="W9" s="5" t="s">
        <v>5578</v>
      </c>
      <c r="X9" s="5" t="s">
        <v>5521</v>
      </c>
      <c r="Y9" s="5" t="s">
        <v>5511</v>
      </c>
      <c r="Z9" s="5" t="s">
        <v>5538</v>
      </c>
      <c r="AA9" s="5" t="s">
        <v>5579</v>
      </c>
      <c r="AB9" s="5" t="s">
        <v>5523</v>
      </c>
      <c r="AC9" s="5" t="s">
        <v>5523</v>
      </c>
      <c r="AD9" s="5" t="s">
        <v>5522</v>
      </c>
      <c r="AE9" s="5" t="s">
        <v>5518</v>
      </c>
      <c r="AF9" s="5" t="s">
        <v>5524</v>
      </c>
      <c r="AG9" s="5" t="s">
        <v>5522</v>
      </c>
      <c r="AH9" s="5" t="s">
        <v>5511</v>
      </c>
      <c r="AI9" s="5" t="s">
        <v>5518</v>
      </c>
      <c r="AJ9" s="5" t="s">
        <v>5525</v>
      </c>
      <c r="AK9" s="5" t="s">
        <v>5518</v>
      </c>
      <c r="AL9" s="5" t="s">
        <v>5518</v>
      </c>
    </row>
    <row r="10" spans="1:38">
      <c r="A10" s="5" t="s">
        <v>5580</v>
      </c>
      <c r="B10" s="5" t="e">
        <f>VLOOKUP(A10,'202308带宽'!H:H,1,FALSE)</f>
        <v>#N/A</v>
      </c>
      <c r="C10" s="5" t="s">
        <v>5502</v>
      </c>
      <c r="D10" s="5" t="s">
        <v>5503</v>
      </c>
      <c r="E10" s="5" t="s">
        <v>5504</v>
      </c>
      <c r="F10" s="5" t="s">
        <v>5573</v>
      </c>
      <c r="G10" s="5" t="s">
        <v>5506</v>
      </c>
      <c r="H10" s="5" t="s">
        <v>5507</v>
      </c>
      <c r="I10" s="5" t="s">
        <v>5508</v>
      </c>
      <c r="J10" s="5" t="s">
        <v>5509</v>
      </c>
      <c r="K10" s="5" t="s">
        <v>5510</v>
      </c>
      <c r="L10" s="5" t="s">
        <v>5511</v>
      </c>
      <c r="M10" s="5" t="s">
        <v>5574</v>
      </c>
      <c r="N10" s="5" t="s">
        <v>5513</v>
      </c>
      <c r="O10" s="5" t="s">
        <v>5581</v>
      </c>
      <c r="P10" s="5" t="s">
        <v>5582</v>
      </c>
      <c r="Q10" s="5" t="s">
        <v>5534</v>
      </c>
      <c r="R10" s="5" t="s">
        <v>5577</v>
      </c>
      <c r="S10" s="5" t="s">
        <v>5518</v>
      </c>
      <c r="T10" s="5" t="s">
        <v>5519</v>
      </c>
      <c r="U10" s="5" t="s">
        <v>5518</v>
      </c>
      <c r="V10" s="5" t="s">
        <v>5518</v>
      </c>
      <c r="W10" s="5" t="s">
        <v>5583</v>
      </c>
      <c r="X10" s="5" t="s">
        <v>5521</v>
      </c>
      <c r="Y10" s="5" t="s">
        <v>5511</v>
      </c>
      <c r="Z10" s="5" t="s">
        <v>5538</v>
      </c>
      <c r="AA10" s="5" t="s">
        <v>5584</v>
      </c>
      <c r="AB10" s="5" t="s">
        <v>5523</v>
      </c>
      <c r="AC10" s="5" t="s">
        <v>5523</v>
      </c>
      <c r="AD10" s="5" t="s">
        <v>5522</v>
      </c>
      <c r="AE10" s="5" t="s">
        <v>5518</v>
      </c>
      <c r="AF10" s="5" t="s">
        <v>5524</v>
      </c>
      <c r="AG10" s="5" t="s">
        <v>5522</v>
      </c>
      <c r="AH10" s="5" t="s">
        <v>5511</v>
      </c>
      <c r="AI10" s="5" t="s">
        <v>5518</v>
      </c>
      <c r="AJ10" s="5" t="s">
        <v>5525</v>
      </c>
      <c r="AK10" s="5" t="s">
        <v>5518</v>
      </c>
      <c r="AL10" s="5" t="s">
        <v>5518</v>
      </c>
    </row>
    <row r="11" spans="1:38" hidden="1">
      <c r="A11" s="5" t="s">
        <v>3608</v>
      </c>
      <c r="B11" s="5" t="str">
        <f>VLOOKUP(A11,'202308带宽'!H:H,1,FALSE)</f>
        <v>182315IDC00407</v>
      </c>
      <c r="D11" s="5" t="s">
        <v>5503</v>
      </c>
      <c r="E11" s="5" t="s">
        <v>5504</v>
      </c>
      <c r="F11" s="5" t="s">
        <v>5573</v>
      </c>
      <c r="G11" s="5" t="s">
        <v>5506</v>
      </c>
      <c r="H11" s="5" t="s">
        <v>5552</v>
      </c>
      <c r="I11" s="5" t="s">
        <v>5508</v>
      </c>
      <c r="J11" s="5" t="s">
        <v>1717</v>
      </c>
      <c r="K11" s="5" t="s">
        <v>5510</v>
      </c>
      <c r="L11" s="5" t="s">
        <v>5511</v>
      </c>
      <c r="M11" s="5" t="s">
        <v>5531</v>
      </c>
      <c r="N11" s="5" t="s">
        <v>5513</v>
      </c>
      <c r="O11" s="5" t="s">
        <v>5585</v>
      </c>
      <c r="P11" s="5" t="s">
        <v>5586</v>
      </c>
      <c r="Q11" s="5" t="s">
        <v>5587</v>
      </c>
      <c r="R11" s="5" t="s">
        <v>5588</v>
      </c>
      <c r="S11" s="5" t="s">
        <v>5518</v>
      </c>
      <c r="T11" s="5" t="s">
        <v>5519</v>
      </c>
      <c r="U11" s="5" t="s">
        <v>5518</v>
      </c>
      <c r="V11" s="5" t="s">
        <v>5518</v>
      </c>
      <c r="W11" s="5" t="s">
        <v>5589</v>
      </c>
      <c r="X11" s="5" t="s">
        <v>5537</v>
      </c>
      <c r="Y11" s="5" t="s">
        <v>5522</v>
      </c>
      <c r="Z11" s="5" t="s">
        <v>5518</v>
      </c>
      <c r="AA11" s="5" t="s">
        <v>5518</v>
      </c>
      <c r="AB11" s="5" t="s">
        <v>5540</v>
      </c>
      <c r="AC11" s="5" t="s">
        <v>5540</v>
      </c>
      <c r="AD11" s="5" t="s">
        <v>5522</v>
      </c>
      <c r="AE11" s="5" t="s">
        <v>5518</v>
      </c>
      <c r="AF11" s="5" t="s">
        <v>5524</v>
      </c>
      <c r="AG11" s="5" t="s">
        <v>5522</v>
      </c>
      <c r="AH11" s="5" t="s">
        <v>5522</v>
      </c>
      <c r="AI11" s="5" t="s">
        <v>5518</v>
      </c>
      <c r="AJ11" s="5" t="s">
        <v>5541</v>
      </c>
      <c r="AK11" s="5" t="s">
        <v>5518</v>
      </c>
      <c r="AL11" s="5" t="s">
        <v>5518</v>
      </c>
    </row>
    <row r="12" spans="1:38">
      <c r="A12" s="5" t="s">
        <v>5590</v>
      </c>
      <c r="B12" s="5" t="e">
        <f>VLOOKUP(A12,'202308带宽'!H:H,1,FALSE)</f>
        <v>#N/A</v>
      </c>
      <c r="C12" s="5" t="s">
        <v>5502</v>
      </c>
      <c r="D12" s="5" t="s">
        <v>5503</v>
      </c>
      <c r="E12" s="5" t="s">
        <v>5504</v>
      </c>
      <c r="F12" s="5" t="s">
        <v>5591</v>
      </c>
      <c r="G12" s="5" t="s">
        <v>5506</v>
      </c>
      <c r="H12" s="5" t="s">
        <v>5507</v>
      </c>
      <c r="I12" s="5" t="s">
        <v>5508</v>
      </c>
      <c r="J12" s="5" t="s">
        <v>5509</v>
      </c>
      <c r="K12" s="5" t="s">
        <v>5510</v>
      </c>
      <c r="L12" s="5" t="s">
        <v>5511</v>
      </c>
      <c r="M12" s="5" t="s">
        <v>5574</v>
      </c>
      <c r="N12" s="5" t="s">
        <v>5513</v>
      </c>
      <c r="O12" s="5" t="s">
        <v>5592</v>
      </c>
      <c r="P12" s="5" t="s">
        <v>5593</v>
      </c>
      <c r="Q12" s="5" t="s">
        <v>5534</v>
      </c>
      <c r="R12" s="5" t="s">
        <v>5577</v>
      </c>
      <c r="S12" s="5" t="s">
        <v>5518</v>
      </c>
      <c r="T12" s="5" t="s">
        <v>5519</v>
      </c>
      <c r="U12" s="5" t="s">
        <v>5518</v>
      </c>
      <c r="V12" s="5" t="s">
        <v>5518</v>
      </c>
      <c r="W12" s="5" t="s">
        <v>5594</v>
      </c>
      <c r="X12" s="5" t="s">
        <v>5521</v>
      </c>
      <c r="Y12" s="5" t="s">
        <v>5511</v>
      </c>
      <c r="Z12" s="5" t="s">
        <v>5538</v>
      </c>
      <c r="AA12" s="5" t="s">
        <v>5595</v>
      </c>
      <c r="AB12" s="5" t="s">
        <v>5523</v>
      </c>
      <c r="AC12" s="5" t="s">
        <v>5523</v>
      </c>
      <c r="AD12" s="5" t="s">
        <v>5522</v>
      </c>
      <c r="AE12" s="5" t="s">
        <v>5518</v>
      </c>
      <c r="AF12" s="5" t="s">
        <v>5524</v>
      </c>
      <c r="AG12" s="5" t="s">
        <v>5522</v>
      </c>
      <c r="AH12" s="5" t="s">
        <v>5511</v>
      </c>
      <c r="AI12" s="5" t="s">
        <v>5518</v>
      </c>
      <c r="AJ12" s="5" t="s">
        <v>5525</v>
      </c>
      <c r="AK12" s="5" t="s">
        <v>5518</v>
      </c>
      <c r="AL12" s="5" t="s">
        <v>5518</v>
      </c>
    </row>
    <row r="13" spans="1:38">
      <c r="A13" s="5" t="s">
        <v>5596</v>
      </c>
      <c r="B13" s="5" t="e">
        <f>VLOOKUP(A13,'202308带宽'!H:H,1,FALSE)</f>
        <v>#N/A</v>
      </c>
      <c r="C13" s="5" t="s">
        <v>5502</v>
      </c>
      <c r="D13" s="5" t="s">
        <v>5503</v>
      </c>
      <c r="E13" s="5" t="s">
        <v>5504</v>
      </c>
      <c r="F13" s="5" t="s">
        <v>5591</v>
      </c>
      <c r="G13" s="5" t="s">
        <v>5506</v>
      </c>
      <c r="H13" s="5" t="s">
        <v>5507</v>
      </c>
      <c r="I13" s="5" t="s">
        <v>5508</v>
      </c>
      <c r="J13" s="5" t="s">
        <v>5509</v>
      </c>
      <c r="K13" s="5" t="s">
        <v>5510</v>
      </c>
      <c r="L13" s="5" t="s">
        <v>5511</v>
      </c>
      <c r="M13" s="5" t="s">
        <v>5512</v>
      </c>
      <c r="N13" s="5" t="s">
        <v>5513</v>
      </c>
      <c r="O13" s="5" t="s">
        <v>5597</v>
      </c>
      <c r="P13" s="5" t="s">
        <v>5598</v>
      </c>
      <c r="Q13" s="5" t="s">
        <v>5534</v>
      </c>
      <c r="R13" s="5" t="s">
        <v>5599</v>
      </c>
      <c r="S13" s="5" t="s">
        <v>5518</v>
      </c>
      <c r="T13" s="5" t="s">
        <v>5519</v>
      </c>
      <c r="U13" s="5" t="s">
        <v>5518</v>
      </c>
      <c r="V13" s="5" t="s">
        <v>5518</v>
      </c>
      <c r="W13" s="5" t="s">
        <v>5600</v>
      </c>
      <c r="X13" s="5" t="s">
        <v>5601</v>
      </c>
      <c r="Y13" s="5" t="s">
        <v>5522</v>
      </c>
      <c r="Z13" s="5" t="s">
        <v>5518</v>
      </c>
      <c r="AA13" s="5" t="s">
        <v>5518</v>
      </c>
      <c r="AB13" s="5" t="s">
        <v>5523</v>
      </c>
      <c r="AC13" s="5" t="s">
        <v>5523</v>
      </c>
      <c r="AD13" s="5" t="s">
        <v>5522</v>
      </c>
      <c r="AE13" s="5" t="s">
        <v>5518</v>
      </c>
      <c r="AF13" s="5" t="s">
        <v>5524</v>
      </c>
      <c r="AG13" s="5" t="s">
        <v>5522</v>
      </c>
      <c r="AH13" s="5" t="s">
        <v>5511</v>
      </c>
      <c r="AI13" s="5" t="s">
        <v>5518</v>
      </c>
      <c r="AJ13" s="5" t="s">
        <v>5525</v>
      </c>
      <c r="AK13" s="5" t="s">
        <v>5518</v>
      </c>
      <c r="AL13" s="5" t="s">
        <v>5518</v>
      </c>
    </row>
    <row r="14" spans="1:38">
      <c r="A14" s="5" t="s">
        <v>5602</v>
      </c>
      <c r="B14" s="5" t="e">
        <f>VLOOKUP(A14,'202308带宽'!H:H,1,FALSE)</f>
        <v>#N/A</v>
      </c>
      <c r="C14" s="5" t="s">
        <v>5502</v>
      </c>
      <c r="D14" s="5" t="s">
        <v>5503</v>
      </c>
      <c r="E14" s="5" t="s">
        <v>5504</v>
      </c>
      <c r="F14" s="5" t="s">
        <v>5591</v>
      </c>
      <c r="G14" s="5" t="s">
        <v>5506</v>
      </c>
      <c r="H14" s="5" t="s">
        <v>5507</v>
      </c>
      <c r="I14" s="5" t="s">
        <v>5508</v>
      </c>
      <c r="J14" s="5" t="s">
        <v>5509</v>
      </c>
      <c r="K14" s="5" t="s">
        <v>5510</v>
      </c>
      <c r="L14" s="5" t="s">
        <v>5511</v>
      </c>
      <c r="M14" s="5" t="s">
        <v>5574</v>
      </c>
      <c r="N14" s="5" t="s">
        <v>5513</v>
      </c>
      <c r="O14" s="5" t="s">
        <v>5603</v>
      </c>
      <c r="P14" s="5" t="s">
        <v>5604</v>
      </c>
      <c r="Q14" s="5" t="s">
        <v>5547</v>
      </c>
      <c r="R14" s="5" t="s">
        <v>5548</v>
      </c>
      <c r="S14" s="5" t="s">
        <v>5518</v>
      </c>
      <c r="T14" s="5" t="s">
        <v>5519</v>
      </c>
      <c r="U14" s="5" t="s">
        <v>5518</v>
      </c>
      <c r="V14" s="5" t="s">
        <v>5518</v>
      </c>
      <c r="W14" s="5" t="s">
        <v>5605</v>
      </c>
      <c r="X14" s="5" t="s">
        <v>5521</v>
      </c>
      <c r="Y14" s="5" t="s">
        <v>5511</v>
      </c>
      <c r="Z14" s="5" t="s">
        <v>5538</v>
      </c>
      <c r="AA14" s="5" t="s">
        <v>5606</v>
      </c>
      <c r="AB14" s="5" t="s">
        <v>5523</v>
      </c>
      <c r="AC14" s="5" t="s">
        <v>5523</v>
      </c>
      <c r="AD14" s="5" t="s">
        <v>5522</v>
      </c>
      <c r="AE14" s="5" t="s">
        <v>5518</v>
      </c>
      <c r="AF14" s="5" t="s">
        <v>5524</v>
      </c>
      <c r="AG14" s="5" t="s">
        <v>5522</v>
      </c>
      <c r="AH14" s="5" t="s">
        <v>5511</v>
      </c>
      <c r="AI14" s="5" t="s">
        <v>5518</v>
      </c>
      <c r="AJ14" s="5" t="s">
        <v>5525</v>
      </c>
      <c r="AK14" s="5" t="s">
        <v>5518</v>
      </c>
      <c r="AL14" s="5" t="s">
        <v>5518</v>
      </c>
    </row>
    <row r="15" spans="1:38">
      <c r="A15" s="5" t="s">
        <v>5607</v>
      </c>
      <c r="B15" s="5" t="e">
        <f>VLOOKUP(A15,'202308带宽'!H:H,1,FALSE)</f>
        <v>#N/A</v>
      </c>
      <c r="C15" s="5" t="s">
        <v>5502</v>
      </c>
      <c r="D15" s="5" t="s">
        <v>5503</v>
      </c>
      <c r="E15" s="5" t="s">
        <v>5504</v>
      </c>
      <c r="F15" s="5" t="s">
        <v>5591</v>
      </c>
      <c r="G15" s="5" t="s">
        <v>5506</v>
      </c>
      <c r="H15" s="5" t="s">
        <v>5507</v>
      </c>
      <c r="I15" s="5" t="s">
        <v>5508</v>
      </c>
      <c r="J15" s="5" t="s">
        <v>5509</v>
      </c>
      <c r="K15" s="5" t="s">
        <v>5510</v>
      </c>
      <c r="L15" s="5" t="s">
        <v>5522</v>
      </c>
      <c r="M15" s="5" t="s">
        <v>5574</v>
      </c>
      <c r="N15" s="5" t="s">
        <v>5513</v>
      </c>
      <c r="O15" s="5" t="s">
        <v>5575</v>
      </c>
      <c r="P15" s="5" t="s">
        <v>5608</v>
      </c>
      <c r="Q15" s="5" t="s">
        <v>5534</v>
      </c>
      <c r="R15" s="5" t="s">
        <v>5577</v>
      </c>
      <c r="S15" s="5" t="s">
        <v>5518</v>
      </c>
      <c r="T15" s="5" t="s">
        <v>5519</v>
      </c>
      <c r="U15" s="5" t="s">
        <v>5518</v>
      </c>
      <c r="V15" s="5" t="s">
        <v>5518</v>
      </c>
      <c r="W15" s="5" t="s">
        <v>5609</v>
      </c>
      <c r="X15" s="5" t="s">
        <v>5521</v>
      </c>
      <c r="Y15" s="5" t="s">
        <v>5511</v>
      </c>
      <c r="Z15" s="5" t="s">
        <v>5538</v>
      </c>
      <c r="AA15" s="5" t="s">
        <v>5610</v>
      </c>
      <c r="AB15" s="5" t="s">
        <v>5523</v>
      </c>
      <c r="AC15" s="5" t="s">
        <v>5523</v>
      </c>
      <c r="AD15" s="5" t="s">
        <v>5522</v>
      </c>
      <c r="AE15" s="5" t="s">
        <v>5518</v>
      </c>
      <c r="AF15" s="5" t="s">
        <v>5524</v>
      </c>
      <c r="AG15" s="5" t="s">
        <v>5522</v>
      </c>
      <c r="AH15" s="5" t="s">
        <v>5511</v>
      </c>
      <c r="AI15" s="5" t="s">
        <v>5518</v>
      </c>
      <c r="AJ15" s="5" t="s">
        <v>5525</v>
      </c>
      <c r="AK15" s="5" t="s">
        <v>5518</v>
      </c>
      <c r="AL15" s="5" t="s">
        <v>5518</v>
      </c>
    </row>
    <row r="16" spans="1:38" hidden="1">
      <c r="A16" s="5" t="s">
        <v>2383</v>
      </c>
      <c r="B16" s="5" t="str">
        <f>VLOOKUP(A16,'202308带宽'!H:H,1,FALSE)</f>
        <v>182315IDC00400</v>
      </c>
      <c r="D16" s="5" t="s">
        <v>5503</v>
      </c>
      <c r="E16" s="5" t="s">
        <v>5504</v>
      </c>
      <c r="F16" s="5" t="s">
        <v>5611</v>
      </c>
      <c r="G16" s="5" t="s">
        <v>5506</v>
      </c>
      <c r="H16" s="5" t="s">
        <v>5552</v>
      </c>
      <c r="I16" s="5" t="s">
        <v>5508</v>
      </c>
      <c r="J16" s="5" t="s">
        <v>32</v>
      </c>
      <c r="K16" s="5" t="s">
        <v>5510</v>
      </c>
      <c r="L16" s="5" t="s">
        <v>5511</v>
      </c>
      <c r="M16" s="5" t="s">
        <v>5531</v>
      </c>
      <c r="N16" s="5" t="s">
        <v>5513</v>
      </c>
      <c r="O16" s="5" t="s">
        <v>5553</v>
      </c>
      <c r="P16" s="5" t="s">
        <v>5612</v>
      </c>
      <c r="Q16" s="5" t="s">
        <v>5516</v>
      </c>
      <c r="R16" s="5" t="s">
        <v>5517</v>
      </c>
      <c r="S16" s="5" t="s">
        <v>5518</v>
      </c>
      <c r="T16" s="5" t="s">
        <v>5519</v>
      </c>
      <c r="U16" s="5" t="s">
        <v>5518</v>
      </c>
      <c r="V16" s="5" t="s">
        <v>5518</v>
      </c>
      <c r="W16" s="5" t="s">
        <v>5613</v>
      </c>
      <c r="X16" s="5" t="s">
        <v>5537</v>
      </c>
      <c r="Y16" s="5" t="s">
        <v>5522</v>
      </c>
      <c r="Z16" s="5" t="s">
        <v>5518</v>
      </c>
      <c r="AA16" s="5" t="s">
        <v>5556</v>
      </c>
      <c r="AB16" s="5" t="s">
        <v>5540</v>
      </c>
      <c r="AC16" s="5" t="s">
        <v>5540</v>
      </c>
      <c r="AD16" s="5" t="s">
        <v>5522</v>
      </c>
      <c r="AE16" s="5" t="s">
        <v>5518</v>
      </c>
      <c r="AF16" s="5" t="s">
        <v>5557</v>
      </c>
      <c r="AG16" s="5" t="s">
        <v>5522</v>
      </c>
      <c r="AH16" s="5" t="s">
        <v>5522</v>
      </c>
      <c r="AI16" s="5" t="s">
        <v>5518</v>
      </c>
      <c r="AJ16" s="5" t="s">
        <v>5541</v>
      </c>
      <c r="AK16" s="5" t="s">
        <v>5518</v>
      </c>
      <c r="AL16" s="5" t="s">
        <v>5518</v>
      </c>
    </row>
    <row r="17" spans="1:38" hidden="1">
      <c r="A17" s="5" t="s">
        <v>3309</v>
      </c>
      <c r="B17" s="5" t="str">
        <f>VLOOKUP(A17,'202308带宽'!H:H,1,FALSE)</f>
        <v>182315IDC00399</v>
      </c>
      <c r="D17" s="5" t="s">
        <v>5503</v>
      </c>
      <c r="E17" s="5" t="s">
        <v>5504</v>
      </c>
      <c r="F17" s="5" t="s">
        <v>5611</v>
      </c>
      <c r="G17" s="5" t="s">
        <v>5506</v>
      </c>
      <c r="H17" s="5" t="s">
        <v>5552</v>
      </c>
      <c r="I17" s="5" t="s">
        <v>5508</v>
      </c>
      <c r="J17" s="5" t="s">
        <v>32</v>
      </c>
      <c r="K17" s="5" t="s">
        <v>5510</v>
      </c>
      <c r="L17" s="5" t="s">
        <v>5511</v>
      </c>
      <c r="M17" s="5" t="s">
        <v>5531</v>
      </c>
      <c r="N17" s="5" t="s">
        <v>5513</v>
      </c>
      <c r="O17" s="5" t="s">
        <v>5614</v>
      </c>
      <c r="P17" s="5" t="s">
        <v>5615</v>
      </c>
      <c r="Q17" s="5" t="s">
        <v>5559</v>
      </c>
      <c r="R17" s="5" t="s">
        <v>5560</v>
      </c>
      <c r="S17" s="5" t="s">
        <v>5518</v>
      </c>
      <c r="T17" s="5" t="s">
        <v>5519</v>
      </c>
      <c r="U17" s="5" t="s">
        <v>5518</v>
      </c>
      <c r="V17" s="5" t="s">
        <v>5518</v>
      </c>
      <c r="W17" s="5" t="s">
        <v>5616</v>
      </c>
      <c r="X17" s="5" t="s">
        <v>5537</v>
      </c>
      <c r="Y17" s="5" t="s">
        <v>5522</v>
      </c>
      <c r="Z17" s="5" t="s">
        <v>5518</v>
      </c>
      <c r="AA17" s="5" t="s">
        <v>5617</v>
      </c>
      <c r="AB17" s="5" t="s">
        <v>5540</v>
      </c>
      <c r="AC17" s="5" t="s">
        <v>5540</v>
      </c>
      <c r="AD17" s="5" t="s">
        <v>5522</v>
      </c>
      <c r="AE17" s="5" t="s">
        <v>5518</v>
      </c>
      <c r="AF17" s="5" t="s">
        <v>5557</v>
      </c>
      <c r="AG17" s="5" t="s">
        <v>5522</v>
      </c>
      <c r="AH17" s="5" t="s">
        <v>5522</v>
      </c>
      <c r="AI17" s="5" t="s">
        <v>5518</v>
      </c>
      <c r="AJ17" s="5" t="s">
        <v>5541</v>
      </c>
      <c r="AK17" s="5" t="s">
        <v>5518</v>
      </c>
      <c r="AL17" s="5" t="s">
        <v>5518</v>
      </c>
    </row>
    <row r="18" spans="1:38" hidden="1">
      <c r="A18" s="5" t="s">
        <v>2843</v>
      </c>
      <c r="B18" s="5" t="str">
        <f>VLOOKUP(A18,'202308带宽'!H:H,1,FALSE)</f>
        <v>182315IDC00401</v>
      </c>
      <c r="D18" s="5" t="s">
        <v>5503</v>
      </c>
      <c r="E18" s="5" t="s">
        <v>5504</v>
      </c>
      <c r="F18" s="5" t="s">
        <v>5611</v>
      </c>
      <c r="G18" s="5" t="s">
        <v>5506</v>
      </c>
      <c r="H18" s="5" t="s">
        <v>5552</v>
      </c>
      <c r="I18" s="5" t="s">
        <v>5508</v>
      </c>
      <c r="J18" s="5" t="s">
        <v>32</v>
      </c>
      <c r="K18" s="5" t="s">
        <v>5510</v>
      </c>
      <c r="L18" s="5" t="s">
        <v>5511</v>
      </c>
      <c r="M18" s="5" t="s">
        <v>5531</v>
      </c>
      <c r="N18" s="5" t="s">
        <v>5513</v>
      </c>
      <c r="O18" s="5" t="s">
        <v>5618</v>
      </c>
      <c r="P18" s="5" t="s">
        <v>5619</v>
      </c>
      <c r="Q18" s="5" t="s">
        <v>5534</v>
      </c>
      <c r="R18" s="5" t="s">
        <v>5620</v>
      </c>
      <c r="S18" s="5" t="s">
        <v>5518</v>
      </c>
      <c r="T18" s="5" t="s">
        <v>5519</v>
      </c>
      <c r="U18" s="5" t="s">
        <v>5518</v>
      </c>
      <c r="V18" s="5" t="s">
        <v>5518</v>
      </c>
      <c r="W18" s="5" t="s">
        <v>5621</v>
      </c>
      <c r="X18" s="5" t="s">
        <v>5537</v>
      </c>
      <c r="Y18" s="5" t="s">
        <v>5522</v>
      </c>
      <c r="Z18" s="5" t="s">
        <v>5518</v>
      </c>
      <c r="AA18" s="5" t="s">
        <v>5622</v>
      </c>
      <c r="AB18" s="5" t="s">
        <v>5540</v>
      </c>
      <c r="AC18" s="5" t="s">
        <v>5540</v>
      </c>
      <c r="AD18" s="5" t="s">
        <v>5522</v>
      </c>
      <c r="AE18" s="5" t="s">
        <v>5518</v>
      </c>
      <c r="AF18" s="5" t="s">
        <v>5557</v>
      </c>
      <c r="AG18" s="5" t="s">
        <v>5522</v>
      </c>
      <c r="AH18" s="5" t="s">
        <v>5522</v>
      </c>
      <c r="AI18" s="5" t="s">
        <v>5518</v>
      </c>
      <c r="AJ18" s="5" t="s">
        <v>5541</v>
      </c>
      <c r="AK18" s="5" t="s">
        <v>5518</v>
      </c>
      <c r="AL18" s="5" t="s">
        <v>5518</v>
      </c>
    </row>
    <row r="19" spans="1:38">
      <c r="A19" s="5" t="s">
        <v>5617</v>
      </c>
      <c r="B19" s="5" t="e">
        <f>VLOOKUP(A19,'202308带宽'!H:H,1,FALSE)</f>
        <v>#N/A</v>
      </c>
      <c r="C19" s="5" t="s">
        <v>5623</v>
      </c>
      <c r="D19" s="5" t="s">
        <v>5503</v>
      </c>
      <c r="E19" s="5" t="s">
        <v>5624</v>
      </c>
      <c r="F19" s="5" t="s">
        <v>5625</v>
      </c>
      <c r="G19" s="5" t="s">
        <v>5506</v>
      </c>
      <c r="H19" s="5" t="s">
        <v>5552</v>
      </c>
      <c r="I19" s="5" t="s">
        <v>5508</v>
      </c>
      <c r="J19" s="5" t="s">
        <v>32</v>
      </c>
      <c r="K19" s="5" t="s">
        <v>5510</v>
      </c>
      <c r="L19" s="5" t="s">
        <v>5511</v>
      </c>
      <c r="M19" s="5" t="s">
        <v>5531</v>
      </c>
      <c r="N19" s="5" t="s">
        <v>5513</v>
      </c>
      <c r="O19" s="5" t="s">
        <v>5626</v>
      </c>
      <c r="P19" s="5" t="s">
        <v>5627</v>
      </c>
      <c r="Q19" s="5" t="s">
        <v>5559</v>
      </c>
      <c r="R19" s="5" t="s">
        <v>5560</v>
      </c>
      <c r="S19" s="5" t="s">
        <v>5518</v>
      </c>
      <c r="T19" s="5" t="s">
        <v>5628</v>
      </c>
      <c r="U19" s="5" t="s">
        <v>5518</v>
      </c>
      <c r="V19" s="5" t="s">
        <v>5518</v>
      </c>
      <c r="W19" s="5" t="s">
        <v>5518</v>
      </c>
      <c r="X19" s="5" t="s">
        <v>5518</v>
      </c>
      <c r="Y19" s="5" t="s">
        <v>5522</v>
      </c>
      <c r="Z19" s="5" t="s">
        <v>5518</v>
      </c>
      <c r="AA19" s="5" t="s">
        <v>5518</v>
      </c>
      <c r="AB19" s="5" t="s">
        <v>5540</v>
      </c>
      <c r="AC19" s="5" t="s">
        <v>5540</v>
      </c>
      <c r="AD19" s="5" t="s">
        <v>5511</v>
      </c>
      <c r="AE19" s="5" t="s">
        <v>5518</v>
      </c>
      <c r="AF19" s="5" t="s">
        <v>5524</v>
      </c>
      <c r="AG19" s="5" t="s">
        <v>5522</v>
      </c>
      <c r="AH19" s="5" t="s">
        <v>5522</v>
      </c>
      <c r="AI19" s="5" t="s">
        <v>5629</v>
      </c>
      <c r="AJ19" s="5" t="s">
        <v>5541</v>
      </c>
      <c r="AK19" s="5" t="s">
        <v>5518</v>
      </c>
      <c r="AL19" s="5" t="s">
        <v>5518</v>
      </c>
    </row>
    <row r="20" spans="1:38" hidden="1">
      <c r="A20" s="5" t="s">
        <v>3788</v>
      </c>
      <c r="B20" s="5" t="str">
        <f>VLOOKUP(A20,'202308带宽'!H:H,1,FALSE)</f>
        <v>182315IDC00395</v>
      </c>
      <c r="D20" s="5" t="s">
        <v>5503</v>
      </c>
      <c r="E20" s="5" t="s">
        <v>5504</v>
      </c>
      <c r="F20" s="5" t="s">
        <v>5625</v>
      </c>
      <c r="G20" s="5" t="s">
        <v>5506</v>
      </c>
      <c r="H20" s="5" t="s">
        <v>5530</v>
      </c>
      <c r="I20" s="5" t="s">
        <v>5508</v>
      </c>
      <c r="J20" s="5" t="s">
        <v>3750</v>
      </c>
      <c r="K20" s="5" t="s">
        <v>5510</v>
      </c>
      <c r="L20" s="5" t="s">
        <v>5511</v>
      </c>
      <c r="M20" s="5" t="s">
        <v>5531</v>
      </c>
      <c r="N20" s="5" t="s">
        <v>5513</v>
      </c>
      <c r="O20" s="5" t="s">
        <v>5630</v>
      </c>
      <c r="P20" s="5" t="s">
        <v>5631</v>
      </c>
      <c r="Q20" s="5" t="s">
        <v>5632</v>
      </c>
      <c r="R20" s="5" t="s">
        <v>5633</v>
      </c>
      <c r="S20" s="5" t="s">
        <v>5518</v>
      </c>
      <c r="T20" s="5" t="s">
        <v>5519</v>
      </c>
      <c r="U20" s="5" t="s">
        <v>5518</v>
      </c>
      <c r="V20" s="5" t="s">
        <v>5518</v>
      </c>
      <c r="W20" s="5" t="s">
        <v>5634</v>
      </c>
      <c r="X20" s="5" t="s">
        <v>5537</v>
      </c>
      <c r="Y20" s="5" t="s">
        <v>5511</v>
      </c>
      <c r="Z20" s="5" t="s">
        <v>5538</v>
      </c>
      <c r="AA20" s="5" t="s">
        <v>5635</v>
      </c>
      <c r="AB20" s="5" t="s">
        <v>5540</v>
      </c>
      <c r="AC20" s="5" t="s">
        <v>5540</v>
      </c>
      <c r="AD20" s="5" t="s">
        <v>5522</v>
      </c>
      <c r="AE20" s="5" t="s">
        <v>5518</v>
      </c>
      <c r="AF20" s="5" t="s">
        <v>5524</v>
      </c>
      <c r="AG20" s="5" t="s">
        <v>5522</v>
      </c>
      <c r="AH20" s="5" t="s">
        <v>5522</v>
      </c>
      <c r="AI20" s="5" t="s">
        <v>5518</v>
      </c>
      <c r="AJ20" s="5" t="s">
        <v>5541</v>
      </c>
      <c r="AK20" s="5" t="s">
        <v>5518</v>
      </c>
      <c r="AL20" s="5" t="s">
        <v>5518</v>
      </c>
    </row>
    <row r="21" spans="1:38" hidden="1">
      <c r="A21" s="5" t="s">
        <v>2765</v>
      </c>
      <c r="B21" s="5" t="str">
        <f>VLOOKUP(A21,'202308带宽'!H:H,1,FALSE)</f>
        <v>182315IDC00398</v>
      </c>
      <c r="D21" s="5" t="s">
        <v>5503</v>
      </c>
      <c r="E21" s="5" t="s">
        <v>5504</v>
      </c>
      <c r="F21" s="5" t="s">
        <v>5625</v>
      </c>
      <c r="G21" s="5" t="s">
        <v>5506</v>
      </c>
      <c r="H21" s="5" t="s">
        <v>5552</v>
      </c>
      <c r="I21" s="5" t="s">
        <v>5508</v>
      </c>
      <c r="J21" s="5" t="s">
        <v>32</v>
      </c>
      <c r="K21" s="5" t="s">
        <v>5510</v>
      </c>
      <c r="L21" s="5" t="s">
        <v>5511</v>
      </c>
      <c r="M21" s="5" t="s">
        <v>5531</v>
      </c>
      <c r="N21" s="5" t="s">
        <v>5513</v>
      </c>
      <c r="O21" s="5" t="s">
        <v>5636</v>
      </c>
      <c r="P21" s="5" t="s">
        <v>5637</v>
      </c>
      <c r="Q21" s="5" t="s">
        <v>5534</v>
      </c>
      <c r="R21" s="5" t="s">
        <v>5620</v>
      </c>
      <c r="S21" s="5" t="s">
        <v>5518</v>
      </c>
      <c r="T21" s="5" t="s">
        <v>5519</v>
      </c>
      <c r="U21" s="5" t="s">
        <v>5518</v>
      </c>
      <c r="V21" s="5" t="s">
        <v>5518</v>
      </c>
      <c r="W21" s="5" t="s">
        <v>5638</v>
      </c>
      <c r="X21" s="5" t="s">
        <v>5537</v>
      </c>
      <c r="Y21" s="5" t="s">
        <v>5522</v>
      </c>
      <c r="Z21" s="5" t="s">
        <v>5518</v>
      </c>
      <c r="AA21" s="5" t="s">
        <v>5639</v>
      </c>
      <c r="AB21" s="5" t="s">
        <v>5540</v>
      </c>
      <c r="AC21" s="5" t="s">
        <v>5540</v>
      </c>
      <c r="AD21" s="5" t="s">
        <v>5522</v>
      </c>
      <c r="AE21" s="5" t="s">
        <v>5518</v>
      </c>
      <c r="AF21" s="5" t="s">
        <v>5557</v>
      </c>
      <c r="AG21" s="5" t="s">
        <v>5522</v>
      </c>
      <c r="AH21" s="5" t="s">
        <v>5522</v>
      </c>
      <c r="AI21" s="5" t="s">
        <v>5518</v>
      </c>
      <c r="AJ21" s="5" t="s">
        <v>5541</v>
      </c>
      <c r="AK21" s="5" t="s">
        <v>5518</v>
      </c>
      <c r="AL21" s="5" t="s">
        <v>5518</v>
      </c>
    </row>
    <row r="22" spans="1:38">
      <c r="A22" s="5" t="s">
        <v>5640</v>
      </c>
      <c r="B22" s="5" t="e">
        <f>VLOOKUP(A22,'202308带宽'!H:H,1,FALSE)</f>
        <v>#N/A</v>
      </c>
      <c r="C22" s="5" t="s">
        <v>5641</v>
      </c>
      <c r="D22" s="5" t="s">
        <v>5503</v>
      </c>
      <c r="E22" s="5" t="s">
        <v>5504</v>
      </c>
      <c r="F22" s="5" t="s">
        <v>5642</v>
      </c>
      <c r="G22" s="5" t="s">
        <v>5506</v>
      </c>
      <c r="H22" s="5" t="s">
        <v>5552</v>
      </c>
      <c r="I22" s="5" t="s">
        <v>5508</v>
      </c>
      <c r="J22" s="5" t="s">
        <v>72</v>
      </c>
      <c r="K22" s="5" t="s">
        <v>5510</v>
      </c>
      <c r="L22" s="5" t="s">
        <v>5511</v>
      </c>
      <c r="M22" s="5" t="s">
        <v>5531</v>
      </c>
      <c r="N22" s="5" t="s">
        <v>5513</v>
      </c>
      <c r="O22" s="5" t="s">
        <v>5643</v>
      </c>
      <c r="P22" s="5" t="s">
        <v>5644</v>
      </c>
      <c r="Q22" s="5" t="s">
        <v>5645</v>
      </c>
      <c r="R22" s="5" t="s">
        <v>5646</v>
      </c>
      <c r="S22" s="5" t="s">
        <v>5518</v>
      </c>
      <c r="T22" s="5" t="s">
        <v>5519</v>
      </c>
      <c r="U22" s="5" t="s">
        <v>5518</v>
      </c>
      <c r="V22" s="5" t="s">
        <v>5518</v>
      </c>
      <c r="W22" s="5" t="s">
        <v>5647</v>
      </c>
      <c r="X22" s="5" t="s">
        <v>5537</v>
      </c>
      <c r="Y22" s="5" t="s">
        <v>5522</v>
      </c>
      <c r="Z22" s="5" t="s">
        <v>5518</v>
      </c>
      <c r="AA22" s="5" t="s">
        <v>5518</v>
      </c>
      <c r="AB22" s="5" t="s">
        <v>5648</v>
      </c>
      <c r="AC22" s="5" t="s">
        <v>5648</v>
      </c>
      <c r="AD22" s="5" t="s">
        <v>5522</v>
      </c>
      <c r="AE22" s="5" t="s">
        <v>5518</v>
      </c>
      <c r="AF22" s="5" t="s">
        <v>5524</v>
      </c>
      <c r="AG22" s="5" t="s">
        <v>5522</v>
      </c>
      <c r="AH22" s="5" t="s">
        <v>5522</v>
      </c>
      <c r="AI22" s="5" t="s">
        <v>5518</v>
      </c>
      <c r="AJ22" s="5" t="s">
        <v>5541</v>
      </c>
      <c r="AK22" s="5" t="s">
        <v>5518</v>
      </c>
      <c r="AL22" s="5" t="s">
        <v>5518</v>
      </c>
    </row>
    <row r="23" spans="1:38" hidden="1">
      <c r="A23" s="5" t="s">
        <v>3303</v>
      </c>
      <c r="B23" s="5" t="str">
        <f>VLOOKUP(A23,'202308带宽'!H:H,1,FALSE)</f>
        <v>182315IDC00390</v>
      </c>
      <c r="D23" s="5" t="s">
        <v>5503</v>
      </c>
      <c r="E23" s="5" t="s">
        <v>5504</v>
      </c>
      <c r="F23" s="5" t="s">
        <v>5649</v>
      </c>
      <c r="G23" s="5" t="s">
        <v>5506</v>
      </c>
      <c r="H23" s="5" t="s">
        <v>5552</v>
      </c>
      <c r="I23" s="5" t="s">
        <v>5508</v>
      </c>
      <c r="J23" s="5" t="s">
        <v>32</v>
      </c>
      <c r="K23" s="5" t="s">
        <v>5510</v>
      </c>
      <c r="L23" s="5" t="s">
        <v>5511</v>
      </c>
      <c r="M23" s="5" t="s">
        <v>5531</v>
      </c>
      <c r="N23" s="5" t="s">
        <v>5513</v>
      </c>
      <c r="O23" s="5" t="s">
        <v>5650</v>
      </c>
      <c r="P23" s="5" t="s">
        <v>5651</v>
      </c>
      <c r="Q23" s="5" t="s">
        <v>5534</v>
      </c>
      <c r="R23" s="5" t="s">
        <v>5577</v>
      </c>
      <c r="S23" s="5" t="s">
        <v>5518</v>
      </c>
      <c r="T23" s="5" t="s">
        <v>5519</v>
      </c>
      <c r="U23" s="5" t="s">
        <v>5518</v>
      </c>
      <c r="V23" s="5" t="s">
        <v>5518</v>
      </c>
      <c r="W23" s="5" t="s">
        <v>5652</v>
      </c>
      <c r="X23" s="5" t="s">
        <v>5537</v>
      </c>
      <c r="Y23" s="5" t="s">
        <v>5522</v>
      </c>
      <c r="Z23" s="5" t="s">
        <v>5518</v>
      </c>
      <c r="AA23" s="5" t="s">
        <v>5653</v>
      </c>
      <c r="AB23" s="5" t="s">
        <v>5540</v>
      </c>
      <c r="AC23" s="5" t="s">
        <v>5540</v>
      </c>
      <c r="AD23" s="5" t="s">
        <v>5522</v>
      </c>
      <c r="AE23" s="5" t="s">
        <v>5518</v>
      </c>
      <c r="AF23" s="5" t="s">
        <v>5557</v>
      </c>
      <c r="AG23" s="5" t="s">
        <v>5522</v>
      </c>
      <c r="AH23" s="5" t="s">
        <v>5522</v>
      </c>
      <c r="AI23" s="5" t="s">
        <v>5518</v>
      </c>
      <c r="AJ23" s="5" t="s">
        <v>5541</v>
      </c>
      <c r="AK23" s="5" t="s">
        <v>5518</v>
      </c>
      <c r="AL23" s="5" t="s">
        <v>5518</v>
      </c>
    </row>
    <row r="24" spans="1:38" hidden="1">
      <c r="A24" s="5" t="s">
        <v>3744</v>
      </c>
      <c r="B24" s="5" t="str">
        <f>VLOOKUP(A24,'202308带宽'!H:H,1,FALSE)</f>
        <v>182315IDC00391</v>
      </c>
      <c r="D24" s="5" t="s">
        <v>5503</v>
      </c>
      <c r="E24" s="5" t="s">
        <v>5504</v>
      </c>
      <c r="F24" s="5" t="s">
        <v>5649</v>
      </c>
      <c r="G24" s="5" t="s">
        <v>5506</v>
      </c>
      <c r="H24" s="5" t="s">
        <v>5530</v>
      </c>
      <c r="I24" s="5" t="s">
        <v>5508</v>
      </c>
      <c r="J24" s="5" t="s">
        <v>3680</v>
      </c>
      <c r="K24" s="5" t="s">
        <v>5510</v>
      </c>
      <c r="L24" s="5" t="s">
        <v>5511</v>
      </c>
      <c r="M24" s="5" t="s">
        <v>5531</v>
      </c>
      <c r="N24" s="5" t="s">
        <v>5513</v>
      </c>
      <c r="O24" s="5" t="s">
        <v>5654</v>
      </c>
      <c r="P24" s="5" t="s">
        <v>5655</v>
      </c>
      <c r="Q24" s="5" t="s">
        <v>5534</v>
      </c>
      <c r="R24" s="5" t="s">
        <v>5656</v>
      </c>
      <c r="S24" s="5" t="s">
        <v>5518</v>
      </c>
      <c r="T24" s="5" t="s">
        <v>5519</v>
      </c>
      <c r="U24" s="5" t="s">
        <v>5518</v>
      </c>
      <c r="V24" s="5" t="s">
        <v>5518</v>
      </c>
      <c r="W24" s="5" t="s">
        <v>5657</v>
      </c>
      <c r="X24" s="5" t="s">
        <v>5537</v>
      </c>
      <c r="Y24" s="5" t="s">
        <v>5511</v>
      </c>
      <c r="Z24" s="5" t="s">
        <v>5658</v>
      </c>
      <c r="AA24" s="5" t="s">
        <v>3735</v>
      </c>
      <c r="AB24" s="5" t="s">
        <v>5540</v>
      </c>
      <c r="AC24" s="5" t="s">
        <v>5540</v>
      </c>
      <c r="AD24" s="5" t="s">
        <v>5522</v>
      </c>
      <c r="AE24" s="5" t="s">
        <v>5518</v>
      </c>
      <c r="AF24" s="5" t="s">
        <v>5524</v>
      </c>
      <c r="AG24" s="5" t="s">
        <v>5522</v>
      </c>
      <c r="AH24" s="5" t="s">
        <v>5522</v>
      </c>
      <c r="AI24" s="5" t="s">
        <v>5518</v>
      </c>
      <c r="AJ24" s="5" t="s">
        <v>5541</v>
      </c>
      <c r="AK24" s="5" t="s">
        <v>5518</v>
      </c>
      <c r="AL24" s="5" t="s">
        <v>5518</v>
      </c>
    </row>
    <row r="25" spans="1:38" hidden="1">
      <c r="A25" s="5" t="s">
        <v>2694</v>
      </c>
      <c r="B25" s="5" t="str">
        <f>VLOOKUP(A25,'202308带宽'!H:H,1,FALSE)</f>
        <v>182315IDC00388</v>
      </c>
      <c r="C25" s="5" t="s">
        <v>5659</v>
      </c>
      <c r="D25" s="5" t="s">
        <v>5528</v>
      </c>
      <c r="E25" s="5" t="s">
        <v>5504</v>
      </c>
      <c r="F25" s="5" t="s">
        <v>5660</v>
      </c>
      <c r="G25" s="5" t="s">
        <v>5506</v>
      </c>
      <c r="H25" s="5" t="s">
        <v>5552</v>
      </c>
      <c r="I25" s="5" t="s">
        <v>5508</v>
      </c>
      <c r="J25" s="5" t="s">
        <v>1717</v>
      </c>
      <c r="K25" s="5" t="s">
        <v>5510</v>
      </c>
      <c r="L25" s="5" t="s">
        <v>5511</v>
      </c>
      <c r="M25" s="5" t="s">
        <v>5531</v>
      </c>
      <c r="N25" s="5" t="s">
        <v>5513</v>
      </c>
      <c r="O25" s="5" t="s">
        <v>5661</v>
      </c>
      <c r="P25" s="5" t="s">
        <v>5662</v>
      </c>
      <c r="Q25" s="5" t="s">
        <v>5534</v>
      </c>
      <c r="R25" s="5" t="s">
        <v>5535</v>
      </c>
      <c r="S25" s="5" t="s">
        <v>5518</v>
      </c>
      <c r="T25" s="5" t="s">
        <v>5519</v>
      </c>
      <c r="U25" s="5" t="s">
        <v>5518</v>
      </c>
      <c r="V25" s="5" t="s">
        <v>5518</v>
      </c>
      <c r="W25" s="5" t="s">
        <v>5663</v>
      </c>
      <c r="X25" s="5" t="s">
        <v>5537</v>
      </c>
      <c r="Y25" s="5" t="s">
        <v>5522</v>
      </c>
      <c r="Z25" s="5" t="s">
        <v>5518</v>
      </c>
      <c r="AA25" s="5" t="s">
        <v>5664</v>
      </c>
      <c r="AB25" s="5" t="s">
        <v>5540</v>
      </c>
      <c r="AC25" s="5" t="s">
        <v>5540</v>
      </c>
      <c r="AD25" s="5" t="s">
        <v>5522</v>
      </c>
      <c r="AE25" s="5" t="s">
        <v>5518</v>
      </c>
      <c r="AF25" s="5" t="s">
        <v>5557</v>
      </c>
      <c r="AG25" s="5" t="s">
        <v>5522</v>
      </c>
      <c r="AH25" s="5" t="s">
        <v>5522</v>
      </c>
      <c r="AI25" s="5" t="s">
        <v>5518</v>
      </c>
      <c r="AJ25" s="5" t="s">
        <v>5541</v>
      </c>
      <c r="AK25" s="5" t="s">
        <v>5518</v>
      </c>
      <c r="AL25" s="5" t="s">
        <v>5518</v>
      </c>
    </row>
    <row r="26" spans="1:38">
      <c r="A26" s="5" t="s">
        <v>5665</v>
      </c>
      <c r="B26" s="5" t="e">
        <f>VLOOKUP(A26,'202308带宽'!H:H,1,FALSE)</f>
        <v>#N/A</v>
      </c>
      <c r="C26" s="5" t="s">
        <v>5666</v>
      </c>
      <c r="D26" s="5" t="s">
        <v>5503</v>
      </c>
      <c r="E26" s="5" t="s">
        <v>5624</v>
      </c>
      <c r="F26" s="5" t="s">
        <v>5667</v>
      </c>
      <c r="G26" s="5" t="s">
        <v>5506</v>
      </c>
      <c r="H26" s="5" t="s">
        <v>5668</v>
      </c>
      <c r="I26" s="5" t="s">
        <v>5510</v>
      </c>
      <c r="J26" s="5" t="s">
        <v>5668</v>
      </c>
      <c r="K26" s="5" t="s">
        <v>5510</v>
      </c>
      <c r="L26" s="5" t="s">
        <v>5522</v>
      </c>
      <c r="M26" s="5" t="s">
        <v>5531</v>
      </c>
      <c r="N26" s="5" t="s">
        <v>5513</v>
      </c>
      <c r="O26" s="5" t="s">
        <v>5669</v>
      </c>
      <c r="P26" s="5" t="s">
        <v>5670</v>
      </c>
      <c r="Q26" s="5" t="s">
        <v>5559</v>
      </c>
      <c r="R26" s="5" t="s">
        <v>5560</v>
      </c>
      <c r="S26" s="5" t="s">
        <v>5518</v>
      </c>
      <c r="T26" s="5" t="s">
        <v>5519</v>
      </c>
      <c r="U26" s="5" t="s">
        <v>5518</v>
      </c>
      <c r="V26" s="5" t="s">
        <v>5518</v>
      </c>
      <c r="W26" s="5" t="s">
        <v>5671</v>
      </c>
      <c r="X26" s="5" t="s">
        <v>5537</v>
      </c>
      <c r="Y26" s="5" t="s">
        <v>5522</v>
      </c>
      <c r="Z26" s="5" t="s">
        <v>5518</v>
      </c>
      <c r="AA26" s="5" t="s">
        <v>5518</v>
      </c>
      <c r="AB26" s="5" t="s">
        <v>5672</v>
      </c>
      <c r="AC26" s="5" t="s">
        <v>5672</v>
      </c>
      <c r="AD26" s="5" t="s">
        <v>5511</v>
      </c>
      <c r="AE26" s="5" t="s">
        <v>5518</v>
      </c>
      <c r="AF26" s="5" t="s">
        <v>5524</v>
      </c>
      <c r="AG26" s="5" t="s">
        <v>5522</v>
      </c>
      <c r="AH26" s="5" t="s">
        <v>5522</v>
      </c>
      <c r="AI26" s="5" t="s">
        <v>5673</v>
      </c>
      <c r="AJ26" s="5" t="s">
        <v>5541</v>
      </c>
      <c r="AK26" s="5" t="s">
        <v>5518</v>
      </c>
      <c r="AL26" s="5" t="s">
        <v>5518</v>
      </c>
    </row>
    <row r="27" spans="1:38">
      <c r="A27" s="5" t="s">
        <v>5674</v>
      </c>
      <c r="B27" s="5" t="e">
        <f>VLOOKUP(A27,'202308带宽'!H:H,1,FALSE)</f>
        <v>#N/A</v>
      </c>
      <c r="C27" s="5" t="s">
        <v>5666</v>
      </c>
      <c r="D27" s="5" t="s">
        <v>5503</v>
      </c>
      <c r="E27" s="5" t="s">
        <v>5504</v>
      </c>
      <c r="F27" s="5" t="s">
        <v>5667</v>
      </c>
      <c r="G27" s="5" t="s">
        <v>5506</v>
      </c>
      <c r="H27" s="5" t="s">
        <v>5668</v>
      </c>
      <c r="I27" s="5" t="s">
        <v>5510</v>
      </c>
      <c r="J27" s="5" t="s">
        <v>5668</v>
      </c>
      <c r="K27" s="5" t="s">
        <v>5510</v>
      </c>
      <c r="L27" s="5" t="s">
        <v>5522</v>
      </c>
      <c r="M27" s="5" t="s">
        <v>5531</v>
      </c>
      <c r="N27" s="5" t="s">
        <v>5513</v>
      </c>
      <c r="O27" s="5" t="s">
        <v>5675</v>
      </c>
      <c r="P27" s="5" t="s">
        <v>5676</v>
      </c>
      <c r="Q27" s="5" t="s">
        <v>5677</v>
      </c>
      <c r="R27" s="5" t="s">
        <v>5678</v>
      </c>
      <c r="S27" s="5" t="s">
        <v>5518</v>
      </c>
      <c r="T27" s="5" t="s">
        <v>5519</v>
      </c>
      <c r="U27" s="5" t="s">
        <v>5518</v>
      </c>
      <c r="V27" s="5" t="s">
        <v>5518</v>
      </c>
      <c r="W27" s="5" t="s">
        <v>5671</v>
      </c>
      <c r="X27" s="5" t="s">
        <v>5537</v>
      </c>
      <c r="Y27" s="5" t="s">
        <v>5511</v>
      </c>
      <c r="Z27" s="5" t="s">
        <v>5679</v>
      </c>
      <c r="AA27" s="5" t="s">
        <v>5680</v>
      </c>
      <c r="AB27" s="5" t="s">
        <v>5672</v>
      </c>
      <c r="AC27" s="5" t="s">
        <v>5672</v>
      </c>
      <c r="AD27" s="5" t="s">
        <v>5522</v>
      </c>
      <c r="AE27" s="5" t="s">
        <v>5518</v>
      </c>
      <c r="AF27" s="5" t="s">
        <v>5524</v>
      </c>
      <c r="AG27" s="5" t="s">
        <v>5522</v>
      </c>
      <c r="AH27" s="5" t="s">
        <v>5522</v>
      </c>
      <c r="AI27" s="5" t="s">
        <v>5518</v>
      </c>
      <c r="AJ27" s="5" t="s">
        <v>5541</v>
      </c>
      <c r="AK27" s="5" t="s">
        <v>5518</v>
      </c>
      <c r="AL27" s="5" t="s">
        <v>5518</v>
      </c>
    </row>
    <row r="28" spans="1:38">
      <c r="A28" s="5" t="s">
        <v>5681</v>
      </c>
      <c r="B28" s="5" t="e">
        <f>VLOOKUP(A28,'202308带宽'!H:H,1,FALSE)</f>
        <v>#N/A</v>
      </c>
      <c r="C28" s="5" t="s">
        <v>5682</v>
      </c>
      <c r="D28" s="5" t="s">
        <v>5503</v>
      </c>
      <c r="E28" s="5" t="s">
        <v>5504</v>
      </c>
      <c r="F28" s="5" t="s">
        <v>5667</v>
      </c>
      <c r="G28" s="5" t="s">
        <v>5506</v>
      </c>
      <c r="H28" s="5" t="s">
        <v>5552</v>
      </c>
      <c r="I28" s="5" t="s">
        <v>5508</v>
      </c>
      <c r="J28" s="5" t="s">
        <v>72</v>
      </c>
      <c r="K28" s="5" t="s">
        <v>5510</v>
      </c>
      <c r="L28" s="5" t="s">
        <v>5511</v>
      </c>
      <c r="M28" s="5" t="s">
        <v>5531</v>
      </c>
      <c r="N28" s="5" t="s">
        <v>5513</v>
      </c>
      <c r="O28" s="5" t="s">
        <v>5683</v>
      </c>
      <c r="P28" s="5" t="s">
        <v>5684</v>
      </c>
      <c r="Q28" s="5" t="s">
        <v>5685</v>
      </c>
      <c r="R28" s="5" t="s">
        <v>5686</v>
      </c>
      <c r="S28" s="5" t="s">
        <v>5518</v>
      </c>
      <c r="T28" s="5" t="s">
        <v>5519</v>
      </c>
      <c r="U28" s="5" t="s">
        <v>5518</v>
      </c>
      <c r="V28" s="5" t="s">
        <v>5518</v>
      </c>
      <c r="W28" s="5" t="s">
        <v>5687</v>
      </c>
      <c r="X28" s="5" t="s">
        <v>5537</v>
      </c>
      <c r="Y28" s="5" t="s">
        <v>5522</v>
      </c>
      <c r="Z28" s="5" t="s">
        <v>5518</v>
      </c>
      <c r="AA28" s="5" t="s">
        <v>5688</v>
      </c>
      <c r="AB28" s="5" t="s">
        <v>5648</v>
      </c>
      <c r="AC28" s="5" t="s">
        <v>5648</v>
      </c>
      <c r="AD28" s="5" t="s">
        <v>5522</v>
      </c>
      <c r="AE28" s="5" t="s">
        <v>5518</v>
      </c>
      <c r="AF28" s="5" t="s">
        <v>5689</v>
      </c>
      <c r="AG28" s="5" t="s">
        <v>5522</v>
      </c>
      <c r="AH28" s="5" t="s">
        <v>5522</v>
      </c>
      <c r="AI28" s="5" t="s">
        <v>5518</v>
      </c>
      <c r="AJ28" s="5" t="s">
        <v>5541</v>
      </c>
      <c r="AK28" s="5" t="s">
        <v>5518</v>
      </c>
      <c r="AL28" s="5" t="s">
        <v>5518</v>
      </c>
    </row>
    <row r="29" spans="1:38">
      <c r="A29" s="5" t="s">
        <v>5690</v>
      </c>
      <c r="B29" s="5" t="e">
        <f>VLOOKUP(A29,'202308带宽'!H:H,1,FALSE)</f>
        <v>#N/A</v>
      </c>
      <c r="C29" s="5" t="s">
        <v>5666</v>
      </c>
      <c r="D29" s="5" t="s">
        <v>5503</v>
      </c>
      <c r="E29" s="5" t="s">
        <v>5504</v>
      </c>
      <c r="F29" s="5" t="s">
        <v>5667</v>
      </c>
      <c r="G29" s="5" t="s">
        <v>5506</v>
      </c>
      <c r="H29" s="5" t="s">
        <v>5668</v>
      </c>
      <c r="I29" s="5" t="s">
        <v>5510</v>
      </c>
      <c r="J29" s="5" t="s">
        <v>5668</v>
      </c>
      <c r="K29" s="5" t="s">
        <v>5510</v>
      </c>
      <c r="L29" s="5" t="s">
        <v>5522</v>
      </c>
      <c r="M29" s="5" t="s">
        <v>5531</v>
      </c>
      <c r="N29" s="5" t="s">
        <v>5513</v>
      </c>
      <c r="O29" s="5" t="s">
        <v>5691</v>
      </c>
      <c r="P29" s="5" t="s">
        <v>5692</v>
      </c>
      <c r="Q29" s="5" t="s">
        <v>5693</v>
      </c>
      <c r="R29" s="5" t="s">
        <v>5694</v>
      </c>
      <c r="S29" s="5" t="s">
        <v>5518</v>
      </c>
      <c r="T29" s="5" t="s">
        <v>5519</v>
      </c>
      <c r="U29" s="5" t="s">
        <v>5518</v>
      </c>
      <c r="V29" s="5" t="s">
        <v>5518</v>
      </c>
      <c r="W29" s="5" t="s">
        <v>5671</v>
      </c>
      <c r="X29" s="5" t="s">
        <v>5537</v>
      </c>
      <c r="Y29" s="5" t="s">
        <v>5511</v>
      </c>
      <c r="Z29" s="5" t="s">
        <v>5567</v>
      </c>
      <c r="AA29" s="5" t="s">
        <v>5695</v>
      </c>
      <c r="AB29" s="5" t="s">
        <v>5672</v>
      </c>
      <c r="AC29" s="5" t="s">
        <v>5672</v>
      </c>
      <c r="AD29" s="5" t="s">
        <v>5522</v>
      </c>
      <c r="AE29" s="5" t="s">
        <v>5518</v>
      </c>
      <c r="AF29" s="5" t="s">
        <v>5524</v>
      </c>
      <c r="AG29" s="5" t="s">
        <v>5522</v>
      </c>
      <c r="AH29" s="5" t="s">
        <v>5522</v>
      </c>
      <c r="AI29" s="5" t="s">
        <v>5518</v>
      </c>
      <c r="AJ29" s="5" t="s">
        <v>5541</v>
      </c>
      <c r="AK29" s="5" t="s">
        <v>5518</v>
      </c>
      <c r="AL29" s="5" t="s">
        <v>5518</v>
      </c>
    </row>
    <row r="30" spans="1:38">
      <c r="A30" s="5" t="s">
        <v>5696</v>
      </c>
      <c r="B30" s="5" t="e">
        <f>VLOOKUP(A30,'202308带宽'!H:H,1,FALSE)</f>
        <v>#N/A</v>
      </c>
      <c r="C30" s="5" t="s">
        <v>5543</v>
      </c>
      <c r="D30" s="5" t="s">
        <v>5503</v>
      </c>
      <c r="E30" s="5" t="s">
        <v>5504</v>
      </c>
      <c r="F30" s="5" t="s">
        <v>5697</v>
      </c>
      <c r="G30" s="5" t="s">
        <v>5506</v>
      </c>
      <c r="H30" s="5" t="s">
        <v>30</v>
      </c>
      <c r="I30" s="5" t="s">
        <v>5508</v>
      </c>
      <c r="J30" s="5" t="s">
        <v>139</v>
      </c>
      <c r="K30" s="5" t="s">
        <v>5510</v>
      </c>
      <c r="L30" s="5" t="s">
        <v>5511</v>
      </c>
      <c r="M30" s="5" t="s">
        <v>5531</v>
      </c>
      <c r="N30" s="5" t="s">
        <v>5513</v>
      </c>
      <c r="O30" s="5" t="s">
        <v>5698</v>
      </c>
      <c r="P30" s="5" t="s">
        <v>5699</v>
      </c>
      <c r="Q30" s="5" t="s">
        <v>5587</v>
      </c>
      <c r="R30" s="5" t="s">
        <v>5588</v>
      </c>
      <c r="S30" s="5" t="s">
        <v>5518</v>
      </c>
      <c r="T30" s="5" t="s">
        <v>5519</v>
      </c>
      <c r="U30" s="5" t="s">
        <v>5518</v>
      </c>
      <c r="V30" s="5" t="s">
        <v>5518</v>
      </c>
      <c r="W30" s="5" t="s">
        <v>5700</v>
      </c>
      <c r="X30" s="5" t="s">
        <v>5537</v>
      </c>
      <c r="Y30" s="5" t="s">
        <v>5522</v>
      </c>
      <c r="Z30" s="5" t="s">
        <v>5518</v>
      </c>
      <c r="AA30" s="5" t="s">
        <v>5518</v>
      </c>
      <c r="AB30" s="5" t="s">
        <v>5550</v>
      </c>
      <c r="AC30" s="5" t="s">
        <v>5550</v>
      </c>
      <c r="AD30" s="5" t="s">
        <v>5522</v>
      </c>
      <c r="AE30" s="5" t="s">
        <v>5518</v>
      </c>
      <c r="AF30" s="5" t="s">
        <v>5524</v>
      </c>
      <c r="AG30" s="5" t="s">
        <v>5522</v>
      </c>
      <c r="AH30" s="5" t="s">
        <v>5522</v>
      </c>
      <c r="AI30" s="5" t="s">
        <v>5518</v>
      </c>
      <c r="AJ30" s="5" t="s">
        <v>5541</v>
      </c>
      <c r="AK30" s="5" t="s">
        <v>5518</v>
      </c>
      <c r="AL30" s="5" t="s">
        <v>5518</v>
      </c>
    </row>
    <row r="31" spans="1:38" hidden="1">
      <c r="A31" s="5" t="s">
        <v>3142</v>
      </c>
      <c r="B31" s="5" t="str">
        <f>VLOOKUP(A31,'202308带宽'!H:H,1,FALSE)</f>
        <v>182315IDC00380</v>
      </c>
      <c r="D31" s="5" t="s">
        <v>5503</v>
      </c>
      <c r="E31" s="5" t="s">
        <v>5504</v>
      </c>
      <c r="F31" s="5" t="s">
        <v>5701</v>
      </c>
      <c r="G31" s="5" t="s">
        <v>5506</v>
      </c>
      <c r="H31" s="5" t="s">
        <v>5552</v>
      </c>
      <c r="I31" s="5" t="s">
        <v>5508</v>
      </c>
      <c r="J31" s="5" t="s">
        <v>1717</v>
      </c>
      <c r="K31" s="5" t="s">
        <v>5510</v>
      </c>
      <c r="L31" s="5" t="s">
        <v>5511</v>
      </c>
      <c r="M31" s="5" t="s">
        <v>5531</v>
      </c>
      <c r="N31" s="5" t="s">
        <v>5513</v>
      </c>
      <c r="O31" s="5" t="s">
        <v>5702</v>
      </c>
      <c r="P31" s="5" t="s">
        <v>5703</v>
      </c>
      <c r="Q31" s="5" t="s">
        <v>5516</v>
      </c>
      <c r="R31" s="5" t="s">
        <v>5517</v>
      </c>
      <c r="S31" s="5" t="s">
        <v>5518</v>
      </c>
      <c r="T31" s="5" t="s">
        <v>5519</v>
      </c>
      <c r="U31" s="5" t="s">
        <v>5518</v>
      </c>
      <c r="V31" s="5" t="s">
        <v>5518</v>
      </c>
      <c r="W31" s="5" t="s">
        <v>5704</v>
      </c>
      <c r="X31" s="5" t="s">
        <v>5537</v>
      </c>
      <c r="Y31" s="5" t="s">
        <v>5522</v>
      </c>
      <c r="Z31" s="5" t="s">
        <v>5518</v>
      </c>
      <c r="AA31" s="5" t="s">
        <v>5705</v>
      </c>
      <c r="AB31" s="5" t="s">
        <v>5540</v>
      </c>
      <c r="AC31" s="5" t="s">
        <v>5540</v>
      </c>
      <c r="AD31" s="5" t="s">
        <v>5522</v>
      </c>
      <c r="AE31" s="5" t="s">
        <v>5518</v>
      </c>
      <c r="AF31" s="5" t="s">
        <v>5557</v>
      </c>
      <c r="AG31" s="5" t="s">
        <v>5522</v>
      </c>
      <c r="AH31" s="5" t="s">
        <v>5522</v>
      </c>
      <c r="AI31" s="5" t="s">
        <v>5518</v>
      </c>
      <c r="AJ31" s="5" t="s">
        <v>5541</v>
      </c>
      <c r="AK31" s="5" t="s">
        <v>5518</v>
      </c>
      <c r="AL31" s="5" t="s">
        <v>5518</v>
      </c>
    </row>
    <row r="32" spans="1:38" hidden="1">
      <c r="A32" s="5" t="s">
        <v>3356</v>
      </c>
      <c r="B32" s="5" t="str">
        <f>VLOOKUP(A32,'202308带宽'!H:H,1,FALSE)</f>
        <v>182315IDC00377</v>
      </c>
      <c r="D32" s="5" t="s">
        <v>5503</v>
      </c>
      <c r="E32" s="5" t="s">
        <v>5504</v>
      </c>
      <c r="F32" s="5" t="s">
        <v>5706</v>
      </c>
      <c r="G32" s="5" t="s">
        <v>5506</v>
      </c>
      <c r="H32" s="5" t="s">
        <v>5552</v>
      </c>
      <c r="I32" s="5" t="s">
        <v>5508</v>
      </c>
      <c r="J32" s="5" t="s">
        <v>1717</v>
      </c>
      <c r="K32" s="5" t="s">
        <v>5510</v>
      </c>
      <c r="L32" s="5" t="s">
        <v>5511</v>
      </c>
      <c r="M32" s="5" t="s">
        <v>5531</v>
      </c>
      <c r="N32" s="5" t="s">
        <v>5513</v>
      </c>
      <c r="O32" s="5" t="s">
        <v>5702</v>
      </c>
      <c r="P32" s="5" t="s">
        <v>5707</v>
      </c>
      <c r="Q32" s="5" t="s">
        <v>5559</v>
      </c>
      <c r="R32" s="5" t="s">
        <v>5560</v>
      </c>
      <c r="S32" s="5" t="s">
        <v>5518</v>
      </c>
      <c r="T32" s="5" t="s">
        <v>5519</v>
      </c>
      <c r="U32" s="5" t="s">
        <v>5518</v>
      </c>
      <c r="V32" s="5" t="s">
        <v>5518</v>
      </c>
      <c r="W32" s="5" t="s">
        <v>5708</v>
      </c>
      <c r="X32" s="5" t="s">
        <v>5537</v>
      </c>
      <c r="Y32" s="5" t="s">
        <v>5522</v>
      </c>
      <c r="Z32" s="5" t="s">
        <v>5518</v>
      </c>
      <c r="AA32" s="5" t="s">
        <v>5518</v>
      </c>
      <c r="AB32" s="5" t="s">
        <v>5540</v>
      </c>
      <c r="AC32" s="5" t="s">
        <v>5540</v>
      </c>
      <c r="AD32" s="5" t="s">
        <v>5522</v>
      </c>
      <c r="AE32" s="5" t="s">
        <v>5518</v>
      </c>
      <c r="AF32" s="5" t="s">
        <v>5524</v>
      </c>
      <c r="AG32" s="5" t="s">
        <v>5522</v>
      </c>
      <c r="AH32" s="5" t="s">
        <v>5522</v>
      </c>
      <c r="AI32" s="5" t="s">
        <v>5518</v>
      </c>
      <c r="AJ32" s="5" t="s">
        <v>5541</v>
      </c>
      <c r="AK32" s="5" t="s">
        <v>5518</v>
      </c>
      <c r="AL32" s="5" t="s">
        <v>5518</v>
      </c>
    </row>
    <row r="33" spans="1:38" hidden="1">
      <c r="A33" s="5" t="s">
        <v>2688</v>
      </c>
      <c r="B33" s="5" t="str">
        <f>VLOOKUP(A33,'202308带宽'!H:H,1,FALSE)</f>
        <v>182315IDC00378</v>
      </c>
      <c r="D33" s="5" t="s">
        <v>5503</v>
      </c>
      <c r="E33" s="5" t="s">
        <v>5504</v>
      </c>
      <c r="F33" s="5" t="s">
        <v>5706</v>
      </c>
      <c r="G33" s="5" t="s">
        <v>5506</v>
      </c>
      <c r="H33" s="5" t="s">
        <v>5552</v>
      </c>
      <c r="I33" s="5" t="s">
        <v>5508</v>
      </c>
      <c r="J33" s="5" t="s">
        <v>32</v>
      </c>
      <c r="K33" s="5" t="s">
        <v>5510</v>
      </c>
      <c r="L33" s="5" t="s">
        <v>5511</v>
      </c>
      <c r="M33" s="5" t="s">
        <v>5531</v>
      </c>
      <c r="N33" s="5" t="s">
        <v>5513</v>
      </c>
      <c r="O33" s="5" t="s">
        <v>5709</v>
      </c>
      <c r="P33" s="5" t="s">
        <v>5710</v>
      </c>
      <c r="Q33" s="5" t="s">
        <v>5516</v>
      </c>
      <c r="R33" s="5" t="s">
        <v>5517</v>
      </c>
      <c r="S33" s="5" t="s">
        <v>5518</v>
      </c>
      <c r="T33" s="5" t="s">
        <v>5519</v>
      </c>
      <c r="U33" s="5" t="s">
        <v>5518</v>
      </c>
      <c r="V33" s="5" t="s">
        <v>5518</v>
      </c>
      <c r="W33" s="5" t="s">
        <v>5711</v>
      </c>
      <c r="X33" s="5" t="s">
        <v>5537</v>
      </c>
      <c r="Y33" s="5" t="s">
        <v>5522</v>
      </c>
      <c r="Z33" s="5" t="s">
        <v>5518</v>
      </c>
      <c r="AA33" s="5" t="s">
        <v>5664</v>
      </c>
      <c r="AB33" s="5" t="s">
        <v>5540</v>
      </c>
      <c r="AC33" s="5" t="s">
        <v>5540</v>
      </c>
      <c r="AD33" s="5" t="s">
        <v>5522</v>
      </c>
      <c r="AE33" s="5" t="s">
        <v>5518</v>
      </c>
      <c r="AF33" s="5" t="s">
        <v>5557</v>
      </c>
      <c r="AG33" s="5" t="s">
        <v>5522</v>
      </c>
      <c r="AH33" s="5" t="s">
        <v>5522</v>
      </c>
      <c r="AI33" s="5" t="s">
        <v>5518</v>
      </c>
      <c r="AJ33" s="5" t="s">
        <v>5541</v>
      </c>
      <c r="AK33" s="5" t="s">
        <v>5518</v>
      </c>
      <c r="AL33" s="5" t="s">
        <v>5518</v>
      </c>
    </row>
    <row r="34" spans="1:38" hidden="1">
      <c r="A34" s="5" t="s">
        <v>3037</v>
      </c>
      <c r="B34" s="5" t="str">
        <f>VLOOKUP(A34,'202308带宽'!H:H,1,FALSE)</f>
        <v>182315IDC00375</v>
      </c>
      <c r="D34" s="5" t="s">
        <v>5503</v>
      </c>
      <c r="E34" s="5" t="s">
        <v>5504</v>
      </c>
      <c r="F34" s="5" t="s">
        <v>5712</v>
      </c>
      <c r="G34" s="5" t="s">
        <v>5506</v>
      </c>
      <c r="H34" s="5" t="s">
        <v>5552</v>
      </c>
      <c r="I34" s="5" t="s">
        <v>5508</v>
      </c>
      <c r="J34" s="5" t="s">
        <v>32</v>
      </c>
      <c r="K34" s="5" t="s">
        <v>5510</v>
      </c>
      <c r="L34" s="5" t="s">
        <v>5511</v>
      </c>
      <c r="M34" s="5" t="s">
        <v>5531</v>
      </c>
      <c r="N34" s="5" t="s">
        <v>5513</v>
      </c>
      <c r="O34" s="5" t="s">
        <v>5713</v>
      </c>
      <c r="P34" s="5" t="s">
        <v>5714</v>
      </c>
      <c r="Q34" s="5" t="s">
        <v>5516</v>
      </c>
      <c r="R34" s="5" t="s">
        <v>5517</v>
      </c>
      <c r="S34" s="5" t="s">
        <v>5518</v>
      </c>
      <c r="T34" s="5" t="s">
        <v>5519</v>
      </c>
      <c r="U34" s="5" t="s">
        <v>5518</v>
      </c>
      <c r="V34" s="5" t="s">
        <v>5518</v>
      </c>
      <c r="W34" s="5" t="s">
        <v>5715</v>
      </c>
      <c r="X34" s="5" t="s">
        <v>5537</v>
      </c>
      <c r="Y34" s="5" t="s">
        <v>5522</v>
      </c>
      <c r="Z34" s="5" t="s">
        <v>5518</v>
      </c>
      <c r="AA34" s="5" t="s">
        <v>5716</v>
      </c>
      <c r="AB34" s="5" t="s">
        <v>5540</v>
      </c>
      <c r="AC34" s="5" t="s">
        <v>5540</v>
      </c>
      <c r="AD34" s="5" t="s">
        <v>5522</v>
      </c>
      <c r="AE34" s="5" t="s">
        <v>5518</v>
      </c>
      <c r="AF34" s="5" t="s">
        <v>5557</v>
      </c>
      <c r="AG34" s="5" t="s">
        <v>5522</v>
      </c>
      <c r="AH34" s="5" t="s">
        <v>5522</v>
      </c>
      <c r="AI34" s="5" t="s">
        <v>5518</v>
      </c>
      <c r="AJ34" s="5" t="s">
        <v>5541</v>
      </c>
      <c r="AK34" s="5" t="s">
        <v>5518</v>
      </c>
      <c r="AL34" s="5" t="s">
        <v>5518</v>
      </c>
    </row>
    <row r="35" spans="1:38">
      <c r="A35" s="5" t="s">
        <v>5717</v>
      </c>
      <c r="B35" s="5" t="e">
        <f>VLOOKUP(A35,'202308带宽'!H:H,1,FALSE)</f>
        <v>#N/A</v>
      </c>
      <c r="C35" s="5" t="s">
        <v>5543</v>
      </c>
      <c r="D35" s="5" t="s">
        <v>5503</v>
      </c>
      <c r="E35" s="5" t="s">
        <v>5504</v>
      </c>
      <c r="F35" s="5" t="s">
        <v>5712</v>
      </c>
      <c r="G35" s="5" t="s">
        <v>5506</v>
      </c>
      <c r="H35" s="5" t="s">
        <v>5530</v>
      </c>
      <c r="I35" s="5" t="s">
        <v>5508</v>
      </c>
      <c r="J35" s="5" t="s">
        <v>72</v>
      </c>
      <c r="K35" s="5" t="s">
        <v>5510</v>
      </c>
      <c r="L35" s="5" t="s">
        <v>5511</v>
      </c>
      <c r="M35" s="5" t="s">
        <v>5531</v>
      </c>
      <c r="N35" s="5" t="s">
        <v>5513</v>
      </c>
      <c r="O35" s="5" t="s">
        <v>5718</v>
      </c>
      <c r="P35" s="5" t="s">
        <v>5719</v>
      </c>
      <c r="Q35" s="5" t="s">
        <v>5720</v>
      </c>
      <c r="R35" s="5" t="s">
        <v>5721</v>
      </c>
      <c r="S35" s="5" t="s">
        <v>5518</v>
      </c>
      <c r="T35" s="5" t="s">
        <v>5519</v>
      </c>
      <c r="U35" s="5" t="s">
        <v>5518</v>
      </c>
      <c r="V35" s="5" t="s">
        <v>5518</v>
      </c>
      <c r="W35" s="5" t="s">
        <v>5722</v>
      </c>
      <c r="X35" s="5" t="s">
        <v>5537</v>
      </c>
      <c r="Y35" s="5" t="s">
        <v>5511</v>
      </c>
      <c r="Z35" s="5" t="s">
        <v>5567</v>
      </c>
      <c r="AA35" s="5" t="s">
        <v>5723</v>
      </c>
      <c r="AB35" s="5" t="s">
        <v>5550</v>
      </c>
      <c r="AC35" s="5" t="s">
        <v>5550</v>
      </c>
      <c r="AD35" s="5" t="s">
        <v>5522</v>
      </c>
      <c r="AE35" s="5" t="s">
        <v>5518</v>
      </c>
      <c r="AF35" s="5" t="s">
        <v>5524</v>
      </c>
      <c r="AG35" s="5" t="s">
        <v>5522</v>
      </c>
      <c r="AH35" s="5" t="s">
        <v>5522</v>
      </c>
      <c r="AI35" s="5" t="s">
        <v>5518</v>
      </c>
      <c r="AJ35" s="5" t="s">
        <v>5541</v>
      </c>
      <c r="AK35" s="5" t="s">
        <v>5518</v>
      </c>
      <c r="AL35" s="5" t="s">
        <v>5518</v>
      </c>
    </row>
    <row r="36" spans="1:38">
      <c r="A36" s="5" t="s">
        <v>5716</v>
      </c>
      <c r="B36" s="5" t="e">
        <f>VLOOKUP(A36,'202308带宽'!H:H,1,FALSE)</f>
        <v>#N/A</v>
      </c>
      <c r="C36" s="5" t="s">
        <v>5623</v>
      </c>
      <c r="D36" s="5" t="s">
        <v>5503</v>
      </c>
      <c r="E36" s="5" t="s">
        <v>5624</v>
      </c>
      <c r="F36" s="5" t="s">
        <v>5724</v>
      </c>
      <c r="G36" s="5" t="s">
        <v>5506</v>
      </c>
      <c r="H36" s="5" t="s">
        <v>5552</v>
      </c>
      <c r="I36" s="5" t="s">
        <v>5508</v>
      </c>
      <c r="J36" s="5" t="s">
        <v>32</v>
      </c>
      <c r="K36" s="5" t="s">
        <v>5510</v>
      </c>
      <c r="L36" s="5" t="s">
        <v>5511</v>
      </c>
      <c r="M36" s="5" t="s">
        <v>5531</v>
      </c>
      <c r="N36" s="5" t="s">
        <v>5513</v>
      </c>
      <c r="O36" s="5" t="s">
        <v>5713</v>
      </c>
      <c r="P36" s="5" t="s">
        <v>5627</v>
      </c>
      <c r="Q36" s="5" t="s">
        <v>5516</v>
      </c>
      <c r="R36" s="5" t="s">
        <v>5517</v>
      </c>
      <c r="S36" s="5" t="s">
        <v>5518</v>
      </c>
      <c r="T36" s="5" t="s">
        <v>5628</v>
      </c>
      <c r="U36" s="5" t="s">
        <v>5518</v>
      </c>
      <c r="V36" s="5" t="s">
        <v>5518</v>
      </c>
      <c r="W36" s="5" t="s">
        <v>5518</v>
      </c>
      <c r="X36" s="5" t="s">
        <v>5518</v>
      </c>
      <c r="Y36" s="5" t="s">
        <v>5522</v>
      </c>
      <c r="Z36" s="5" t="s">
        <v>5518</v>
      </c>
      <c r="AA36" s="5" t="s">
        <v>5518</v>
      </c>
      <c r="AB36" s="5" t="s">
        <v>5540</v>
      </c>
      <c r="AC36" s="5" t="s">
        <v>5540</v>
      </c>
      <c r="AD36" s="5" t="s">
        <v>5511</v>
      </c>
      <c r="AE36" s="5" t="s">
        <v>5518</v>
      </c>
      <c r="AF36" s="5" t="s">
        <v>5524</v>
      </c>
      <c r="AG36" s="5" t="s">
        <v>5522</v>
      </c>
      <c r="AH36" s="5" t="s">
        <v>5522</v>
      </c>
      <c r="AI36" s="5" t="s">
        <v>5629</v>
      </c>
      <c r="AJ36" s="5" t="s">
        <v>5541</v>
      </c>
      <c r="AK36" s="5" t="s">
        <v>5518</v>
      </c>
      <c r="AL36" s="5" t="s">
        <v>5518</v>
      </c>
    </row>
    <row r="37" spans="1:38" hidden="1">
      <c r="A37" s="5" t="s">
        <v>3265</v>
      </c>
      <c r="B37" s="5" t="str">
        <f>VLOOKUP(A37,'202308带宽'!H:H,1,FALSE)</f>
        <v>182315IDC00364</v>
      </c>
      <c r="D37" s="5" t="s">
        <v>5503</v>
      </c>
      <c r="E37" s="5" t="s">
        <v>5504</v>
      </c>
      <c r="F37" s="5" t="s">
        <v>5725</v>
      </c>
      <c r="G37" s="5" t="s">
        <v>5506</v>
      </c>
      <c r="H37" s="5" t="s">
        <v>5552</v>
      </c>
      <c r="I37" s="5" t="s">
        <v>5508</v>
      </c>
      <c r="J37" s="5" t="s">
        <v>1717</v>
      </c>
      <c r="K37" s="5" t="s">
        <v>5510</v>
      </c>
      <c r="L37" s="5" t="s">
        <v>5511</v>
      </c>
      <c r="M37" s="5" t="s">
        <v>5531</v>
      </c>
      <c r="N37" s="5" t="s">
        <v>5513</v>
      </c>
      <c r="O37" s="5" t="s">
        <v>5702</v>
      </c>
      <c r="P37" s="5" t="s">
        <v>5726</v>
      </c>
      <c r="Q37" s="5" t="s">
        <v>5727</v>
      </c>
      <c r="R37" s="5" t="s">
        <v>5517</v>
      </c>
      <c r="S37" s="5" t="s">
        <v>5518</v>
      </c>
      <c r="T37" s="5" t="s">
        <v>5519</v>
      </c>
      <c r="U37" s="5" t="s">
        <v>5518</v>
      </c>
      <c r="V37" s="5" t="s">
        <v>5518</v>
      </c>
      <c r="W37" s="5" t="s">
        <v>5728</v>
      </c>
      <c r="X37" s="5" t="s">
        <v>5537</v>
      </c>
      <c r="Y37" s="5" t="s">
        <v>5522</v>
      </c>
      <c r="Z37" s="5" t="s">
        <v>5518</v>
      </c>
      <c r="AA37" s="5" t="s">
        <v>5705</v>
      </c>
      <c r="AB37" s="5" t="s">
        <v>5540</v>
      </c>
      <c r="AC37" s="5" t="s">
        <v>5540</v>
      </c>
      <c r="AD37" s="5" t="s">
        <v>5522</v>
      </c>
      <c r="AE37" s="5" t="s">
        <v>5518</v>
      </c>
      <c r="AF37" s="5" t="s">
        <v>5557</v>
      </c>
      <c r="AG37" s="5" t="s">
        <v>5522</v>
      </c>
      <c r="AH37" s="5" t="s">
        <v>5522</v>
      </c>
      <c r="AI37" s="5" t="s">
        <v>5518</v>
      </c>
      <c r="AJ37" s="5" t="s">
        <v>5541</v>
      </c>
      <c r="AK37" s="5" t="s">
        <v>5518</v>
      </c>
      <c r="AL37" s="5" t="s">
        <v>5518</v>
      </c>
    </row>
    <row r="38" spans="1:38">
      <c r="A38" s="5" t="s">
        <v>5729</v>
      </c>
      <c r="B38" s="5" t="e">
        <f>VLOOKUP(A38,'202308带宽'!H:H,1,FALSE)</f>
        <v>#N/A</v>
      </c>
      <c r="C38" s="5" t="s">
        <v>5730</v>
      </c>
      <c r="D38" s="5" t="s">
        <v>5503</v>
      </c>
      <c r="E38" s="5" t="s">
        <v>5624</v>
      </c>
      <c r="F38" s="5" t="s">
        <v>5731</v>
      </c>
      <c r="G38" s="5" t="s">
        <v>5506</v>
      </c>
      <c r="H38" s="5" t="s">
        <v>5507</v>
      </c>
      <c r="I38" s="5" t="s">
        <v>5508</v>
      </c>
      <c r="J38" s="5" t="s">
        <v>1760</v>
      </c>
      <c r="K38" s="5" t="s">
        <v>5510</v>
      </c>
      <c r="L38" s="5" t="s">
        <v>5511</v>
      </c>
      <c r="M38" s="5" t="s">
        <v>5732</v>
      </c>
      <c r="N38" s="5" t="s">
        <v>5513</v>
      </c>
      <c r="O38" s="5" t="s">
        <v>5733</v>
      </c>
      <c r="P38" s="5" t="s">
        <v>5734</v>
      </c>
      <c r="Q38" s="5" t="s">
        <v>5516</v>
      </c>
      <c r="R38" s="5" t="s">
        <v>5517</v>
      </c>
      <c r="S38" s="5" t="s">
        <v>5518</v>
      </c>
      <c r="T38" s="5" t="s">
        <v>5519</v>
      </c>
      <c r="U38" s="5" t="s">
        <v>5518</v>
      </c>
      <c r="V38" s="5" t="s">
        <v>5518</v>
      </c>
      <c r="W38" s="5" t="s">
        <v>5735</v>
      </c>
      <c r="X38" s="5" t="s">
        <v>5537</v>
      </c>
      <c r="Y38" s="5" t="s">
        <v>5522</v>
      </c>
      <c r="Z38" s="5" t="s">
        <v>5518</v>
      </c>
      <c r="AA38" s="5" t="s">
        <v>5518</v>
      </c>
      <c r="AB38" s="5" t="s">
        <v>5672</v>
      </c>
      <c r="AC38" s="5" t="s">
        <v>5672</v>
      </c>
      <c r="AD38" s="5" t="s">
        <v>5511</v>
      </c>
      <c r="AE38" s="5" t="s">
        <v>5518</v>
      </c>
      <c r="AF38" s="5" t="s">
        <v>5524</v>
      </c>
      <c r="AG38" s="5" t="s">
        <v>5522</v>
      </c>
      <c r="AH38" s="5" t="s">
        <v>5522</v>
      </c>
      <c r="AI38" s="5" t="s">
        <v>5736</v>
      </c>
      <c r="AJ38" s="5" t="s">
        <v>5541</v>
      </c>
      <c r="AK38" s="5" t="s">
        <v>5518</v>
      </c>
      <c r="AL38" s="5" t="s">
        <v>5518</v>
      </c>
    </row>
    <row r="39" spans="1:38" hidden="1">
      <c r="A39" s="5" t="s">
        <v>3227</v>
      </c>
      <c r="B39" s="5" t="str">
        <f>VLOOKUP(A39,'202308带宽'!H:H,1,FALSE)</f>
        <v>182315IDC00342</v>
      </c>
      <c r="D39" s="5" t="s">
        <v>5503</v>
      </c>
      <c r="E39" s="5" t="s">
        <v>5504</v>
      </c>
      <c r="F39" s="5" t="s">
        <v>5737</v>
      </c>
      <c r="G39" s="5" t="s">
        <v>5506</v>
      </c>
      <c r="H39" s="5" t="s">
        <v>5552</v>
      </c>
      <c r="I39" s="5" t="s">
        <v>5508</v>
      </c>
      <c r="J39" s="5" t="s">
        <v>1717</v>
      </c>
      <c r="K39" s="5" t="s">
        <v>5510</v>
      </c>
      <c r="L39" s="5" t="s">
        <v>5511</v>
      </c>
      <c r="M39" s="5" t="s">
        <v>5531</v>
      </c>
      <c r="N39" s="5" t="s">
        <v>5513</v>
      </c>
      <c r="O39" s="5" t="s">
        <v>5702</v>
      </c>
      <c r="P39" s="5" t="s">
        <v>5738</v>
      </c>
      <c r="Q39" s="5" t="s">
        <v>5516</v>
      </c>
      <c r="R39" s="5" t="s">
        <v>5517</v>
      </c>
      <c r="S39" s="5" t="s">
        <v>5518</v>
      </c>
      <c r="T39" s="5" t="s">
        <v>5519</v>
      </c>
      <c r="U39" s="5" t="s">
        <v>5518</v>
      </c>
      <c r="V39" s="5" t="s">
        <v>5518</v>
      </c>
      <c r="W39" s="5" t="s">
        <v>5739</v>
      </c>
      <c r="X39" s="5" t="s">
        <v>5537</v>
      </c>
      <c r="Y39" s="5" t="s">
        <v>5522</v>
      </c>
      <c r="Z39" s="5" t="s">
        <v>5518</v>
      </c>
      <c r="AA39" s="5" t="s">
        <v>5705</v>
      </c>
      <c r="AB39" s="5" t="s">
        <v>5540</v>
      </c>
      <c r="AC39" s="5" t="s">
        <v>5540</v>
      </c>
      <c r="AD39" s="5" t="s">
        <v>5522</v>
      </c>
      <c r="AE39" s="5" t="s">
        <v>5518</v>
      </c>
      <c r="AF39" s="5" t="s">
        <v>5557</v>
      </c>
      <c r="AG39" s="5" t="s">
        <v>5522</v>
      </c>
      <c r="AH39" s="5" t="s">
        <v>5522</v>
      </c>
      <c r="AI39" s="5" t="s">
        <v>5518</v>
      </c>
      <c r="AJ39" s="5" t="s">
        <v>5541</v>
      </c>
      <c r="AK39" s="5" t="s">
        <v>5518</v>
      </c>
      <c r="AL39" s="5" t="s">
        <v>5518</v>
      </c>
    </row>
    <row r="40" spans="1:38">
      <c r="A40" s="5" t="s">
        <v>5653</v>
      </c>
      <c r="B40" s="5" t="e">
        <f>VLOOKUP(A40,'202308带宽'!H:H,1,FALSE)</f>
        <v>#N/A</v>
      </c>
      <c r="C40" s="5" t="s">
        <v>5623</v>
      </c>
      <c r="D40" s="5" t="s">
        <v>5503</v>
      </c>
      <c r="E40" s="5" t="s">
        <v>5624</v>
      </c>
      <c r="F40" s="5" t="s">
        <v>5737</v>
      </c>
      <c r="G40" s="5" t="s">
        <v>5506</v>
      </c>
      <c r="H40" s="5" t="s">
        <v>5552</v>
      </c>
      <c r="I40" s="5" t="s">
        <v>5508</v>
      </c>
      <c r="J40" s="5" t="s">
        <v>1717</v>
      </c>
      <c r="K40" s="5" t="s">
        <v>5510</v>
      </c>
      <c r="L40" s="5" t="s">
        <v>5511</v>
      </c>
      <c r="M40" s="5" t="s">
        <v>5531</v>
      </c>
      <c r="N40" s="5" t="s">
        <v>5513</v>
      </c>
      <c r="O40" s="5" t="s">
        <v>5650</v>
      </c>
      <c r="P40" s="5" t="s">
        <v>5627</v>
      </c>
      <c r="Q40" s="5" t="s">
        <v>5534</v>
      </c>
      <c r="R40" s="5" t="s">
        <v>5577</v>
      </c>
      <c r="S40" s="5" t="s">
        <v>5518</v>
      </c>
      <c r="T40" s="5" t="s">
        <v>5628</v>
      </c>
      <c r="U40" s="5" t="s">
        <v>5518</v>
      </c>
      <c r="V40" s="5" t="s">
        <v>5518</v>
      </c>
      <c r="W40" s="5" t="s">
        <v>5518</v>
      </c>
      <c r="X40" s="5" t="s">
        <v>5518</v>
      </c>
      <c r="Y40" s="5" t="s">
        <v>5522</v>
      </c>
      <c r="Z40" s="5" t="s">
        <v>5518</v>
      </c>
      <c r="AA40" s="5" t="s">
        <v>5518</v>
      </c>
      <c r="AB40" s="5" t="s">
        <v>5540</v>
      </c>
      <c r="AC40" s="5" t="s">
        <v>5540</v>
      </c>
      <c r="AD40" s="5" t="s">
        <v>5511</v>
      </c>
      <c r="AE40" s="5" t="s">
        <v>5518</v>
      </c>
      <c r="AF40" s="5" t="s">
        <v>5524</v>
      </c>
      <c r="AG40" s="5" t="s">
        <v>5522</v>
      </c>
      <c r="AH40" s="5" t="s">
        <v>5522</v>
      </c>
      <c r="AI40" s="5" t="s">
        <v>5629</v>
      </c>
      <c r="AJ40" s="5" t="s">
        <v>5541</v>
      </c>
      <c r="AK40" s="5" t="s">
        <v>5518</v>
      </c>
      <c r="AL40" s="5" t="s">
        <v>5518</v>
      </c>
    </row>
    <row r="41" spans="1:38">
      <c r="A41" s="5" t="s">
        <v>5740</v>
      </c>
      <c r="B41" s="5" t="e">
        <f>VLOOKUP(A41,'202308带宽'!H:H,1,FALSE)</f>
        <v>#N/A</v>
      </c>
      <c r="C41" s="5" t="s">
        <v>5741</v>
      </c>
      <c r="D41" s="5" t="s">
        <v>5503</v>
      </c>
      <c r="E41" s="5" t="s">
        <v>5504</v>
      </c>
      <c r="F41" s="5" t="s">
        <v>5737</v>
      </c>
      <c r="G41" s="5" t="s">
        <v>5506</v>
      </c>
      <c r="H41" s="5" t="s">
        <v>5552</v>
      </c>
      <c r="I41" s="5" t="s">
        <v>5508</v>
      </c>
      <c r="J41" s="5" t="s">
        <v>1717</v>
      </c>
      <c r="K41" s="5" t="s">
        <v>5510</v>
      </c>
      <c r="L41" s="5" t="s">
        <v>5511</v>
      </c>
      <c r="M41" s="5" t="s">
        <v>5531</v>
      </c>
      <c r="N41" s="5" t="s">
        <v>5513</v>
      </c>
      <c r="O41" s="5" t="s">
        <v>5702</v>
      </c>
      <c r="P41" s="5" t="s">
        <v>5742</v>
      </c>
      <c r="Q41" s="5" t="s">
        <v>5516</v>
      </c>
      <c r="R41" s="5" t="s">
        <v>5517</v>
      </c>
      <c r="S41" s="5" t="s">
        <v>5518</v>
      </c>
      <c r="T41" s="5" t="s">
        <v>5519</v>
      </c>
      <c r="U41" s="5" t="s">
        <v>5518</v>
      </c>
      <c r="V41" s="5" t="s">
        <v>5518</v>
      </c>
      <c r="W41" s="5" t="s">
        <v>5743</v>
      </c>
      <c r="X41" s="5" t="s">
        <v>5537</v>
      </c>
      <c r="Y41" s="5" t="s">
        <v>5522</v>
      </c>
      <c r="Z41" s="5" t="s">
        <v>5518</v>
      </c>
      <c r="AA41" s="5" t="s">
        <v>5705</v>
      </c>
      <c r="AB41" s="5" t="s">
        <v>5540</v>
      </c>
      <c r="AC41" s="5" t="s">
        <v>5540</v>
      </c>
      <c r="AD41" s="5" t="s">
        <v>5522</v>
      </c>
      <c r="AE41" s="5" t="s">
        <v>5518</v>
      </c>
      <c r="AF41" s="5" t="s">
        <v>5557</v>
      </c>
      <c r="AG41" s="5" t="s">
        <v>5522</v>
      </c>
      <c r="AH41" s="5" t="s">
        <v>5522</v>
      </c>
      <c r="AI41" s="5" t="s">
        <v>5518</v>
      </c>
      <c r="AJ41" s="5" t="s">
        <v>5541</v>
      </c>
      <c r="AK41" s="5" t="s">
        <v>5518</v>
      </c>
      <c r="AL41" s="5" t="s">
        <v>5518</v>
      </c>
    </row>
    <row r="42" spans="1:38" hidden="1">
      <c r="A42" s="5" t="s">
        <v>3101</v>
      </c>
      <c r="B42" s="5" t="str">
        <f>VLOOKUP(A42,'202308带宽'!H:H,1,FALSE)</f>
        <v>182315IDC00348</v>
      </c>
      <c r="D42" s="5" t="s">
        <v>5503</v>
      </c>
      <c r="E42" s="5" t="s">
        <v>5504</v>
      </c>
      <c r="F42" s="5" t="s">
        <v>5737</v>
      </c>
      <c r="G42" s="5" t="s">
        <v>5506</v>
      </c>
      <c r="H42" s="5" t="s">
        <v>5552</v>
      </c>
      <c r="I42" s="5" t="s">
        <v>5508</v>
      </c>
      <c r="J42" s="5" t="s">
        <v>1717</v>
      </c>
      <c r="K42" s="5" t="s">
        <v>5510</v>
      </c>
      <c r="L42" s="5" t="s">
        <v>5511</v>
      </c>
      <c r="M42" s="5" t="s">
        <v>5531</v>
      </c>
      <c r="N42" s="5" t="s">
        <v>5513</v>
      </c>
      <c r="O42" s="5" t="s">
        <v>5702</v>
      </c>
      <c r="P42" s="5" t="s">
        <v>5744</v>
      </c>
      <c r="Q42" s="5" t="s">
        <v>5745</v>
      </c>
      <c r="R42" s="5" t="s">
        <v>5517</v>
      </c>
      <c r="S42" s="5" t="s">
        <v>5518</v>
      </c>
      <c r="T42" s="5" t="s">
        <v>5519</v>
      </c>
      <c r="U42" s="5" t="s">
        <v>5518</v>
      </c>
      <c r="V42" s="5" t="s">
        <v>5518</v>
      </c>
      <c r="W42" s="5" t="s">
        <v>5746</v>
      </c>
      <c r="X42" s="5" t="s">
        <v>5537</v>
      </c>
      <c r="Y42" s="5" t="s">
        <v>5522</v>
      </c>
      <c r="Z42" s="5" t="s">
        <v>5518</v>
      </c>
      <c r="AA42" s="5" t="s">
        <v>5705</v>
      </c>
      <c r="AB42" s="5" t="s">
        <v>5540</v>
      </c>
      <c r="AC42" s="5" t="s">
        <v>5540</v>
      </c>
      <c r="AD42" s="5" t="s">
        <v>5522</v>
      </c>
      <c r="AE42" s="5" t="s">
        <v>5518</v>
      </c>
      <c r="AF42" s="5" t="s">
        <v>5557</v>
      </c>
      <c r="AG42" s="5" t="s">
        <v>5522</v>
      </c>
      <c r="AH42" s="5" t="s">
        <v>5522</v>
      </c>
      <c r="AI42" s="5" t="s">
        <v>5518</v>
      </c>
      <c r="AJ42" s="5" t="s">
        <v>5541</v>
      </c>
      <c r="AK42" s="5" t="s">
        <v>5518</v>
      </c>
      <c r="AL42" s="5" t="s">
        <v>5518</v>
      </c>
    </row>
    <row r="43" spans="1:38" hidden="1">
      <c r="A43" s="5" t="s">
        <v>3152</v>
      </c>
      <c r="B43" s="5" t="str">
        <f>VLOOKUP(A43,'202308带宽'!H:H,1,FALSE)</f>
        <v>182315IDC00345</v>
      </c>
      <c r="D43" s="5" t="s">
        <v>5503</v>
      </c>
      <c r="E43" s="5" t="s">
        <v>5504</v>
      </c>
      <c r="F43" s="5" t="s">
        <v>5737</v>
      </c>
      <c r="G43" s="5" t="s">
        <v>5506</v>
      </c>
      <c r="H43" s="5" t="s">
        <v>5552</v>
      </c>
      <c r="I43" s="5" t="s">
        <v>5508</v>
      </c>
      <c r="J43" s="5" t="s">
        <v>1717</v>
      </c>
      <c r="K43" s="5" t="s">
        <v>5510</v>
      </c>
      <c r="L43" s="5" t="s">
        <v>5511</v>
      </c>
      <c r="M43" s="5" t="s">
        <v>5531</v>
      </c>
      <c r="N43" s="5" t="s">
        <v>5513</v>
      </c>
      <c r="O43" s="5" t="s">
        <v>5702</v>
      </c>
      <c r="P43" s="5" t="s">
        <v>5747</v>
      </c>
      <c r="Q43" s="5" t="s">
        <v>5516</v>
      </c>
      <c r="R43" s="5" t="s">
        <v>5517</v>
      </c>
      <c r="S43" s="5" t="s">
        <v>5518</v>
      </c>
      <c r="T43" s="5" t="s">
        <v>5519</v>
      </c>
      <c r="U43" s="5" t="s">
        <v>5518</v>
      </c>
      <c r="V43" s="5" t="s">
        <v>5518</v>
      </c>
      <c r="W43" s="5" t="s">
        <v>5748</v>
      </c>
      <c r="X43" s="5" t="s">
        <v>5537</v>
      </c>
      <c r="Y43" s="5" t="s">
        <v>5522</v>
      </c>
      <c r="Z43" s="5" t="s">
        <v>5518</v>
      </c>
      <c r="AA43" s="5" t="s">
        <v>5705</v>
      </c>
      <c r="AB43" s="5" t="s">
        <v>5540</v>
      </c>
      <c r="AC43" s="5" t="s">
        <v>5540</v>
      </c>
      <c r="AD43" s="5" t="s">
        <v>5522</v>
      </c>
      <c r="AE43" s="5" t="s">
        <v>5518</v>
      </c>
      <c r="AF43" s="5" t="s">
        <v>5557</v>
      </c>
      <c r="AG43" s="5" t="s">
        <v>5522</v>
      </c>
      <c r="AH43" s="5" t="s">
        <v>5522</v>
      </c>
      <c r="AI43" s="5" t="s">
        <v>5518</v>
      </c>
      <c r="AJ43" s="5" t="s">
        <v>5541</v>
      </c>
      <c r="AK43" s="5" t="s">
        <v>5518</v>
      </c>
      <c r="AL43" s="5" t="s">
        <v>5518</v>
      </c>
    </row>
    <row r="44" spans="1:38" hidden="1">
      <c r="A44" s="5" t="s">
        <v>3179</v>
      </c>
      <c r="B44" s="5" t="str">
        <f>VLOOKUP(A44,'202308带宽'!H:H,1,FALSE)</f>
        <v>182315IDC00336</v>
      </c>
      <c r="D44" s="5" t="s">
        <v>5503</v>
      </c>
      <c r="E44" s="5" t="s">
        <v>5504</v>
      </c>
      <c r="F44" s="5" t="s">
        <v>5737</v>
      </c>
      <c r="G44" s="5" t="s">
        <v>5506</v>
      </c>
      <c r="H44" s="5" t="s">
        <v>5552</v>
      </c>
      <c r="I44" s="5" t="s">
        <v>5508</v>
      </c>
      <c r="J44" s="5" t="s">
        <v>1717</v>
      </c>
      <c r="K44" s="5" t="s">
        <v>5510</v>
      </c>
      <c r="L44" s="5" t="s">
        <v>5511</v>
      </c>
      <c r="M44" s="5" t="s">
        <v>5531</v>
      </c>
      <c r="N44" s="5" t="s">
        <v>5513</v>
      </c>
      <c r="O44" s="5" t="s">
        <v>5702</v>
      </c>
      <c r="P44" s="5" t="s">
        <v>5749</v>
      </c>
      <c r="Q44" s="5" t="s">
        <v>5516</v>
      </c>
      <c r="R44" s="5" t="s">
        <v>5517</v>
      </c>
      <c r="S44" s="5" t="s">
        <v>5518</v>
      </c>
      <c r="T44" s="5" t="s">
        <v>5519</v>
      </c>
      <c r="U44" s="5" t="s">
        <v>5518</v>
      </c>
      <c r="V44" s="5" t="s">
        <v>5518</v>
      </c>
      <c r="W44" s="5" t="s">
        <v>5743</v>
      </c>
      <c r="X44" s="5" t="s">
        <v>5537</v>
      </c>
      <c r="Y44" s="5" t="s">
        <v>5522</v>
      </c>
      <c r="Z44" s="5" t="s">
        <v>5518</v>
      </c>
      <c r="AA44" s="5" t="s">
        <v>5705</v>
      </c>
      <c r="AB44" s="5" t="s">
        <v>5540</v>
      </c>
      <c r="AC44" s="5" t="s">
        <v>5540</v>
      </c>
      <c r="AD44" s="5" t="s">
        <v>5522</v>
      </c>
      <c r="AE44" s="5" t="s">
        <v>5518</v>
      </c>
      <c r="AF44" s="5" t="s">
        <v>5557</v>
      </c>
      <c r="AG44" s="5" t="s">
        <v>5522</v>
      </c>
      <c r="AH44" s="5" t="s">
        <v>5522</v>
      </c>
      <c r="AI44" s="5" t="s">
        <v>5518</v>
      </c>
      <c r="AJ44" s="5" t="s">
        <v>5541</v>
      </c>
      <c r="AK44" s="5" t="s">
        <v>5518</v>
      </c>
      <c r="AL44" s="5" t="s">
        <v>5518</v>
      </c>
    </row>
    <row r="45" spans="1:38" hidden="1">
      <c r="A45" s="5" t="s">
        <v>3191</v>
      </c>
      <c r="B45" s="5" t="str">
        <f>VLOOKUP(A45,'202308带宽'!H:H,1,FALSE)</f>
        <v>182315IDC00338</v>
      </c>
      <c r="D45" s="5" t="s">
        <v>5503</v>
      </c>
      <c r="E45" s="5" t="s">
        <v>5504</v>
      </c>
      <c r="F45" s="5" t="s">
        <v>5737</v>
      </c>
      <c r="G45" s="5" t="s">
        <v>5506</v>
      </c>
      <c r="H45" s="5" t="s">
        <v>5552</v>
      </c>
      <c r="I45" s="5" t="s">
        <v>5508</v>
      </c>
      <c r="J45" s="5" t="s">
        <v>1717</v>
      </c>
      <c r="K45" s="5" t="s">
        <v>5510</v>
      </c>
      <c r="L45" s="5" t="s">
        <v>5511</v>
      </c>
      <c r="M45" s="5" t="s">
        <v>5531</v>
      </c>
      <c r="N45" s="5" t="s">
        <v>5513</v>
      </c>
      <c r="O45" s="5" t="s">
        <v>5702</v>
      </c>
      <c r="P45" s="5" t="s">
        <v>5750</v>
      </c>
      <c r="Q45" s="5" t="s">
        <v>5516</v>
      </c>
      <c r="R45" s="5" t="s">
        <v>5517</v>
      </c>
      <c r="S45" s="5" t="s">
        <v>5518</v>
      </c>
      <c r="T45" s="5" t="s">
        <v>5519</v>
      </c>
      <c r="U45" s="5" t="s">
        <v>5518</v>
      </c>
      <c r="V45" s="5" t="s">
        <v>5518</v>
      </c>
      <c r="W45" s="5" t="s">
        <v>5751</v>
      </c>
      <c r="X45" s="5" t="s">
        <v>5537</v>
      </c>
      <c r="Y45" s="5" t="s">
        <v>5522</v>
      </c>
      <c r="Z45" s="5" t="s">
        <v>5518</v>
      </c>
      <c r="AA45" s="5" t="s">
        <v>5705</v>
      </c>
      <c r="AB45" s="5" t="s">
        <v>5540</v>
      </c>
      <c r="AC45" s="5" t="s">
        <v>5540</v>
      </c>
      <c r="AD45" s="5" t="s">
        <v>5522</v>
      </c>
      <c r="AE45" s="5" t="s">
        <v>5518</v>
      </c>
      <c r="AF45" s="5" t="s">
        <v>5557</v>
      </c>
      <c r="AG45" s="5" t="s">
        <v>5522</v>
      </c>
      <c r="AH45" s="5" t="s">
        <v>5522</v>
      </c>
      <c r="AI45" s="5" t="s">
        <v>5518</v>
      </c>
      <c r="AJ45" s="5" t="s">
        <v>5541</v>
      </c>
      <c r="AK45" s="5" t="s">
        <v>5518</v>
      </c>
      <c r="AL45" s="5" t="s">
        <v>5518</v>
      </c>
    </row>
    <row r="46" spans="1:38" hidden="1">
      <c r="A46" s="5" t="s">
        <v>3244</v>
      </c>
      <c r="B46" s="5" t="str">
        <f>VLOOKUP(A46,'202308带宽'!H:H,1,FALSE)</f>
        <v>182315IDC00344</v>
      </c>
      <c r="D46" s="5" t="s">
        <v>5503</v>
      </c>
      <c r="E46" s="5" t="s">
        <v>5504</v>
      </c>
      <c r="F46" s="5" t="s">
        <v>5737</v>
      </c>
      <c r="G46" s="5" t="s">
        <v>5506</v>
      </c>
      <c r="H46" s="5" t="s">
        <v>5552</v>
      </c>
      <c r="I46" s="5" t="s">
        <v>5508</v>
      </c>
      <c r="J46" s="5" t="s">
        <v>1717</v>
      </c>
      <c r="K46" s="5" t="s">
        <v>5510</v>
      </c>
      <c r="L46" s="5" t="s">
        <v>5511</v>
      </c>
      <c r="M46" s="5" t="s">
        <v>5531</v>
      </c>
      <c r="N46" s="5" t="s">
        <v>5513</v>
      </c>
      <c r="O46" s="5" t="s">
        <v>5702</v>
      </c>
      <c r="P46" s="5" t="s">
        <v>5752</v>
      </c>
      <c r="Q46" s="5" t="s">
        <v>5516</v>
      </c>
      <c r="R46" s="5" t="s">
        <v>5517</v>
      </c>
      <c r="S46" s="5" t="s">
        <v>5518</v>
      </c>
      <c r="T46" s="5" t="s">
        <v>5519</v>
      </c>
      <c r="U46" s="5" t="s">
        <v>5518</v>
      </c>
      <c r="V46" s="5" t="s">
        <v>5518</v>
      </c>
      <c r="W46" s="5" t="s">
        <v>5753</v>
      </c>
      <c r="X46" s="5" t="s">
        <v>5537</v>
      </c>
      <c r="Y46" s="5" t="s">
        <v>5522</v>
      </c>
      <c r="Z46" s="5" t="s">
        <v>5518</v>
      </c>
      <c r="AA46" s="5" t="s">
        <v>5705</v>
      </c>
      <c r="AB46" s="5" t="s">
        <v>5540</v>
      </c>
      <c r="AC46" s="5" t="s">
        <v>5540</v>
      </c>
      <c r="AD46" s="5" t="s">
        <v>5522</v>
      </c>
      <c r="AE46" s="5" t="s">
        <v>5518</v>
      </c>
      <c r="AF46" s="5" t="s">
        <v>5557</v>
      </c>
      <c r="AG46" s="5" t="s">
        <v>5522</v>
      </c>
      <c r="AH46" s="5" t="s">
        <v>5522</v>
      </c>
      <c r="AI46" s="5" t="s">
        <v>5518</v>
      </c>
      <c r="AJ46" s="5" t="s">
        <v>5541</v>
      </c>
      <c r="AK46" s="5" t="s">
        <v>5518</v>
      </c>
      <c r="AL46" s="5" t="s">
        <v>5518</v>
      </c>
    </row>
    <row r="47" spans="1:38" hidden="1">
      <c r="A47" s="5" t="s">
        <v>3173</v>
      </c>
      <c r="B47" s="5" t="str">
        <f>VLOOKUP(A47,'202308带宽'!H:H,1,FALSE)</f>
        <v>182315IDC00343</v>
      </c>
      <c r="D47" s="5" t="s">
        <v>5503</v>
      </c>
      <c r="E47" s="5" t="s">
        <v>5504</v>
      </c>
      <c r="F47" s="5" t="s">
        <v>5737</v>
      </c>
      <c r="G47" s="5" t="s">
        <v>5506</v>
      </c>
      <c r="H47" s="5" t="s">
        <v>5552</v>
      </c>
      <c r="I47" s="5" t="s">
        <v>5508</v>
      </c>
      <c r="J47" s="5" t="s">
        <v>1717</v>
      </c>
      <c r="K47" s="5" t="s">
        <v>5510</v>
      </c>
      <c r="L47" s="5" t="s">
        <v>5511</v>
      </c>
      <c r="M47" s="5" t="s">
        <v>5531</v>
      </c>
      <c r="N47" s="5" t="s">
        <v>5513</v>
      </c>
      <c r="O47" s="5" t="s">
        <v>5702</v>
      </c>
      <c r="P47" s="5" t="s">
        <v>5738</v>
      </c>
      <c r="Q47" s="5" t="s">
        <v>5516</v>
      </c>
      <c r="R47" s="5" t="s">
        <v>5517</v>
      </c>
      <c r="S47" s="5" t="s">
        <v>5518</v>
      </c>
      <c r="T47" s="5" t="s">
        <v>5519</v>
      </c>
      <c r="U47" s="5" t="s">
        <v>5518</v>
      </c>
      <c r="V47" s="5" t="s">
        <v>5518</v>
      </c>
      <c r="W47" s="5" t="s">
        <v>5739</v>
      </c>
      <c r="X47" s="5" t="s">
        <v>5537</v>
      </c>
      <c r="Y47" s="5" t="s">
        <v>5522</v>
      </c>
      <c r="Z47" s="5" t="s">
        <v>5518</v>
      </c>
      <c r="AA47" s="5" t="s">
        <v>5705</v>
      </c>
      <c r="AB47" s="5" t="s">
        <v>5540</v>
      </c>
      <c r="AC47" s="5" t="s">
        <v>5540</v>
      </c>
      <c r="AD47" s="5" t="s">
        <v>5522</v>
      </c>
      <c r="AE47" s="5" t="s">
        <v>5518</v>
      </c>
      <c r="AF47" s="5" t="s">
        <v>5557</v>
      </c>
      <c r="AG47" s="5" t="s">
        <v>5522</v>
      </c>
      <c r="AH47" s="5" t="s">
        <v>5522</v>
      </c>
      <c r="AI47" s="5" t="s">
        <v>5518</v>
      </c>
      <c r="AJ47" s="5" t="s">
        <v>5541</v>
      </c>
      <c r="AK47" s="5" t="s">
        <v>5518</v>
      </c>
      <c r="AL47" s="5" t="s">
        <v>5518</v>
      </c>
    </row>
    <row r="48" spans="1:38" hidden="1">
      <c r="A48" s="5" t="s">
        <v>3197</v>
      </c>
      <c r="B48" s="5" t="str">
        <f>VLOOKUP(A48,'202308带宽'!H:H,1,FALSE)</f>
        <v>182315IDC00341</v>
      </c>
      <c r="D48" s="5" t="s">
        <v>5503</v>
      </c>
      <c r="E48" s="5" t="s">
        <v>5504</v>
      </c>
      <c r="F48" s="5" t="s">
        <v>5737</v>
      </c>
      <c r="G48" s="5" t="s">
        <v>5506</v>
      </c>
      <c r="H48" s="5" t="s">
        <v>5552</v>
      </c>
      <c r="I48" s="5" t="s">
        <v>5508</v>
      </c>
      <c r="J48" s="5" t="s">
        <v>1717</v>
      </c>
      <c r="K48" s="5" t="s">
        <v>5510</v>
      </c>
      <c r="L48" s="5" t="s">
        <v>5511</v>
      </c>
      <c r="M48" s="5" t="s">
        <v>5531</v>
      </c>
      <c r="N48" s="5" t="s">
        <v>5513</v>
      </c>
      <c r="O48" s="5" t="s">
        <v>5702</v>
      </c>
      <c r="P48" s="5" t="s">
        <v>5754</v>
      </c>
      <c r="Q48" s="5" t="s">
        <v>5516</v>
      </c>
      <c r="R48" s="5" t="s">
        <v>5517</v>
      </c>
      <c r="S48" s="5" t="s">
        <v>5518</v>
      </c>
      <c r="T48" s="5" t="s">
        <v>5519</v>
      </c>
      <c r="U48" s="5" t="s">
        <v>5518</v>
      </c>
      <c r="V48" s="5" t="s">
        <v>5518</v>
      </c>
      <c r="W48" s="5" t="s">
        <v>5743</v>
      </c>
      <c r="X48" s="5" t="s">
        <v>5537</v>
      </c>
      <c r="Y48" s="5" t="s">
        <v>5522</v>
      </c>
      <c r="Z48" s="5" t="s">
        <v>5518</v>
      </c>
      <c r="AA48" s="5" t="s">
        <v>5705</v>
      </c>
      <c r="AB48" s="5" t="s">
        <v>5540</v>
      </c>
      <c r="AC48" s="5" t="s">
        <v>5540</v>
      </c>
      <c r="AD48" s="5" t="s">
        <v>5522</v>
      </c>
      <c r="AE48" s="5" t="s">
        <v>5518</v>
      </c>
      <c r="AF48" s="5" t="s">
        <v>5557</v>
      </c>
      <c r="AG48" s="5" t="s">
        <v>5522</v>
      </c>
      <c r="AH48" s="5" t="s">
        <v>5522</v>
      </c>
      <c r="AI48" s="5" t="s">
        <v>5518</v>
      </c>
      <c r="AJ48" s="5" t="s">
        <v>5541</v>
      </c>
      <c r="AK48" s="5" t="s">
        <v>5518</v>
      </c>
      <c r="AL48" s="5" t="s">
        <v>5518</v>
      </c>
    </row>
    <row r="49" spans="1:38" hidden="1">
      <c r="A49" s="5" t="s">
        <v>3231</v>
      </c>
      <c r="B49" s="5" t="str">
        <f>VLOOKUP(A49,'202308带宽'!H:H,1,FALSE)</f>
        <v>182315IDC00340</v>
      </c>
      <c r="D49" s="5" t="s">
        <v>5503</v>
      </c>
      <c r="E49" s="5" t="s">
        <v>5504</v>
      </c>
      <c r="F49" s="5" t="s">
        <v>5737</v>
      </c>
      <c r="G49" s="5" t="s">
        <v>5506</v>
      </c>
      <c r="H49" s="5" t="s">
        <v>5552</v>
      </c>
      <c r="I49" s="5" t="s">
        <v>5508</v>
      </c>
      <c r="J49" s="5" t="s">
        <v>1717</v>
      </c>
      <c r="K49" s="5" t="s">
        <v>5510</v>
      </c>
      <c r="L49" s="5" t="s">
        <v>5511</v>
      </c>
      <c r="M49" s="5" t="s">
        <v>5531</v>
      </c>
      <c r="N49" s="5" t="s">
        <v>5513</v>
      </c>
      <c r="O49" s="5" t="s">
        <v>5702</v>
      </c>
      <c r="P49" s="5" t="s">
        <v>5755</v>
      </c>
      <c r="Q49" s="5" t="s">
        <v>5516</v>
      </c>
      <c r="R49" s="5" t="s">
        <v>5517</v>
      </c>
      <c r="S49" s="5" t="s">
        <v>5518</v>
      </c>
      <c r="T49" s="5" t="s">
        <v>5519</v>
      </c>
      <c r="U49" s="5" t="s">
        <v>5518</v>
      </c>
      <c r="V49" s="5" t="s">
        <v>5518</v>
      </c>
      <c r="W49" s="5" t="s">
        <v>5756</v>
      </c>
      <c r="X49" s="5" t="s">
        <v>5537</v>
      </c>
      <c r="Y49" s="5" t="s">
        <v>5522</v>
      </c>
      <c r="Z49" s="5" t="s">
        <v>5518</v>
      </c>
      <c r="AA49" s="5" t="s">
        <v>5705</v>
      </c>
      <c r="AB49" s="5" t="s">
        <v>5540</v>
      </c>
      <c r="AC49" s="5" t="s">
        <v>5540</v>
      </c>
      <c r="AD49" s="5" t="s">
        <v>5522</v>
      </c>
      <c r="AE49" s="5" t="s">
        <v>5518</v>
      </c>
      <c r="AF49" s="5" t="s">
        <v>5557</v>
      </c>
      <c r="AG49" s="5" t="s">
        <v>5522</v>
      </c>
      <c r="AH49" s="5" t="s">
        <v>5522</v>
      </c>
      <c r="AI49" s="5" t="s">
        <v>5518</v>
      </c>
      <c r="AJ49" s="5" t="s">
        <v>5541</v>
      </c>
      <c r="AK49" s="5" t="s">
        <v>5518</v>
      </c>
      <c r="AL49" s="5" t="s">
        <v>5518</v>
      </c>
    </row>
    <row r="50" spans="1:38" hidden="1">
      <c r="A50" s="5" t="s">
        <v>3187</v>
      </c>
      <c r="B50" s="5" t="str">
        <f>VLOOKUP(A50,'202308带宽'!H:H,1,FALSE)</f>
        <v>182315IDC00346</v>
      </c>
      <c r="D50" s="5" t="s">
        <v>5503</v>
      </c>
      <c r="E50" s="5" t="s">
        <v>5504</v>
      </c>
      <c r="F50" s="5" t="s">
        <v>5737</v>
      </c>
      <c r="G50" s="5" t="s">
        <v>5506</v>
      </c>
      <c r="H50" s="5" t="s">
        <v>5552</v>
      </c>
      <c r="I50" s="5" t="s">
        <v>5508</v>
      </c>
      <c r="J50" s="5" t="s">
        <v>1717</v>
      </c>
      <c r="K50" s="5" t="s">
        <v>5510</v>
      </c>
      <c r="L50" s="5" t="s">
        <v>5511</v>
      </c>
      <c r="M50" s="5" t="s">
        <v>5531</v>
      </c>
      <c r="N50" s="5" t="s">
        <v>5513</v>
      </c>
      <c r="O50" s="5" t="s">
        <v>5702</v>
      </c>
      <c r="P50" s="5" t="s">
        <v>5757</v>
      </c>
      <c r="Q50" s="5" t="s">
        <v>5516</v>
      </c>
      <c r="R50" s="5" t="s">
        <v>5517</v>
      </c>
      <c r="S50" s="5" t="s">
        <v>5518</v>
      </c>
      <c r="T50" s="5" t="s">
        <v>5519</v>
      </c>
      <c r="U50" s="5" t="s">
        <v>5518</v>
      </c>
      <c r="V50" s="5" t="s">
        <v>5518</v>
      </c>
      <c r="W50" s="5" t="s">
        <v>5743</v>
      </c>
      <c r="X50" s="5" t="s">
        <v>5537</v>
      </c>
      <c r="Y50" s="5" t="s">
        <v>5522</v>
      </c>
      <c r="Z50" s="5" t="s">
        <v>5518</v>
      </c>
      <c r="AA50" s="5" t="s">
        <v>5705</v>
      </c>
      <c r="AB50" s="5" t="s">
        <v>5540</v>
      </c>
      <c r="AC50" s="5" t="s">
        <v>5540</v>
      </c>
      <c r="AD50" s="5" t="s">
        <v>5522</v>
      </c>
      <c r="AE50" s="5" t="s">
        <v>5518</v>
      </c>
      <c r="AF50" s="5" t="s">
        <v>5557</v>
      </c>
      <c r="AG50" s="5" t="s">
        <v>5522</v>
      </c>
      <c r="AH50" s="5" t="s">
        <v>5522</v>
      </c>
      <c r="AI50" s="5" t="s">
        <v>5518</v>
      </c>
      <c r="AJ50" s="5" t="s">
        <v>5541</v>
      </c>
      <c r="AK50" s="5" t="s">
        <v>5518</v>
      </c>
      <c r="AL50" s="5" t="s">
        <v>5518</v>
      </c>
    </row>
    <row r="51" spans="1:38" hidden="1">
      <c r="A51" s="5" t="s">
        <v>3147</v>
      </c>
      <c r="B51" s="5" t="str">
        <f>VLOOKUP(A51,'202308带宽'!H:H,1,FALSE)</f>
        <v>182315IDC00339</v>
      </c>
      <c r="D51" s="5" t="s">
        <v>5503</v>
      </c>
      <c r="E51" s="5" t="s">
        <v>5504</v>
      </c>
      <c r="F51" s="5" t="s">
        <v>5737</v>
      </c>
      <c r="G51" s="5" t="s">
        <v>5506</v>
      </c>
      <c r="H51" s="5" t="s">
        <v>5552</v>
      </c>
      <c r="I51" s="5" t="s">
        <v>5508</v>
      </c>
      <c r="J51" s="5" t="s">
        <v>1717</v>
      </c>
      <c r="K51" s="5" t="s">
        <v>5510</v>
      </c>
      <c r="L51" s="5" t="s">
        <v>5511</v>
      </c>
      <c r="M51" s="5" t="s">
        <v>5531</v>
      </c>
      <c r="N51" s="5" t="s">
        <v>5513</v>
      </c>
      <c r="O51" s="5" t="s">
        <v>5702</v>
      </c>
      <c r="P51" s="5" t="s">
        <v>5758</v>
      </c>
      <c r="Q51" s="5" t="s">
        <v>5516</v>
      </c>
      <c r="R51" s="5" t="s">
        <v>5517</v>
      </c>
      <c r="S51" s="5" t="s">
        <v>5518</v>
      </c>
      <c r="T51" s="5" t="s">
        <v>5519</v>
      </c>
      <c r="U51" s="5" t="s">
        <v>5518</v>
      </c>
      <c r="V51" s="5" t="s">
        <v>5518</v>
      </c>
      <c r="W51" s="5" t="s">
        <v>5756</v>
      </c>
      <c r="X51" s="5" t="s">
        <v>5537</v>
      </c>
      <c r="Y51" s="5" t="s">
        <v>5522</v>
      </c>
      <c r="Z51" s="5" t="s">
        <v>5518</v>
      </c>
      <c r="AA51" s="5" t="s">
        <v>5705</v>
      </c>
      <c r="AB51" s="5" t="s">
        <v>5540</v>
      </c>
      <c r="AC51" s="5" t="s">
        <v>5540</v>
      </c>
      <c r="AD51" s="5" t="s">
        <v>5522</v>
      </c>
      <c r="AE51" s="5" t="s">
        <v>5518</v>
      </c>
      <c r="AF51" s="5" t="s">
        <v>5557</v>
      </c>
      <c r="AG51" s="5" t="s">
        <v>5522</v>
      </c>
      <c r="AH51" s="5" t="s">
        <v>5522</v>
      </c>
      <c r="AI51" s="5" t="s">
        <v>5518</v>
      </c>
      <c r="AJ51" s="5" t="s">
        <v>5541</v>
      </c>
      <c r="AK51" s="5" t="s">
        <v>5518</v>
      </c>
      <c r="AL51" s="5" t="s">
        <v>5518</v>
      </c>
    </row>
    <row r="52" spans="1:38" hidden="1">
      <c r="A52" s="5" t="s">
        <v>1923</v>
      </c>
      <c r="B52" s="5" t="str">
        <f>VLOOKUP(A52,'202308带宽'!H:H,1,FALSE)</f>
        <v>182315IDC00322</v>
      </c>
      <c r="D52" s="5" t="s">
        <v>5503</v>
      </c>
      <c r="E52" s="5" t="s">
        <v>5504</v>
      </c>
      <c r="F52" s="5" t="s">
        <v>5759</v>
      </c>
      <c r="G52" s="5" t="s">
        <v>5506</v>
      </c>
      <c r="H52" s="5" t="s">
        <v>5552</v>
      </c>
      <c r="I52" s="5" t="s">
        <v>5508</v>
      </c>
      <c r="J52" s="5" t="s">
        <v>32</v>
      </c>
      <c r="K52" s="5" t="s">
        <v>5510</v>
      </c>
      <c r="L52" s="5" t="s">
        <v>5511</v>
      </c>
      <c r="M52" s="5" t="s">
        <v>5531</v>
      </c>
      <c r="N52" s="5" t="s">
        <v>5513</v>
      </c>
      <c r="O52" s="5" t="s">
        <v>5760</v>
      </c>
      <c r="P52" s="5" t="s">
        <v>5761</v>
      </c>
      <c r="Q52" s="5" t="s">
        <v>5516</v>
      </c>
      <c r="R52" s="5" t="s">
        <v>5517</v>
      </c>
      <c r="S52" s="5" t="s">
        <v>5518</v>
      </c>
      <c r="T52" s="5" t="s">
        <v>5519</v>
      </c>
      <c r="U52" s="5" t="s">
        <v>5518</v>
      </c>
      <c r="V52" s="5" t="s">
        <v>5518</v>
      </c>
      <c r="W52" s="5" t="s">
        <v>5762</v>
      </c>
      <c r="X52" s="5" t="s">
        <v>5537</v>
      </c>
      <c r="Y52" s="5" t="s">
        <v>5522</v>
      </c>
      <c r="Z52" s="5" t="s">
        <v>5518</v>
      </c>
      <c r="AA52" s="5" t="s">
        <v>5763</v>
      </c>
      <c r="AB52" s="5" t="s">
        <v>5540</v>
      </c>
      <c r="AC52" s="5" t="s">
        <v>5540</v>
      </c>
      <c r="AD52" s="5" t="s">
        <v>5522</v>
      </c>
      <c r="AE52" s="5" t="s">
        <v>5518</v>
      </c>
      <c r="AF52" s="5" t="s">
        <v>5557</v>
      </c>
      <c r="AG52" s="5" t="s">
        <v>5522</v>
      </c>
      <c r="AH52" s="5" t="s">
        <v>5522</v>
      </c>
      <c r="AI52" s="5" t="s">
        <v>5518</v>
      </c>
      <c r="AJ52" s="5" t="s">
        <v>5541</v>
      </c>
      <c r="AK52" s="5" t="s">
        <v>5518</v>
      </c>
      <c r="AL52" s="5" t="s">
        <v>5518</v>
      </c>
    </row>
    <row r="53" spans="1:38" hidden="1">
      <c r="A53" s="5" t="s">
        <v>1943</v>
      </c>
      <c r="B53" s="5" t="str">
        <f>VLOOKUP(A53,'202308带宽'!H:H,1,FALSE)</f>
        <v>182315IDC00321</v>
      </c>
      <c r="D53" s="5" t="s">
        <v>5503</v>
      </c>
      <c r="E53" s="5" t="s">
        <v>5504</v>
      </c>
      <c r="F53" s="5" t="s">
        <v>5759</v>
      </c>
      <c r="G53" s="5" t="s">
        <v>5506</v>
      </c>
      <c r="H53" s="5" t="s">
        <v>5552</v>
      </c>
      <c r="I53" s="5" t="s">
        <v>5508</v>
      </c>
      <c r="J53" s="5" t="s">
        <v>32</v>
      </c>
      <c r="K53" s="5" t="s">
        <v>5510</v>
      </c>
      <c r="L53" s="5" t="s">
        <v>5511</v>
      </c>
      <c r="M53" s="5" t="s">
        <v>5531</v>
      </c>
      <c r="N53" s="5" t="s">
        <v>5513</v>
      </c>
      <c r="O53" s="5" t="s">
        <v>5760</v>
      </c>
      <c r="P53" s="5" t="s">
        <v>5764</v>
      </c>
      <c r="Q53" s="5" t="s">
        <v>5516</v>
      </c>
      <c r="R53" s="5" t="s">
        <v>5517</v>
      </c>
      <c r="S53" s="5" t="s">
        <v>5518</v>
      </c>
      <c r="T53" s="5" t="s">
        <v>5519</v>
      </c>
      <c r="U53" s="5" t="s">
        <v>5518</v>
      </c>
      <c r="V53" s="5" t="s">
        <v>5518</v>
      </c>
      <c r="W53" s="5" t="s">
        <v>5765</v>
      </c>
      <c r="X53" s="5" t="s">
        <v>5537</v>
      </c>
      <c r="Y53" s="5" t="s">
        <v>5522</v>
      </c>
      <c r="Z53" s="5" t="s">
        <v>5518</v>
      </c>
      <c r="AA53" s="5" t="s">
        <v>5763</v>
      </c>
      <c r="AB53" s="5" t="s">
        <v>5540</v>
      </c>
      <c r="AC53" s="5" t="s">
        <v>5540</v>
      </c>
      <c r="AD53" s="5" t="s">
        <v>5522</v>
      </c>
      <c r="AE53" s="5" t="s">
        <v>5518</v>
      </c>
      <c r="AF53" s="5" t="s">
        <v>5557</v>
      </c>
      <c r="AG53" s="5" t="s">
        <v>5522</v>
      </c>
      <c r="AH53" s="5" t="s">
        <v>5522</v>
      </c>
      <c r="AI53" s="5" t="s">
        <v>5518</v>
      </c>
      <c r="AJ53" s="5" t="s">
        <v>5541</v>
      </c>
      <c r="AK53" s="5" t="s">
        <v>5518</v>
      </c>
      <c r="AL53" s="5" t="s">
        <v>5518</v>
      </c>
    </row>
    <row r="54" spans="1:38" hidden="1">
      <c r="A54" s="5" t="s">
        <v>1981</v>
      </c>
      <c r="B54" s="5" t="str">
        <f>VLOOKUP(A54,'202308带宽'!H:H,1,FALSE)</f>
        <v>182315IDC00320</v>
      </c>
      <c r="D54" s="5" t="s">
        <v>5503</v>
      </c>
      <c r="E54" s="5" t="s">
        <v>5504</v>
      </c>
      <c r="F54" s="5" t="s">
        <v>5766</v>
      </c>
      <c r="G54" s="5" t="s">
        <v>5506</v>
      </c>
      <c r="H54" s="5" t="s">
        <v>5552</v>
      </c>
      <c r="I54" s="5" t="s">
        <v>5508</v>
      </c>
      <c r="J54" s="5" t="s">
        <v>32</v>
      </c>
      <c r="K54" s="5" t="s">
        <v>5510</v>
      </c>
      <c r="L54" s="5" t="s">
        <v>5511</v>
      </c>
      <c r="M54" s="5" t="s">
        <v>5531</v>
      </c>
      <c r="N54" s="5" t="s">
        <v>5513</v>
      </c>
      <c r="O54" s="5" t="s">
        <v>5760</v>
      </c>
      <c r="P54" s="5" t="s">
        <v>5767</v>
      </c>
      <c r="Q54" s="5" t="s">
        <v>5516</v>
      </c>
      <c r="R54" s="5" t="s">
        <v>5517</v>
      </c>
      <c r="S54" s="5" t="s">
        <v>5518</v>
      </c>
      <c r="T54" s="5" t="s">
        <v>5519</v>
      </c>
      <c r="U54" s="5" t="s">
        <v>5518</v>
      </c>
      <c r="V54" s="5" t="s">
        <v>5518</v>
      </c>
      <c r="W54" s="5" t="s">
        <v>5768</v>
      </c>
      <c r="X54" s="5" t="s">
        <v>5537</v>
      </c>
      <c r="Y54" s="5" t="s">
        <v>5522</v>
      </c>
      <c r="Z54" s="5" t="s">
        <v>5518</v>
      </c>
      <c r="AA54" s="5" t="s">
        <v>5763</v>
      </c>
      <c r="AB54" s="5" t="s">
        <v>5540</v>
      </c>
      <c r="AC54" s="5" t="s">
        <v>5540</v>
      </c>
      <c r="AD54" s="5" t="s">
        <v>5522</v>
      </c>
      <c r="AE54" s="5" t="s">
        <v>5518</v>
      </c>
      <c r="AF54" s="5" t="s">
        <v>5557</v>
      </c>
      <c r="AG54" s="5" t="s">
        <v>5522</v>
      </c>
      <c r="AH54" s="5" t="s">
        <v>5522</v>
      </c>
      <c r="AI54" s="5" t="s">
        <v>5518</v>
      </c>
      <c r="AJ54" s="5" t="s">
        <v>5541</v>
      </c>
      <c r="AK54" s="5" t="s">
        <v>5518</v>
      </c>
      <c r="AL54" s="5" t="s">
        <v>5518</v>
      </c>
    </row>
    <row r="55" spans="1:38" hidden="1">
      <c r="A55" s="5" t="s">
        <v>511</v>
      </c>
      <c r="B55" s="5" t="str">
        <f>VLOOKUP(A55,'202308带宽'!H:H,1,FALSE)</f>
        <v>182315IDC00308</v>
      </c>
      <c r="D55" s="5" t="s">
        <v>5503</v>
      </c>
      <c r="E55" s="5" t="s">
        <v>5504</v>
      </c>
      <c r="F55" s="5" t="s">
        <v>5769</v>
      </c>
      <c r="G55" s="5" t="s">
        <v>5506</v>
      </c>
      <c r="H55" s="5" t="s">
        <v>30</v>
      </c>
      <c r="I55" s="5" t="s">
        <v>5508</v>
      </c>
      <c r="J55" s="5" t="s">
        <v>303</v>
      </c>
      <c r="K55" s="5" t="s">
        <v>5510</v>
      </c>
      <c r="L55" s="5" t="s">
        <v>5511</v>
      </c>
      <c r="M55" s="5" t="s">
        <v>5531</v>
      </c>
      <c r="N55" s="5" t="s">
        <v>5513</v>
      </c>
      <c r="O55" s="5" t="s">
        <v>5770</v>
      </c>
      <c r="P55" s="5" t="s">
        <v>5771</v>
      </c>
      <c r="Q55" s="5" t="s">
        <v>5516</v>
      </c>
      <c r="R55" s="5" t="s">
        <v>5517</v>
      </c>
      <c r="S55" s="5" t="s">
        <v>5518</v>
      </c>
      <c r="T55" s="5" t="s">
        <v>5519</v>
      </c>
      <c r="U55" s="5" t="s">
        <v>5518</v>
      </c>
      <c r="V55" s="5" t="s">
        <v>5518</v>
      </c>
      <c r="W55" s="5" t="s">
        <v>5772</v>
      </c>
      <c r="X55" s="5" t="s">
        <v>5537</v>
      </c>
      <c r="Y55" s="5" t="s">
        <v>5511</v>
      </c>
      <c r="Z55" s="5" t="s">
        <v>5538</v>
      </c>
      <c r="AA55" s="5" t="s">
        <v>5773</v>
      </c>
      <c r="AB55" s="5" t="s">
        <v>5540</v>
      </c>
      <c r="AC55" s="5" t="s">
        <v>5540</v>
      </c>
      <c r="AD55" s="5" t="s">
        <v>5522</v>
      </c>
      <c r="AE55" s="5" t="s">
        <v>5518</v>
      </c>
      <c r="AF55" s="5" t="s">
        <v>5524</v>
      </c>
      <c r="AG55" s="5" t="s">
        <v>5522</v>
      </c>
      <c r="AH55" s="5" t="s">
        <v>5522</v>
      </c>
      <c r="AI55" s="5" t="s">
        <v>5518</v>
      </c>
      <c r="AJ55" s="5" t="s">
        <v>5541</v>
      </c>
      <c r="AK55" s="5" t="s">
        <v>5518</v>
      </c>
      <c r="AL55" s="5" t="s">
        <v>5518</v>
      </c>
    </row>
    <row r="56" spans="1:38">
      <c r="A56" s="5" t="s">
        <v>5774</v>
      </c>
      <c r="B56" s="5" t="e">
        <f>VLOOKUP(A56,'202308带宽'!H:H,1,FALSE)</f>
        <v>#N/A</v>
      </c>
      <c r="C56" s="5" t="s">
        <v>5666</v>
      </c>
      <c r="D56" s="5" t="s">
        <v>5503</v>
      </c>
      <c r="E56" s="5" t="s">
        <v>5504</v>
      </c>
      <c r="F56" s="5" t="s">
        <v>5775</v>
      </c>
      <c r="G56" s="5" t="s">
        <v>5506</v>
      </c>
      <c r="H56" s="5" t="s">
        <v>5668</v>
      </c>
      <c r="I56" s="5" t="s">
        <v>5510</v>
      </c>
      <c r="J56" s="5" t="s">
        <v>5668</v>
      </c>
      <c r="K56" s="5" t="s">
        <v>5510</v>
      </c>
      <c r="L56" s="5" t="s">
        <v>5522</v>
      </c>
      <c r="M56" s="5" t="s">
        <v>5531</v>
      </c>
      <c r="N56" s="5" t="s">
        <v>5513</v>
      </c>
      <c r="O56" s="5" t="s">
        <v>5776</v>
      </c>
      <c r="P56" s="5" t="s">
        <v>5777</v>
      </c>
      <c r="Q56" s="5" t="s">
        <v>5632</v>
      </c>
      <c r="R56" s="5" t="s">
        <v>5633</v>
      </c>
      <c r="S56" s="5" t="s">
        <v>5518</v>
      </c>
      <c r="T56" s="5" t="s">
        <v>5519</v>
      </c>
      <c r="U56" s="5" t="s">
        <v>5518</v>
      </c>
      <c r="V56" s="5" t="s">
        <v>5518</v>
      </c>
      <c r="W56" s="5" t="s">
        <v>5778</v>
      </c>
      <c r="X56" s="5" t="s">
        <v>5537</v>
      </c>
      <c r="Y56" s="5" t="s">
        <v>5522</v>
      </c>
      <c r="Z56" s="5" t="s">
        <v>5518</v>
      </c>
      <c r="AA56" s="5" t="s">
        <v>5518</v>
      </c>
      <c r="AB56" s="5" t="s">
        <v>5672</v>
      </c>
      <c r="AC56" s="5" t="s">
        <v>5672</v>
      </c>
      <c r="AD56" s="5" t="s">
        <v>5522</v>
      </c>
      <c r="AE56" s="5" t="s">
        <v>5518</v>
      </c>
      <c r="AF56" s="5" t="s">
        <v>5524</v>
      </c>
      <c r="AG56" s="5" t="s">
        <v>5522</v>
      </c>
      <c r="AH56" s="5" t="s">
        <v>5522</v>
      </c>
      <c r="AI56" s="5" t="s">
        <v>5518</v>
      </c>
      <c r="AJ56" s="5" t="s">
        <v>5541</v>
      </c>
      <c r="AK56" s="5" t="s">
        <v>5518</v>
      </c>
      <c r="AL56" s="5" t="s">
        <v>5518</v>
      </c>
    </row>
  </sheetData>
  <sheetProtection formatCells="0" insertHyperlinks="0" autoFilter="0"/>
  <autoFilter ref="A1:AL56" xr:uid="{00000000-0009-0000-0000-000001000000}">
    <filterColumn colId="1">
      <filters>
        <filter val="#N/A"/>
      </filters>
    </filterColumn>
  </autoFilter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L24:M27"/>
  <sheetViews>
    <sheetView workbookViewId="0">
      <selection activeCell="I28" sqref="I28"/>
    </sheetView>
  </sheetViews>
  <sheetFormatPr baseColWidth="10" defaultColWidth="9" defaultRowHeight="15"/>
  <cols>
    <col min="4" max="4" width="13" customWidth="1"/>
    <col min="5" max="5" width="18.33203125" customWidth="1"/>
    <col min="12" max="12" width="13" customWidth="1"/>
    <col min="13" max="13" width="15" customWidth="1"/>
  </cols>
  <sheetData>
    <row r="24" spans="12:13">
      <c r="L24" s="1"/>
      <c r="M24" s="2" t="s">
        <v>5779</v>
      </c>
    </row>
    <row r="25" spans="12:13">
      <c r="L25" s="2" t="s">
        <v>5780</v>
      </c>
      <c r="M25" s="3">
        <v>329923458.48000002</v>
      </c>
    </row>
    <row r="26" spans="12:13">
      <c r="L26" s="2" t="s">
        <v>5781</v>
      </c>
      <c r="M26" s="3">
        <f>SUM('202308带宽'!R:R)</f>
        <v>329923458.4799999</v>
      </c>
    </row>
    <row r="27" spans="12:13">
      <c r="L27" s="2" t="s">
        <v>5782</v>
      </c>
      <c r="M27" s="4">
        <f>M25-M26</f>
        <v>0</v>
      </c>
    </row>
  </sheetData>
  <sheetProtection formatCells="0" insertHyperlinks="0" autoFilter="0"/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3" sqref="A3"/>
    </sheetView>
  </sheetViews>
  <sheetFormatPr baseColWidth="10" defaultColWidth="9" defaultRowHeight="15"/>
  <sheetData>
    <row r="2" spans="1:1">
      <c r="A2" t="s">
        <v>5783</v>
      </c>
    </row>
  </sheetData>
  <sheetProtection formatCells="0" insertHyperlinks="0" autoFilter="0"/>
  <phoneticPr fontId="1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V184" rgbClr="FF0000">
      <item id="{0ffbd620-c8fd-49cd-93e3-73f7cae5192b}" isNormal="1">
        <s:text>
          <s:r>
            <s:t xml:space="preserve">Wu,Rui:
2023.8SYS更新流量，由0G更新为23.551G，</s:t>
          </s:r>
        </s:text>
      </item>
    </comment>
    <comment s:ref="V185" rgbClr="FF0000">
      <item id="{eb99c85a-3f1b-4b9d-87e1-28c7f27a1b97}" isNormal="1">
        <s:text>
          <s:r>
            <s:t xml:space="preserve">Wu,Rui:
SYS更新流量，原41.16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202308带宽</vt:lpstr>
      <vt:lpstr>合同高级查询数据-8月返</vt:lpstr>
      <vt:lpstr>18带宽线上线下核对</vt:lpstr>
      <vt:lpstr>备注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庄 较瘦</cp:lastModifiedBy>
  <dcterms:created xsi:type="dcterms:W3CDTF">2023-09-04T18:35:00Z</dcterms:created>
  <dcterms:modified xsi:type="dcterms:W3CDTF">2023-11-13T03:47:45Z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