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Usuario\Desktop\FIAP - DEV\Sistemas\AlteraPlano - Mudança de regra de cálculo para o MBA\"/>
    </mc:Choice>
  </mc:AlternateContent>
  <xr:revisionPtr revIDLastSave="0" documentId="13_ncr:1_{CB6C48B1-C129-4CE3-B4C8-073383C9B70C}" xr6:coauthVersionLast="47" xr6:coauthVersionMax="47" xr10:uidLastSave="{00000000-0000-0000-0000-000000000000}"/>
  <bookViews>
    <workbookView xWindow="28680" yWindow="-120" windowWidth="29040" windowHeight="15840" tabRatio="634" activeTab="5" xr2:uid="{00000000-000D-0000-FFFF-FFFF00000000}"/>
  </bookViews>
  <sheets>
    <sheet name="Simulação Geral" sheetId="6" r:id="rId1"/>
    <sheet name="Aumentando" sheetId="1" r:id="rId2"/>
    <sheet name="Aumentando com Entrada" sheetId="4" r:id="rId3"/>
    <sheet name="Diminuindo" sheetId="2" r:id="rId4"/>
    <sheet name="Diminuindo com Entrada" sheetId="3" r:id="rId5"/>
    <sheet name="Planos da Turma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6" l="1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13" i="6"/>
  <c r="E2" i="2"/>
  <c r="D20" i="2"/>
  <c r="D21" i="2" s="1"/>
  <c r="C8" i="5"/>
  <c r="D8" i="5" s="1"/>
  <c r="C9" i="5"/>
  <c r="D9" i="5" s="1"/>
  <c r="C10" i="5"/>
  <c r="D10" i="5" s="1"/>
  <c r="C11" i="5"/>
  <c r="D11" i="5" s="1"/>
  <c r="C12" i="5"/>
  <c r="D12" i="5" s="1"/>
  <c r="C13" i="5"/>
  <c r="D13" i="5" s="1"/>
  <c r="C14" i="5"/>
  <c r="D14" i="5" s="1"/>
  <c r="C15" i="5"/>
  <c r="D15" i="5" s="1"/>
  <c r="C16" i="5"/>
  <c r="D16" i="5" s="1"/>
  <c r="C17" i="5"/>
  <c r="D17" i="5" s="1"/>
  <c r="C18" i="5"/>
  <c r="D18" i="5" s="1"/>
  <c r="C19" i="5"/>
  <c r="D19" i="5" s="1"/>
  <c r="C20" i="5"/>
  <c r="D20" i="5" s="1"/>
  <c r="C21" i="5"/>
  <c r="D21" i="5" s="1"/>
  <c r="C22" i="5"/>
  <c r="D22" i="5" s="1"/>
  <c r="C23" i="5"/>
  <c r="D23" i="5" s="1"/>
  <c r="C24" i="5"/>
  <c r="C25" i="5"/>
  <c r="D25" i="5" s="1"/>
  <c r="C26" i="5"/>
  <c r="D26" i="5" s="1"/>
  <c r="C27" i="5"/>
  <c r="D27" i="5" s="1"/>
  <c r="C28" i="5"/>
  <c r="D28" i="5" s="1"/>
  <c r="C29" i="5"/>
  <c r="D29" i="5" s="1"/>
  <c r="C30" i="5"/>
  <c r="D30" i="5" s="1"/>
  <c r="C31" i="5"/>
  <c r="D31" i="5" s="1"/>
  <c r="C32" i="5"/>
  <c r="D32" i="5" s="1"/>
  <c r="C33" i="5"/>
  <c r="D33" i="5" s="1"/>
  <c r="C34" i="5"/>
  <c r="D34" i="5" s="1"/>
  <c r="C35" i="5"/>
  <c r="D35" i="5" s="1"/>
  <c r="C36" i="5"/>
  <c r="D36" i="5" s="1"/>
  <c r="C37" i="5"/>
  <c r="D37" i="5" s="1"/>
  <c r="C38" i="5"/>
  <c r="D38" i="5" s="1"/>
  <c r="C39" i="5"/>
  <c r="D39" i="5" s="1"/>
  <c r="C40" i="5"/>
  <c r="D40" i="5" s="1"/>
  <c r="C41" i="5"/>
  <c r="D41" i="5" s="1"/>
  <c r="C42" i="5"/>
  <c r="D42" i="5" s="1"/>
  <c r="C7" i="5"/>
  <c r="D7" i="5" s="1"/>
  <c r="E10" i="4"/>
  <c r="E10" i="1"/>
  <c r="D3" i="2" l="1"/>
  <c r="D3" i="4"/>
  <c r="D4" i="4" s="1"/>
  <c r="D5" i="4" s="1"/>
  <c r="D7" i="4" s="1"/>
  <c r="D3" i="3"/>
  <c r="W9" i="6"/>
  <c r="W10" i="6" s="1"/>
  <c r="D3" i="1"/>
  <c r="E3" i="2"/>
  <c r="D24" i="5"/>
  <c r="O13" i="6"/>
  <c r="O14" i="6"/>
  <c r="P14" i="6"/>
  <c r="Q14" i="6"/>
  <c r="R14" i="6"/>
  <c r="O15" i="6"/>
  <c r="P15" i="6"/>
  <c r="Q15" i="6"/>
  <c r="R15" i="6"/>
  <c r="O16" i="6"/>
  <c r="P16" i="6"/>
  <c r="Q16" i="6"/>
  <c r="R16" i="6"/>
  <c r="O17" i="6"/>
  <c r="P17" i="6"/>
  <c r="Q17" i="6"/>
  <c r="R17" i="6"/>
  <c r="O18" i="6"/>
  <c r="P18" i="6"/>
  <c r="Q18" i="6"/>
  <c r="R18" i="6"/>
  <c r="O19" i="6"/>
  <c r="P19" i="6"/>
  <c r="Q19" i="6"/>
  <c r="R19" i="6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O43" i="6"/>
  <c r="P43" i="6"/>
  <c r="Q43" i="6"/>
  <c r="R43" i="6"/>
  <c r="O44" i="6"/>
  <c r="P44" i="6"/>
  <c r="Q44" i="6"/>
  <c r="R44" i="6"/>
  <c r="O45" i="6"/>
  <c r="P45" i="6"/>
  <c r="Q45" i="6"/>
  <c r="R45" i="6"/>
  <c r="O46" i="6"/>
  <c r="P46" i="6"/>
  <c r="Q46" i="6"/>
  <c r="R46" i="6"/>
  <c r="O47" i="6"/>
  <c r="P47" i="6"/>
  <c r="Q47" i="6"/>
  <c r="R47" i="6"/>
  <c r="O48" i="6"/>
  <c r="P48" i="6"/>
  <c r="Q48" i="6"/>
  <c r="R48" i="6"/>
  <c r="R13" i="6"/>
  <c r="Q13" i="6"/>
  <c r="P13" i="6"/>
  <c r="E3" i="4"/>
  <c r="E4" i="4" s="1"/>
  <c r="E5" i="4" s="1"/>
  <c r="E3" i="1"/>
  <c r="M13" i="4"/>
  <c r="L13" i="4"/>
  <c r="M12" i="4"/>
  <c r="N12" i="4" s="1"/>
  <c r="L12" i="4"/>
  <c r="M11" i="4"/>
  <c r="N11" i="4" s="1"/>
  <c r="L11" i="4"/>
  <c r="M10" i="4"/>
  <c r="L10" i="4"/>
  <c r="M9" i="4"/>
  <c r="L9" i="4"/>
  <c r="M8" i="4"/>
  <c r="N8" i="4" s="1"/>
  <c r="L8" i="4"/>
  <c r="M7" i="4"/>
  <c r="L7" i="4"/>
  <c r="M6" i="4"/>
  <c r="N6" i="4" s="1"/>
  <c r="L6" i="4"/>
  <c r="M5" i="4"/>
  <c r="N5" i="4" s="1"/>
  <c r="L5" i="4"/>
  <c r="M4" i="4"/>
  <c r="N4" i="4" s="1"/>
  <c r="L4" i="4"/>
  <c r="M3" i="4"/>
  <c r="L3" i="4"/>
  <c r="M2" i="4"/>
  <c r="L2" i="4"/>
  <c r="N2" i="4" s="1"/>
  <c r="M1" i="4"/>
  <c r="L1" i="4"/>
  <c r="G3" i="4" l="1"/>
  <c r="G4" i="4" s="1"/>
  <c r="G5" i="4" s="1"/>
  <c r="E14" i="4"/>
  <c r="N13" i="6"/>
  <c r="E18" i="4"/>
  <c r="E19" i="4" s="1"/>
  <c r="D9" i="4"/>
  <c r="F45" i="6"/>
  <c r="F43" i="6"/>
  <c r="F37" i="6"/>
  <c r="F35" i="6"/>
  <c r="F29" i="6"/>
  <c r="F27" i="6"/>
  <c r="F21" i="6"/>
  <c r="F19" i="6"/>
  <c r="F13" i="6"/>
  <c r="F44" i="6"/>
  <c r="F36" i="6"/>
  <c r="F34" i="6"/>
  <c r="F28" i="6"/>
  <c r="F26" i="6"/>
  <c r="F20" i="6"/>
  <c r="N18" i="6"/>
  <c r="F42" i="6"/>
  <c r="F18" i="6"/>
  <c r="F41" i="6"/>
  <c r="F33" i="6"/>
  <c r="F25" i="6"/>
  <c r="F17" i="6"/>
  <c r="N34" i="6"/>
  <c r="F48" i="6"/>
  <c r="F40" i="6"/>
  <c r="F32" i="6"/>
  <c r="F24" i="6"/>
  <c r="F16" i="6"/>
  <c r="N26" i="6"/>
  <c r="F47" i="6"/>
  <c r="F39" i="6"/>
  <c r="F31" i="6"/>
  <c r="F23" i="6"/>
  <c r="F15" i="6"/>
  <c r="F46" i="6"/>
  <c r="F38" i="6"/>
  <c r="F30" i="6"/>
  <c r="F22" i="6"/>
  <c r="F14" i="6"/>
  <c r="N37" i="6"/>
  <c r="N27" i="6"/>
  <c r="N19" i="6"/>
  <c r="N43" i="6"/>
  <c r="N21" i="6"/>
  <c r="N45" i="6"/>
  <c r="N35" i="6"/>
  <c r="N29" i="6"/>
  <c r="N41" i="6"/>
  <c r="N33" i="6"/>
  <c r="N25" i="6"/>
  <c r="N17" i="6"/>
  <c r="N42" i="6"/>
  <c r="N44" i="6"/>
  <c r="N36" i="6"/>
  <c r="N28" i="6"/>
  <c r="N20" i="6"/>
  <c r="N48" i="6"/>
  <c r="N40" i="6"/>
  <c r="N32" i="6"/>
  <c r="N24" i="6"/>
  <c r="N16" i="6"/>
  <c r="N47" i="6"/>
  <c r="N39" i="6"/>
  <c r="N31" i="6"/>
  <c r="N23" i="6"/>
  <c r="N15" i="6"/>
  <c r="N46" i="6"/>
  <c r="N38" i="6"/>
  <c r="N30" i="6"/>
  <c r="N22" i="6"/>
  <c r="N14" i="6"/>
  <c r="N10" i="4"/>
  <c r="K10" i="4" s="1"/>
  <c r="N3" i="4"/>
  <c r="K3" i="4" s="1"/>
  <c r="N1" i="4"/>
  <c r="K8" i="4" s="1"/>
  <c r="N7" i="4"/>
  <c r="N9" i="4"/>
  <c r="N13" i="4"/>
  <c r="K13" i="4" s="1"/>
  <c r="K7" i="4"/>
  <c r="K4" i="4"/>
  <c r="K5" i="4"/>
  <c r="K2" i="4"/>
  <c r="K11" i="4"/>
  <c r="K6" i="4"/>
  <c r="K9" i="4"/>
  <c r="K12" i="4"/>
  <c r="L23" i="3"/>
  <c r="M23" i="3" s="1"/>
  <c r="N23" i="3" s="1"/>
  <c r="L22" i="3"/>
  <c r="M22" i="3" s="1"/>
  <c r="N22" i="3" s="1"/>
  <c r="L21" i="3"/>
  <c r="M21" i="3" s="1"/>
  <c r="N21" i="3" s="1"/>
  <c r="L20" i="3"/>
  <c r="M20" i="3" s="1"/>
  <c r="N20" i="3" s="1"/>
  <c r="L19" i="3"/>
  <c r="M19" i="3" s="1"/>
  <c r="N19" i="3" s="1"/>
  <c r="L18" i="3"/>
  <c r="M18" i="3" s="1"/>
  <c r="N18" i="3" s="1"/>
  <c r="L17" i="3"/>
  <c r="M17" i="3" s="1"/>
  <c r="N17" i="3" s="1"/>
  <c r="L16" i="3"/>
  <c r="M16" i="3" s="1"/>
  <c r="N16" i="3" s="1"/>
  <c r="L15" i="3"/>
  <c r="M15" i="3" s="1"/>
  <c r="N15" i="3" s="1"/>
  <c r="L14" i="3"/>
  <c r="M14" i="3" s="1"/>
  <c r="N14" i="3" s="1"/>
  <c r="L13" i="3"/>
  <c r="M13" i="3" s="1"/>
  <c r="N13" i="3" s="1"/>
  <c r="L12" i="3"/>
  <c r="M12" i="3" s="1"/>
  <c r="N12" i="3" s="1"/>
  <c r="L11" i="3"/>
  <c r="M11" i="3" s="1"/>
  <c r="N11" i="3" s="1"/>
  <c r="L10" i="3"/>
  <c r="M10" i="3" s="1"/>
  <c r="N10" i="3" s="1"/>
  <c r="L9" i="3"/>
  <c r="M9" i="3" s="1"/>
  <c r="N9" i="3" s="1"/>
  <c r="L8" i="3"/>
  <c r="M8" i="3" s="1"/>
  <c r="N8" i="3" s="1"/>
  <c r="L7" i="3"/>
  <c r="M7" i="3" s="1"/>
  <c r="N7" i="3" s="1"/>
  <c r="L6" i="3"/>
  <c r="M6" i="3" s="1"/>
  <c r="N6" i="3" s="1"/>
  <c r="L5" i="3"/>
  <c r="M5" i="3" s="1"/>
  <c r="N5" i="3" s="1"/>
  <c r="L4" i="3"/>
  <c r="M4" i="3" s="1"/>
  <c r="N4" i="3" s="1"/>
  <c r="D4" i="3"/>
  <c r="D5" i="3" s="1"/>
  <c r="D7" i="3" s="1"/>
  <c r="L3" i="3"/>
  <c r="M3" i="3" s="1"/>
  <c r="N3" i="3" s="1"/>
  <c r="L2" i="3"/>
  <c r="M2" i="3" s="1"/>
  <c r="N2" i="3" s="1"/>
  <c r="M1" i="3"/>
  <c r="L1" i="3"/>
  <c r="G37" i="6" l="1"/>
  <c r="I37" i="6" s="1"/>
  <c r="G45" i="6"/>
  <c r="H45" i="6" s="1"/>
  <c r="L45" i="6" s="1"/>
  <c r="U45" i="6" s="1"/>
  <c r="G27" i="6"/>
  <c r="H27" i="6" s="1"/>
  <c r="K27" i="6" s="1"/>
  <c r="S27" i="6" s="1"/>
  <c r="G43" i="6"/>
  <c r="H43" i="6" s="1"/>
  <c r="L43" i="6" s="1"/>
  <c r="U43" i="6" s="1"/>
  <c r="G29" i="6"/>
  <c r="I29" i="6" s="1"/>
  <c r="G35" i="6"/>
  <c r="H35" i="6" s="1"/>
  <c r="K35" i="6" s="1"/>
  <c r="S35" i="6" s="1"/>
  <c r="G21" i="6"/>
  <c r="H21" i="6" s="1"/>
  <c r="K21" i="6" s="1"/>
  <c r="S21" i="6" s="1"/>
  <c r="G19" i="6"/>
  <c r="H19" i="6" s="1"/>
  <c r="L19" i="6" s="1"/>
  <c r="U19" i="6" s="1"/>
  <c r="G13" i="6"/>
  <c r="I13" i="6" s="1"/>
  <c r="G48" i="6"/>
  <c r="H48" i="6" s="1"/>
  <c r="G15" i="6"/>
  <c r="H15" i="6" s="1"/>
  <c r="G32" i="6"/>
  <c r="I32" i="6" s="1"/>
  <c r="G18" i="6"/>
  <c r="H18" i="6" s="1"/>
  <c r="G40" i="6"/>
  <c r="I40" i="6" s="1"/>
  <c r="G26" i="6"/>
  <c r="H26" i="6" s="1"/>
  <c r="G39" i="6"/>
  <c r="H39" i="6" s="1"/>
  <c r="G28" i="6"/>
  <c r="H28" i="6" s="1"/>
  <c r="G23" i="6"/>
  <c r="H23" i="6" s="1"/>
  <c r="G14" i="6"/>
  <c r="I14" i="6" s="1"/>
  <c r="G22" i="6"/>
  <c r="H22" i="6" s="1"/>
  <c r="G47" i="6"/>
  <c r="H47" i="6" s="1"/>
  <c r="G17" i="6"/>
  <c r="H17" i="6" s="1"/>
  <c r="G34" i="6"/>
  <c r="I34" i="6" s="1"/>
  <c r="G20" i="6"/>
  <c r="H20" i="6" s="1"/>
  <c r="G30" i="6"/>
  <c r="I30" i="6" s="1"/>
  <c r="G25" i="6"/>
  <c r="H25" i="6" s="1"/>
  <c r="G36" i="6"/>
  <c r="H36" i="6" s="1"/>
  <c r="G42" i="6"/>
  <c r="I42" i="6" s="1"/>
  <c r="G31" i="6"/>
  <c r="H31" i="6" s="1"/>
  <c r="G38" i="6"/>
  <c r="I38" i="6" s="1"/>
  <c r="G16" i="6"/>
  <c r="I16" i="6" s="1"/>
  <c r="G33" i="6"/>
  <c r="I33" i="6" s="1"/>
  <c r="G44" i="6"/>
  <c r="H44" i="6" s="1"/>
  <c r="G46" i="6"/>
  <c r="H46" i="6" s="1"/>
  <c r="G24" i="6"/>
  <c r="I24" i="6" s="1"/>
  <c r="G41" i="6"/>
  <c r="I41" i="6" s="1"/>
  <c r="N1" i="3"/>
  <c r="K11" i="3" s="1"/>
  <c r="K8" i="3"/>
  <c r="K16" i="3"/>
  <c r="K12" i="3"/>
  <c r="K3" i="2"/>
  <c r="L3" i="2" s="1"/>
  <c r="M3" i="2" s="1"/>
  <c r="K4" i="2"/>
  <c r="L4" i="2" s="1"/>
  <c r="M4" i="2" s="1"/>
  <c r="K5" i="2"/>
  <c r="L5" i="2" s="1"/>
  <c r="K6" i="2"/>
  <c r="L6" i="2" s="1"/>
  <c r="K7" i="2"/>
  <c r="L7" i="2" s="1"/>
  <c r="M7" i="2" s="1"/>
  <c r="K8" i="2"/>
  <c r="L8" i="2" s="1"/>
  <c r="M8" i="2" s="1"/>
  <c r="K9" i="2"/>
  <c r="L9" i="2" s="1"/>
  <c r="K10" i="2"/>
  <c r="L10" i="2" s="1"/>
  <c r="M10" i="2" s="1"/>
  <c r="K11" i="2"/>
  <c r="L11" i="2" s="1"/>
  <c r="M11" i="2" s="1"/>
  <c r="K12" i="2"/>
  <c r="L12" i="2" s="1"/>
  <c r="M12" i="2" s="1"/>
  <c r="K13" i="2"/>
  <c r="L13" i="2" s="1"/>
  <c r="K14" i="2"/>
  <c r="L14" i="2" s="1"/>
  <c r="K15" i="2"/>
  <c r="L15" i="2" s="1"/>
  <c r="M15" i="2" s="1"/>
  <c r="K16" i="2"/>
  <c r="L16" i="2" s="1"/>
  <c r="M16" i="2" s="1"/>
  <c r="K17" i="2"/>
  <c r="L17" i="2" s="1"/>
  <c r="M17" i="2" s="1"/>
  <c r="K18" i="2"/>
  <c r="L18" i="2" s="1"/>
  <c r="K19" i="2"/>
  <c r="L19" i="2" s="1"/>
  <c r="M19" i="2" s="1"/>
  <c r="K20" i="2"/>
  <c r="L20" i="2" s="1"/>
  <c r="M20" i="2" s="1"/>
  <c r="K21" i="2"/>
  <c r="L21" i="2" s="1"/>
  <c r="M21" i="2" s="1"/>
  <c r="K22" i="2"/>
  <c r="L22" i="2" s="1"/>
  <c r="K23" i="2"/>
  <c r="L23" i="2" s="1"/>
  <c r="M23" i="2" s="1"/>
  <c r="K2" i="2"/>
  <c r="L2" i="2" s="1"/>
  <c r="D4" i="2"/>
  <c r="D5" i="2" s="1"/>
  <c r="D7" i="2" s="1"/>
  <c r="L1" i="2"/>
  <c r="K1" i="2"/>
  <c r="M4" i="1"/>
  <c r="M8" i="1"/>
  <c r="M12" i="1"/>
  <c r="L1" i="1"/>
  <c r="K1" i="1"/>
  <c r="L3" i="1"/>
  <c r="M3" i="1" s="1"/>
  <c r="L4" i="1"/>
  <c r="L5" i="1"/>
  <c r="M5" i="1" s="1"/>
  <c r="L6" i="1"/>
  <c r="M6" i="1" s="1"/>
  <c r="L7" i="1"/>
  <c r="M7" i="1" s="1"/>
  <c r="L8" i="1"/>
  <c r="L9" i="1"/>
  <c r="M9" i="1" s="1"/>
  <c r="L10" i="1"/>
  <c r="M10" i="1" s="1"/>
  <c r="L11" i="1"/>
  <c r="M11" i="1" s="1"/>
  <c r="L12" i="1"/>
  <c r="L13" i="1"/>
  <c r="M13" i="1" s="1"/>
  <c r="L2" i="1"/>
  <c r="M2" i="1" s="1"/>
  <c r="K3" i="1"/>
  <c r="K4" i="1"/>
  <c r="K5" i="1"/>
  <c r="K6" i="1"/>
  <c r="K7" i="1"/>
  <c r="K8" i="1"/>
  <c r="K9" i="1"/>
  <c r="K10" i="1"/>
  <c r="K11" i="1"/>
  <c r="K12" i="1"/>
  <c r="K13" i="1"/>
  <c r="K2" i="1"/>
  <c r="E4" i="1"/>
  <c r="E5" i="1" s="1"/>
  <c r="D4" i="1"/>
  <c r="D5" i="1" s="1"/>
  <c r="D7" i="1" s="1"/>
  <c r="I44" i="6" l="1"/>
  <c r="I17" i="6"/>
  <c r="I47" i="6"/>
  <c r="I19" i="6"/>
  <c r="I23" i="6"/>
  <c r="M23" i="6" s="1"/>
  <c r="V23" i="6" s="1"/>
  <c r="I28" i="6"/>
  <c r="M28" i="6" s="1"/>
  <c r="V28" i="6" s="1"/>
  <c r="I22" i="6"/>
  <c r="I48" i="6"/>
  <c r="J48" i="6" s="1"/>
  <c r="T48" i="6" s="1"/>
  <c r="I35" i="6"/>
  <c r="J35" i="6" s="1"/>
  <c r="T35" i="6" s="1"/>
  <c r="I25" i="6"/>
  <c r="I15" i="6"/>
  <c r="I31" i="6"/>
  <c r="I36" i="6"/>
  <c r="I21" i="6"/>
  <c r="I45" i="6"/>
  <c r="J45" i="6" s="1"/>
  <c r="T45" i="6" s="1"/>
  <c r="I18" i="6"/>
  <c r="I20" i="6"/>
  <c r="H13" i="6"/>
  <c r="K13" i="6" s="1"/>
  <c r="S13" i="6" s="1"/>
  <c r="I27" i="6"/>
  <c r="J27" i="6" s="1"/>
  <c r="T27" i="6" s="1"/>
  <c r="I39" i="6"/>
  <c r="M39" i="6" s="1"/>
  <c r="V39" i="6" s="1"/>
  <c r="I46" i="6"/>
  <c r="I26" i="6"/>
  <c r="I43" i="6"/>
  <c r="M43" i="6" s="1"/>
  <c r="V43" i="6" s="1"/>
  <c r="K45" i="6"/>
  <c r="S45" i="6" s="1"/>
  <c r="H29" i="6"/>
  <c r="L29" i="6" s="1"/>
  <c r="U29" i="6" s="1"/>
  <c r="L35" i="6"/>
  <c r="U35" i="6" s="1"/>
  <c r="K43" i="6"/>
  <c r="S43" i="6" s="1"/>
  <c r="L27" i="6"/>
  <c r="U27" i="6" s="1"/>
  <c r="H37" i="6"/>
  <c r="L37" i="6" s="1"/>
  <c r="U37" i="6" s="1"/>
  <c r="E14" i="1"/>
  <c r="E8" i="1"/>
  <c r="E9" i="1" s="1"/>
  <c r="G6" i="4"/>
  <c r="G7" i="4" s="1"/>
  <c r="G8" i="4" s="1"/>
  <c r="G9" i="4" s="1"/>
  <c r="K19" i="6"/>
  <c r="S19" i="6" s="1"/>
  <c r="L21" i="6"/>
  <c r="U21" i="6" s="1"/>
  <c r="H24" i="6"/>
  <c r="K24" i="6" s="1"/>
  <c r="S24" i="6" s="1"/>
  <c r="H42" i="6"/>
  <c r="L42" i="6" s="1"/>
  <c r="U42" i="6" s="1"/>
  <c r="J14" i="6"/>
  <c r="T14" i="6" s="1"/>
  <c r="M14" i="6"/>
  <c r="V14" i="6" s="1"/>
  <c r="J30" i="6"/>
  <c r="T30" i="6" s="1"/>
  <c r="M30" i="6"/>
  <c r="V30" i="6" s="1"/>
  <c r="M34" i="6"/>
  <c r="V34" i="6" s="1"/>
  <c r="J34" i="6"/>
  <c r="T34" i="6" s="1"/>
  <c r="M33" i="6"/>
  <c r="V33" i="6" s="1"/>
  <c r="J33" i="6"/>
  <c r="T33" i="6" s="1"/>
  <c r="J40" i="6"/>
  <c r="T40" i="6" s="1"/>
  <c r="M40" i="6"/>
  <c r="V40" i="6" s="1"/>
  <c r="J38" i="6"/>
  <c r="T38" i="6" s="1"/>
  <c r="M38" i="6"/>
  <c r="V38" i="6" s="1"/>
  <c r="M41" i="6"/>
  <c r="V41" i="6" s="1"/>
  <c r="J41" i="6"/>
  <c r="T41" i="6" s="1"/>
  <c r="J24" i="6"/>
  <c r="T24" i="6" s="1"/>
  <c r="M24" i="6"/>
  <c r="V24" i="6" s="1"/>
  <c r="J32" i="6"/>
  <c r="T32" i="6" s="1"/>
  <c r="M32" i="6"/>
  <c r="V32" i="6" s="1"/>
  <c r="M29" i="6"/>
  <c r="V29" i="6" s="1"/>
  <c r="J29" i="6"/>
  <c r="T29" i="6" s="1"/>
  <c r="H34" i="6"/>
  <c r="K34" i="6" s="1"/>
  <c r="S34" i="6" s="1"/>
  <c r="J16" i="6"/>
  <c r="T16" i="6" s="1"/>
  <c r="M16" i="6"/>
  <c r="V16" i="6" s="1"/>
  <c r="M37" i="6"/>
  <c r="V37" i="6" s="1"/>
  <c r="J37" i="6"/>
  <c r="T37" i="6" s="1"/>
  <c r="M42" i="6"/>
  <c r="V42" i="6" s="1"/>
  <c r="J42" i="6"/>
  <c r="T42" i="6" s="1"/>
  <c r="H16" i="6"/>
  <c r="K16" i="6" s="1"/>
  <c r="S16" i="6" s="1"/>
  <c r="H32" i="6"/>
  <c r="K32" i="6" s="1"/>
  <c r="S32" i="6" s="1"/>
  <c r="K48" i="6"/>
  <c r="S48" i="6" s="1"/>
  <c r="L48" i="6"/>
  <c r="U48" i="6" s="1"/>
  <c r="K46" i="6"/>
  <c r="S46" i="6" s="1"/>
  <c r="L46" i="6"/>
  <c r="U46" i="6" s="1"/>
  <c r="K44" i="6"/>
  <c r="S44" i="6" s="1"/>
  <c r="L44" i="6"/>
  <c r="U44" i="6" s="1"/>
  <c r="K36" i="6"/>
  <c r="S36" i="6" s="1"/>
  <c r="L36" i="6"/>
  <c r="U36" i="6" s="1"/>
  <c r="K22" i="6"/>
  <c r="S22" i="6" s="1"/>
  <c r="L22" i="6"/>
  <c r="U22" i="6" s="1"/>
  <c r="K15" i="6"/>
  <c r="S15" i="6" s="1"/>
  <c r="L15" i="6"/>
  <c r="U15" i="6" s="1"/>
  <c r="K39" i="6"/>
  <c r="S39" i="6" s="1"/>
  <c r="L39" i="6"/>
  <c r="U39" i="6" s="1"/>
  <c r="H30" i="6"/>
  <c r="K31" i="6"/>
  <c r="S31" i="6" s="1"/>
  <c r="L31" i="6"/>
  <c r="U31" i="6" s="1"/>
  <c r="K23" i="6"/>
  <c r="S23" i="6" s="1"/>
  <c r="L23" i="6"/>
  <c r="U23" i="6" s="1"/>
  <c r="K17" i="6"/>
  <c r="S17" i="6" s="1"/>
  <c r="L17" i="6"/>
  <c r="U17" i="6" s="1"/>
  <c r="K26" i="6"/>
  <c r="S26" i="6" s="1"/>
  <c r="L26" i="6"/>
  <c r="U26" i="6" s="1"/>
  <c r="K18" i="6"/>
  <c r="S18" i="6" s="1"/>
  <c r="L18" i="6"/>
  <c r="U18" i="6" s="1"/>
  <c r="K20" i="6"/>
  <c r="S20" i="6" s="1"/>
  <c r="L20" i="6"/>
  <c r="U20" i="6" s="1"/>
  <c r="K28" i="6"/>
  <c r="S28" i="6" s="1"/>
  <c r="L28" i="6"/>
  <c r="U28" i="6" s="1"/>
  <c r="K25" i="6"/>
  <c r="S25" i="6" s="1"/>
  <c r="L25" i="6"/>
  <c r="U25" i="6" s="1"/>
  <c r="K47" i="6"/>
  <c r="S47" i="6" s="1"/>
  <c r="L47" i="6"/>
  <c r="U47" i="6" s="1"/>
  <c r="H38" i="6"/>
  <c r="H40" i="6"/>
  <c r="H33" i="6"/>
  <c r="H14" i="6"/>
  <c r="H41" i="6"/>
  <c r="K20" i="3"/>
  <c r="K4" i="3"/>
  <c r="K13" i="3"/>
  <c r="K17" i="3"/>
  <c r="K21" i="3"/>
  <c r="K7" i="3"/>
  <c r="K3" i="3"/>
  <c r="K14" i="3"/>
  <c r="K18" i="3"/>
  <c r="K22" i="3"/>
  <c r="K5" i="3"/>
  <c r="K6" i="3"/>
  <c r="K15" i="3"/>
  <c r="K19" i="3"/>
  <c r="K23" i="3"/>
  <c r="K9" i="3"/>
  <c r="K10" i="3"/>
  <c r="K2" i="3"/>
  <c r="M22" i="2"/>
  <c r="M18" i="2"/>
  <c r="M14" i="2"/>
  <c r="M9" i="2"/>
  <c r="M5" i="2"/>
  <c r="M2" i="2"/>
  <c r="M6" i="2"/>
  <c r="M13" i="2"/>
  <c r="M1" i="2"/>
  <c r="M1" i="1"/>
  <c r="J3" i="1" s="1"/>
  <c r="M27" i="6" l="1"/>
  <c r="V27" i="6" s="1"/>
  <c r="D27" i="6" s="1"/>
  <c r="M45" i="6"/>
  <c r="V45" i="6" s="1"/>
  <c r="L13" i="6"/>
  <c r="U13" i="6" s="1"/>
  <c r="K29" i="6"/>
  <c r="S29" i="6" s="1"/>
  <c r="D29" i="6" s="1"/>
  <c r="M35" i="6"/>
  <c r="V35" i="6" s="1"/>
  <c r="D35" i="6" s="1"/>
  <c r="J43" i="6"/>
  <c r="T43" i="6" s="1"/>
  <c r="D43" i="6" s="1"/>
  <c r="K37" i="6"/>
  <c r="S37" i="6" s="1"/>
  <c r="D37" i="6" s="1"/>
  <c r="E11" i="1"/>
  <c r="E12" i="1" s="1"/>
  <c r="G10" i="4"/>
  <c r="E8" i="4" s="1"/>
  <c r="E9" i="4" s="1"/>
  <c r="D45" i="6"/>
  <c r="J28" i="6"/>
  <c r="T28" i="6" s="1"/>
  <c r="L34" i="6"/>
  <c r="U34" i="6" s="1"/>
  <c r="D34" i="6" s="1"/>
  <c r="J23" i="6"/>
  <c r="J39" i="6"/>
  <c r="T39" i="6" s="1"/>
  <c r="M48" i="6"/>
  <c r="V48" i="6" s="1"/>
  <c r="D48" i="6" s="1"/>
  <c r="K42" i="6"/>
  <c r="S42" i="6" s="1"/>
  <c r="L24" i="6"/>
  <c r="U24" i="6" s="1"/>
  <c r="D24" i="6" s="1"/>
  <c r="M18" i="6"/>
  <c r="V18" i="6" s="1"/>
  <c r="D18" i="6" s="1"/>
  <c r="J18" i="6"/>
  <c r="T18" i="6" s="1"/>
  <c r="J15" i="6"/>
  <c r="T15" i="6" s="1"/>
  <c r="M15" i="6"/>
  <c r="V15" i="6" s="1"/>
  <c r="D15" i="6" s="1"/>
  <c r="J31" i="6"/>
  <c r="T31" i="6" s="1"/>
  <c r="M31" i="6"/>
  <c r="V31" i="6" s="1"/>
  <c r="J46" i="6"/>
  <c r="T46" i="6" s="1"/>
  <c r="M46" i="6"/>
  <c r="V46" i="6" s="1"/>
  <c r="M26" i="6"/>
  <c r="V26" i="6" s="1"/>
  <c r="J26" i="6"/>
  <c r="T26" i="6" s="1"/>
  <c r="M19" i="6"/>
  <c r="V19" i="6" s="1"/>
  <c r="D19" i="6" s="1"/>
  <c r="J19" i="6"/>
  <c r="T19" i="6" s="1"/>
  <c r="M17" i="6"/>
  <c r="V17" i="6" s="1"/>
  <c r="D17" i="6" s="1"/>
  <c r="J17" i="6"/>
  <c r="T17" i="6" s="1"/>
  <c r="M13" i="6"/>
  <c r="V13" i="6" s="1"/>
  <c r="J13" i="6"/>
  <c r="T13" i="6" s="1"/>
  <c r="J47" i="6"/>
  <c r="T47" i="6" s="1"/>
  <c r="M47" i="6"/>
  <c r="V47" i="6" s="1"/>
  <c r="M21" i="6"/>
  <c r="V21" i="6" s="1"/>
  <c r="D21" i="6" s="1"/>
  <c r="J21" i="6"/>
  <c r="T21" i="6" s="1"/>
  <c r="M20" i="6"/>
  <c r="V20" i="6" s="1"/>
  <c r="D20" i="6" s="1"/>
  <c r="J20" i="6"/>
  <c r="T20" i="6" s="1"/>
  <c r="M44" i="6"/>
  <c r="V44" i="6" s="1"/>
  <c r="J44" i="6"/>
  <c r="T44" i="6" s="1"/>
  <c r="J22" i="6"/>
  <c r="T22" i="6" s="1"/>
  <c r="M22" i="6"/>
  <c r="V22" i="6" s="1"/>
  <c r="D22" i="6" s="1"/>
  <c r="M25" i="6"/>
  <c r="V25" i="6" s="1"/>
  <c r="J25" i="6"/>
  <c r="T25" i="6" s="1"/>
  <c r="M36" i="6"/>
  <c r="V36" i="6" s="1"/>
  <c r="J36" i="6"/>
  <c r="T36" i="6" s="1"/>
  <c r="L32" i="6"/>
  <c r="U32" i="6" s="1"/>
  <c r="D32" i="6" s="1"/>
  <c r="L16" i="6"/>
  <c r="U16" i="6" s="1"/>
  <c r="D16" i="6" s="1"/>
  <c r="K41" i="6"/>
  <c r="S41" i="6" s="1"/>
  <c r="L41" i="6"/>
  <c r="U41" i="6" s="1"/>
  <c r="K38" i="6"/>
  <c r="S38" i="6" s="1"/>
  <c r="L38" i="6"/>
  <c r="U38" i="6" s="1"/>
  <c r="K33" i="6"/>
  <c r="S33" i="6" s="1"/>
  <c r="L33" i="6"/>
  <c r="U33" i="6" s="1"/>
  <c r="K30" i="6"/>
  <c r="S30" i="6" s="1"/>
  <c r="L30" i="6"/>
  <c r="U30" i="6" s="1"/>
  <c r="K14" i="6"/>
  <c r="S14" i="6" s="1"/>
  <c r="L14" i="6"/>
  <c r="U14" i="6" s="1"/>
  <c r="D14" i="6" s="1"/>
  <c r="W14" i="6" s="1"/>
  <c r="K40" i="6"/>
  <c r="S40" i="6" s="1"/>
  <c r="L40" i="6"/>
  <c r="U40" i="6" s="1"/>
  <c r="J11" i="2"/>
  <c r="J12" i="2"/>
  <c r="J5" i="2"/>
  <c r="J20" i="2"/>
  <c r="J4" i="2"/>
  <c r="J13" i="2"/>
  <c r="J16" i="2"/>
  <c r="J9" i="2"/>
  <c r="J15" i="2"/>
  <c r="J8" i="2"/>
  <c r="J22" i="2"/>
  <c r="J10" i="2"/>
  <c r="J3" i="2"/>
  <c r="J17" i="2"/>
  <c r="J14" i="2"/>
  <c r="J18" i="2"/>
  <c r="J7" i="2"/>
  <c r="J6" i="2"/>
  <c r="J2" i="2"/>
  <c r="J21" i="2"/>
  <c r="J19" i="2"/>
  <c r="J23" i="2"/>
  <c r="J13" i="1"/>
  <c r="J8" i="1"/>
  <c r="J4" i="1"/>
  <c r="J6" i="1"/>
  <c r="J9" i="1"/>
  <c r="J11" i="1"/>
  <c r="J5" i="1"/>
  <c r="J2" i="1"/>
  <c r="J7" i="1"/>
  <c r="J12" i="1"/>
  <c r="J10" i="1"/>
  <c r="D13" i="6" l="1"/>
  <c r="W13" i="6" s="1"/>
  <c r="E11" i="4"/>
  <c r="E12" i="4" s="1"/>
  <c r="W15" i="6"/>
  <c r="W34" i="6"/>
  <c r="W22" i="6"/>
  <c r="W37" i="6"/>
  <c r="W18" i="6"/>
  <c r="W19" i="6"/>
  <c r="W24" i="6"/>
  <c r="W48" i="6"/>
  <c r="W27" i="6"/>
  <c r="W43" i="6"/>
  <c r="W21" i="6"/>
  <c r="W16" i="6"/>
  <c r="W29" i="6"/>
  <c r="W32" i="6"/>
  <c r="W35" i="6"/>
  <c r="W20" i="6"/>
  <c r="W17" i="6"/>
  <c r="W45" i="6"/>
  <c r="T23" i="6"/>
  <c r="D23" i="6" s="1"/>
  <c r="D44" i="6"/>
  <c r="D46" i="6"/>
  <c r="D42" i="6"/>
  <c r="D47" i="6"/>
  <c r="D39" i="6"/>
  <c r="D28" i="6"/>
  <c r="D26" i="6"/>
  <c r="D25" i="6"/>
  <c r="D31" i="6"/>
  <c r="D33" i="6"/>
  <c r="D30" i="6"/>
  <c r="D36" i="6"/>
  <c r="D40" i="6"/>
  <c r="D38" i="6"/>
  <c r="D41" i="6"/>
  <c r="F6" i="2"/>
  <c r="F7" i="2" s="1"/>
  <c r="E2" i="3"/>
  <c r="W42" i="6" l="1"/>
  <c r="W41" i="6"/>
  <c r="W25" i="6"/>
  <c r="W44" i="6"/>
  <c r="W28" i="6"/>
  <c r="W26" i="6"/>
  <c r="W40" i="6"/>
  <c r="W36" i="6"/>
  <c r="W39" i="6"/>
  <c r="W31" i="6"/>
  <c r="W38" i="6"/>
  <c r="W23" i="6"/>
  <c r="W30" i="6"/>
  <c r="W47" i="6"/>
  <c r="W33" i="6"/>
  <c r="W46" i="6"/>
  <c r="E3" i="3"/>
  <c r="E4" i="3" s="1"/>
  <c r="E5" i="3" s="1"/>
  <c r="G3" i="3" s="1"/>
  <c r="E4" i="2"/>
  <c r="E5" i="2" s="1"/>
  <c r="G4" i="3" l="1"/>
  <c r="G5" i="3" s="1"/>
  <c r="G6" i="3" s="1"/>
  <c r="G7" i="3" s="1"/>
  <c r="E14" i="3"/>
  <c r="E8" i="2"/>
  <c r="E9" i="2" l="1"/>
  <c r="E11" i="2" s="1"/>
  <c r="G8" i="3"/>
  <c r="G9" i="3" s="1"/>
  <c r="G10" i="3" s="1"/>
  <c r="E8" i="3" s="1"/>
  <c r="E9" i="3" s="1"/>
  <c r="E12" i="2" l="1"/>
  <c r="E11" i="3"/>
  <c r="E12" i="3" s="1"/>
  <c r="F17" i="3"/>
  <c r="F18" i="3" s="1"/>
</calcChain>
</file>

<file path=xl/sharedStrings.xml><?xml version="1.0" encoding="utf-8"?>
<sst xmlns="http://schemas.openxmlformats.org/spreadsheetml/2006/main" count="236" uniqueCount="91">
  <si>
    <t>Bolsa</t>
  </si>
  <si>
    <t>Valor Cheio</t>
  </si>
  <si>
    <t>A</t>
  </si>
  <si>
    <t>B</t>
  </si>
  <si>
    <t>Qtde. Pagas</t>
  </si>
  <si>
    <t>C</t>
  </si>
  <si>
    <t>D</t>
  </si>
  <si>
    <t>E</t>
  </si>
  <si>
    <t>B-C</t>
  </si>
  <si>
    <t>D*E</t>
  </si>
  <si>
    <t>F</t>
  </si>
  <si>
    <t>G</t>
  </si>
  <si>
    <t>H</t>
  </si>
  <si>
    <t>I</t>
  </si>
  <si>
    <t>J</t>
  </si>
  <si>
    <t>K</t>
  </si>
  <si>
    <t>D*A</t>
  </si>
  <si>
    <t>G-F</t>
  </si>
  <si>
    <t>A-A</t>
  </si>
  <si>
    <t>H/I</t>
  </si>
  <si>
    <t>J*A</t>
  </si>
  <si>
    <t>Planos</t>
  </si>
  <si>
    <t>De</t>
  </si>
  <si>
    <t>Para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</si>
  <si>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</si>
  <si>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</si>
  <si>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</si>
  <si>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</si>
  <si>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</si>
  <si>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</si>
  <si>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</si>
  <si>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</si>
  <si>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</si>
  <si>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Janeiro</t>
  </si>
  <si>
    <t>Fevereiro</t>
  </si>
  <si>
    <t>Março</t>
  </si>
  <si>
    <t>G-(G/A*E)</t>
  </si>
  <si>
    <t>A-E</t>
  </si>
  <si>
    <t>(J*I)+F</t>
  </si>
  <si>
    <t>Entrada</t>
  </si>
  <si>
    <t>1º Fase para chegar plano referência</t>
  </si>
  <si>
    <t>Plano de Referência</t>
  </si>
  <si>
    <t>Valor Cheio do Plano de Referência</t>
  </si>
  <si>
    <t>Bolsa Sobre o Valor Cheio do Plano de Referência</t>
  </si>
  <si>
    <t>Valor Cheio do Plano de Referência com a Bolsa</t>
  </si>
  <si>
    <t>Valor Total Plano de Referência</t>
  </si>
  <si>
    <t>Valor Total Plano de Referência menos a entrada</t>
  </si>
  <si>
    <t>(Valor Total Plano de Referência menos a entrada) dividido pelo plano de destino</t>
  </si>
  <si>
    <t>Celula(G10)*A</t>
  </si>
  <si>
    <t>Plano Referencia</t>
  </si>
  <si>
    <t>13AGL</t>
  </si>
  <si>
    <t>Turma</t>
  </si>
  <si>
    <t>Plano</t>
  </si>
  <si>
    <t>Plano Origem</t>
  </si>
  <si>
    <t>Plano Destino</t>
  </si>
  <si>
    <t>Aumentando sem Entrada</t>
  </si>
  <si>
    <t>Aumentando com Entrada</t>
  </si>
  <si>
    <t>Diminuindo sem Entrada</t>
  </si>
  <si>
    <t>Diminuindo com Entrada</t>
  </si>
  <si>
    <t>Valor Total Plano Destino</t>
  </si>
  <si>
    <t>Total Destino - Total Pago</t>
  </si>
  <si>
    <t>Valor Total Pago Origem</t>
  </si>
  <si>
    <t>Qtde Parcelas Gerar</t>
  </si>
  <si>
    <t>Valor Plano Destino</t>
  </si>
  <si>
    <t>Numero Plano Destino</t>
  </si>
  <si>
    <t>Valor Total Plano Ref Entrada - Entrada</t>
  </si>
  <si>
    <t>(Valor Total Plano Ref Entrada - Entrada) - Total Pago</t>
  </si>
  <si>
    <t>Total Não Pago Destino</t>
  </si>
  <si>
    <t>Total Não Pago Entrada</t>
  </si>
  <si>
    <t>Plano é Válido?</t>
  </si>
  <si>
    <t>Valor desconto</t>
  </si>
  <si>
    <t>9AOJO</t>
  </si>
  <si>
    <t>9ASOO</t>
  </si>
  <si>
    <t>Valor Total</t>
  </si>
  <si>
    <t>Valor Desconto</t>
  </si>
  <si>
    <t>16AGL</t>
  </si>
  <si>
    <t>=E8-(E8/D2*D6)</t>
  </si>
  <si>
    <t>Valores considerados são da coluna C da aba "Planos da Turma"</t>
  </si>
  <si>
    <t>43SCJ</t>
  </si>
  <si>
    <t>Qtde Parcelas Pagas ou Atrasadas</t>
  </si>
  <si>
    <t>Valor Plano Origem com Bolsa (Sem Entrada)</t>
  </si>
  <si>
    <t>Valor Total Cobrar no Novo Plano</t>
  </si>
  <si>
    <t>Valor Parcelas</t>
  </si>
  <si>
    <t>61SEG</t>
  </si>
  <si>
    <t>&lt;-- Alterar aqui a turma</t>
  </si>
  <si>
    <t>Caso necessário, adicionar mais colunas com outras turmas</t>
  </si>
  <si>
    <t>6BIO</t>
  </si>
  <si>
    <t>Qtde P. Gerar</t>
  </si>
  <si>
    <t>60SEG</t>
  </si>
  <si>
    <t>5SGO</t>
  </si>
  <si>
    <t>6SCJO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</si>
</sst>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#,##0_ ;\-#,##0\ 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8" tint="0.3999755851924192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ck">
        <color rgb="FF00B050"/>
      </right>
      <top style="thick">
        <color rgb="FF00B050"/>
      </top>
      <bottom/>
      <diagonal/>
    </border>
    <border>
      <left style="thick">
        <color rgb="FFFF0000"/>
      </left>
      <right style="thick">
        <color rgb="FF00B050"/>
      </right>
      <top/>
      <bottom/>
      <diagonal/>
    </border>
    <border>
      <left style="thick">
        <color rgb="FFFF0000"/>
      </left>
      <right style="thick">
        <color rgb="FF00B050"/>
      </right>
      <top/>
      <bottom style="thick">
        <color rgb="FF00B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00B05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1">
    <xf numFmtId="0" fontId="0" fillId="0" borderId="0" xfId="0"/>
    <xf numFmtId="164" fontId="0" fillId="0" borderId="0" xfId="1" applyFont="1"/>
    <xf numFmtId="164" fontId="0" fillId="0" borderId="0" xfId="0" applyNumberFormat="1"/>
    <xf numFmtId="164" fontId="0" fillId="0" borderId="2" xfId="1" applyFont="1" applyBorder="1"/>
    <xf numFmtId="0" fontId="0" fillId="0" borderId="2" xfId="0" applyBorder="1"/>
    <xf numFmtId="164" fontId="0" fillId="0" borderId="2" xfId="0" applyNumberFormat="1" applyBorder="1"/>
    <xf numFmtId="164" fontId="0" fillId="0" borderId="3" xfId="0" applyNumberFormat="1" applyBorder="1"/>
    <xf numFmtId="0" fontId="0" fillId="0" borderId="4" xfId="0" applyBorder="1"/>
    <xf numFmtId="164" fontId="0" fillId="0" borderId="5" xfId="1" applyFont="1" applyBorder="1"/>
    <xf numFmtId="0" fontId="0" fillId="0" borderId="5" xfId="0" applyBorder="1"/>
    <xf numFmtId="164" fontId="0" fillId="0" borderId="6" xfId="1" applyFont="1" applyBorder="1"/>
    <xf numFmtId="164" fontId="0" fillId="0" borderId="5" xfId="0" applyNumberFormat="1" applyBorder="1"/>
    <xf numFmtId="14" fontId="0" fillId="0" borderId="0" xfId="0" applyNumberFormat="1"/>
    <xf numFmtId="14" fontId="2" fillId="0" borderId="0" xfId="0" applyNumberFormat="1" applyFont="1"/>
    <xf numFmtId="164" fontId="0" fillId="0" borderId="0" xfId="1" applyFont="1" applyFill="1" applyBorder="1"/>
    <xf numFmtId="0" fontId="0" fillId="0" borderId="0" xfId="0" applyAlignment="1">
      <alignment textRotation="90"/>
    </xf>
    <xf numFmtId="0" fontId="0" fillId="0" borderId="7" xfId="0" applyBorder="1"/>
    <xf numFmtId="0" fontId="0" fillId="0" borderId="8" xfId="0" applyBorder="1"/>
    <xf numFmtId="164" fontId="0" fillId="0" borderId="9" xfId="1" applyFont="1" applyBorder="1"/>
    <xf numFmtId="164" fontId="0" fillId="0" borderId="10" xfId="1" applyFont="1" applyBorder="1"/>
    <xf numFmtId="164" fontId="0" fillId="0" borderId="8" xfId="1" applyFont="1" applyBorder="1"/>
    <xf numFmtId="164" fontId="0" fillId="0" borderId="8" xfId="0" applyNumberFormat="1" applyBorder="1"/>
    <xf numFmtId="14" fontId="0" fillId="0" borderId="8" xfId="0" applyNumberFormat="1" applyBorder="1"/>
    <xf numFmtId="3" fontId="0" fillId="0" borderId="0" xfId="0" applyNumberFormat="1"/>
    <xf numFmtId="3" fontId="0" fillId="0" borderId="0" xfId="1" applyNumberFormat="1" applyFont="1"/>
    <xf numFmtId="3" fontId="0" fillId="0" borderId="0" xfId="1" applyNumberFormat="1" applyFont="1" applyFill="1" applyBorder="1"/>
    <xf numFmtId="164" fontId="0" fillId="0" borderId="0" xfId="1" applyNumberFormat="1" applyFont="1" applyFill="1" applyBorder="1"/>
    <xf numFmtId="0" fontId="0" fillId="0" borderId="0" xfId="0" applyBorder="1"/>
    <xf numFmtId="164" fontId="0" fillId="0" borderId="0" xfId="1" applyFont="1" applyBorder="1"/>
    <xf numFmtId="164" fontId="0" fillId="0" borderId="0" xfId="0" applyNumberFormat="1" applyBorder="1"/>
    <xf numFmtId="164" fontId="0" fillId="2" borderId="0" xfId="1" applyFont="1" applyFill="1"/>
    <xf numFmtId="165" fontId="0" fillId="0" borderId="0" xfId="1" applyNumberFormat="1" applyFont="1" applyFill="1" applyBorder="1"/>
    <xf numFmtId="0" fontId="0" fillId="3" borderId="1" xfId="0" applyFill="1" applyBorder="1"/>
    <xf numFmtId="0" fontId="0" fillId="3" borderId="4" xfId="0" applyFill="1" applyBorder="1"/>
    <xf numFmtId="164" fontId="0" fillId="3" borderId="5" xfId="1" applyFont="1" applyFill="1" applyBorder="1"/>
    <xf numFmtId="0" fontId="0" fillId="3" borderId="0" xfId="0" applyFill="1" applyAlignment="1">
      <alignment horizontal="left"/>
    </xf>
    <xf numFmtId="0" fontId="0" fillId="3" borderId="2" xfId="0" applyFill="1" applyBorder="1"/>
    <xf numFmtId="164" fontId="0" fillId="3" borderId="7" xfId="1" applyFont="1" applyFill="1" applyBorder="1"/>
    <xf numFmtId="164" fontId="0" fillId="3" borderId="0" xfId="1" applyFont="1" applyFill="1"/>
    <xf numFmtId="0" fontId="0" fillId="3" borderId="5" xfId="0" applyFill="1" applyBorder="1"/>
    <xf numFmtId="0" fontId="0" fillId="0" borderId="2" xfId="0" applyBorder="1" applyAlignment="1">
      <alignment horizontal="right"/>
    </xf>
    <xf numFmtId="0" fontId="0" fillId="0" borderId="11" xfId="0" applyBorder="1"/>
    <xf numFmtId="164" fontId="0" fillId="0" borderId="11" xfId="1" applyFont="1" applyBorder="1"/>
    <xf numFmtId="0" fontId="0" fillId="0" borderId="0" xfId="0" applyFill="1" applyBorder="1"/>
    <xf numFmtId="166" fontId="0" fillId="0" borderId="11" xfId="2" applyNumberFormat="1" applyFont="1" applyBorder="1"/>
    <xf numFmtId="0" fontId="0" fillId="0" borderId="11" xfId="0" applyBorder="1" applyAlignment="1">
      <alignment horizontal="left" vertical="center"/>
    </xf>
    <xf numFmtId="0" fontId="0" fillId="3" borderId="11" xfId="0" applyFill="1" applyBorder="1"/>
    <xf numFmtId="0" fontId="0" fillId="4" borderId="11" xfId="0" applyFill="1" applyBorder="1"/>
    <xf numFmtId="164" fontId="0" fillId="4" borderId="11" xfId="1" applyFont="1" applyFill="1" applyBorder="1"/>
    <xf numFmtId="44" fontId="0" fillId="0" borderId="0" xfId="0" applyNumberFormat="1"/>
    <xf numFmtId="44" fontId="0" fillId="4" borderId="11" xfId="0" applyNumberFormat="1" applyFill="1" applyBorder="1"/>
    <xf numFmtId="164" fontId="3" fillId="0" borderId="2" xfId="0" applyNumberFormat="1" applyFont="1" applyBorder="1"/>
    <xf numFmtId="44" fontId="3" fillId="0" borderId="2" xfId="0" applyNumberFormat="1" applyFont="1" applyBorder="1"/>
    <xf numFmtId="164" fontId="0" fillId="5" borderId="2" xfId="1" applyFont="1" applyFill="1" applyBorder="1"/>
    <xf numFmtId="0" fontId="4" fillId="0" borderId="0" xfId="0" applyFont="1"/>
    <xf numFmtId="44" fontId="4" fillId="0" borderId="0" xfId="0" applyNumberFormat="1" applyFont="1"/>
    <xf numFmtId="44" fontId="0" fillId="0" borderId="0" xfId="0" applyNumberFormat="1" applyFont="1"/>
    <xf numFmtId="0" fontId="0" fillId="0" borderId="0" xfId="0" quotePrefix="1"/>
    <xf numFmtId="3" fontId="0" fillId="0" borderId="0" xfId="1" applyNumberFormat="1" applyFont="1" applyFill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12" xfId="0" applyBorder="1"/>
    <xf numFmtId="0" fontId="0" fillId="0" borderId="13" xfId="0" applyBorder="1"/>
    <xf numFmtId="164" fontId="0" fillId="0" borderId="13" xfId="1" applyFont="1" applyBorder="1"/>
    <xf numFmtId="0" fontId="0" fillId="3" borderId="14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6" borderId="11" xfId="0" applyFill="1" applyBorder="1"/>
    <xf numFmtId="164" fontId="0" fillId="3" borderId="11" xfId="1" applyFont="1" applyFill="1" applyBorder="1"/>
    <xf numFmtId="44" fontId="0" fillId="3" borderId="11" xfId="0" applyNumberFormat="1" applyFill="1" applyBorder="1"/>
    <xf numFmtId="0" fontId="0" fillId="0" borderId="0" xfId="0"/>
    <xf numFmtId="0" fontId="0" fillId="6" borderId="11" xfId="0" applyFill="1" applyBorder="1"/>
    <xf numFmtId="164" fontId="0" fillId="3" borderId="11" xfId="1" applyFont="1" applyFill="1" applyBorder="1"/>
    <xf numFmtId="166" fontId="0" fillId="0" borderId="0" xfId="2" applyNumberFormat="1" applyFont="1"/>
    <xf numFmtId="0" fontId="0" fillId="4" borderId="11" xfId="0" applyFill="1" applyBorder="1" applyAlignment="1">
      <alignment horizontal="center"/>
    </xf>
    <xf numFmtId="0" fontId="0" fillId="3" borderId="11" xfId="0" applyFill="1" applyBorder="1" applyAlignment="1">
      <alignment horizontal="left"/>
    </xf>
    <xf numFmtId="0" fontId="0" fillId="0" borderId="0" xfId="0" applyAlignment="1">
      <alignment horizontal="center" vertical="center" textRotation="90"/>
    </xf>
    <xf numFmtId="0" fontId="0" fillId="7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5" fillId="7" borderId="11" xfId="0" applyFont="1" applyFill="1" applyBorder="1" applyAlignment="1">
      <alignment horizontal="center"/>
    </xf>
  </cellXfs>
  <cellStyles count="4">
    <cellStyle name="Moeda" xfId="1" builtinId="4"/>
    <cellStyle name="Normal" xfId="0" builtinId="0"/>
    <cellStyle name="Vírgula" xfId="2" builtinId="3"/>
    <cellStyle name="Vírgula 2" xfId="3" xr:uid="{488DE319-894D-43D0-AF73-D43E6CF9852F}"/>
  </cellStyles>
  <dxfs count="3"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ont>
        <b val="0"/>
        <i val="0"/>
        <color auto="1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D7C2C-8D77-4684-A97E-011DA0771310}">
  <sheetPr codeName="Planilha1"/>
  <dimension ref="C2:W48"/>
  <sheetViews>
    <sheetView topLeftCell="A31" zoomScale="115" zoomScaleNormal="115" workbookViewId="0">
      <selection activeCell="N51" sqref="N51"/>
    </sheetView>
  </sheetViews>
  <sheetFormatPr defaultColWidth="8.77734375" defaultRowHeight="14.4" x14ac:dyDescent="0.3"/>
  <cols>
    <col min="2" max="2" width="8.77734375" customWidth="1"/>
    <col min="3" max="3" width="12.6640625" bestFit="1" customWidth="1"/>
    <col min="4" max="4" width="12.88671875" bestFit="1" customWidth="1"/>
    <col min="5" max="5" width="6.6640625" hidden="1" customWidth="1"/>
    <col min="6" max="6" width="7.88671875" hidden="1" customWidth="1"/>
    <col min="7" max="7" width="4.5546875" hidden="1" customWidth="1"/>
    <col min="8" max="8" width="5" hidden="1" customWidth="1"/>
    <col min="9" max="9" width="6.109375" hidden="1" customWidth="1"/>
    <col min="10" max="10" width="9.33203125" hidden="1" customWidth="1"/>
    <col min="11" max="11" width="1.77734375" hidden="1" customWidth="1"/>
    <col min="12" max="12" width="3.33203125" hidden="1" customWidth="1"/>
    <col min="13" max="13" width="1.33203125" hidden="1" customWidth="1"/>
    <col min="14" max="14" width="17.44140625" customWidth="1"/>
    <col min="15" max="15" width="22.6640625" hidden="1" customWidth="1"/>
    <col min="16" max="16" width="22.77734375" hidden="1" customWidth="1"/>
    <col min="17" max="17" width="21.33203125" hidden="1" customWidth="1"/>
    <col min="18" max="18" width="21.5546875" hidden="1" customWidth="1"/>
    <col min="19" max="19" width="22.6640625" hidden="1" customWidth="1"/>
    <col min="20" max="20" width="22.77734375" hidden="1" customWidth="1"/>
    <col min="21" max="21" width="21.33203125" hidden="1" customWidth="1"/>
    <col min="22" max="22" width="21.5546875" hidden="1" customWidth="1"/>
    <col min="23" max="23" width="28.88671875" bestFit="1" customWidth="1"/>
    <col min="24" max="24" width="8.88671875" customWidth="1"/>
    <col min="25" max="25" width="9.44140625" customWidth="1"/>
    <col min="26" max="26" width="9.6640625" customWidth="1"/>
    <col min="27" max="27" width="10.77734375" customWidth="1"/>
    <col min="28" max="28" width="8.77734375" customWidth="1"/>
  </cols>
  <sheetData>
    <row r="2" spans="3:23" x14ac:dyDescent="0.3">
      <c r="C2" s="74" t="s">
        <v>77</v>
      </c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</row>
    <row r="3" spans="3:23" x14ac:dyDescent="0.3">
      <c r="C3" s="60"/>
      <c r="D3" s="27"/>
      <c r="E3" s="27"/>
      <c r="F3" s="27"/>
      <c r="G3" s="27"/>
      <c r="H3" s="27"/>
      <c r="I3" s="27"/>
      <c r="J3" s="27"/>
      <c r="K3" s="27"/>
      <c r="L3" s="43"/>
      <c r="M3" s="27"/>
      <c r="N3" s="64"/>
      <c r="O3" s="64"/>
      <c r="P3" s="64"/>
      <c r="Q3" s="64"/>
      <c r="R3" s="64"/>
      <c r="S3" s="64"/>
      <c r="T3" s="64"/>
      <c r="U3" s="64"/>
      <c r="V3" s="64"/>
      <c r="W3" s="65"/>
    </row>
    <row r="4" spans="3:23" x14ac:dyDescent="0.3">
      <c r="C4" s="75" t="s">
        <v>0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27"/>
      <c r="P4" s="27"/>
      <c r="Q4" s="27"/>
      <c r="R4" s="27"/>
      <c r="S4" s="27"/>
      <c r="T4" s="27"/>
      <c r="U4" s="27"/>
      <c r="V4" s="27"/>
      <c r="W4" s="47">
        <v>20</v>
      </c>
    </row>
    <row r="5" spans="3:23" x14ac:dyDescent="0.3">
      <c r="C5" s="75" t="s">
        <v>39</v>
      </c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27"/>
      <c r="P5" s="27"/>
      <c r="Q5" s="27"/>
      <c r="R5" s="27"/>
      <c r="S5" s="27"/>
      <c r="T5" s="27"/>
      <c r="U5" s="27"/>
      <c r="V5" s="27"/>
      <c r="W5" s="48">
        <v>0</v>
      </c>
    </row>
    <row r="6" spans="3:23" x14ac:dyDescent="0.3">
      <c r="C6" s="75" t="s">
        <v>53</v>
      </c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27"/>
      <c r="P6" s="27"/>
      <c r="Q6" s="27"/>
      <c r="R6" s="27"/>
      <c r="S6" s="27"/>
      <c r="T6" s="27"/>
      <c r="U6" s="27"/>
      <c r="V6" s="27"/>
      <c r="W6" s="47">
        <v>12</v>
      </c>
    </row>
    <row r="7" spans="3:23" x14ac:dyDescent="0.3">
      <c r="C7" s="75" t="s">
        <v>79</v>
      </c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27"/>
      <c r="P7" s="27"/>
      <c r="Q7" s="27"/>
      <c r="R7" s="27"/>
      <c r="S7" s="27"/>
      <c r="T7" s="27"/>
      <c r="U7" s="27"/>
      <c r="V7" s="27"/>
      <c r="W7" s="47">
        <v>1</v>
      </c>
    </row>
    <row r="8" spans="3:23" x14ac:dyDescent="0.3">
      <c r="C8" s="60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</row>
    <row r="9" spans="3:23" x14ac:dyDescent="0.3">
      <c r="C9" s="75" t="s">
        <v>80</v>
      </c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27"/>
      <c r="P9" s="27"/>
      <c r="Q9" s="27"/>
      <c r="R9" s="27"/>
      <c r="S9" s="27"/>
      <c r="T9" s="27"/>
      <c r="U9" s="27"/>
      <c r="V9" s="27"/>
      <c r="W9" s="48">
        <f>VLOOKUP(W6,'Planos da Turma'!B7:C42,2,FALSE)*(1-W4/100)</f>
        <v>2000</v>
      </c>
    </row>
    <row r="10" spans="3:23" x14ac:dyDescent="0.3">
      <c r="C10" s="75" t="s">
        <v>61</v>
      </c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27"/>
      <c r="P10" s="27"/>
      <c r="Q10" s="27"/>
      <c r="R10" s="27"/>
      <c r="S10" s="27"/>
      <c r="T10" s="27"/>
      <c r="U10" s="27"/>
      <c r="V10" s="27"/>
      <c r="W10" s="50">
        <f>W7*W9</f>
        <v>2000</v>
      </c>
    </row>
    <row r="11" spans="3:23" x14ac:dyDescent="0.3">
      <c r="C11" s="60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61"/>
      <c r="O11" s="61"/>
      <c r="P11" s="61"/>
      <c r="Q11" s="61"/>
      <c r="R11" s="61"/>
      <c r="S11" s="61"/>
      <c r="T11" s="61"/>
      <c r="U11" s="61"/>
      <c r="V11" s="61"/>
      <c r="W11" s="66"/>
    </row>
    <row r="12" spans="3:23" x14ac:dyDescent="0.3">
      <c r="C12" s="46" t="s">
        <v>54</v>
      </c>
      <c r="D12" s="46" t="s">
        <v>82</v>
      </c>
      <c r="E12" s="41" t="s">
        <v>69</v>
      </c>
      <c r="F12" s="41" t="s">
        <v>64</v>
      </c>
      <c r="G12" s="41" t="s">
        <v>63</v>
      </c>
      <c r="H12" s="41" t="s">
        <v>59</v>
      </c>
      <c r="I12" s="41" t="s">
        <v>65</v>
      </c>
      <c r="J12" s="41" t="s">
        <v>66</v>
      </c>
      <c r="K12" s="41" t="s">
        <v>60</v>
      </c>
      <c r="L12" s="41" t="s">
        <v>67</v>
      </c>
      <c r="M12" s="41" t="s">
        <v>68</v>
      </c>
      <c r="N12" s="63" t="s">
        <v>62</v>
      </c>
      <c r="O12" s="27" t="s">
        <v>55</v>
      </c>
      <c r="P12" s="27" t="s">
        <v>56</v>
      </c>
      <c r="Q12" s="27" t="s">
        <v>57</v>
      </c>
      <c r="R12" s="27" t="s">
        <v>58</v>
      </c>
      <c r="S12" s="27" t="s">
        <v>55</v>
      </c>
      <c r="T12" s="27" t="s">
        <v>56</v>
      </c>
      <c r="U12" s="27" t="s">
        <v>57</v>
      </c>
      <c r="V12" s="27" t="s">
        <v>58</v>
      </c>
      <c r="W12" s="63" t="s">
        <v>81</v>
      </c>
    </row>
    <row r="13" spans="3:23" x14ac:dyDescent="0.3">
      <c r="C13" s="45">
        <v>1</v>
      </c>
      <c r="D13" s="42">
        <f>IF(O13="1",S13,IF(P13="1",T13,IF(Q13="1",U13,V13)))</f>
        <v>20929.333333333332</v>
      </c>
      <c r="E13" s="41" t="str">
        <f>IF(OR(C13=$W$6,C13=$W$6-$W$7,N13+$W$7&gt;36),"0","1")</f>
        <v>1</v>
      </c>
      <c r="F13" s="44">
        <f t="shared" ref="F13:F48" si="0">IF(OR(O13="1",P13="1"),C13,C13+$W$7)</f>
        <v>2</v>
      </c>
      <c r="G13" s="42">
        <f>VLOOKUP(F13,'Planos da Turma'!B6:C42,2)*(1-$W$4/100)</f>
        <v>11416</v>
      </c>
      <c r="H13" s="42">
        <f>F13*G13</f>
        <v>22832</v>
      </c>
      <c r="I13" s="42">
        <f>VLOOKUP(F13-ROUND($W$5/G13,0),'Planos da Turma'!$B$6:$C$42,2)*(1-$W$4/100)*(F13-ROUND($W$5/G13,0))-$W$5</f>
        <v>22832</v>
      </c>
      <c r="J13" s="42">
        <f t="shared" ref="J13:J48" si="1">I13-$W$10</f>
        <v>20832</v>
      </c>
      <c r="K13" s="42">
        <f t="shared" ref="K13:K48" si="2">H13-$W$10</f>
        <v>20832</v>
      </c>
      <c r="L13" s="42">
        <f t="shared" ref="L13:L48" si="3">H13-(H13/$W$6*$W$7)</f>
        <v>20929.333333333332</v>
      </c>
      <c r="M13" s="42">
        <f t="shared" ref="M13:M48" si="4">I13-(I13/$W$6*$W$7)</f>
        <v>20929.333333333332</v>
      </c>
      <c r="N13" s="44">
        <f>IF(OR(O13="1",P13="1"),C13-$W$7,C13)</f>
        <v>1</v>
      </c>
      <c r="O13" s="27" t="str">
        <f t="shared" ref="O13:O48" si="5">IF(AND($W$5=0,C13&gt;$W$6),"1","0")</f>
        <v>0</v>
      </c>
      <c r="P13" s="27" t="str">
        <f t="shared" ref="P13:P48" si="6">IF(AND($W$5&gt;0,C13&gt;$W$6),"1","0")</f>
        <v>0</v>
      </c>
      <c r="Q13" s="27" t="str">
        <f t="shared" ref="Q13:Q48" si="7">IF(AND($W$5=0,C13&lt;$W$6),"1","0")</f>
        <v>1</v>
      </c>
      <c r="R13" s="27" t="str">
        <f t="shared" ref="R13:R48" si="8">IF(AND($W$5&gt;0,C13&lt;$W$6),"1","0")</f>
        <v>0</v>
      </c>
      <c r="S13" s="28">
        <f>K13/N13</f>
        <v>20832</v>
      </c>
      <c r="T13" s="28">
        <f>J13/N13</f>
        <v>20832</v>
      </c>
      <c r="U13" s="28">
        <f t="shared" ref="U13:U48" si="9">L13/N13</f>
        <v>20929.333333333332</v>
      </c>
      <c r="V13" s="28">
        <f t="shared" ref="V13:V48" si="10">M13/N13</f>
        <v>20929.333333333332</v>
      </c>
      <c r="W13" s="42">
        <f>D13*N13</f>
        <v>20929.333333333332</v>
      </c>
    </row>
    <row r="14" spans="3:23" x14ac:dyDescent="0.3">
      <c r="C14" s="45">
        <v>2</v>
      </c>
      <c r="D14" s="42">
        <f t="shared" ref="D14:D48" si="11">IF(O14="1",S14,IF(P14="1",T14,IF(Q14="1",U14,V14)))</f>
        <v>10488.5</v>
      </c>
      <c r="E14" s="41" t="str">
        <f t="shared" ref="E14:E48" si="12">IF(OR(C14=$W$6,C14=$W$6-$W$7,N14+$W$7&gt;36),"0","1")</f>
        <v>1</v>
      </c>
      <c r="F14" s="44">
        <f t="shared" si="0"/>
        <v>3</v>
      </c>
      <c r="G14" s="42">
        <f>VLOOKUP(F14,'Planos da Turma'!B7:C43,2)*(1-$W$4/100)</f>
        <v>7628</v>
      </c>
      <c r="H14" s="42">
        <f t="shared" ref="H14:H48" si="13">F14*G14</f>
        <v>22884</v>
      </c>
      <c r="I14" s="42">
        <f>VLOOKUP(F14-ROUND($W$5/G14,0),'Planos da Turma'!$B$6:$C$42,2)*(1-$W$4/100)*(F14-ROUND($W$5/G14,0))-$W$5</f>
        <v>22884</v>
      </c>
      <c r="J14" s="42">
        <f t="shared" si="1"/>
        <v>20884</v>
      </c>
      <c r="K14" s="42">
        <f t="shared" si="2"/>
        <v>20884</v>
      </c>
      <c r="L14" s="42">
        <f t="shared" si="3"/>
        <v>20977</v>
      </c>
      <c r="M14" s="42">
        <f t="shared" si="4"/>
        <v>20977</v>
      </c>
      <c r="N14" s="44">
        <f t="shared" ref="N14:N48" si="14">IF(OR(O14="1",P14="1"),C14-$W$7,C14)</f>
        <v>2</v>
      </c>
      <c r="O14" s="27" t="str">
        <f t="shared" si="5"/>
        <v>0</v>
      </c>
      <c r="P14" s="27" t="str">
        <f t="shared" si="6"/>
        <v>0</v>
      </c>
      <c r="Q14" s="27" t="str">
        <f t="shared" si="7"/>
        <v>1</v>
      </c>
      <c r="R14" s="27" t="str">
        <f t="shared" si="8"/>
        <v>0</v>
      </c>
      <c r="S14" s="28">
        <f t="shared" ref="S14:S48" si="15">K14/N14</f>
        <v>10442</v>
      </c>
      <c r="T14" s="28">
        <f t="shared" ref="T14:T48" si="16">J14/N14</f>
        <v>10442</v>
      </c>
      <c r="U14" s="28">
        <f t="shared" si="9"/>
        <v>10488.5</v>
      </c>
      <c r="V14" s="28">
        <f t="shared" si="10"/>
        <v>10488.5</v>
      </c>
      <c r="W14" s="42">
        <f t="shared" ref="W14:W48" si="17">D14*N14</f>
        <v>20977</v>
      </c>
    </row>
    <row r="15" spans="3:23" x14ac:dyDescent="0.3">
      <c r="C15" s="45">
        <v>3</v>
      </c>
      <c r="D15" s="42">
        <f t="shared" si="11"/>
        <v>7069.333333333333</v>
      </c>
      <c r="E15" s="41" t="str">
        <f t="shared" si="12"/>
        <v>1</v>
      </c>
      <c r="F15" s="44">
        <f t="shared" si="0"/>
        <v>4</v>
      </c>
      <c r="G15" s="42">
        <f>VLOOKUP(F15,'Planos da Turma'!B8:C44,2)*(1-$W$4/100)</f>
        <v>5784</v>
      </c>
      <c r="H15" s="42">
        <f t="shared" si="13"/>
        <v>23136</v>
      </c>
      <c r="I15" s="42">
        <f>VLOOKUP(F15-ROUND($W$5/G15,0),'Planos da Turma'!$B$6:$C$42,2)*(1-$W$4/100)*(F15-ROUND($W$5/G15,0))-$W$5</f>
        <v>23136</v>
      </c>
      <c r="J15" s="42">
        <f t="shared" si="1"/>
        <v>21136</v>
      </c>
      <c r="K15" s="42">
        <f t="shared" si="2"/>
        <v>21136</v>
      </c>
      <c r="L15" s="42">
        <f t="shared" si="3"/>
        <v>21208</v>
      </c>
      <c r="M15" s="42">
        <f t="shared" si="4"/>
        <v>21208</v>
      </c>
      <c r="N15" s="44">
        <f t="shared" si="14"/>
        <v>3</v>
      </c>
      <c r="O15" s="27" t="str">
        <f t="shared" si="5"/>
        <v>0</v>
      </c>
      <c r="P15" s="27" t="str">
        <f t="shared" si="6"/>
        <v>0</v>
      </c>
      <c r="Q15" s="27" t="str">
        <f t="shared" si="7"/>
        <v>1</v>
      </c>
      <c r="R15" s="27" t="str">
        <f t="shared" si="8"/>
        <v>0</v>
      </c>
      <c r="S15" s="28">
        <f t="shared" si="15"/>
        <v>7045.333333333333</v>
      </c>
      <c r="T15" s="28">
        <f t="shared" si="16"/>
        <v>7045.333333333333</v>
      </c>
      <c r="U15" s="28">
        <f t="shared" si="9"/>
        <v>7069.333333333333</v>
      </c>
      <c r="V15" s="28">
        <f t="shared" si="10"/>
        <v>7069.333333333333</v>
      </c>
      <c r="W15" s="42">
        <f t="shared" si="17"/>
        <v>21208</v>
      </c>
    </row>
    <row r="16" spans="3:23" x14ac:dyDescent="0.3">
      <c r="C16" s="45">
        <v>4</v>
      </c>
      <c r="D16" s="42">
        <f t="shared" si="11"/>
        <v>5321.25</v>
      </c>
      <c r="E16" s="41" t="str">
        <f t="shared" si="12"/>
        <v>1</v>
      </c>
      <c r="F16" s="44">
        <f t="shared" si="0"/>
        <v>5</v>
      </c>
      <c r="G16" s="42">
        <f>VLOOKUP(F16,'Planos da Turma'!B9:C45,2)*(1-$W$4/100)</f>
        <v>4644</v>
      </c>
      <c r="H16" s="42">
        <f t="shared" si="13"/>
        <v>23220</v>
      </c>
      <c r="I16" s="42">
        <f>VLOOKUP(F16-ROUND($W$5/G16,0),'Planos da Turma'!$B$6:$C$42,2)*(1-$W$4/100)*(F16-ROUND($W$5/G16,0))-$W$5</f>
        <v>23220</v>
      </c>
      <c r="J16" s="42">
        <f t="shared" si="1"/>
        <v>21220</v>
      </c>
      <c r="K16" s="42">
        <f t="shared" si="2"/>
        <v>21220</v>
      </c>
      <c r="L16" s="42">
        <f t="shared" si="3"/>
        <v>21285</v>
      </c>
      <c r="M16" s="42">
        <f t="shared" si="4"/>
        <v>21285</v>
      </c>
      <c r="N16" s="44">
        <f t="shared" si="14"/>
        <v>4</v>
      </c>
      <c r="O16" s="27" t="str">
        <f t="shared" si="5"/>
        <v>0</v>
      </c>
      <c r="P16" s="27" t="str">
        <f t="shared" si="6"/>
        <v>0</v>
      </c>
      <c r="Q16" s="27" t="str">
        <f t="shared" si="7"/>
        <v>1</v>
      </c>
      <c r="R16" s="27" t="str">
        <f t="shared" si="8"/>
        <v>0</v>
      </c>
      <c r="S16" s="28">
        <f t="shared" si="15"/>
        <v>5305</v>
      </c>
      <c r="T16" s="28">
        <f t="shared" si="16"/>
        <v>5305</v>
      </c>
      <c r="U16" s="28">
        <f t="shared" si="9"/>
        <v>5321.25</v>
      </c>
      <c r="V16" s="28">
        <f t="shared" si="10"/>
        <v>5321.25</v>
      </c>
      <c r="W16" s="42">
        <f t="shared" si="17"/>
        <v>21285</v>
      </c>
    </row>
    <row r="17" spans="3:23" x14ac:dyDescent="0.3">
      <c r="C17" s="45">
        <v>5</v>
      </c>
      <c r="D17" s="42">
        <f t="shared" si="11"/>
        <v>4303.2</v>
      </c>
      <c r="E17" s="41" t="str">
        <f t="shared" si="12"/>
        <v>1</v>
      </c>
      <c r="F17" s="44">
        <f t="shared" si="0"/>
        <v>6</v>
      </c>
      <c r="G17" s="42">
        <f>VLOOKUP(F17,'Planos da Turma'!B10:C46,2)*(1-$W$4/100)</f>
        <v>3912</v>
      </c>
      <c r="H17" s="42">
        <f t="shared" si="13"/>
        <v>23472</v>
      </c>
      <c r="I17" s="42">
        <f>VLOOKUP(F17-ROUND($W$5/G17,0),'Planos da Turma'!$B$6:$C$42,2)*(1-$W$4/100)*(F17-ROUND($W$5/G17,0))-$W$5</f>
        <v>23472</v>
      </c>
      <c r="J17" s="42">
        <f t="shared" si="1"/>
        <v>21472</v>
      </c>
      <c r="K17" s="42">
        <f t="shared" si="2"/>
        <v>21472</v>
      </c>
      <c r="L17" s="42">
        <f t="shared" si="3"/>
        <v>21516</v>
      </c>
      <c r="M17" s="42">
        <f t="shared" si="4"/>
        <v>21516</v>
      </c>
      <c r="N17" s="44">
        <f t="shared" si="14"/>
        <v>5</v>
      </c>
      <c r="O17" s="27" t="str">
        <f t="shared" si="5"/>
        <v>0</v>
      </c>
      <c r="P17" s="27" t="str">
        <f t="shared" si="6"/>
        <v>0</v>
      </c>
      <c r="Q17" s="27" t="str">
        <f t="shared" si="7"/>
        <v>1</v>
      </c>
      <c r="R17" s="27" t="str">
        <f t="shared" si="8"/>
        <v>0</v>
      </c>
      <c r="S17" s="28">
        <f t="shared" si="15"/>
        <v>4294.3999999999996</v>
      </c>
      <c r="T17" s="28">
        <f t="shared" si="16"/>
        <v>4294.3999999999996</v>
      </c>
      <c r="U17" s="28">
        <f t="shared" si="9"/>
        <v>4303.2</v>
      </c>
      <c r="V17" s="28">
        <f t="shared" si="10"/>
        <v>4303.2</v>
      </c>
      <c r="W17" s="42">
        <f t="shared" si="17"/>
        <v>21516</v>
      </c>
    </row>
    <row r="18" spans="3:23" x14ac:dyDescent="0.3">
      <c r="C18" s="45">
        <v>6</v>
      </c>
      <c r="D18" s="42">
        <f>IF(O18="1",S18,IF(P18="1",T18,IF(Q18="1",U18,V18)))</f>
        <v>3593.3333333333335</v>
      </c>
      <c r="E18" s="41" t="str">
        <f t="shared" si="12"/>
        <v>1</v>
      </c>
      <c r="F18" s="44">
        <f t="shared" si="0"/>
        <v>7</v>
      </c>
      <c r="G18" s="42">
        <f>VLOOKUP(F18,'Planos da Turma'!B11:C47,2)*(1-$W$4/100)</f>
        <v>3360</v>
      </c>
      <c r="H18" s="42">
        <f t="shared" si="13"/>
        <v>23520</v>
      </c>
      <c r="I18" s="42">
        <f>VLOOKUP(F18-ROUND($W$5/G18,0),'Planos da Turma'!$B$6:$C$42,2)*(1-$W$4/100)*(F18-ROUND($W$5/G18,0))-$W$5</f>
        <v>23520</v>
      </c>
      <c r="J18" s="42">
        <f t="shared" si="1"/>
        <v>21520</v>
      </c>
      <c r="K18" s="42">
        <f t="shared" si="2"/>
        <v>21520</v>
      </c>
      <c r="L18" s="42">
        <f t="shared" si="3"/>
        <v>21560</v>
      </c>
      <c r="M18" s="42">
        <f t="shared" si="4"/>
        <v>21560</v>
      </c>
      <c r="N18" s="44">
        <f t="shared" si="14"/>
        <v>6</v>
      </c>
      <c r="O18" s="27" t="str">
        <f t="shared" si="5"/>
        <v>0</v>
      </c>
      <c r="P18" s="27" t="str">
        <f t="shared" si="6"/>
        <v>0</v>
      </c>
      <c r="Q18" s="27" t="str">
        <f t="shared" si="7"/>
        <v>1</v>
      </c>
      <c r="R18" s="27" t="str">
        <f t="shared" si="8"/>
        <v>0</v>
      </c>
      <c r="S18" s="28">
        <f t="shared" si="15"/>
        <v>3586.6666666666665</v>
      </c>
      <c r="T18" s="28">
        <f t="shared" si="16"/>
        <v>3586.6666666666665</v>
      </c>
      <c r="U18" s="28">
        <f t="shared" si="9"/>
        <v>3593.3333333333335</v>
      </c>
      <c r="V18" s="28">
        <f t="shared" si="10"/>
        <v>3593.3333333333335</v>
      </c>
      <c r="W18" s="42">
        <f t="shared" si="17"/>
        <v>21560</v>
      </c>
    </row>
    <row r="19" spans="3:23" x14ac:dyDescent="0.3">
      <c r="C19" s="45">
        <v>7</v>
      </c>
      <c r="D19" s="42">
        <f t="shared" si="11"/>
        <v>3084.1904761904761</v>
      </c>
      <c r="E19" s="41" t="str">
        <f t="shared" si="12"/>
        <v>1</v>
      </c>
      <c r="F19" s="44">
        <f t="shared" si="0"/>
        <v>8</v>
      </c>
      <c r="G19" s="42">
        <f>VLOOKUP(F19,'Planos da Turma'!B12:C48,2)*(1-$W$4/100)</f>
        <v>2944</v>
      </c>
      <c r="H19" s="42">
        <f t="shared" si="13"/>
        <v>23552</v>
      </c>
      <c r="I19" s="42">
        <f>VLOOKUP(F19-ROUND($W$5/G19,0),'Planos da Turma'!$B$6:$C$42,2)*(1-$W$4/100)*(F19-ROUND($W$5/G19,0))-$W$5</f>
        <v>23552</v>
      </c>
      <c r="J19" s="42">
        <f t="shared" si="1"/>
        <v>21552</v>
      </c>
      <c r="K19" s="42">
        <f t="shared" si="2"/>
        <v>21552</v>
      </c>
      <c r="L19" s="42">
        <f t="shared" si="3"/>
        <v>21589.333333333332</v>
      </c>
      <c r="M19" s="42">
        <f t="shared" si="4"/>
        <v>21589.333333333332</v>
      </c>
      <c r="N19" s="44">
        <f t="shared" si="14"/>
        <v>7</v>
      </c>
      <c r="O19" s="27" t="str">
        <f t="shared" si="5"/>
        <v>0</v>
      </c>
      <c r="P19" s="27" t="str">
        <f t="shared" si="6"/>
        <v>0</v>
      </c>
      <c r="Q19" s="27" t="str">
        <f t="shared" si="7"/>
        <v>1</v>
      </c>
      <c r="R19" s="27" t="str">
        <f t="shared" si="8"/>
        <v>0</v>
      </c>
      <c r="S19" s="28">
        <f t="shared" si="15"/>
        <v>3078.8571428571427</v>
      </c>
      <c r="T19" s="28">
        <f t="shared" si="16"/>
        <v>3078.8571428571427</v>
      </c>
      <c r="U19" s="28">
        <f t="shared" si="9"/>
        <v>3084.1904761904761</v>
      </c>
      <c r="V19" s="28">
        <f t="shared" si="10"/>
        <v>3084.1904761904761</v>
      </c>
      <c r="W19" s="42">
        <f t="shared" si="17"/>
        <v>21589.333333333332</v>
      </c>
    </row>
    <row r="20" spans="3:23" x14ac:dyDescent="0.3">
      <c r="C20" s="45">
        <v>8</v>
      </c>
      <c r="D20" s="42">
        <f t="shared" si="11"/>
        <v>2730.75</v>
      </c>
      <c r="E20" s="41" t="str">
        <f t="shared" si="12"/>
        <v>1</v>
      </c>
      <c r="F20" s="44">
        <f t="shared" si="0"/>
        <v>9</v>
      </c>
      <c r="G20" s="42">
        <f>VLOOKUP(F20,'Planos da Turma'!B13:C49,2)*(1-$W$4/100)</f>
        <v>2648</v>
      </c>
      <c r="H20" s="42">
        <f t="shared" si="13"/>
        <v>23832</v>
      </c>
      <c r="I20" s="42">
        <f>VLOOKUP(F20-ROUND($W$5/G20,0),'Planos da Turma'!$B$6:$C$42,2)*(1-$W$4/100)*(F20-ROUND($W$5/G20,0))-$W$5</f>
        <v>23832</v>
      </c>
      <c r="J20" s="42">
        <f t="shared" si="1"/>
        <v>21832</v>
      </c>
      <c r="K20" s="42">
        <f t="shared" si="2"/>
        <v>21832</v>
      </c>
      <c r="L20" s="42">
        <f t="shared" si="3"/>
        <v>21846</v>
      </c>
      <c r="M20" s="42">
        <f t="shared" si="4"/>
        <v>21846</v>
      </c>
      <c r="N20" s="44">
        <f t="shared" si="14"/>
        <v>8</v>
      </c>
      <c r="O20" s="27" t="str">
        <f t="shared" si="5"/>
        <v>0</v>
      </c>
      <c r="P20" s="27" t="str">
        <f t="shared" si="6"/>
        <v>0</v>
      </c>
      <c r="Q20" s="27" t="str">
        <f t="shared" si="7"/>
        <v>1</v>
      </c>
      <c r="R20" s="27" t="str">
        <f t="shared" si="8"/>
        <v>0</v>
      </c>
      <c r="S20" s="28">
        <f t="shared" si="15"/>
        <v>2729</v>
      </c>
      <c r="T20" s="28">
        <f t="shared" si="16"/>
        <v>2729</v>
      </c>
      <c r="U20" s="28">
        <f t="shared" si="9"/>
        <v>2730.75</v>
      </c>
      <c r="V20" s="28">
        <f t="shared" si="10"/>
        <v>2730.75</v>
      </c>
      <c r="W20" s="42">
        <f t="shared" si="17"/>
        <v>21846</v>
      </c>
    </row>
    <row r="21" spans="3:23" x14ac:dyDescent="0.3">
      <c r="C21" s="45">
        <v>9</v>
      </c>
      <c r="D21" s="42">
        <f t="shared" si="11"/>
        <v>2432.2222222222222</v>
      </c>
      <c r="E21" s="41" t="str">
        <f t="shared" si="12"/>
        <v>1</v>
      </c>
      <c r="F21" s="44">
        <f t="shared" si="0"/>
        <v>10</v>
      </c>
      <c r="G21" s="42">
        <f>VLOOKUP(F21,'Planos da Turma'!B14:C50,2)*(1-$W$4/100)</f>
        <v>2388</v>
      </c>
      <c r="H21" s="42">
        <f t="shared" si="13"/>
        <v>23880</v>
      </c>
      <c r="I21" s="42">
        <f>VLOOKUP(F21-ROUND($W$5/G21,0),'Planos da Turma'!$B$6:$C$42,2)*(1-$W$4/100)*(F21-ROUND($W$5/G21,0))-$W$5</f>
        <v>23880</v>
      </c>
      <c r="J21" s="42">
        <f t="shared" si="1"/>
        <v>21880</v>
      </c>
      <c r="K21" s="42">
        <f t="shared" si="2"/>
        <v>21880</v>
      </c>
      <c r="L21" s="42">
        <f t="shared" si="3"/>
        <v>21890</v>
      </c>
      <c r="M21" s="42">
        <f t="shared" si="4"/>
        <v>21890</v>
      </c>
      <c r="N21" s="44">
        <f t="shared" si="14"/>
        <v>9</v>
      </c>
      <c r="O21" s="27" t="str">
        <f t="shared" si="5"/>
        <v>0</v>
      </c>
      <c r="P21" s="27" t="str">
        <f t="shared" si="6"/>
        <v>0</v>
      </c>
      <c r="Q21" s="27" t="str">
        <f t="shared" si="7"/>
        <v>1</v>
      </c>
      <c r="R21" s="27" t="str">
        <f t="shared" si="8"/>
        <v>0</v>
      </c>
      <c r="S21" s="28">
        <f t="shared" si="15"/>
        <v>2431.1111111111113</v>
      </c>
      <c r="T21" s="28">
        <f t="shared" si="16"/>
        <v>2431.1111111111113</v>
      </c>
      <c r="U21" s="28">
        <f t="shared" si="9"/>
        <v>2432.2222222222222</v>
      </c>
      <c r="V21" s="28">
        <f t="shared" si="10"/>
        <v>2432.2222222222222</v>
      </c>
      <c r="W21" s="42">
        <f t="shared" si="17"/>
        <v>21890</v>
      </c>
    </row>
    <row r="22" spans="3:23" x14ac:dyDescent="0.3">
      <c r="C22" s="45">
        <v>10</v>
      </c>
      <c r="D22" s="42">
        <f t="shared" si="11"/>
        <v>2190.1</v>
      </c>
      <c r="E22" s="41" t="str">
        <f t="shared" si="12"/>
        <v>1</v>
      </c>
      <c r="F22" s="44">
        <f t="shared" si="0"/>
        <v>11</v>
      </c>
      <c r="G22" s="42">
        <f>VLOOKUP(F22,'Planos da Turma'!B15:C51,2)*(1-$W$4/100)</f>
        <v>2172</v>
      </c>
      <c r="H22" s="42">
        <f t="shared" si="13"/>
        <v>23892</v>
      </c>
      <c r="I22" s="42">
        <f>VLOOKUP(F22-ROUND($W$5/G22,0),'Planos da Turma'!$B$6:$C$42,2)*(1-$W$4/100)*(F22-ROUND($W$5/G22,0))-$W$5</f>
        <v>23892</v>
      </c>
      <c r="J22" s="42">
        <f t="shared" si="1"/>
        <v>21892</v>
      </c>
      <c r="K22" s="42">
        <f t="shared" si="2"/>
        <v>21892</v>
      </c>
      <c r="L22" s="42">
        <f t="shared" si="3"/>
        <v>21901</v>
      </c>
      <c r="M22" s="42">
        <f t="shared" si="4"/>
        <v>21901</v>
      </c>
      <c r="N22" s="44">
        <f t="shared" si="14"/>
        <v>10</v>
      </c>
      <c r="O22" s="27" t="str">
        <f t="shared" si="5"/>
        <v>0</v>
      </c>
      <c r="P22" s="27" t="str">
        <f t="shared" si="6"/>
        <v>0</v>
      </c>
      <c r="Q22" s="27" t="str">
        <f t="shared" si="7"/>
        <v>1</v>
      </c>
      <c r="R22" s="27" t="str">
        <f t="shared" si="8"/>
        <v>0</v>
      </c>
      <c r="S22" s="28">
        <f t="shared" si="15"/>
        <v>2189.1999999999998</v>
      </c>
      <c r="T22" s="28">
        <f t="shared" si="16"/>
        <v>2189.1999999999998</v>
      </c>
      <c r="U22" s="28">
        <f t="shared" si="9"/>
        <v>2190.1</v>
      </c>
      <c r="V22" s="28">
        <f t="shared" si="10"/>
        <v>2190.1</v>
      </c>
      <c r="W22" s="42">
        <f t="shared" si="17"/>
        <v>21901</v>
      </c>
    </row>
    <row r="23" spans="3:23" x14ac:dyDescent="0.3">
      <c r="C23" s="45">
        <v>11</v>
      </c>
      <c r="D23" s="42">
        <f t="shared" si="11"/>
        <v>2000</v>
      </c>
      <c r="E23" s="41" t="str">
        <f t="shared" si="12"/>
        <v>0</v>
      </c>
      <c r="F23" s="44">
        <f t="shared" si="0"/>
        <v>12</v>
      </c>
      <c r="G23" s="42">
        <f>VLOOKUP(F23,'Planos da Turma'!B16:C52,2)*(1-$W$4/100)</f>
        <v>2000</v>
      </c>
      <c r="H23" s="42">
        <f t="shared" si="13"/>
        <v>24000</v>
      </c>
      <c r="I23" s="42">
        <f>VLOOKUP(F23-ROUND($W$5/G23,0),'Planos da Turma'!$B$6:$C$42,2)*(1-$W$4/100)*(F23-ROUND($W$5/G23,0))-$W$5</f>
        <v>24000</v>
      </c>
      <c r="J23" s="42">
        <f t="shared" si="1"/>
        <v>22000</v>
      </c>
      <c r="K23" s="42">
        <f t="shared" si="2"/>
        <v>22000</v>
      </c>
      <c r="L23" s="42">
        <f t="shared" si="3"/>
        <v>22000</v>
      </c>
      <c r="M23" s="42">
        <f t="shared" si="4"/>
        <v>22000</v>
      </c>
      <c r="N23" s="44">
        <f t="shared" si="14"/>
        <v>11</v>
      </c>
      <c r="O23" s="27" t="str">
        <f t="shared" si="5"/>
        <v>0</v>
      </c>
      <c r="P23" s="27" t="str">
        <f t="shared" si="6"/>
        <v>0</v>
      </c>
      <c r="Q23" s="27" t="str">
        <f t="shared" si="7"/>
        <v>1</v>
      </c>
      <c r="R23" s="27" t="str">
        <f t="shared" si="8"/>
        <v>0</v>
      </c>
      <c r="S23" s="28">
        <f t="shared" si="15"/>
        <v>2000</v>
      </c>
      <c r="T23" s="28">
        <f t="shared" si="16"/>
        <v>2000</v>
      </c>
      <c r="U23" s="28">
        <f t="shared" si="9"/>
        <v>2000</v>
      </c>
      <c r="V23" s="28">
        <f t="shared" si="10"/>
        <v>2000</v>
      </c>
      <c r="W23" s="42">
        <f t="shared" si="17"/>
        <v>22000</v>
      </c>
    </row>
    <row r="24" spans="3:23" x14ac:dyDescent="0.3">
      <c r="C24" s="45">
        <v>12</v>
      </c>
      <c r="D24" s="42">
        <f t="shared" si="11"/>
        <v>1855.0277777777776</v>
      </c>
      <c r="E24" s="41" t="str">
        <f t="shared" si="12"/>
        <v>0</v>
      </c>
      <c r="F24" s="44">
        <f t="shared" si="0"/>
        <v>13</v>
      </c>
      <c r="G24" s="42">
        <f>VLOOKUP(F24,'Planos da Turma'!B17:C53,2)*(1-$W$4/100)</f>
        <v>1868</v>
      </c>
      <c r="H24" s="42">
        <f t="shared" si="13"/>
        <v>24284</v>
      </c>
      <c r="I24" s="42">
        <f>VLOOKUP(F24-ROUND($W$5/G24,0),'Planos da Turma'!$B$6:$C$42,2)*(1-$W$4/100)*(F24-ROUND($W$5/G24,0))-$W$5</f>
        <v>24284</v>
      </c>
      <c r="J24" s="42">
        <f t="shared" si="1"/>
        <v>22284</v>
      </c>
      <c r="K24" s="42">
        <f t="shared" si="2"/>
        <v>22284</v>
      </c>
      <c r="L24" s="42">
        <f t="shared" si="3"/>
        <v>22260.333333333332</v>
      </c>
      <c r="M24" s="42">
        <f t="shared" si="4"/>
        <v>22260.333333333332</v>
      </c>
      <c r="N24" s="44">
        <f t="shared" si="14"/>
        <v>12</v>
      </c>
      <c r="O24" s="27" t="str">
        <f t="shared" si="5"/>
        <v>0</v>
      </c>
      <c r="P24" s="27" t="str">
        <f t="shared" si="6"/>
        <v>0</v>
      </c>
      <c r="Q24" s="27" t="str">
        <f t="shared" si="7"/>
        <v>0</v>
      </c>
      <c r="R24" s="27" t="str">
        <f t="shared" si="8"/>
        <v>0</v>
      </c>
      <c r="S24" s="28">
        <f t="shared" si="15"/>
        <v>1857</v>
      </c>
      <c r="T24" s="28">
        <f t="shared" si="16"/>
        <v>1857</v>
      </c>
      <c r="U24" s="28">
        <f t="shared" si="9"/>
        <v>1855.0277777777776</v>
      </c>
      <c r="V24" s="28">
        <f t="shared" si="10"/>
        <v>1855.0277777777776</v>
      </c>
      <c r="W24" s="42">
        <f t="shared" si="17"/>
        <v>22260.333333333332</v>
      </c>
    </row>
    <row r="25" spans="3:23" x14ac:dyDescent="0.3">
      <c r="C25" s="45">
        <v>13</v>
      </c>
      <c r="D25" s="42">
        <f t="shared" si="11"/>
        <v>1857</v>
      </c>
      <c r="E25" s="41" t="str">
        <f t="shared" si="12"/>
        <v>1</v>
      </c>
      <c r="F25" s="44">
        <f t="shared" si="0"/>
        <v>13</v>
      </c>
      <c r="G25" s="42">
        <f>VLOOKUP(F25,'Planos da Turma'!B18:C54,2)*(1-$W$4/100)</f>
        <v>1868</v>
      </c>
      <c r="H25" s="42">
        <f t="shared" si="13"/>
        <v>24284</v>
      </c>
      <c r="I25" s="42">
        <f>VLOOKUP(F25-ROUND($W$5/G25,0),'Planos da Turma'!$B$6:$C$42,2)*(1-$W$4/100)*(F25-ROUND($W$5/G25,0))-$W$5</f>
        <v>24284</v>
      </c>
      <c r="J25" s="42">
        <f t="shared" si="1"/>
        <v>22284</v>
      </c>
      <c r="K25" s="42">
        <f t="shared" si="2"/>
        <v>22284</v>
      </c>
      <c r="L25" s="42">
        <f t="shared" si="3"/>
        <v>22260.333333333332</v>
      </c>
      <c r="M25" s="42">
        <f t="shared" si="4"/>
        <v>22260.333333333332</v>
      </c>
      <c r="N25" s="44">
        <f t="shared" si="14"/>
        <v>12</v>
      </c>
      <c r="O25" s="27" t="str">
        <f t="shared" si="5"/>
        <v>1</v>
      </c>
      <c r="P25" s="27" t="str">
        <f t="shared" si="6"/>
        <v>0</v>
      </c>
      <c r="Q25" s="27" t="str">
        <f t="shared" si="7"/>
        <v>0</v>
      </c>
      <c r="R25" s="27" t="str">
        <f t="shared" si="8"/>
        <v>0</v>
      </c>
      <c r="S25" s="28">
        <f t="shared" si="15"/>
        <v>1857</v>
      </c>
      <c r="T25" s="28">
        <f t="shared" si="16"/>
        <v>1857</v>
      </c>
      <c r="U25" s="28">
        <f t="shared" si="9"/>
        <v>1855.0277777777776</v>
      </c>
      <c r="V25" s="28">
        <f t="shared" si="10"/>
        <v>1855.0277777777776</v>
      </c>
      <c r="W25" s="42">
        <f t="shared" si="17"/>
        <v>22284</v>
      </c>
    </row>
    <row r="26" spans="3:23" x14ac:dyDescent="0.3">
      <c r="C26" s="45">
        <v>14</v>
      </c>
      <c r="D26" s="42">
        <f t="shared" si="11"/>
        <v>1737.2307692307693</v>
      </c>
      <c r="E26" s="41" t="str">
        <f t="shared" si="12"/>
        <v>1</v>
      </c>
      <c r="F26" s="44">
        <f t="shared" si="0"/>
        <v>14</v>
      </c>
      <c r="G26" s="42">
        <f>VLOOKUP(F26,'Planos da Turma'!B19:C55,2)*(1-$W$4/100)</f>
        <v>1756</v>
      </c>
      <c r="H26" s="42">
        <f t="shared" si="13"/>
        <v>24584</v>
      </c>
      <c r="I26" s="42">
        <f>VLOOKUP(F26-ROUND($W$5/G26,0),'Planos da Turma'!$B$6:$C$42,2)*(1-$W$4/100)*(F26-ROUND($W$5/G26,0))-$W$5</f>
        <v>24584</v>
      </c>
      <c r="J26" s="42">
        <f t="shared" si="1"/>
        <v>22584</v>
      </c>
      <c r="K26" s="42">
        <f t="shared" si="2"/>
        <v>22584</v>
      </c>
      <c r="L26" s="42">
        <f t="shared" si="3"/>
        <v>22535.333333333332</v>
      </c>
      <c r="M26" s="42">
        <f t="shared" si="4"/>
        <v>22535.333333333332</v>
      </c>
      <c r="N26" s="44">
        <f t="shared" si="14"/>
        <v>13</v>
      </c>
      <c r="O26" s="27" t="str">
        <f t="shared" si="5"/>
        <v>1</v>
      </c>
      <c r="P26" s="27" t="str">
        <f t="shared" si="6"/>
        <v>0</v>
      </c>
      <c r="Q26" s="27" t="str">
        <f t="shared" si="7"/>
        <v>0</v>
      </c>
      <c r="R26" s="27" t="str">
        <f t="shared" si="8"/>
        <v>0</v>
      </c>
      <c r="S26" s="28">
        <f t="shared" si="15"/>
        <v>1737.2307692307693</v>
      </c>
      <c r="T26" s="28">
        <f t="shared" si="16"/>
        <v>1737.2307692307693</v>
      </c>
      <c r="U26" s="28">
        <f t="shared" si="9"/>
        <v>1733.4871794871794</v>
      </c>
      <c r="V26" s="28">
        <f t="shared" si="10"/>
        <v>1733.4871794871794</v>
      </c>
      <c r="W26" s="42">
        <f t="shared" si="17"/>
        <v>22584</v>
      </c>
    </row>
    <row r="27" spans="3:23" x14ac:dyDescent="0.3">
      <c r="C27" s="45">
        <v>15</v>
      </c>
      <c r="D27" s="42">
        <f t="shared" si="11"/>
        <v>1635.7142857142858</v>
      </c>
      <c r="E27" s="41" t="str">
        <f t="shared" si="12"/>
        <v>1</v>
      </c>
      <c r="F27" s="44">
        <f t="shared" si="0"/>
        <v>15</v>
      </c>
      <c r="G27" s="42">
        <f>VLOOKUP(F27,'Planos da Turma'!B20:C56,2)*(1-$W$4/100)</f>
        <v>1660</v>
      </c>
      <c r="H27" s="42">
        <f t="shared" si="13"/>
        <v>24900</v>
      </c>
      <c r="I27" s="42">
        <f>VLOOKUP(F27-ROUND($W$5/G27,0),'Planos da Turma'!$B$6:$C$42,2)*(1-$W$4/100)*(F27-ROUND($W$5/G27,0))-$W$5</f>
        <v>24900</v>
      </c>
      <c r="J27" s="42">
        <f t="shared" si="1"/>
        <v>22900</v>
      </c>
      <c r="K27" s="42">
        <f t="shared" si="2"/>
        <v>22900</v>
      </c>
      <c r="L27" s="42">
        <f t="shared" si="3"/>
        <v>22825</v>
      </c>
      <c r="M27" s="42">
        <f t="shared" si="4"/>
        <v>22825</v>
      </c>
      <c r="N27" s="44">
        <f t="shared" si="14"/>
        <v>14</v>
      </c>
      <c r="O27" s="27" t="str">
        <f t="shared" si="5"/>
        <v>1</v>
      </c>
      <c r="P27" s="27" t="str">
        <f t="shared" si="6"/>
        <v>0</v>
      </c>
      <c r="Q27" s="27" t="str">
        <f t="shared" si="7"/>
        <v>0</v>
      </c>
      <c r="R27" s="27" t="str">
        <f t="shared" si="8"/>
        <v>0</v>
      </c>
      <c r="S27" s="28">
        <f t="shared" si="15"/>
        <v>1635.7142857142858</v>
      </c>
      <c r="T27" s="28">
        <f t="shared" si="16"/>
        <v>1635.7142857142858</v>
      </c>
      <c r="U27" s="28">
        <f t="shared" si="9"/>
        <v>1630.3571428571429</v>
      </c>
      <c r="V27" s="28">
        <f t="shared" si="10"/>
        <v>1630.3571428571429</v>
      </c>
      <c r="W27" s="42">
        <f t="shared" si="17"/>
        <v>22900</v>
      </c>
    </row>
    <row r="28" spans="3:23" x14ac:dyDescent="0.3">
      <c r="C28" s="45">
        <v>16</v>
      </c>
      <c r="D28" s="42">
        <f t="shared" si="11"/>
        <v>1543.4666666666667</v>
      </c>
      <c r="E28" s="41" t="str">
        <f t="shared" si="12"/>
        <v>1</v>
      </c>
      <c r="F28" s="44">
        <f t="shared" si="0"/>
        <v>16</v>
      </c>
      <c r="G28" s="42">
        <f>VLOOKUP(F28,'Planos da Turma'!B21:C57,2)*(1-$W$4/100)</f>
        <v>1572</v>
      </c>
      <c r="H28" s="42">
        <f t="shared" si="13"/>
        <v>25152</v>
      </c>
      <c r="I28" s="42">
        <f>VLOOKUP(F28-ROUND($W$5/G28,0),'Planos da Turma'!$B$6:$C$42,2)*(1-$W$4/100)*(F28-ROUND($W$5/G28,0))-$W$5</f>
        <v>25152</v>
      </c>
      <c r="J28" s="42">
        <f t="shared" si="1"/>
        <v>23152</v>
      </c>
      <c r="K28" s="42">
        <f t="shared" si="2"/>
        <v>23152</v>
      </c>
      <c r="L28" s="42">
        <f t="shared" si="3"/>
        <v>23056</v>
      </c>
      <c r="M28" s="42">
        <f t="shared" si="4"/>
        <v>23056</v>
      </c>
      <c r="N28" s="44">
        <f t="shared" si="14"/>
        <v>15</v>
      </c>
      <c r="O28" s="27" t="str">
        <f t="shared" si="5"/>
        <v>1</v>
      </c>
      <c r="P28" s="27" t="str">
        <f t="shared" si="6"/>
        <v>0</v>
      </c>
      <c r="Q28" s="27" t="str">
        <f t="shared" si="7"/>
        <v>0</v>
      </c>
      <c r="R28" s="27" t="str">
        <f t="shared" si="8"/>
        <v>0</v>
      </c>
      <c r="S28" s="28">
        <f t="shared" si="15"/>
        <v>1543.4666666666667</v>
      </c>
      <c r="T28" s="28">
        <f t="shared" si="16"/>
        <v>1543.4666666666667</v>
      </c>
      <c r="U28" s="28">
        <f t="shared" si="9"/>
        <v>1537.0666666666666</v>
      </c>
      <c r="V28" s="28">
        <f t="shared" si="10"/>
        <v>1537.0666666666666</v>
      </c>
      <c r="W28" s="42">
        <f t="shared" si="17"/>
        <v>23152</v>
      </c>
    </row>
    <row r="29" spans="3:23" x14ac:dyDescent="0.3">
      <c r="C29" s="45">
        <v>17</v>
      </c>
      <c r="D29" s="42">
        <f t="shared" si="11"/>
        <v>1460.25</v>
      </c>
      <c r="E29" s="41" t="str">
        <f t="shared" si="12"/>
        <v>1</v>
      </c>
      <c r="F29" s="44">
        <f t="shared" si="0"/>
        <v>17</v>
      </c>
      <c r="G29" s="42">
        <f>VLOOKUP(F29,'Planos da Turma'!B22:C58,2)*(1-$W$4/100)</f>
        <v>1492</v>
      </c>
      <c r="H29" s="42">
        <f t="shared" si="13"/>
        <v>25364</v>
      </c>
      <c r="I29" s="42">
        <f>VLOOKUP(F29-ROUND($W$5/G29,0),'Planos da Turma'!$B$6:$C$42,2)*(1-$W$4/100)*(F29-ROUND($W$5/G29,0))-$W$5</f>
        <v>25364</v>
      </c>
      <c r="J29" s="42">
        <f t="shared" si="1"/>
        <v>23364</v>
      </c>
      <c r="K29" s="42">
        <f t="shared" si="2"/>
        <v>23364</v>
      </c>
      <c r="L29" s="42">
        <f t="shared" si="3"/>
        <v>23250.333333333332</v>
      </c>
      <c r="M29" s="42">
        <f t="shared" si="4"/>
        <v>23250.333333333332</v>
      </c>
      <c r="N29" s="44">
        <f t="shared" si="14"/>
        <v>16</v>
      </c>
      <c r="O29" s="27" t="str">
        <f t="shared" si="5"/>
        <v>1</v>
      </c>
      <c r="P29" s="27" t="str">
        <f t="shared" si="6"/>
        <v>0</v>
      </c>
      <c r="Q29" s="27" t="str">
        <f t="shared" si="7"/>
        <v>0</v>
      </c>
      <c r="R29" s="27" t="str">
        <f t="shared" si="8"/>
        <v>0</v>
      </c>
      <c r="S29" s="28">
        <f t="shared" si="15"/>
        <v>1460.25</v>
      </c>
      <c r="T29" s="28">
        <f t="shared" si="16"/>
        <v>1460.25</v>
      </c>
      <c r="U29" s="28">
        <f t="shared" si="9"/>
        <v>1453.1458333333333</v>
      </c>
      <c r="V29" s="28">
        <f t="shared" si="10"/>
        <v>1453.1458333333333</v>
      </c>
      <c r="W29" s="42">
        <f t="shared" si="17"/>
        <v>23364</v>
      </c>
    </row>
    <row r="30" spans="3:23" x14ac:dyDescent="0.3">
      <c r="C30" s="45">
        <v>18</v>
      </c>
      <c r="D30" s="42">
        <f t="shared" si="11"/>
        <v>1394.3529411764705</v>
      </c>
      <c r="E30" s="41" t="str">
        <f t="shared" si="12"/>
        <v>1</v>
      </c>
      <c r="F30" s="44">
        <f t="shared" si="0"/>
        <v>18</v>
      </c>
      <c r="G30" s="42">
        <f>VLOOKUP(F30,'Planos da Turma'!B23:C59,2)*(1-$W$4/100)</f>
        <v>1428</v>
      </c>
      <c r="H30" s="42">
        <f t="shared" si="13"/>
        <v>25704</v>
      </c>
      <c r="I30" s="42">
        <f>VLOOKUP(F30-ROUND($W$5/G30,0),'Planos da Turma'!$B$6:$C$42,2)*(1-$W$4/100)*(F30-ROUND($W$5/G30,0))-$W$5</f>
        <v>25704</v>
      </c>
      <c r="J30" s="42">
        <f t="shared" si="1"/>
        <v>23704</v>
      </c>
      <c r="K30" s="42">
        <f t="shared" si="2"/>
        <v>23704</v>
      </c>
      <c r="L30" s="42">
        <f t="shared" si="3"/>
        <v>23562</v>
      </c>
      <c r="M30" s="42">
        <f t="shared" si="4"/>
        <v>23562</v>
      </c>
      <c r="N30" s="44">
        <f t="shared" si="14"/>
        <v>17</v>
      </c>
      <c r="O30" s="27" t="str">
        <f t="shared" si="5"/>
        <v>1</v>
      </c>
      <c r="P30" s="27" t="str">
        <f t="shared" si="6"/>
        <v>0</v>
      </c>
      <c r="Q30" s="27" t="str">
        <f t="shared" si="7"/>
        <v>0</v>
      </c>
      <c r="R30" s="27" t="str">
        <f t="shared" si="8"/>
        <v>0</v>
      </c>
      <c r="S30" s="28">
        <f t="shared" si="15"/>
        <v>1394.3529411764705</v>
      </c>
      <c r="T30" s="28">
        <f t="shared" si="16"/>
        <v>1394.3529411764705</v>
      </c>
      <c r="U30" s="28">
        <f t="shared" si="9"/>
        <v>1386</v>
      </c>
      <c r="V30" s="28">
        <f t="shared" si="10"/>
        <v>1386</v>
      </c>
      <c r="W30" s="42">
        <f t="shared" si="17"/>
        <v>23704</v>
      </c>
    </row>
    <row r="31" spans="3:23" x14ac:dyDescent="0.3">
      <c r="C31" s="45">
        <v>19</v>
      </c>
      <c r="D31" s="42">
        <f t="shared" si="11"/>
        <v>1328.6666666666667</v>
      </c>
      <c r="E31" s="41" t="str">
        <f t="shared" si="12"/>
        <v>1</v>
      </c>
      <c r="F31" s="44">
        <f t="shared" si="0"/>
        <v>19</v>
      </c>
      <c r="G31" s="42">
        <f>VLOOKUP(F31,'Planos da Turma'!B24:C60,2)*(1-$W$4/100)</f>
        <v>1364</v>
      </c>
      <c r="H31" s="42">
        <f t="shared" si="13"/>
        <v>25916</v>
      </c>
      <c r="I31" s="42">
        <f>VLOOKUP(F31-ROUND($W$5/G31,0),'Planos da Turma'!$B$6:$C$42,2)*(1-$W$4/100)*(F31-ROUND($W$5/G31,0))-$W$5</f>
        <v>25916</v>
      </c>
      <c r="J31" s="42">
        <f t="shared" si="1"/>
        <v>23916</v>
      </c>
      <c r="K31" s="42">
        <f t="shared" si="2"/>
        <v>23916</v>
      </c>
      <c r="L31" s="42">
        <f t="shared" si="3"/>
        <v>23756.333333333332</v>
      </c>
      <c r="M31" s="42">
        <f t="shared" si="4"/>
        <v>23756.333333333332</v>
      </c>
      <c r="N31" s="44">
        <f t="shared" si="14"/>
        <v>18</v>
      </c>
      <c r="O31" s="27" t="str">
        <f t="shared" si="5"/>
        <v>1</v>
      </c>
      <c r="P31" s="27" t="str">
        <f t="shared" si="6"/>
        <v>0</v>
      </c>
      <c r="Q31" s="27" t="str">
        <f t="shared" si="7"/>
        <v>0</v>
      </c>
      <c r="R31" s="27" t="str">
        <f t="shared" si="8"/>
        <v>0</v>
      </c>
      <c r="S31" s="28">
        <f t="shared" si="15"/>
        <v>1328.6666666666667</v>
      </c>
      <c r="T31" s="28">
        <f t="shared" si="16"/>
        <v>1328.6666666666667</v>
      </c>
      <c r="U31" s="28">
        <f t="shared" si="9"/>
        <v>1319.7962962962963</v>
      </c>
      <c r="V31" s="28">
        <f t="shared" si="10"/>
        <v>1319.7962962962963</v>
      </c>
      <c r="W31" s="42">
        <f t="shared" si="17"/>
        <v>23916</v>
      </c>
    </row>
    <row r="32" spans="3:23" x14ac:dyDescent="0.3">
      <c r="C32" s="45">
        <v>20</v>
      </c>
      <c r="D32" s="42">
        <f t="shared" si="11"/>
        <v>1280</v>
      </c>
      <c r="E32" s="41" t="str">
        <f t="shared" si="12"/>
        <v>1</v>
      </c>
      <c r="F32" s="44">
        <f t="shared" si="0"/>
        <v>20</v>
      </c>
      <c r="G32" s="42">
        <f>VLOOKUP(F32,'Planos da Turma'!B25:C61,2)*(1-$W$4/100)</f>
        <v>1316</v>
      </c>
      <c r="H32" s="42">
        <f t="shared" si="13"/>
        <v>26320</v>
      </c>
      <c r="I32" s="42">
        <f>VLOOKUP(F32-ROUND($W$5/G32,0),'Planos da Turma'!$B$6:$C$42,2)*(1-$W$4/100)*(F32-ROUND($W$5/G32,0))-$W$5</f>
        <v>26320</v>
      </c>
      <c r="J32" s="42">
        <f t="shared" si="1"/>
        <v>24320</v>
      </c>
      <c r="K32" s="42">
        <f t="shared" si="2"/>
        <v>24320</v>
      </c>
      <c r="L32" s="42">
        <f t="shared" si="3"/>
        <v>24126.666666666668</v>
      </c>
      <c r="M32" s="42">
        <f t="shared" si="4"/>
        <v>24126.666666666668</v>
      </c>
      <c r="N32" s="44">
        <f t="shared" si="14"/>
        <v>19</v>
      </c>
      <c r="O32" s="27" t="str">
        <f t="shared" si="5"/>
        <v>1</v>
      </c>
      <c r="P32" s="27" t="str">
        <f t="shared" si="6"/>
        <v>0</v>
      </c>
      <c r="Q32" s="27" t="str">
        <f t="shared" si="7"/>
        <v>0</v>
      </c>
      <c r="R32" s="27" t="str">
        <f t="shared" si="8"/>
        <v>0</v>
      </c>
      <c r="S32" s="28">
        <f t="shared" si="15"/>
        <v>1280</v>
      </c>
      <c r="T32" s="28">
        <f t="shared" si="16"/>
        <v>1280</v>
      </c>
      <c r="U32" s="28">
        <f t="shared" si="9"/>
        <v>1269.8245614035088</v>
      </c>
      <c r="V32" s="28">
        <f t="shared" si="10"/>
        <v>1269.8245614035088</v>
      </c>
      <c r="W32" s="42">
        <f t="shared" si="17"/>
        <v>24320</v>
      </c>
    </row>
    <row r="33" spans="3:23" x14ac:dyDescent="0.3">
      <c r="C33" s="45">
        <v>21</v>
      </c>
      <c r="D33" s="42">
        <f t="shared" si="11"/>
        <v>1223</v>
      </c>
      <c r="E33" s="41" t="str">
        <f t="shared" si="12"/>
        <v>1</v>
      </c>
      <c r="F33" s="44">
        <f t="shared" si="0"/>
        <v>21</v>
      </c>
      <c r="G33" s="42">
        <f>VLOOKUP(F33,'Planos da Turma'!B26:C62,2)*(1-$W$4/100)</f>
        <v>1260</v>
      </c>
      <c r="H33" s="42">
        <f t="shared" si="13"/>
        <v>26460</v>
      </c>
      <c r="I33" s="42">
        <f>VLOOKUP(F33-ROUND($W$5/G33,0),'Planos da Turma'!$B$6:$C$42,2)*(1-$W$4/100)*(F33-ROUND($W$5/G33,0))-$W$5</f>
        <v>26460</v>
      </c>
      <c r="J33" s="42">
        <f t="shared" si="1"/>
        <v>24460</v>
      </c>
      <c r="K33" s="42">
        <f t="shared" si="2"/>
        <v>24460</v>
      </c>
      <c r="L33" s="42">
        <f t="shared" si="3"/>
        <v>24255</v>
      </c>
      <c r="M33" s="42">
        <f t="shared" si="4"/>
        <v>24255</v>
      </c>
      <c r="N33" s="44">
        <f t="shared" si="14"/>
        <v>20</v>
      </c>
      <c r="O33" s="27" t="str">
        <f t="shared" si="5"/>
        <v>1</v>
      </c>
      <c r="P33" s="27" t="str">
        <f t="shared" si="6"/>
        <v>0</v>
      </c>
      <c r="Q33" s="27" t="str">
        <f t="shared" si="7"/>
        <v>0</v>
      </c>
      <c r="R33" s="27" t="str">
        <f t="shared" si="8"/>
        <v>0</v>
      </c>
      <c r="S33" s="28">
        <f t="shared" si="15"/>
        <v>1223</v>
      </c>
      <c r="T33" s="28">
        <f t="shared" si="16"/>
        <v>1223</v>
      </c>
      <c r="U33" s="28">
        <f t="shared" si="9"/>
        <v>1212.75</v>
      </c>
      <c r="V33" s="28">
        <f t="shared" si="10"/>
        <v>1212.75</v>
      </c>
      <c r="W33" s="42">
        <f t="shared" si="17"/>
        <v>24460</v>
      </c>
    </row>
    <row r="34" spans="3:23" x14ac:dyDescent="0.3">
      <c r="C34" s="45">
        <v>22</v>
      </c>
      <c r="D34" s="42">
        <f t="shared" si="11"/>
        <v>1182.8571428571429</v>
      </c>
      <c r="E34" s="41" t="str">
        <f t="shared" si="12"/>
        <v>1</v>
      </c>
      <c r="F34" s="44">
        <f t="shared" si="0"/>
        <v>22</v>
      </c>
      <c r="G34" s="42">
        <f>VLOOKUP(F34,'Planos da Turma'!B27:C63,2)*(1-$W$4/100)</f>
        <v>1220</v>
      </c>
      <c r="H34" s="42">
        <f t="shared" si="13"/>
        <v>26840</v>
      </c>
      <c r="I34" s="42">
        <f>VLOOKUP(F34-ROUND($W$5/G34,0),'Planos da Turma'!$B$6:$C$42,2)*(1-$W$4/100)*(F34-ROUND($W$5/G34,0))-$W$5</f>
        <v>26840</v>
      </c>
      <c r="J34" s="42">
        <f t="shared" si="1"/>
        <v>24840</v>
      </c>
      <c r="K34" s="42">
        <f t="shared" si="2"/>
        <v>24840</v>
      </c>
      <c r="L34" s="42">
        <f t="shared" si="3"/>
        <v>24603.333333333332</v>
      </c>
      <c r="M34" s="42">
        <f t="shared" si="4"/>
        <v>24603.333333333332</v>
      </c>
      <c r="N34" s="44">
        <f t="shared" si="14"/>
        <v>21</v>
      </c>
      <c r="O34" s="27" t="str">
        <f t="shared" si="5"/>
        <v>1</v>
      </c>
      <c r="P34" s="27" t="str">
        <f t="shared" si="6"/>
        <v>0</v>
      </c>
      <c r="Q34" s="27" t="str">
        <f t="shared" si="7"/>
        <v>0</v>
      </c>
      <c r="R34" s="27" t="str">
        <f t="shared" si="8"/>
        <v>0</v>
      </c>
      <c r="S34" s="28">
        <f t="shared" si="15"/>
        <v>1182.8571428571429</v>
      </c>
      <c r="T34" s="28">
        <f t="shared" si="16"/>
        <v>1182.8571428571429</v>
      </c>
      <c r="U34" s="28">
        <f t="shared" si="9"/>
        <v>1171.5873015873015</v>
      </c>
      <c r="V34" s="28">
        <f t="shared" si="10"/>
        <v>1171.5873015873015</v>
      </c>
      <c r="W34" s="42">
        <f t="shared" si="17"/>
        <v>24840</v>
      </c>
    </row>
    <row r="35" spans="3:23" x14ac:dyDescent="0.3">
      <c r="C35" s="45">
        <v>23</v>
      </c>
      <c r="D35" s="42">
        <f t="shared" si="11"/>
        <v>1146.909090909091</v>
      </c>
      <c r="E35" s="41" t="str">
        <f t="shared" si="12"/>
        <v>1</v>
      </c>
      <c r="F35" s="44">
        <f t="shared" si="0"/>
        <v>23</v>
      </c>
      <c r="G35" s="42">
        <f>VLOOKUP(F35,'Planos da Turma'!B28:C64,2)*(1-$W$4/100)</f>
        <v>1184</v>
      </c>
      <c r="H35" s="42">
        <f t="shared" si="13"/>
        <v>27232</v>
      </c>
      <c r="I35" s="42">
        <f>VLOOKUP(F35-ROUND($W$5/G35,0),'Planos da Turma'!$B$6:$C$42,2)*(1-$W$4/100)*(F35-ROUND($W$5/G35,0))-$W$5</f>
        <v>27232</v>
      </c>
      <c r="J35" s="42">
        <f t="shared" si="1"/>
        <v>25232</v>
      </c>
      <c r="K35" s="42">
        <f t="shared" si="2"/>
        <v>25232</v>
      </c>
      <c r="L35" s="42">
        <f t="shared" si="3"/>
        <v>24962.666666666668</v>
      </c>
      <c r="M35" s="42">
        <f t="shared" si="4"/>
        <v>24962.666666666668</v>
      </c>
      <c r="N35" s="44">
        <f t="shared" si="14"/>
        <v>22</v>
      </c>
      <c r="O35" s="27" t="str">
        <f t="shared" si="5"/>
        <v>1</v>
      </c>
      <c r="P35" s="27" t="str">
        <f t="shared" si="6"/>
        <v>0</v>
      </c>
      <c r="Q35" s="27" t="str">
        <f t="shared" si="7"/>
        <v>0</v>
      </c>
      <c r="R35" s="27" t="str">
        <f t="shared" si="8"/>
        <v>0</v>
      </c>
      <c r="S35" s="28">
        <f t="shared" si="15"/>
        <v>1146.909090909091</v>
      </c>
      <c r="T35" s="28">
        <f t="shared" si="16"/>
        <v>1146.909090909091</v>
      </c>
      <c r="U35" s="28">
        <f t="shared" si="9"/>
        <v>1134.6666666666667</v>
      </c>
      <c r="V35" s="28">
        <f t="shared" si="10"/>
        <v>1134.6666666666667</v>
      </c>
      <c r="W35" s="42">
        <f t="shared" si="17"/>
        <v>25232</v>
      </c>
    </row>
    <row r="36" spans="3:23" x14ac:dyDescent="0.3">
      <c r="C36" s="45">
        <v>24</v>
      </c>
      <c r="D36" s="42">
        <f t="shared" si="11"/>
        <v>1102.608695652174</v>
      </c>
      <c r="E36" s="41" t="str">
        <f t="shared" si="12"/>
        <v>1</v>
      </c>
      <c r="F36" s="44">
        <f t="shared" si="0"/>
        <v>24</v>
      </c>
      <c r="G36" s="42">
        <f>VLOOKUP(F36,'Planos da Turma'!B29:C65,2)*(1-$W$4/100)</f>
        <v>1140</v>
      </c>
      <c r="H36" s="42">
        <f t="shared" si="13"/>
        <v>27360</v>
      </c>
      <c r="I36" s="42">
        <f>VLOOKUP(F36-ROUND($W$5/G36,0),'Planos da Turma'!$B$6:$C$42,2)*(1-$W$4/100)*(F36-ROUND($W$5/G36,0))-$W$5</f>
        <v>27360</v>
      </c>
      <c r="J36" s="42">
        <f t="shared" si="1"/>
        <v>25360</v>
      </c>
      <c r="K36" s="42">
        <f t="shared" si="2"/>
        <v>25360</v>
      </c>
      <c r="L36" s="42">
        <f t="shared" si="3"/>
        <v>25080</v>
      </c>
      <c r="M36" s="42">
        <f t="shared" si="4"/>
        <v>25080</v>
      </c>
      <c r="N36" s="44">
        <f t="shared" si="14"/>
        <v>23</v>
      </c>
      <c r="O36" s="27" t="str">
        <f t="shared" si="5"/>
        <v>1</v>
      </c>
      <c r="P36" s="27" t="str">
        <f t="shared" si="6"/>
        <v>0</v>
      </c>
      <c r="Q36" s="27" t="str">
        <f t="shared" si="7"/>
        <v>0</v>
      </c>
      <c r="R36" s="27" t="str">
        <f t="shared" si="8"/>
        <v>0</v>
      </c>
      <c r="S36" s="28">
        <f t="shared" si="15"/>
        <v>1102.608695652174</v>
      </c>
      <c r="T36" s="28">
        <f t="shared" si="16"/>
        <v>1102.608695652174</v>
      </c>
      <c r="U36" s="28">
        <f t="shared" si="9"/>
        <v>1090.4347826086957</v>
      </c>
      <c r="V36" s="28">
        <f t="shared" si="10"/>
        <v>1090.4347826086957</v>
      </c>
      <c r="W36" s="42">
        <f t="shared" si="17"/>
        <v>25360</v>
      </c>
    </row>
    <row r="37" spans="3:23" x14ac:dyDescent="0.3">
      <c r="C37" s="45">
        <v>25</v>
      </c>
      <c r="D37" s="42">
        <f t="shared" si="11"/>
        <v>1070.8333333333333</v>
      </c>
      <c r="E37" s="41" t="str">
        <f t="shared" si="12"/>
        <v>1</v>
      </c>
      <c r="F37" s="44">
        <f t="shared" si="0"/>
        <v>25</v>
      </c>
      <c r="G37" s="42">
        <f>VLOOKUP(F37,'Planos da Turma'!B30:C66,2)*(1-$W$4/100)</f>
        <v>1108</v>
      </c>
      <c r="H37" s="42">
        <f t="shared" si="13"/>
        <v>27700</v>
      </c>
      <c r="I37" s="42">
        <f>VLOOKUP(F37-ROUND($W$5/G37,0),'Planos da Turma'!$B$6:$C$42,2)*(1-$W$4/100)*(F37-ROUND($W$5/G37,0))-$W$5</f>
        <v>27700</v>
      </c>
      <c r="J37" s="42">
        <f t="shared" si="1"/>
        <v>25700</v>
      </c>
      <c r="K37" s="42">
        <f t="shared" si="2"/>
        <v>25700</v>
      </c>
      <c r="L37" s="42">
        <f t="shared" si="3"/>
        <v>25391.666666666668</v>
      </c>
      <c r="M37" s="42">
        <f t="shared" si="4"/>
        <v>25391.666666666668</v>
      </c>
      <c r="N37" s="44">
        <f t="shared" si="14"/>
        <v>24</v>
      </c>
      <c r="O37" s="27" t="str">
        <f t="shared" si="5"/>
        <v>1</v>
      </c>
      <c r="P37" s="27" t="str">
        <f t="shared" si="6"/>
        <v>0</v>
      </c>
      <c r="Q37" s="27" t="str">
        <f t="shared" si="7"/>
        <v>0</v>
      </c>
      <c r="R37" s="27" t="str">
        <f t="shared" si="8"/>
        <v>0</v>
      </c>
      <c r="S37" s="28">
        <f t="shared" si="15"/>
        <v>1070.8333333333333</v>
      </c>
      <c r="T37" s="28">
        <f t="shared" si="16"/>
        <v>1070.8333333333333</v>
      </c>
      <c r="U37" s="28">
        <f t="shared" si="9"/>
        <v>1057.9861111111111</v>
      </c>
      <c r="V37" s="28">
        <f t="shared" si="10"/>
        <v>1057.9861111111111</v>
      </c>
      <c r="W37" s="42">
        <f t="shared" si="17"/>
        <v>25700</v>
      </c>
    </row>
    <row r="38" spans="3:23" x14ac:dyDescent="0.3">
      <c r="C38" s="45">
        <v>26</v>
      </c>
      <c r="D38" s="42">
        <f t="shared" si="11"/>
        <v>1043.2</v>
      </c>
      <c r="E38" s="41" t="str">
        <f t="shared" si="12"/>
        <v>1</v>
      </c>
      <c r="F38" s="44">
        <f t="shared" si="0"/>
        <v>26</v>
      </c>
      <c r="G38" s="42">
        <f>VLOOKUP(F38,'Planos da Turma'!B31:C67,2)*(1-$W$4/100)</f>
        <v>1080</v>
      </c>
      <c r="H38" s="42">
        <f t="shared" si="13"/>
        <v>28080</v>
      </c>
      <c r="I38" s="42">
        <f>VLOOKUP(F38-ROUND($W$5/G38,0),'Planos da Turma'!$B$6:$C$42,2)*(1-$W$4/100)*(F38-ROUND($W$5/G38,0))-$W$5</f>
        <v>28080</v>
      </c>
      <c r="J38" s="42">
        <f t="shared" si="1"/>
        <v>26080</v>
      </c>
      <c r="K38" s="42">
        <f t="shared" si="2"/>
        <v>26080</v>
      </c>
      <c r="L38" s="42">
        <f t="shared" si="3"/>
        <v>25740</v>
      </c>
      <c r="M38" s="42">
        <f t="shared" si="4"/>
        <v>25740</v>
      </c>
      <c r="N38" s="44">
        <f t="shared" si="14"/>
        <v>25</v>
      </c>
      <c r="O38" s="27" t="str">
        <f t="shared" si="5"/>
        <v>1</v>
      </c>
      <c r="P38" s="27" t="str">
        <f t="shared" si="6"/>
        <v>0</v>
      </c>
      <c r="Q38" s="27" t="str">
        <f t="shared" si="7"/>
        <v>0</v>
      </c>
      <c r="R38" s="27" t="str">
        <f t="shared" si="8"/>
        <v>0</v>
      </c>
      <c r="S38" s="28">
        <f t="shared" si="15"/>
        <v>1043.2</v>
      </c>
      <c r="T38" s="28">
        <f t="shared" si="16"/>
        <v>1043.2</v>
      </c>
      <c r="U38" s="28">
        <f t="shared" si="9"/>
        <v>1029.5999999999999</v>
      </c>
      <c r="V38" s="28">
        <f t="shared" si="10"/>
        <v>1029.5999999999999</v>
      </c>
      <c r="W38" s="42">
        <f t="shared" si="17"/>
        <v>26080</v>
      </c>
    </row>
    <row r="39" spans="3:23" x14ac:dyDescent="0.3">
      <c r="C39" s="45">
        <v>27</v>
      </c>
      <c r="D39" s="42">
        <f t="shared" si="11"/>
        <v>1007.2307692307693</v>
      </c>
      <c r="E39" s="41" t="str">
        <f t="shared" si="12"/>
        <v>1</v>
      </c>
      <c r="F39" s="44">
        <f t="shared" si="0"/>
        <v>27</v>
      </c>
      <c r="G39" s="42">
        <f>VLOOKUP(F39,'Planos da Turma'!B32:C68,2)*(1-$W$4/100)</f>
        <v>1044</v>
      </c>
      <c r="H39" s="42">
        <f t="shared" si="13"/>
        <v>28188</v>
      </c>
      <c r="I39" s="42">
        <f>VLOOKUP(F39-ROUND($W$5/G39,0),'Planos da Turma'!$B$6:$C$42,2)*(1-$W$4/100)*(F39-ROUND($W$5/G39,0))-$W$5</f>
        <v>28188</v>
      </c>
      <c r="J39" s="42">
        <f t="shared" si="1"/>
        <v>26188</v>
      </c>
      <c r="K39" s="42">
        <f t="shared" si="2"/>
        <v>26188</v>
      </c>
      <c r="L39" s="42">
        <f t="shared" si="3"/>
        <v>25839</v>
      </c>
      <c r="M39" s="42">
        <f t="shared" si="4"/>
        <v>25839</v>
      </c>
      <c r="N39" s="44">
        <f t="shared" si="14"/>
        <v>26</v>
      </c>
      <c r="O39" s="27" t="str">
        <f t="shared" si="5"/>
        <v>1</v>
      </c>
      <c r="P39" s="27" t="str">
        <f t="shared" si="6"/>
        <v>0</v>
      </c>
      <c r="Q39" s="27" t="str">
        <f t="shared" si="7"/>
        <v>0</v>
      </c>
      <c r="R39" s="27" t="str">
        <f t="shared" si="8"/>
        <v>0</v>
      </c>
      <c r="S39" s="28">
        <f t="shared" si="15"/>
        <v>1007.2307692307693</v>
      </c>
      <c r="T39" s="28">
        <f t="shared" si="16"/>
        <v>1007.2307692307693</v>
      </c>
      <c r="U39" s="28">
        <f t="shared" si="9"/>
        <v>993.80769230769226</v>
      </c>
      <c r="V39" s="28">
        <f t="shared" si="10"/>
        <v>993.80769230769226</v>
      </c>
      <c r="W39" s="42">
        <f t="shared" si="17"/>
        <v>26188</v>
      </c>
    </row>
    <row r="40" spans="3:23" x14ac:dyDescent="0.3">
      <c r="C40" s="45">
        <v>28</v>
      </c>
      <c r="D40" s="42">
        <f t="shared" si="11"/>
        <v>983.7037037037037</v>
      </c>
      <c r="E40" s="41" t="str">
        <f t="shared" si="12"/>
        <v>1</v>
      </c>
      <c r="F40" s="44">
        <f t="shared" si="0"/>
        <v>28</v>
      </c>
      <c r="G40" s="42">
        <f>VLOOKUP(F40,'Planos da Turma'!B33:C69,2)*(1-$W$4/100)</f>
        <v>1020</v>
      </c>
      <c r="H40" s="42">
        <f t="shared" si="13"/>
        <v>28560</v>
      </c>
      <c r="I40" s="42">
        <f>VLOOKUP(F40-ROUND($W$5/G40,0),'Planos da Turma'!$B$6:$C$42,2)*(1-$W$4/100)*(F40-ROUND($W$5/G40,0))-$W$5</f>
        <v>28560</v>
      </c>
      <c r="J40" s="42">
        <f t="shared" si="1"/>
        <v>26560</v>
      </c>
      <c r="K40" s="42">
        <f t="shared" si="2"/>
        <v>26560</v>
      </c>
      <c r="L40" s="42">
        <f t="shared" si="3"/>
        <v>26180</v>
      </c>
      <c r="M40" s="42">
        <f t="shared" si="4"/>
        <v>26180</v>
      </c>
      <c r="N40" s="44">
        <f t="shared" si="14"/>
        <v>27</v>
      </c>
      <c r="O40" s="27" t="str">
        <f t="shared" si="5"/>
        <v>1</v>
      </c>
      <c r="P40" s="27" t="str">
        <f t="shared" si="6"/>
        <v>0</v>
      </c>
      <c r="Q40" s="27" t="str">
        <f t="shared" si="7"/>
        <v>0</v>
      </c>
      <c r="R40" s="27" t="str">
        <f t="shared" si="8"/>
        <v>0</v>
      </c>
      <c r="S40" s="28">
        <f t="shared" si="15"/>
        <v>983.7037037037037</v>
      </c>
      <c r="T40" s="28">
        <f t="shared" si="16"/>
        <v>983.7037037037037</v>
      </c>
      <c r="U40" s="28">
        <f t="shared" si="9"/>
        <v>969.62962962962968</v>
      </c>
      <c r="V40" s="28">
        <f t="shared" si="10"/>
        <v>969.62962962962968</v>
      </c>
      <c r="W40" s="42">
        <f t="shared" si="17"/>
        <v>26560</v>
      </c>
    </row>
    <row r="41" spans="3:23" x14ac:dyDescent="0.3">
      <c r="C41" s="45">
        <v>29</v>
      </c>
      <c r="D41" s="42">
        <f t="shared" si="11"/>
        <v>960.14285714285711</v>
      </c>
      <c r="E41" s="41" t="str">
        <f t="shared" si="12"/>
        <v>1</v>
      </c>
      <c r="F41" s="44">
        <f t="shared" si="0"/>
        <v>29</v>
      </c>
      <c r="G41" s="42">
        <f>VLOOKUP(F41,'Planos da Turma'!B34:C70,2)*(1-$W$4/100)</f>
        <v>996</v>
      </c>
      <c r="H41" s="42">
        <f t="shared" si="13"/>
        <v>28884</v>
      </c>
      <c r="I41" s="42">
        <f>VLOOKUP(F41-ROUND($W$5/G41,0),'Planos da Turma'!$B$6:$C$42,2)*(1-$W$4/100)*(F41-ROUND($W$5/G41,0))-$W$5</f>
        <v>28884</v>
      </c>
      <c r="J41" s="42">
        <f t="shared" si="1"/>
        <v>26884</v>
      </c>
      <c r="K41" s="42">
        <f t="shared" si="2"/>
        <v>26884</v>
      </c>
      <c r="L41" s="42">
        <f t="shared" si="3"/>
        <v>26477</v>
      </c>
      <c r="M41" s="42">
        <f t="shared" si="4"/>
        <v>26477</v>
      </c>
      <c r="N41" s="44">
        <f t="shared" si="14"/>
        <v>28</v>
      </c>
      <c r="O41" s="27" t="str">
        <f t="shared" si="5"/>
        <v>1</v>
      </c>
      <c r="P41" s="27" t="str">
        <f t="shared" si="6"/>
        <v>0</v>
      </c>
      <c r="Q41" s="27" t="str">
        <f t="shared" si="7"/>
        <v>0</v>
      </c>
      <c r="R41" s="27" t="str">
        <f t="shared" si="8"/>
        <v>0</v>
      </c>
      <c r="S41" s="28">
        <f t="shared" si="15"/>
        <v>960.14285714285711</v>
      </c>
      <c r="T41" s="28">
        <f t="shared" si="16"/>
        <v>960.14285714285711</v>
      </c>
      <c r="U41" s="28">
        <f t="shared" si="9"/>
        <v>945.60714285714289</v>
      </c>
      <c r="V41" s="28">
        <f t="shared" si="10"/>
        <v>945.60714285714289</v>
      </c>
      <c r="W41" s="42">
        <f t="shared" si="17"/>
        <v>26884</v>
      </c>
    </row>
    <row r="42" spans="3:23" x14ac:dyDescent="0.3">
      <c r="C42" s="45">
        <v>30</v>
      </c>
      <c r="D42" s="42">
        <f t="shared" si="11"/>
        <v>940.68965517241384</v>
      </c>
      <c r="E42" s="41" t="str">
        <f t="shared" si="12"/>
        <v>1</v>
      </c>
      <c r="F42" s="44">
        <f t="shared" si="0"/>
        <v>30</v>
      </c>
      <c r="G42" s="42">
        <f>VLOOKUP(F42,'Planos da Turma'!B35:C71,2)*(1-$W$4/100)</f>
        <v>976</v>
      </c>
      <c r="H42" s="42">
        <f t="shared" si="13"/>
        <v>29280</v>
      </c>
      <c r="I42" s="42">
        <f>VLOOKUP(F42-ROUND($W$5/G42,0),'Planos da Turma'!$B$6:$C$42,2)*(1-$W$4/100)*(F42-ROUND($W$5/G42,0))-$W$5</f>
        <v>29280</v>
      </c>
      <c r="J42" s="42">
        <f t="shared" si="1"/>
        <v>27280</v>
      </c>
      <c r="K42" s="42">
        <f t="shared" si="2"/>
        <v>27280</v>
      </c>
      <c r="L42" s="42">
        <f t="shared" si="3"/>
        <v>26840</v>
      </c>
      <c r="M42" s="42">
        <f t="shared" si="4"/>
        <v>26840</v>
      </c>
      <c r="N42" s="44">
        <f t="shared" si="14"/>
        <v>29</v>
      </c>
      <c r="O42" s="27" t="str">
        <f t="shared" si="5"/>
        <v>1</v>
      </c>
      <c r="P42" s="27" t="str">
        <f t="shared" si="6"/>
        <v>0</v>
      </c>
      <c r="Q42" s="27" t="str">
        <f t="shared" si="7"/>
        <v>0</v>
      </c>
      <c r="R42" s="27" t="str">
        <f t="shared" si="8"/>
        <v>0</v>
      </c>
      <c r="S42" s="28">
        <f t="shared" si="15"/>
        <v>940.68965517241384</v>
      </c>
      <c r="T42" s="28">
        <f t="shared" si="16"/>
        <v>940.68965517241384</v>
      </c>
      <c r="U42" s="28">
        <f t="shared" si="9"/>
        <v>925.51724137931035</v>
      </c>
      <c r="V42" s="28">
        <f t="shared" si="10"/>
        <v>925.51724137931035</v>
      </c>
      <c r="W42" s="42">
        <f t="shared" si="17"/>
        <v>27280</v>
      </c>
    </row>
    <row r="43" spans="3:23" x14ac:dyDescent="0.3">
      <c r="C43" s="45">
        <v>31</v>
      </c>
      <c r="D43" s="42">
        <f t="shared" si="11"/>
        <v>917.06666666666672</v>
      </c>
      <c r="E43" s="41" t="str">
        <f t="shared" si="12"/>
        <v>1</v>
      </c>
      <c r="F43" s="44">
        <f t="shared" si="0"/>
        <v>31</v>
      </c>
      <c r="G43" s="42">
        <f>VLOOKUP(F43,'Planos da Turma'!B36:C72,2)*(1-$W$4/100)</f>
        <v>952</v>
      </c>
      <c r="H43" s="42">
        <f t="shared" si="13"/>
        <v>29512</v>
      </c>
      <c r="I43" s="42">
        <f>VLOOKUP(F43-ROUND($W$5/G43,0),'Planos da Turma'!$B$6:$C$42,2)*(1-$W$4/100)*(F43-ROUND($W$5/G43,0))-$W$5</f>
        <v>29512</v>
      </c>
      <c r="J43" s="42">
        <f t="shared" si="1"/>
        <v>27512</v>
      </c>
      <c r="K43" s="42">
        <f t="shared" si="2"/>
        <v>27512</v>
      </c>
      <c r="L43" s="42">
        <f t="shared" si="3"/>
        <v>27052.666666666668</v>
      </c>
      <c r="M43" s="42">
        <f t="shared" si="4"/>
        <v>27052.666666666668</v>
      </c>
      <c r="N43" s="44">
        <f t="shared" si="14"/>
        <v>30</v>
      </c>
      <c r="O43" s="27" t="str">
        <f t="shared" si="5"/>
        <v>1</v>
      </c>
      <c r="P43" s="27" t="str">
        <f t="shared" si="6"/>
        <v>0</v>
      </c>
      <c r="Q43" s="27" t="str">
        <f t="shared" si="7"/>
        <v>0</v>
      </c>
      <c r="R43" s="27" t="str">
        <f t="shared" si="8"/>
        <v>0</v>
      </c>
      <c r="S43" s="28">
        <f t="shared" si="15"/>
        <v>917.06666666666672</v>
      </c>
      <c r="T43" s="28">
        <f t="shared" si="16"/>
        <v>917.06666666666672</v>
      </c>
      <c r="U43" s="28">
        <f t="shared" si="9"/>
        <v>901.75555555555559</v>
      </c>
      <c r="V43" s="28">
        <f t="shared" si="10"/>
        <v>901.75555555555559</v>
      </c>
      <c r="W43" s="42">
        <f t="shared" si="17"/>
        <v>27512</v>
      </c>
    </row>
    <row r="44" spans="3:23" x14ac:dyDescent="0.3">
      <c r="C44" s="45">
        <v>32</v>
      </c>
      <c r="D44" s="42">
        <f t="shared" si="11"/>
        <v>893.41935483870964</v>
      </c>
      <c r="E44" s="41" t="str">
        <f t="shared" si="12"/>
        <v>1</v>
      </c>
      <c r="F44" s="44">
        <f t="shared" si="0"/>
        <v>32</v>
      </c>
      <c r="G44" s="42">
        <f>VLOOKUP(F44,'Planos da Turma'!B37:C73,2)*(1-$W$4/100)</f>
        <v>928</v>
      </c>
      <c r="H44" s="42">
        <f t="shared" si="13"/>
        <v>29696</v>
      </c>
      <c r="I44" s="42">
        <f>VLOOKUP(F44-ROUND($W$5/G44,0),'Planos da Turma'!$B$6:$C$42,2)*(1-$W$4/100)*(F44-ROUND($W$5/G44,0))-$W$5</f>
        <v>29696</v>
      </c>
      <c r="J44" s="42">
        <f t="shared" si="1"/>
        <v>27696</v>
      </c>
      <c r="K44" s="42">
        <f t="shared" si="2"/>
        <v>27696</v>
      </c>
      <c r="L44" s="42">
        <f t="shared" si="3"/>
        <v>27221.333333333332</v>
      </c>
      <c r="M44" s="42">
        <f t="shared" si="4"/>
        <v>27221.333333333332</v>
      </c>
      <c r="N44" s="44">
        <f t="shared" si="14"/>
        <v>31</v>
      </c>
      <c r="O44" s="27" t="str">
        <f t="shared" si="5"/>
        <v>1</v>
      </c>
      <c r="P44" s="27" t="str">
        <f t="shared" si="6"/>
        <v>0</v>
      </c>
      <c r="Q44" s="27" t="str">
        <f t="shared" si="7"/>
        <v>0</v>
      </c>
      <c r="R44" s="27" t="str">
        <f t="shared" si="8"/>
        <v>0</v>
      </c>
      <c r="S44" s="28">
        <f t="shared" si="15"/>
        <v>893.41935483870964</v>
      </c>
      <c r="T44" s="28">
        <f t="shared" si="16"/>
        <v>893.41935483870964</v>
      </c>
      <c r="U44" s="28">
        <f t="shared" si="9"/>
        <v>878.10752688172045</v>
      </c>
      <c r="V44" s="28">
        <f t="shared" si="10"/>
        <v>878.10752688172045</v>
      </c>
      <c r="W44" s="42">
        <f t="shared" si="17"/>
        <v>27696</v>
      </c>
    </row>
    <row r="45" spans="3:23" x14ac:dyDescent="0.3">
      <c r="C45" s="45">
        <v>33</v>
      </c>
      <c r="D45" s="42">
        <f t="shared" si="11"/>
        <v>878</v>
      </c>
      <c r="E45" s="41" t="str">
        <f t="shared" si="12"/>
        <v>1</v>
      </c>
      <c r="F45" s="44">
        <f t="shared" si="0"/>
        <v>33</v>
      </c>
      <c r="G45" s="42">
        <f>VLOOKUP(F45,'Planos da Turma'!B38:C74,2)*(1-$W$4/100)</f>
        <v>912</v>
      </c>
      <c r="H45" s="42">
        <f t="shared" si="13"/>
        <v>30096</v>
      </c>
      <c r="I45" s="42">
        <f>VLOOKUP(F45-ROUND($W$5/G45,0),'Planos da Turma'!$B$6:$C$42,2)*(1-$W$4/100)*(F45-ROUND($W$5/G45,0))-$W$5</f>
        <v>30096</v>
      </c>
      <c r="J45" s="42">
        <f t="shared" si="1"/>
        <v>28096</v>
      </c>
      <c r="K45" s="42">
        <f t="shared" si="2"/>
        <v>28096</v>
      </c>
      <c r="L45" s="42">
        <f t="shared" si="3"/>
        <v>27588</v>
      </c>
      <c r="M45" s="42">
        <f t="shared" si="4"/>
        <v>27588</v>
      </c>
      <c r="N45" s="44">
        <f t="shared" si="14"/>
        <v>32</v>
      </c>
      <c r="O45" s="27" t="str">
        <f t="shared" si="5"/>
        <v>1</v>
      </c>
      <c r="P45" s="27" t="str">
        <f t="shared" si="6"/>
        <v>0</v>
      </c>
      <c r="Q45" s="27" t="str">
        <f t="shared" si="7"/>
        <v>0</v>
      </c>
      <c r="R45" s="27" t="str">
        <f t="shared" si="8"/>
        <v>0</v>
      </c>
      <c r="S45" s="28">
        <f t="shared" si="15"/>
        <v>878</v>
      </c>
      <c r="T45" s="28">
        <f t="shared" si="16"/>
        <v>878</v>
      </c>
      <c r="U45" s="28">
        <f t="shared" si="9"/>
        <v>862.125</v>
      </c>
      <c r="V45" s="28">
        <f t="shared" si="10"/>
        <v>862.125</v>
      </c>
      <c r="W45" s="42">
        <f t="shared" si="17"/>
        <v>28096</v>
      </c>
    </row>
    <row r="46" spans="3:23" x14ac:dyDescent="0.3">
      <c r="C46" s="45">
        <v>34</v>
      </c>
      <c r="D46" s="42">
        <f t="shared" si="11"/>
        <v>858.42424242424238</v>
      </c>
      <c r="E46" s="41" t="str">
        <f t="shared" si="12"/>
        <v>1</v>
      </c>
      <c r="F46" s="44">
        <f t="shared" si="0"/>
        <v>34</v>
      </c>
      <c r="G46" s="42">
        <f>VLOOKUP(F46,'Planos da Turma'!B39:C75,2)*(1-$W$4/100)</f>
        <v>892</v>
      </c>
      <c r="H46" s="42">
        <f t="shared" si="13"/>
        <v>30328</v>
      </c>
      <c r="I46" s="42">
        <f>VLOOKUP(F46-ROUND($W$5/G46,0),'Planos da Turma'!$B$6:$C$42,2)*(1-$W$4/100)*(F46-ROUND($W$5/G46,0))-$W$5</f>
        <v>30328</v>
      </c>
      <c r="J46" s="42">
        <f t="shared" si="1"/>
        <v>28328</v>
      </c>
      <c r="K46" s="42">
        <f t="shared" si="2"/>
        <v>28328</v>
      </c>
      <c r="L46" s="42">
        <f t="shared" si="3"/>
        <v>27800.666666666668</v>
      </c>
      <c r="M46" s="42">
        <f t="shared" si="4"/>
        <v>27800.666666666668</v>
      </c>
      <c r="N46" s="44">
        <f t="shared" si="14"/>
        <v>33</v>
      </c>
      <c r="O46" s="27" t="str">
        <f t="shared" si="5"/>
        <v>1</v>
      </c>
      <c r="P46" s="27" t="str">
        <f t="shared" si="6"/>
        <v>0</v>
      </c>
      <c r="Q46" s="27" t="str">
        <f t="shared" si="7"/>
        <v>0</v>
      </c>
      <c r="R46" s="27" t="str">
        <f t="shared" si="8"/>
        <v>0</v>
      </c>
      <c r="S46" s="28">
        <f t="shared" si="15"/>
        <v>858.42424242424238</v>
      </c>
      <c r="T46" s="28">
        <f t="shared" si="16"/>
        <v>858.42424242424238</v>
      </c>
      <c r="U46" s="28">
        <f t="shared" si="9"/>
        <v>842.44444444444446</v>
      </c>
      <c r="V46" s="28">
        <f t="shared" si="10"/>
        <v>842.44444444444446</v>
      </c>
      <c r="W46" s="42">
        <f t="shared" si="17"/>
        <v>28328</v>
      </c>
    </row>
    <row r="47" spans="3:23" x14ac:dyDescent="0.3">
      <c r="C47" s="45">
        <v>35</v>
      </c>
      <c r="D47" s="42">
        <f t="shared" si="11"/>
        <v>842.94117647058829</v>
      </c>
      <c r="E47" s="41" t="str">
        <f t="shared" si="12"/>
        <v>1</v>
      </c>
      <c r="F47" s="44">
        <f t="shared" si="0"/>
        <v>35</v>
      </c>
      <c r="G47" s="42">
        <f>VLOOKUP(F47,'Planos da Turma'!B40:C76,2)*(1-$W$4/100)</f>
        <v>876</v>
      </c>
      <c r="H47" s="42">
        <f t="shared" si="13"/>
        <v>30660</v>
      </c>
      <c r="I47" s="42">
        <f>VLOOKUP(F47-ROUND($W$5/G47,0),'Planos da Turma'!$B$6:$C$42,2)*(1-$W$4/100)*(F47-ROUND($W$5/G47,0))-$W$5</f>
        <v>30660</v>
      </c>
      <c r="J47" s="42">
        <f t="shared" si="1"/>
        <v>28660</v>
      </c>
      <c r="K47" s="42">
        <f t="shared" si="2"/>
        <v>28660</v>
      </c>
      <c r="L47" s="42">
        <f t="shared" si="3"/>
        <v>28105</v>
      </c>
      <c r="M47" s="42">
        <f t="shared" si="4"/>
        <v>28105</v>
      </c>
      <c r="N47" s="44">
        <f t="shared" si="14"/>
        <v>34</v>
      </c>
      <c r="O47" s="27" t="str">
        <f t="shared" si="5"/>
        <v>1</v>
      </c>
      <c r="P47" s="27" t="str">
        <f t="shared" si="6"/>
        <v>0</v>
      </c>
      <c r="Q47" s="27" t="str">
        <f t="shared" si="7"/>
        <v>0</v>
      </c>
      <c r="R47" s="27" t="str">
        <f t="shared" si="8"/>
        <v>0</v>
      </c>
      <c r="S47" s="28">
        <f t="shared" si="15"/>
        <v>842.94117647058829</v>
      </c>
      <c r="T47" s="28">
        <f t="shared" si="16"/>
        <v>842.94117647058829</v>
      </c>
      <c r="U47" s="28">
        <f t="shared" si="9"/>
        <v>826.61764705882354</v>
      </c>
      <c r="V47" s="28">
        <f t="shared" si="10"/>
        <v>826.61764705882354</v>
      </c>
      <c r="W47" s="42">
        <f t="shared" si="17"/>
        <v>28660</v>
      </c>
    </row>
    <row r="48" spans="3:23" x14ac:dyDescent="0.3">
      <c r="C48" s="45">
        <v>36</v>
      </c>
      <c r="D48" s="42">
        <f t="shared" si="11"/>
        <v>831.54285714285709</v>
      </c>
      <c r="E48" s="41" t="str">
        <f t="shared" si="12"/>
        <v>1</v>
      </c>
      <c r="F48" s="44">
        <f t="shared" si="0"/>
        <v>36</v>
      </c>
      <c r="G48" s="42">
        <f>VLOOKUP(F48,'Planos da Turma'!B41:C77,2)*(1-$W$4/100)</f>
        <v>864</v>
      </c>
      <c r="H48" s="42">
        <f t="shared" si="13"/>
        <v>31104</v>
      </c>
      <c r="I48" s="42">
        <f>VLOOKUP(F48-ROUND($W$5/G48,0),'Planos da Turma'!$B$6:$C$42,2)*(1-$W$4/100)*(F48-ROUND($W$5/G48,0))-$W$5</f>
        <v>31104</v>
      </c>
      <c r="J48" s="42">
        <f t="shared" si="1"/>
        <v>29104</v>
      </c>
      <c r="K48" s="42">
        <f t="shared" si="2"/>
        <v>29104</v>
      </c>
      <c r="L48" s="42">
        <f t="shared" si="3"/>
        <v>28512</v>
      </c>
      <c r="M48" s="42">
        <f t="shared" si="4"/>
        <v>28512</v>
      </c>
      <c r="N48" s="44">
        <f t="shared" si="14"/>
        <v>35</v>
      </c>
      <c r="O48" s="61" t="str">
        <f t="shared" si="5"/>
        <v>1</v>
      </c>
      <c r="P48" s="61" t="str">
        <f t="shared" si="6"/>
        <v>0</v>
      </c>
      <c r="Q48" s="61" t="str">
        <f t="shared" si="7"/>
        <v>0</v>
      </c>
      <c r="R48" s="61" t="str">
        <f t="shared" si="8"/>
        <v>0</v>
      </c>
      <c r="S48" s="62">
        <f t="shared" si="15"/>
        <v>831.54285714285709</v>
      </c>
      <c r="T48" s="62">
        <f t="shared" si="16"/>
        <v>831.54285714285709</v>
      </c>
      <c r="U48" s="62">
        <f t="shared" si="9"/>
        <v>814.62857142857138</v>
      </c>
      <c r="V48" s="62">
        <f t="shared" si="10"/>
        <v>814.62857142857138</v>
      </c>
      <c r="W48" s="42">
        <f t="shared" si="17"/>
        <v>29103.999999999996</v>
      </c>
    </row>
  </sheetData>
  <mergeCells count="7">
    <mergeCell ref="C2:W2"/>
    <mergeCell ref="C10:N10"/>
    <mergeCell ref="C9:N9"/>
    <mergeCell ref="C7:N7"/>
    <mergeCell ref="C6:N6"/>
    <mergeCell ref="C5:N5"/>
    <mergeCell ref="C4:N4"/>
  </mergeCells>
  <conditionalFormatting sqref="C13:W48">
    <cfRule type="expression" dxfId="2" priority="1">
      <formula>$E13="0"</formula>
    </cfRule>
    <cfRule type="expression" dxfId="1" priority="3">
      <formula>AND($E13="1",MOD(CELL("lin",$E13),2)=0)</formula>
    </cfRule>
    <cfRule type="expression" dxfId="0" priority="4">
      <formula>AND($E13="1",MOD(CELL("lin",$E13),2)=1)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2"/>
  <dimension ref="A1:M15"/>
  <sheetViews>
    <sheetView zoomScale="130" zoomScaleNormal="130" workbookViewId="0">
      <selection activeCell="E21" sqref="E21"/>
    </sheetView>
  </sheetViews>
  <sheetFormatPr defaultRowHeight="14.4" x14ac:dyDescent="0.3"/>
  <cols>
    <col min="2" max="2" width="2.33203125" bestFit="1" customWidth="1"/>
    <col min="3" max="3" width="11.44140625" bestFit="1" customWidth="1"/>
    <col min="4" max="4" width="11.88671875" bestFit="1" customWidth="1"/>
    <col min="5" max="5" width="13.33203125" bestFit="1" customWidth="1"/>
    <col min="6" max="6" width="11.6640625" bestFit="1" customWidth="1"/>
    <col min="7" max="7" width="12.6640625" bestFit="1" customWidth="1"/>
    <col min="8" max="8" width="3.6640625" bestFit="1" customWidth="1"/>
    <col min="9" max="9" width="11" bestFit="1" customWidth="1"/>
    <col min="10" max="10" width="10.6640625" bestFit="1" customWidth="1"/>
  </cols>
  <sheetData>
    <row r="1" spans="1:13" ht="15" thickBot="1" x14ac:dyDescent="0.35">
      <c r="D1" t="s">
        <v>22</v>
      </c>
      <c r="E1" t="s">
        <v>23</v>
      </c>
      <c r="I1" s="12">
        <v>44332</v>
      </c>
      <c r="J1" s="13"/>
      <c r="K1">
        <f>MONTH(I1)</f>
        <v>5</v>
      </c>
      <c r="L1">
        <f>YEAR(I1)</f>
        <v>2021</v>
      </c>
      <c r="M1">
        <f>CONCATENATE(L1,RIGHT(CONCATENATE("00",K1),2)) + IF(DAY(I1)&lt;=15,0,1)</f>
        <v>202106</v>
      </c>
    </row>
    <row r="2" spans="1:13" ht="15" thickTop="1" x14ac:dyDescent="0.3">
      <c r="A2" t="s">
        <v>0</v>
      </c>
      <c r="B2" t="s">
        <v>2</v>
      </c>
      <c r="C2" t="s">
        <v>21</v>
      </c>
      <c r="D2" s="32">
        <v>12</v>
      </c>
      <c r="E2" s="33">
        <v>29</v>
      </c>
      <c r="G2" t="s">
        <v>24</v>
      </c>
      <c r="H2" s="76">
        <v>2021</v>
      </c>
      <c r="I2" s="12">
        <v>44301</v>
      </c>
      <c r="J2">
        <f>IF($M$1&gt;=M2,1,0)</f>
        <v>1</v>
      </c>
      <c r="K2">
        <f>MONTH(I2)</f>
        <v>4</v>
      </c>
      <c r="L2">
        <f>YEAR(I2)</f>
        <v>2021</v>
      </c>
      <c r="M2">
        <f>CONCATENATE(L2,RIGHT(CONCATENATE("00",K2),2)) * 1</f>
        <v>202104</v>
      </c>
    </row>
    <row r="3" spans="1:13" x14ac:dyDescent="0.3">
      <c r="A3" s="35">
        <v>56.5</v>
      </c>
      <c r="B3" t="s">
        <v>3</v>
      </c>
      <c r="C3" t="s">
        <v>1</v>
      </c>
      <c r="D3" s="53">
        <f>VLOOKUP(D2,'Planos da Turma'!B7:C42,2,FALSE)</f>
        <v>2500</v>
      </c>
      <c r="E3" s="34">
        <f>VLOOKUP(E2,'Planos da Turma'!B6:C42,2)</f>
        <v>1245</v>
      </c>
      <c r="F3" s="1"/>
      <c r="G3" t="s">
        <v>25</v>
      </c>
      <c r="H3" s="76"/>
      <c r="I3" s="12">
        <v>44331</v>
      </c>
      <c r="J3">
        <f t="shared" ref="J3:J13" si="0">IF($M$1&gt;=M3,1,0)</f>
        <v>1</v>
      </c>
      <c r="K3">
        <f t="shared" ref="K3:K13" si="1">MONTH(I3)</f>
        <v>5</v>
      </c>
      <c r="L3">
        <f t="shared" ref="L3:L13" si="2">YEAR(I3)</f>
        <v>2021</v>
      </c>
      <c r="M3">
        <f t="shared" ref="M3:M13" si="3">CONCATENATE(L3,RIGHT(CONCATENATE("00",K3),2)) * 1</f>
        <v>202105</v>
      </c>
    </row>
    <row r="4" spans="1:13" x14ac:dyDescent="0.3">
      <c r="B4" t="s">
        <v>5</v>
      </c>
      <c r="C4" t="s">
        <v>0</v>
      </c>
      <c r="D4" s="3">
        <f>D3*A3/100</f>
        <v>1412.5</v>
      </c>
      <c r="E4" s="8">
        <f>E3*A3/100</f>
        <v>703.42499999999995</v>
      </c>
      <c r="F4" s="1"/>
      <c r="G4" t="s">
        <v>26</v>
      </c>
      <c r="H4" s="76"/>
      <c r="I4" s="12">
        <v>44362</v>
      </c>
      <c r="J4">
        <f t="shared" si="0"/>
        <v>1</v>
      </c>
      <c r="K4">
        <f t="shared" si="1"/>
        <v>6</v>
      </c>
      <c r="L4">
        <f t="shared" si="2"/>
        <v>2021</v>
      </c>
      <c r="M4">
        <f t="shared" si="3"/>
        <v>202106</v>
      </c>
    </row>
    <row r="5" spans="1:13" s="17" customFormat="1" x14ac:dyDescent="0.3">
      <c r="A5" s="16"/>
      <c r="B5" s="17" t="s">
        <v>6</v>
      </c>
      <c r="C5" s="17" t="s">
        <v>8</v>
      </c>
      <c r="D5" s="18">
        <f>D3-D4</f>
        <v>1087.5</v>
      </c>
      <c r="E5" s="19">
        <f>E3-E4</f>
        <v>541.57500000000005</v>
      </c>
      <c r="F5" s="20"/>
      <c r="G5" s="21" t="s">
        <v>27</v>
      </c>
      <c r="H5" s="76"/>
      <c r="I5" s="22">
        <v>44392</v>
      </c>
      <c r="J5" s="17">
        <f t="shared" si="0"/>
        <v>0</v>
      </c>
      <c r="K5" s="17">
        <f t="shared" si="1"/>
        <v>7</v>
      </c>
      <c r="L5" s="17">
        <f t="shared" si="2"/>
        <v>2021</v>
      </c>
      <c r="M5" s="17">
        <f t="shared" si="3"/>
        <v>202107</v>
      </c>
    </row>
    <row r="6" spans="1:13" x14ac:dyDescent="0.3">
      <c r="B6" t="s">
        <v>7</v>
      </c>
      <c r="C6" t="s">
        <v>4</v>
      </c>
      <c r="D6" s="36">
        <v>8</v>
      </c>
      <c r="E6" s="9"/>
      <c r="G6" s="2" t="s">
        <v>28</v>
      </c>
      <c r="H6" s="76"/>
      <c r="I6" s="12">
        <v>44423</v>
      </c>
      <c r="J6">
        <f t="shared" si="0"/>
        <v>0</v>
      </c>
      <c r="K6">
        <f t="shared" si="1"/>
        <v>8</v>
      </c>
      <c r="L6">
        <f t="shared" si="2"/>
        <v>2021</v>
      </c>
      <c r="M6">
        <f t="shared" si="3"/>
        <v>202108</v>
      </c>
    </row>
    <row r="7" spans="1:13" x14ac:dyDescent="0.3">
      <c r="B7" t="s">
        <v>10</v>
      </c>
      <c r="C7" t="s">
        <v>9</v>
      </c>
      <c r="D7" s="5">
        <f>D5*D6</f>
        <v>8700</v>
      </c>
      <c r="E7" s="9"/>
      <c r="G7" t="s">
        <v>29</v>
      </c>
      <c r="H7" s="76"/>
      <c r="I7" s="12">
        <v>44454</v>
      </c>
      <c r="J7">
        <f t="shared" si="0"/>
        <v>0</v>
      </c>
      <c r="K7">
        <f t="shared" si="1"/>
        <v>9</v>
      </c>
      <c r="L7">
        <f t="shared" si="2"/>
        <v>2021</v>
      </c>
      <c r="M7">
        <f t="shared" si="3"/>
        <v>202109</v>
      </c>
    </row>
    <row r="8" spans="1:13" x14ac:dyDescent="0.3">
      <c r="B8" t="s">
        <v>11</v>
      </c>
      <c r="C8" t="s">
        <v>16</v>
      </c>
      <c r="D8" s="4"/>
      <c r="E8" s="11">
        <f>E5*E2</f>
        <v>15705.675000000001</v>
      </c>
      <c r="G8" t="s">
        <v>30</v>
      </c>
      <c r="H8" s="76"/>
      <c r="I8" s="12">
        <v>44484</v>
      </c>
      <c r="J8">
        <f t="shared" si="0"/>
        <v>0</v>
      </c>
      <c r="K8">
        <f t="shared" si="1"/>
        <v>10</v>
      </c>
      <c r="L8">
        <f t="shared" si="2"/>
        <v>2021</v>
      </c>
      <c r="M8">
        <f t="shared" si="3"/>
        <v>202110</v>
      </c>
    </row>
    <row r="9" spans="1:13" x14ac:dyDescent="0.3">
      <c r="B9" t="s">
        <v>12</v>
      </c>
      <c r="C9" t="s">
        <v>17</v>
      </c>
      <c r="D9" s="4"/>
      <c r="E9" s="11">
        <f>E8-D7</f>
        <v>7005.6750000000011</v>
      </c>
      <c r="G9" t="s">
        <v>31</v>
      </c>
      <c r="H9" s="76"/>
      <c r="I9" s="12">
        <v>44515</v>
      </c>
      <c r="J9">
        <f t="shared" si="0"/>
        <v>0</v>
      </c>
      <c r="K9">
        <f t="shared" si="1"/>
        <v>11</v>
      </c>
      <c r="L9">
        <f t="shared" si="2"/>
        <v>2021</v>
      </c>
      <c r="M9">
        <f t="shared" si="3"/>
        <v>202111</v>
      </c>
    </row>
    <row r="10" spans="1:13" x14ac:dyDescent="0.3">
      <c r="B10" t="s">
        <v>13</v>
      </c>
      <c r="C10" t="s">
        <v>18</v>
      </c>
      <c r="D10" s="4"/>
      <c r="E10" s="9">
        <f>E2-D6</f>
        <v>21</v>
      </c>
      <c r="G10" t="s">
        <v>32</v>
      </c>
      <c r="H10" s="76"/>
      <c r="I10" s="12">
        <v>44545</v>
      </c>
      <c r="J10">
        <f t="shared" si="0"/>
        <v>0</v>
      </c>
      <c r="K10">
        <f t="shared" si="1"/>
        <v>12</v>
      </c>
      <c r="L10">
        <f t="shared" si="2"/>
        <v>2021</v>
      </c>
      <c r="M10">
        <f t="shared" si="3"/>
        <v>202112</v>
      </c>
    </row>
    <row r="11" spans="1:13" x14ac:dyDescent="0.3">
      <c r="B11" t="s">
        <v>14</v>
      </c>
      <c r="C11" t="s">
        <v>19</v>
      </c>
      <c r="D11" s="4"/>
      <c r="E11" s="11">
        <f>E9/E10</f>
        <v>333.60357142857146</v>
      </c>
      <c r="G11" t="s">
        <v>33</v>
      </c>
      <c r="H11" s="76">
        <v>2022</v>
      </c>
      <c r="I11" s="12">
        <v>44576</v>
      </c>
      <c r="J11">
        <f t="shared" si="0"/>
        <v>0</v>
      </c>
      <c r="K11">
        <f t="shared" si="1"/>
        <v>1</v>
      </c>
      <c r="L11">
        <f t="shared" si="2"/>
        <v>2022</v>
      </c>
      <c r="M11">
        <f t="shared" si="3"/>
        <v>202201</v>
      </c>
    </row>
    <row r="12" spans="1:13" ht="15" thickBot="1" x14ac:dyDescent="0.35">
      <c r="B12" t="s">
        <v>15</v>
      </c>
      <c r="C12" t="s">
        <v>20</v>
      </c>
      <c r="D12" s="6"/>
      <c r="E12" s="10">
        <f>(E11*E10)+D7</f>
        <v>15705.674999999999</v>
      </c>
      <c r="G12" t="s">
        <v>34</v>
      </c>
      <c r="H12" s="76"/>
      <c r="I12" s="12">
        <v>44607</v>
      </c>
      <c r="J12">
        <f t="shared" si="0"/>
        <v>0</v>
      </c>
      <c r="K12">
        <f t="shared" si="1"/>
        <v>2</v>
      </c>
      <c r="L12">
        <f t="shared" si="2"/>
        <v>2022</v>
      </c>
      <c r="M12">
        <f t="shared" si="3"/>
        <v>202202</v>
      </c>
    </row>
    <row r="13" spans="1:13" ht="15" thickTop="1" x14ac:dyDescent="0.3">
      <c r="D13" s="2"/>
      <c r="E13" s="2"/>
      <c r="F13" s="2"/>
      <c r="G13" t="s">
        <v>35</v>
      </c>
      <c r="H13" s="76"/>
      <c r="I13" s="12">
        <v>44635</v>
      </c>
      <c r="J13">
        <f t="shared" si="0"/>
        <v>0</v>
      </c>
      <c r="K13">
        <f t="shared" si="1"/>
        <v>3</v>
      </c>
      <c r="L13">
        <f t="shared" si="2"/>
        <v>2022</v>
      </c>
      <c r="M13">
        <f t="shared" si="3"/>
        <v>202203</v>
      </c>
    </row>
    <row r="14" spans="1:13" x14ac:dyDescent="0.3">
      <c r="D14" s="49"/>
      <c r="E14" s="2">
        <f>E2*E5</f>
        <v>15705.675000000001</v>
      </c>
    </row>
    <row r="15" spans="1:13" x14ac:dyDescent="0.3">
      <c r="D15" s="49"/>
      <c r="E15" s="49"/>
    </row>
  </sheetData>
  <mergeCells count="2">
    <mergeCell ref="H2:H10"/>
    <mergeCell ref="H11:H13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8B9E8-A99F-44E2-A7EB-E2DC81742787}">
  <sheetPr codeName="Planilha3"/>
  <dimension ref="A1:N23"/>
  <sheetViews>
    <sheetView zoomScale="130" zoomScaleNormal="130" workbookViewId="0">
      <selection activeCell="F16" sqref="F16"/>
    </sheetView>
  </sheetViews>
  <sheetFormatPr defaultRowHeight="14.4" x14ac:dyDescent="0.3"/>
  <cols>
    <col min="1" max="1" width="12.88671875" bestFit="1" customWidth="1"/>
    <col min="2" max="2" width="2.21875" bestFit="1" customWidth="1"/>
    <col min="3" max="3" width="13.6640625" bestFit="1" customWidth="1"/>
    <col min="4" max="4" width="14.109375" bestFit="1" customWidth="1"/>
    <col min="5" max="5" width="14.5546875" bestFit="1" customWidth="1"/>
    <col min="6" max="6" width="68.21875" bestFit="1" customWidth="1"/>
    <col min="7" max="7" width="12.88671875" bestFit="1" customWidth="1"/>
    <col min="8" max="8" width="9.6640625" bestFit="1" customWidth="1"/>
    <col min="9" max="9" width="3.5546875" bestFit="1" customWidth="1"/>
    <col min="10" max="10" width="11" bestFit="1" customWidth="1"/>
    <col min="11" max="11" width="2.109375" bestFit="1" customWidth="1"/>
    <col min="12" max="12" width="3.21875" bestFit="1" customWidth="1"/>
    <col min="13" max="13" width="5.21875" bestFit="1" customWidth="1"/>
    <col min="14" max="14" width="7.33203125" bestFit="1" customWidth="1"/>
  </cols>
  <sheetData>
    <row r="1" spans="1:14" ht="15" thickBot="1" x14ac:dyDescent="0.35">
      <c r="D1" t="s">
        <v>22</v>
      </c>
      <c r="E1" t="s">
        <v>23</v>
      </c>
      <c r="G1" s="23"/>
      <c r="J1" s="12">
        <v>44332</v>
      </c>
      <c r="K1" s="13"/>
      <c r="L1">
        <f>MONTH(J1)</f>
        <v>5</v>
      </c>
      <c r="M1">
        <f>YEAR(J1)</f>
        <v>2021</v>
      </c>
      <c r="N1">
        <f>CONCATENATE(M1,RIGHT(CONCATENATE("00",L1),2)) + IF(DAY(J1)&lt;=15,0,1)</f>
        <v>202106</v>
      </c>
    </row>
    <row r="2" spans="1:14" ht="15" thickTop="1" x14ac:dyDescent="0.3">
      <c r="A2" t="s">
        <v>0</v>
      </c>
      <c r="B2" t="s">
        <v>2</v>
      </c>
      <c r="C2" t="s">
        <v>21</v>
      </c>
      <c r="D2" s="32">
        <v>24</v>
      </c>
      <c r="E2" s="33">
        <v>30</v>
      </c>
      <c r="F2" s="27"/>
      <c r="G2" s="23"/>
      <c r="H2" t="s">
        <v>24</v>
      </c>
      <c r="I2" s="76">
        <v>2021</v>
      </c>
      <c r="J2" s="12">
        <v>44301</v>
      </c>
      <c r="K2">
        <f>IF($N$1&gt;=N2,1,0)</f>
        <v>1</v>
      </c>
      <c r="L2">
        <f>MONTH(J2)</f>
        <v>4</v>
      </c>
      <c r="M2">
        <f>YEAR(J2)</f>
        <v>2021</v>
      </c>
      <c r="N2">
        <f>CONCATENATE(M2,RIGHT(CONCATENATE("00",L2),2)) * 1</f>
        <v>202104</v>
      </c>
    </row>
    <row r="3" spans="1:14" x14ac:dyDescent="0.3">
      <c r="A3" s="35">
        <v>20</v>
      </c>
      <c r="B3" t="s">
        <v>3</v>
      </c>
      <c r="C3" t="s">
        <v>74</v>
      </c>
      <c r="D3" s="53">
        <f>VLOOKUP(D2,'Planos da Turma'!B7:C42,2,FALSE)</f>
        <v>1425</v>
      </c>
      <c r="E3" s="34">
        <f>VLOOKUP(E2,'Planos da Turma'!B6:C42,2)</f>
        <v>1220</v>
      </c>
      <c r="F3" s="28" t="s">
        <v>40</v>
      </c>
      <c r="G3" s="24">
        <f>ROUND(A5/E5,0)</f>
        <v>11</v>
      </c>
      <c r="H3" t="s">
        <v>25</v>
      </c>
      <c r="I3" s="76"/>
      <c r="J3" s="12">
        <v>44331</v>
      </c>
      <c r="K3">
        <f t="shared" ref="K3:K13" si="0">IF($N$1&gt;=N3,1,0)</f>
        <v>1</v>
      </c>
      <c r="L3">
        <f t="shared" ref="L3:L13" si="1">MONTH(J3)</f>
        <v>5</v>
      </c>
      <c r="M3">
        <f t="shared" ref="M3:M13" si="2">YEAR(J3)</f>
        <v>2021</v>
      </c>
      <c r="N3">
        <f t="shared" ref="N3:N13" si="3">CONCATENATE(M3,RIGHT(CONCATENATE("00",L3),2)) * 1</f>
        <v>202105</v>
      </c>
    </row>
    <row r="4" spans="1:14" x14ac:dyDescent="0.3">
      <c r="A4" t="s">
        <v>39</v>
      </c>
      <c r="B4" t="s">
        <v>5</v>
      </c>
      <c r="C4" t="s">
        <v>0</v>
      </c>
      <c r="D4" s="3">
        <f>D3*A3/100</f>
        <v>285</v>
      </c>
      <c r="E4" s="8">
        <f>E3*A3/100</f>
        <v>244</v>
      </c>
      <c r="F4" s="28" t="s">
        <v>41</v>
      </c>
      <c r="G4" s="24">
        <f>E2-G3</f>
        <v>19</v>
      </c>
      <c r="H4" t="s">
        <v>26</v>
      </c>
      <c r="I4" s="76"/>
      <c r="J4" s="12">
        <v>44362</v>
      </c>
      <c r="K4">
        <f t="shared" si="0"/>
        <v>1</v>
      </c>
      <c r="L4">
        <f t="shared" si="1"/>
        <v>6</v>
      </c>
      <c r="M4">
        <f t="shared" si="2"/>
        <v>2021</v>
      </c>
      <c r="N4">
        <f t="shared" si="3"/>
        <v>202106</v>
      </c>
    </row>
    <row r="5" spans="1:14" s="17" customFormat="1" x14ac:dyDescent="0.3">
      <c r="A5" s="37">
        <v>10500</v>
      </c>
      <c r="B5" s="17" t="s">
        <v>6</v>
      </c>
      <c r="C5" s="17" t="s">
        <v>8</v>
      </c>
      <c r="D5" s="18">
        <f>D3-D4</f>
        <v>1140</v>
      </c>
      <c r="E5" s="19">
        <f>E3-E4</f>
        <v>976</v>
      </c>
      <c r="F5" s="28" t="s">
        <v>42</v>
      </c>
      <c r="G5" s="38">
        <f>VLOOKUP(G4,'Planos da Turma'!B6:C42,2)</f>
        <v>1705</v>
      </c>
      <c r="H5" s="21" t="s">
        <v>27</v>
      </c>
      <c r="I5" s="76"/>
      <c r="J5" s="22">
        <v>44392</v>
      </c>
      <c r="K5" s="17">
        <f t="shared" si="0"/>
        <v>0</v>
      </c>
      <c r="L5" s="17">
        <f t="shared" si="1"/>
        <v>7</v>
      </c>
      <c r="M5" s="17">
        <f t="shared" si="2"/>
        <v>2021</v>
      </c>
      <c r="N5" s="17">
        <f t="shared" si="3"/>
        <v>202107</v>
      </c>
    </row>
    <row r="6" spans="1:14" x14ac:dyDescent="0.3">
      <c r="B6" t="s">
        <v>7</v>
      </c>
      <c r="C6" t="s">
        <v>4</v>
      </c>
      <c r="D6" s="36">
        <v>3</v>
      </c>
      <c r="E6" s="9"/>
      <c r="F6" s="14" t="s">
        <v>43</v>
      </c>
      <c r="G6" s="26">
        <f>G5*A3/100</f>
        <v>341</v>
      </c>
      <c r="H6" s="2" t="s">
        <v>28</v>
      </c>
      <c r="I6" s="76"/>
      <c r="J6" s="12">
        <v>44423</v>
      </c>
      <c r="K6">
        <f t="shared" si="0"/>
        <v>0</v>
      </c>
      <c r="L6">
        <f t="shared" si="1"/>
        <v>8</v>
      </c>
      <c r="M6">
        <f t="shared" si="2"/>
        <v>2021</v>
      </c>
      <c r="N6">
        <f t="shared" si="3"/>
        <v>202108</v>
      </c>
    </row>
    <row r="7" spans="1:14" x14ac:dyDescent="0.3">
      <c r="B7" t="s">
        <v>10</v>
      </c>
      <c r="C7" t="s">
        <v>9</v>
      </c>
      <c r="D7" s="49">
        <f>D5*D6</f>
        <v>3420</v>
      </c>
      <c r="E7" s="9"/>
      <c r="F7" s="14" t="s">
        <v>44</v>
      </c>
      <c r="G7" s="1">
        <f>G5-G6</f>
        <v>1364</v>
      </c>
      <c r="H7" t="s">
        <v>29</v>
      </c>
      <c r="I7" s="76"/>
      <c r="J7" s="12">
        <v>44454</v>
      </c>
      <c r="K7">
        <f t="shared" si="0"/>
        <v>0</v>
      </c>
      <c r="L7">
        <f t="shared" si="1"/>
        <v>9</v>
      </c>
      <c r="M7">
        <f t="shared" si="2"/>
        <v>2021</v>
      </c>
      <c r="N7">
        <f t="shared" si="3"/>
        <v>202109</v>
      </c>
    </row>
    <row r="8" spans="1:14" x14ac:dyDescent="0.3">
      <c r="B8" t="s">
        <v>11</v>
      </c>
      <c r="C8" t="s">
        <v>16</v>
      </c>
      <c r="D8" s="51">
        <v>19362</v>
      </c>
      <c r="E8" s="11">
        <f>G10*E2</f>
        <v>15416</v>
      </c>
      <c r="F8" s="29" t="s">
        <v>45</v>
      </c>
      <c r="G8" s="1">
        <f>G7*G4</f>
        <v>25916</v>
      </c>
      <c r="H8" t="s">
        <v>30</v>
      </c>
      <c r="I8" s="76"/>
      <c r="J8" s="12">
        <v>44484</v>
      </c>
      <c r="K8">
        <f t="shared" si="0"/>
        <v>0</v>
      </c>
      <c r="L8">
        <f t="shared" si="1"/>
        <v>10</v>
      </c>
      <c r="M8">
        <f t="shared" si="2"/>
        <v>2021</v>
      </c>
      <c r="N8">
        <f t="shared" si="3"/>
        <v>202110</v>
      </c>
    </row>
    <row r="9" spans="1:14" x14ac:dyDescent="0.3">
      <c r="B9" t="s">
        <v>12</v>
      </c>
      <c r="C9" t="s">
        <v>17</v>
      </c>
      <c r="D9" s="52">
        <f>D5*D6</f>
        <v>3420</v>
      </c>
      <c r="E9" s="11">
        <f>E8-D7</f>
        <v>11996</v>
      </c>
      <c r="F9" s="29" t="s">
        <v>46</v>
      </c>
      <c r="G9" s="1">
        <f>G8-A5</f>
        <v>15416</v>
      </c>
      <c r="H9" t="s">
        <v>31</v>
      </c>
      <c r="I9" s="76"/>
      <c r="J9" s="12">
        <v>44515</v>
      </c>
      <c r="K9">
        <f t="shared" si="0"/>
        <v>0</v>
      </c>
      <c r="L9">
        <f t="shared" si="1"/>
        <v>11</v>
      </c>
      <c r="M9">
        <f t="shared" si="2"/>
        <v>2021</v>
      </c>
      <c r="N9">
        <f t="shared" si="3"/>
        <v>202111</v>
      </c>
    </row>
    <row r="10" spans="1:14" x14ac:dyDescent="0.3">
      <c r="B10" t="s">
        <v>13</v>
      </c>
      <c r="C10" t="s">
        <v>18</v>
      </c>
      <c r="D10" s="4"/>
      <c r="E10" s="9">
        <f>IF((E2-D6)&lt;=0,1,E2-D6)</f>
        <v>27</v>
      </c>
      <c r="F10" s="27" t="s">
        <v>47</v>
      </c>
      <c r="G10" s="30">
        <f>G9/E2</f>
        <v>513.86666666666667</v>
      </c>
      <c r="H10" t="s">
        <v>32</v>
      </c>
      <c r="I10" s="76"/>
      <c r="J10" s="12">
        <v>44545</v>
      </c>
      <c r="K10">
        <f t="shared" si="0"/>
        <v>0</v>
      </c>
      <c r="L10">
        <f t="shared" si="1"/>
        <v>12</v>
      </c>
      <c r="M10">
        <f t="shared" si="2"/>
        <v>2021</v>
      </c>
      <c r="N10">
        <f t="shared" si="3"/>
        <v>202112</v>
      </c>
    </row>
    <row r="11" spans="1:14" x14ac:dyDescent="0.3">
      <c r="B11" t="s">
        <v>14</v>
      </c>
      <c r="C11" t="s">
        <v>19</v>
      </c>
      <c r="D11" s="4"/>
      <c r="E11" s="11">
        <f>E9/E10</f>
        <v>444.2962962962963</v>
      </c>
      <c r="F11" s="29"/>
      <c r="G11" s="25"/>
      <c r="H11" t="s">
        <v>33</v>
      </c>
      <c r="I11" s="76">
        <v>2022</v>
      </c>
      <c r="J11" s="12">
        <v>44576</v>
      </c>
      <c r="K11">
        <f t="shared" si="0"/>
        <v>0</v>
      </c>
      <c r="L11">
        <f t="shared" si="1"/>
        <v>1</v>
      </c>
      <c r="M11">
        <f t="shared" si="2"/>
        <v>2022</v>
      </c>
      <c r="N11">
        <f t="shared" si="3"/>
        <v>202201</v>
      </c>
    </row>
    <row r="12" spans="1:14" ht="15" thickBot="1" x14ac:dyDescent="0.35">
      <c r="B12" t="s">
        <v>15</v>
      </c>
      <c r="C12" t="s">
        <v>20</v>
      </c>
      <c r="D12" s="6"/>
      <c r="E12" s="10">
        <f>(E11*E10)+D7+A5</f>
        <v>25916</v>
      </c>
      <c r="F12" s="28"/>
      <c r="G12" s="23"/>
      <c r="H12" t="s">
        <v>34</v>
      </c>
      <c r="I12" s="76"/>
      <c r="J12" s="12">
        <v>44607</v>
      </c>
      <c r="K12">
        <f t="shared" si="0"/>
        <v>0</v>
      </c>
      <c r="L12">
        <f t="shared" si="1"/>
        <v>2</v>
      </c>
      <c r="M12">
        <f t="shared" si="2"/>
        <v>2022</v>
      </c>
      <c r="N12">
        <f t="shared" si="3"/>
        <v>202202</v>
      </c>
    </row>
    <row r="13" spans="1:14" ht="15" thickTop="1" x14ac:dyDescent="0.3">
      <c r="D13" s="2"/>
      <c r="E13" s="2"/>
      <c r="F13" s="2"/>
      <c r="G13" s="2"/>
      <c r="H13" t="s">
        <v>35</v>
      </c>
      <c r="I13" s="76"/>
      <c r="J13" s="12">
        <v>44635</v>
      </c>
      <c r="K13">
        <f t="shared" si="0"/>
        <v>0</v>
      </c>
      <c r="L13">
        <f t="shared" si="1"/>
        <v>3</v>
      </c>
      <c r="M13">
        <f t="shared" si="2"/>
        <v>2022</v>
      </c>
      <c r="N13">
        <f t="shared" si="3"/>
        <v>202203</v>
      </c>
    </row>
    <row r="14" spans="1:14" x14ac:dyDescent="0.3">
      <c r="E14" s="2">
        <f>E2*E5</f>
        <v>29280</v>
      </c>
      <c r="F14" s="2"/>
    </row>
    <row r="15" spans="1:14" x14ac:dyDescent="0.3">
      <c r="E15" s="2"/>
    </row>
    <row r="17" spans="4:6" x14ac:dyDescent="0.3">
      <c r="E17" s="49"/>
    </row>
    <row r="18" spans="4:6" x14ac:dyDescent="0.3">
      <c r="D18" s="54"/>
      <c r="E18" s="56">
        <f>E2*E5</f>
        <v>29280</v>
      </c>
      <c r="F18" s="54"/>
    </row>
    <row r="19" spans="4:6" x14ac:dyDescent="0.3">
      <c r="D19" s="54"/>
      <c r="E19" s="55">
        <f>E18-A5</f>
        <v>18780</v>
      </c>
      <c r="F19" s="54"/>
    </row>
    <row r="20" spans="4:6" x14ac:dyDescent="0.3">
      <c r="D20" s="54"/>
      <c r="E20" s="54"/>
      <c r="F20" s="54"/>
    </row>
    <row r="21" spans="4:6" x14ac:dyDescent="0.3">
      <c r="D21" s="54"/>
      <c r="E21" s="54"/>
      <c r="F21" s="54"/>
    </row>
    <row r="22" spans="4:6" x14ac:dyDescent="0.3">
      <c r="D22" s="54"/>
      <c r="E22" s="54"/>
      <c r="F22" s="54"/>
    </row>
    <row r="23" spans="4:6" x14ac:dyDescent="0.3">
      <c r="D23" s="54"/>
      <c r="E23" s="54"/>
      <c r="F23" s="54"/>
    </row>
  </sheetData>
  <mergeCells count="2">
    <mergeCell ref="I2:I10"/>
    <mergeCell ref="I11:I13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4"/>
  <dimension ref="A1:M27"/>
  <sheetViews>
    <sheetView zoomScale="145" zoomScaleNormal="145" workbookViewId="0">
      <selection activeCell="E10" sqref="E10"/>
    </sheetView>
  </sheetViews>
  <sheetFormatPr defaultRowHeight="14.4" x14ac:dyDescent="0.3"/>
  <cols>
    <col min="1" max="1" width="6.21875" bestFit="1" customWidth="1"/>
    <col min="2" max="2" width="2.21875" bestFit="1" customWidth="1"/>
    <col min="3" max="3" width="10.6640625" bestFit="1" customWidth="1"/>
    <col min="4" max="4" width="12.88671875" bestFit="1" customWidth="1"/>
    <col min="5" max="5" width="14.88671875" bestFit="1" customWidth="1"/>
    <col min="6" max="6" width="12.88671875" bestFit="1" customWidth="1"/>
    <col min="7" max="7" width="9.6640625" bestFit="1" customWidth="1"/>
    <col min="8" max="8" width="3.5546875" bestFit="1" customWidth="1"/>
    <col min="9" max="9" width="10.77734375" bestFit="1" customWidth="1"/>
    <col min="10" max="10" width="2" bestFit="1" customWidth="1"/>
    <col min="11" max="11" width="3" bestFit="1" customWidth="1"/>
    <col min="12" max="12" width="5.109375" bestFit="1" customWidth="1"/>
    <col min="13" max="13" width="7.21875" bestFit="1" customWidth="1"/>
  </cols>
  <sheetData>
    <row r="1" spans="1:13" ht="15" thickBot="1" x14ac:dyDescent="0.35">
      <c r="D1" t="s">
        <v>22</v>
      </c>
      <c r="E1" t="s">
        <v>49</v>
      </c>
      <c r="I1" s="12">
        <v>44485</v>
      </c>
      <c r="J1" s="13"/>
      <c r="K1">
        <f>MONTH(I1)</f>
        <v>10</v>
      </c>
      <c r="L1">
        <f>YEAR(I1)</f>
        <v>2021</v>
      </c>
      <c r="M1">
        <f>CONCATENATE(L1,RIGHT(CONCATENATE("00",K1),2)) + IF(DAY(I1)&lt;=15,0,1)</f>
        <v>202111</v>
      </c>
    </row>
    <row r="2" spans="1:13" ht="15" thickTop="1" x14ac:dyDescent="0.3">
      <c r="A2" t="s">
        <v>0</v>
      </c>
      <c r="B2" t="s">
        <v>2</v>
      </c>
      <c r="C2" t="s">
        <v>21</v>
      </c>
      <c r="D2" s="32">
        <v>36</v>
      </c>
      <c r="E2" s="7">
        <f>D6+E10</f>
        <v>35</v>
      </c>
      <c r="G2" t="s">
        <v>24</v>
      </c>
      <c r="H2" s="76">
        <v>2021</v>
      </c>
      <c r="I2" s="12">
        <v>44301</v>
      </c>
      <c r="J2">
        <f>IF($M$1&gt;=M2,1,0)</f>
        <v>1</v>
      </c>
      <c r="K2">
        <f>IF(MONTH(I2)=1,13,MONTH(I2))</f>
        <v>4</v>
      </c>
      <c r="L2">
        <f>IF(K2=13,YEAR(I2)-1,YEAR(I2))</f>
        <v>2021</v>
      </c>
      <c r="M2">
        <f>CONCATENATE(L2,RIGHT(CONCATENATE("00",K2),2)) * 1</f>
        <v>202104</v>
      </c>
    </row>
    <row r="3" spans="1:13" x14ac:dyDescent="0.3">
      <c r="A3" s="35">
        <v>20</v>
      </c>
      <c r="B3" t="s">
        <v>3</v>
      </c>
      <c r="C3" t="s">
        <v>1</v>
      </c>
      <c r="D3" s="53">
        <f>VLOOKUP(D2,'Planos da Turma'!B7:C42,2,FALSE)</f>
        <v>1080</v>
      </c>
      <c r="E3" s="34">
        <f>VLOOKUP(E2,'Planos da Turma'!B6:C42,2)</f>
        <v>1095</v>
      </c>
      <c r="F3" s="1"/>
      <c r="G3" t="s">
        <v>25</v>
      </c>
      <c r="H3" s="76"/>
      <c r="I3" s="12">
        <v>44331</v>
      </c>
      <c r="J3">
        <f t="shared" ref="J3:J23" si="0">IF($M$1&gt;=M3,1,0)</f>
        <v>1</v>
      </c>
      <c r="K3">
        <f t="shared" ref="K3:K23" si="1">IF(MONTH(I3)=1,13,MONTH(I3))</f>
        <v>5</v>
      </c>
      <c r="L3">
        <f t="shared" ref="L3:L23" si="2">IF(K3=13,YEAR(I3)-1,YEAR(I3))</f>
        <v>2021</v>
      </c>
      <c r="M3">
        <f t="shared" ref="M3:M23" si="3">CONCATENATE(L3,RIGHT(CONCATENATE("00",K3),2)) * 1</f>
        <v>202105</v>
      </c>
    </row>
    <row r="4" spans="1:13" x14ac:dyDescent="0.3">
      <c r="B4" t="s">
        <v>5</v>
      </c>
      <c r="C4" t="s">
        <v>0</v>
      </c>
      <c r="D4" s="3">
        <f>D3*A3/100</f>
        <v>216</v>
      </c>
      <c r="E4" s="8">
        <f>E3*A3/100</f>
        <v>219</v>
      </c>
      <c r="F4" s="1"/>
      <c r="G4" t="s">
        <v>26</v>
      </c>
      <c r="H4" s="76"/>
      <c r="I4" s="12">
        <v>44362</v>
      </c>
      <c r="J4">
        <f t="shared" si="0"/>
        <v>1</v>
      </c>
      <c r="K4">
        <f t="shared" si="1"/>
        <v>6</v>
      </c>
      <c r="L4">
        <f t="shared" si="2"/>
        <v>2021</v>
      </c>
      <c r="M4">
        <f t="shared" si="3"/>
        <v>202106</v>
      </c>
    </row>
    <row r="5" spans="1:13" x14ac:dyDescent="0.3">
      <c r="B5" t="s">
        <v>6</v>
      </c>
      <c r="C5" t="s">
        <v>8</v>
      </c>
      <c r="D5" s="3">
        <f>D3-D4</f>
        <v>864</v>
      </c>
      <c r="E5" s="8">
        <f>E3-E4</f>
        <v>876</v>
      </c>
      <c r="F5" s="1"/>
      <c r="G5" s="2" t="s">
        <v>27</v>
      </c>
      <c r="H5" s="76"/>
      <c r="I5" s="12">
        <v>44392</v>
      </c>
      <c r="J5">
        <f t="shared" si="0"/>
        <v>1</v>
      </c>
      <c r="K5">
        <f t="shared" si="1"/>
        <v>7</v>
      </c>
      <c r="L5">
        <f t="shared" si="2"/>
        <v>2021</v>
      </c>
      <c r="M5">
        <f t="shared" si="3"/>
        <v>202107</v>
      </c>
    </row>
    <row r="6" spans="1:13" x14ac:dyDescent="0.3">
      <c r="B6" t="s">
        <v>7</v>
      </c>
      <c r="C6" t="s">
        <v>4</v>
      </c>
      <c r="D6" s="36">
        <v>14</v>
      </c>
      <c r="E6" s="9"/>
      <c r="F6" s="31">
        <f>D2-D6</f>
        <v>22</v>
      </c>
      <c r="G6" s="2" t="s">
        <v>28</v>
      </c>
      <c r="H6" s="76"/>
      <c r="I6" s="12">
        <v>44423</v>
      </c>
      <c r="J6">
        <f t="shared" si="0"/>
        <v>1</v>
      </c>
      <c r="K6">
        <f t="shared" si="1"/>
        <v>8</v>
      </c>
      <c r="L6">
        <f t="shared" si="2"/>
        <v>2021</v>
      </c>
      <c r="M6">
        <f t="shared" si="3"/>
        <v>202108</v>
      </c>
    </row>
    <row r="7" spans="1:13" x14ac:dyDescent="0.3">
      <c r="B7" t="s">
        <v>10</v>
      </c>
      <c r="C7" t="s">
        <v>9</v>
      </c>
      <c r="D7" s="5">
        <f>D5*D6</f>
        <v>12096</v>
      </c>
      <c r="E7" s="9"/>
      <c r="F7" s="2">
        <f>D5*F6</f>
        <v>19008</v>
      </c>
      <c r="G7" t="s">
        <v>29</v>
      </c>
      <c r="H7" s="76"/>
      <c r="I7" s="12">
        <v>44454</v>
      </c>
      <c r="J7">
        <f t="shared" si="0"/>
        <v>1</v>
      </c>
      <c r="K7">
        <f t="shared" si="1"/>
        <v>9</v>
      </c>
      <c r="L7">
        <f t="shared" si="2"/>
        <v>2021</v>
      </c>
      <c r="M7">
        <f t="shared" si="3"/>
        <v>202109</v>
      </c>
    </row>
    <row r="8" spans="1:13" x14ac:dyDescent="0.3">
      <c r="B8" t="s">
        <v>11</v>
      </c>
      <c r="C8" t="s">
        <v>16</v>
      </c>
      <c r="D8" s="4"/>
      <c r="E8" s="11">
        <f>E5*E2</f>
        <v>30660</v>
      </c>
      <c r="F8" s="1"/>
      <c r="G8" t="s">
        <v>30</v>
      </c>
      <c r="H8" s="76"/>
      <c r="I8" s="12">
        <v>44484</v>
      </c>
      <c r="J8">
        <f t="shared" si="0"/>
        <v>1</v>
      </c>
      <c r="K8">
        <f t="shared" si="1"/>
        <v>10</v>
      </c>
      <c r="L8">
        <f t="shared" si="2"/>
        <v>2021</v>
      </c>
      <c r="M8">
        <f t="shared" si="3"/>
        <v>202110</v>
      </c>
    </row>
    <row r="9" spans="1:13" x14ac:dyDescent="0.3">
      <c r="B9" t="s">
        <v>12</v>
      </c>
      <c r="C9" t="s">
        <v>36</v>
      </c>
      <c r="D9" s="4"/>
      <c r="E9" s="11">
        <f>E8-(E8/D2*D6)</f>
        <v>18736.666666666668</v>
      </c>
      <c r="F9" s="1"/>
      <c r="G9" t="s">
        <v>31</v>
      </c>
      <c r="H9" s="76"/>
      <c r="I9" s="12">
        <v>44515</v>
      </c>
      <c r="J9">
        <f t="shared" si="0"/>
        <v>1</v>
      </c>
      <c r="K9">
        <f t="shared" si="1"/>
        <v>11</v>
      </c>
      <c r="L9">
        <f t="shared" si="2"/>
        <v>2021</v>
      </c>
      <c r="M9">
        <f t="shared" si="3"/>
        <v>202111</v>
      </c>
    </row>
    <row r="10" spans="1:13" x14ac:dyDescent="0.3">
      <c r="B10" t="s">
        <v>13</v>
      </c>
      <c r="C10" t="s">
        <v>37</v>
      </c>
      <c r="D10" s="4"/>
      <c r="E10" s="39">
        <v>21</v>
      </c>
      <c r="F10" s="1" t="s">
        <v>23</v>
      </c>
      <c r="G10" t="s">
        <v>32</v>
      </c>
      <c r="H10" s="76"/>
      <c r="I10" s="12">
        <v>44545</v>
      </c>
      <c r="J10">
        <f t="shared" si="0"/>
        <v>0</v>
      </c>
      <c r="K10">
        <f t="shared" si="1"/>
        <v>12</v>
      </c>
      <c r="L10">
        <f t="shared" si="2"/>
        <v>2021</v>
      </c>
      <c r="M10">
        <f t="shared" si="3"/>
        <v>202112</v>
      </c>
    </row>
    <row r="11" spans="1:13" ht="15" customHeight="1" x14ac:dyDescent="0.3">
      <c r="B11" t="s">
        <v>14</v>
      </c>
      <c r="C11" t="s">
        <v>19</v>
      </c>
      <c r="D11" s="4"/>
      <c r="E11" s="11">
        <f>E9/E10</f>
        <v>892.22222222222229</v>
      </c>
      <c r="F11" s="14"/>
      <c r="G11" t="s">
        <v>33</v>
      </c>
      <c r="H11" s="76">
        <v>2022</v>
      </c>
      <c r="I11" s="12">
        <v>44576</v>
      </c>
      <c r="J11">
        <f>IF($M$1&gt;=M11,1,0)</f>
        <v>0</v>
      </c>
      <c r="K11">
        <f t="shared" si="1"/>
        <v>13</v>
      </c>
      <c r="L11">
        <f t="shared" si="2"/>
        <v>2021</v>
      </c>
      <c r="M11">
        <f t="shared" si="3"/>
        <v>202113</v>
      </c>
    </row>
    <row r="12" spans="1:13" ht="15" thickBot="1" x14ac:dyDescent="0.35">
      <c r="B12" t="s">
        <v>15</v>
      </c>
      <c r="C12" t="s">
        <v>38</v>
      </c>
      <c r="D12" s="6"/>
      <c r="E12" s="10">
        <f>(E11*E10)+D7</f>
        <v>30832.666666666668</v>
      </c>
      <c r="G12" t="s">
        <v>34</v>
      </c>
      <c r="H12" s="76"/>
      <c r="I12" s="12">
        <v>44607</v>
      </c>
      <c r="J12">
        <f>IF($M$1&gt;=M12,1,0)</f>
        <v>0</v>
      </c>
      <c r="K12">
        <f t="shared" si="1"/>
        <v>2</v>
      </c>
      <c r="L12">
        <f t="shared" si="2"/>
        <v>2022</v>
      </c>
      <c r="M12">
        <f t="shared" si="3"/>
        <v>202202</v>
      </c>
    </row>
    <row r="13" spans="1:13" ht="15" thickTop="1" x14ac:dyDescent="0.3">
      <c r="D13" s="2"/>
      <c r="E13" s="2"/>
      <c r="F13" s="1"/>
      <c r="G13" t="s">
        <v>35</v>
      </c>
      <c r="H13" s="76"/>
      <c r="I13" s="12">
        <v>44635</v>
      </c>
      <c r="J13">
        <f t="shared" si="0"/>
        <v>0</v>
      </c>
      <c r="K13">
        <f t="shared" si="1"/>
        <v>3</v>
      </c>
      <c r="L13">
        <f t="shared" si="2"/>
        <v>2022</v>
      </c>
      <c r="M13">
        <f t="shared" si="3"/>
        <v>202203</v>
      </c>
    </row>
    <row r="14" spans="1:13" x14ac:dyDescent="0.3">
      <c r="E14" s="73"/>
      <c r="F14" s="1" t="s">
        <v>87</v>
      </c>
      <c r="G14" t="s">
        <v>24</v>
      </c>
      <c r="H14" s="76"/>
      <c r="I14" s="12">
        <v>44666</v>
      </c>
      <c r="J14">
        <f t="shared" si="0"/>
        <v>0</v>
      </c>
      <c r="K14">
        <f t="shared" si="1"/>
        <v>4</v>
      </c>
      <c r="L14">
        <f t="shared" si="2"/>
        <v>2022</v>
      </c>
      <c r="M14">
        <f t="shared" si="3"/>
        <v>202204</v>
      </c>
    </row>
    <row r="15" spans="1:13" x14ac:dyDescent="0.3">
      <c r="E15" s="49"/>
      <c r="F15" s="1"/>
      <c r="G15" t="s">
        <v>25</v>
      </c>
      <c r="H15" s="76"/>
      <c r="I15" s="12">
        <v>44696</v>
      </c>
      <c r="J15">
        <f t="shared" si="0"/>
        <v>0</v>
      </c>
      <c r="K15">
        <f t="shared" si="1"/>
        <v>5</v>
      </c>
      <c r="L15">
        <f t="shared" si="2"/>
        <v>2022</v>
      </c>
      <c r="M15">
        <f t="shared" si="3"/>
        <v>202205</v>
      </c>
    </row>
    <row r="16" spans="1:13" x14ac:dyDescent="0.3">
      <c r="F16" s="14"/>
      <c r="G16" t="s">
        <v>26</v>
      </c>
      <c r="H16" s="76"/>
      <c r="I16" s="12">
        <v>44727</v>
      </c>
      <c r="J16">
        <f t="shared" si="0"/>
        <v>0</v>
      </c>
      <c r="K16">
        <f t="shared" si="1"/>
        <v>6</v>
      </c>
      <c r="L16">
        <f t="shared" si="2"/>
        <v>2022</v>
      </c>
      <c r="M16">
        <f t="shared" si="3"/>
        <v>202206</v>
      </c>
    </row>
    <row r="17" spans="4:13" x14ac:dyDescent="0.3">
      <c r="E17" s="57" t="s">
        <v>76</v>
      </c>
      <c r="G17" s="2" t="s">
        <v>27</v>
      </c>
      <c r="H17" s="76"/>
      <c r="I17" s="12">
        <v>44757</v>
      </c>
      <c r="J17">
        <f t="shared" si="0"/>
        <v>0</v>
      </c>
      <c r="K17">
        <f t="shared" si="1"/>
        <v>7</v>
      </c>
      <c r="L17">
        <f t="shared" si="2"/>
        <v>2022</v>
      </c>
      <c r="M17">
        <f t="shared" si="3"/>
        <v>202207</v>
      </c>
    </row>
    <row r="18" spans="4:13" x14ac:dyDescent="0.3">
      <c r="F18" s="1"/>
      <c r="G18" s="2" t="s">
        <v>28</v>
      </c>
      <c r="H18" s="76"/>
      <c r="I18" s="12">
        <v>44788</v>
      </c>
      <c r="J18">
        <f t="shared" si="0"/>
        <v>0</v>
      </c>
      <c r="K18">
        <f t="shared" si="1"/>
        <v>8</v>
      </c>
      <c r="L18">
        <f t="shared" si="2"/>
        <v>2022</v>
      </c>
      <c r="M18">
        <f t="shared" si="3"/>
        <v>202208</v>
      </c>
    </row>
    <row r="19" spans="4:13" x14ac:dyDescent="0.3">
      <c r="D19" s="70">
        <v>1590</v>
      </c>
      <c r="E19" s="49"/>
      <c r="F19" s="1"/>
      <c r="G19" t="s">
        <v>29</v>
      </c>
      <c r="H19" s="76"/>
      <c r="I19" s="12">
        <v>44819</v>
      </c>
      <c r="J19">
        <f t="shared" si="0"/>
        <v>0</v>
      </c>
      <c r="K19">
        <f t="shared" si="1"/>
        <v>9</v>
      </c>
      <c r="L19">
        <f t="shared" si="2"/>
        <v>2022</v>
      </c>
      <c r="M19">
        <f t="shared" si="3"/>
        <v>202209</v>
      </c>
    </row>
    <row r="20" spans="4:13" x14ac:dyDescent="0.3">
      <c r="D20">
        <f>D19*(1-A3/100)</f>
        <v>1272</v>
      </c>
      <c r="E20" s="49">
        <v>20</v>
      </c>
      <c r="F20" s="1"/>
      <c r="G20" t="s">
        <v>30</v>
      </c>
      <c r="H20" s="76"/>
      <c r="I20" s="12">
        <v>44849</v>
      </c>
      <c r="J20">
        <f t="shared" si="0"/>
        <v>0</v>
      </c>
      <c r="K20">
        <f t="shared" si="1"/>
        <v>10</v>
      </c>
      <c r="L20">
        <f t="shared" si="2"/>
        <v>2022</v>
      </c>
      <c r="M20">
        <f t="shared" si="3"/>
        <v>202210</v>
      </c>
    </row>
    <row r="21" spans="4:13" x14ac:dyDescent="0.3">
      <c r="D21" s="49">
        <f>D20*E20</f>
        <v>25440</v>
      </c>
      <c r="F21" s="14"/>
      <c r="G21" t="s">
        <v>31</v>
      </c>
      <c r="H21" s="76"/>
      <c r="I21" s="12">
        <v>44880</v>
      </c>
      <c r="J21">
        <f t="shared" si="0"/>
        <v>0</v>
      </c>
      <c r="K21">
        <f t="shared" si="1"/>
        <v>11</v>
      </c>
      <c r="L21">
        <f t="shared" si="2"/>
        <v>2022</v>
      </c>
      <c r="M21">
        <f t="shared" si="3"/>
        <v>202211</v>
      </c>
    </row>
    <row r="22" spans="4:13" x14ac:dyDescent="0.3">
      <c r="G22" t="s">
        <v>32</v>
      </c>
      <c r="H22" s="76"/>
      <c r="I22" s="12">
        <v>44910</v>
      </c>
      <c r="J22">
        <f t="shared" si="0"/>
        <v>0</v>
      </c>
      <c r="K22">
        <f t="shared" si="1"/>
        <v>12</v>
      </c>
      <c r="L22">
        <f t="shared" si="2"/>
        <v>2022</v>
      </c>
      <c r="M22">
        <f t="shared" si="3"/>
        <v>202212</v>
      </c>
    </row>
    <row r="23" spans="4:13" ht="27" x14ac:dyDescent="0.3">
      <c r="F23" s="1"/>
      <c r="G23" t="s">
        <v>33</v>
      </c>
      <c r="H23" s="15">
        <v>2023</v>
      </c>
      <c r="I23" s="12">
        <v>44941</v>
      </c>
      <c r="J23">
        <f t="shared" si="0"/>
        <v>0</v>
      </c>
      <c r="K23">
        <f t="shared" si="1"/>
        <v>13</v>
      </c>
      <c r="L23">
        <f t="shared" si="2"/>
        <v>2022</v>
      </c>
      <c r="M23">
        <f t="shared" si="3"/>
        <v>202213</v>
      </c>
    </row>
    <row r="24" spans="4:13" x14ac:dyDescent="0.3">
      <c r="D24" s="70"/>
      <c r="E24" s="49"/>
      <c r="F24" s="1"/>
    </row>
    <row r="25" spans="4:13" x14ac:dyDescent="0.3">
      <c r="D25" s="70"/>
      <c r="E25" s="49"/>
      <c r="F25" s="1"/>
    </row>
    <row r="26" spans="4:13" x14ac:dyDescent="0.3">
      <c r="D26" s="49"/>
      <c r="E26" s="70"/>
    </row>
    <row r="27" spans="4:13" x14ac:dyDescent="0.3">
      <c r="D27" s="70"/>
      <c r="E27" s="70"/>
    </row>
  </sheetData>
  <mergeCells count="2">
    <mergeCell ref="H2:H10"/>
    <mergeCell ref="H11:H22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5"/>
  <dimension ref="A1:N25"/>
  <sheetViews>
    <sheetView zoomScale="130" zoomScaleNormal="130" workbookViewId="0">
      <selection activeCell="E11" sqref="E11"/>
    </sheetView>
  </sheetViews>
  <sheetFormatPr defaultRowHeight="14.4" x14ac:dyDescent="0.3"/>
  <cols>
    <col min="1" max="1" width="13.33203125" bestFit="1" customWidth="1"/>
    <col min="2" max="2" width="2.33203125" bestFit="1" customWidth="1"/>
    <col min="3" max="3" width="13.6640625" bestFit="1" customWidth="1"/>
    <col min="4" max="4" width="13" bestFit="1" customWidth="1"/>
    <col min="5" max="5" width="13.88671875" bestFit="1" customWidth="1"/>
    <col min="6" max="6" width="74.88671875" bestFit="1" customWidth="1"/>
    <col min="7" max="7" width="13.33203125" style="23" bestFit="1" customWidth="1"/>
    <col min="8" max="8" width="12.6640625" bestFit="1" customWidth="1"/>
    <col min="9" max="9" width="5" bestFit="1" customWidth="1"/>
    <col min="10" max="10" width="11.5546875" bestFit="1" customWidth="1"/>
    <col min="11" max="11" width="10.6640625" bestFit="1" customWidth="1"/>
  </cols>
  <sheetData>
    <row r="1" spans="1:14" ht="15" thickBot="1" x14ac:dyDescent="0.35">
      <c r="D1" t="s">
        <v>22</v>
      </c>
      <c r="E1" t="s">
        <v>49</v>
      </c>
      <c r="J1" s="12">
        <v>44485</v>
      </c>
      <c r="K1" s="13"/>
      <c r="L1">
        <f>MONTH(J1)</f>
        <v>10</v>
      </c>
      <c r="M1">
        <f>YEAR(J1)</f>
        <v>2021</v>
      </c>
      <c r="N1">
        <f>CONCATENATE(M1,RIGHT(CONCATENATE("00",L1),2)) + IF(DAY(J1)&lt;=15,0,1)</f>
        <v>202111</v>
      </c>
    </row>
    <row r="2" spans="1:14" ht="15" thickTop="1" x14ac:dyDescent="0.3">
      <c r="A2" t="s">
        <v>0</v>
      </c>
      <c r="B2" t="s">
        <v>2</v>
      </c>
      <c r="C2" t="s">
        <v>21</v>
      </c>
      <c r="D2" s="32">
        <v>24</v>
      </c>
      <c r="E2" s="7">
        <f>D6+E10</f>
        <v>15</v>
      </c>
      <c r="F2" s="27"/>
      <c r="H2" t="s">
        <v>24</v>
      </c>
      <c r="I2" s="76">
        <v>2021</v>
      </c>
      <c r="J2" s="12">
        <v>44301</v>
      </c>
      <c r="K2">
        <f>IF($N$1&gt;=N2,1,0)</f>
        <v>1</v>
      </c>
      <c r="L2">
        <f>IF(MONTH(J2)=1,13,MONTH(J2))</f>
        <v>4</v>
      </c>
      <c r="M2">
        <f>IF(L2=13,YEAR(J2)-1,YEAR(J2))</f>
        <v>2021</v>
      </c>
      <c r="N2">
        <f>CONCATENATE(M2,RIGHT(CONCATENATE("00",L2),2)) * 1</f>
        <v>202104</v>
      </c>
    </row>
    <row r="3" spans="1:14" x14ac:dyDescent="0.3">
      <c r="A3" s="35">
        <v>20</v>
      </c>
      <c r="B3" t="s">
        <v>3</v>
      </c>
      <c r="C3" t="s">
        <v>1</v>
      </c>
      <c r="D3" s="53">
        <f>VLOOKUP(D2,'Planos da Turma'!B7:C42,2,FALSE)</f>
        <v>1425</v>
      </c>
      <c r="E3" s="34">
        <f>VLOOKUP(E2,'Planos da Turma'!B6:C42,2)</f>
        <v>2075</v>
      </c>
      <c r="F3" s="28" t="s">
        <v>40</v>
      </c>
      <c r="G3" s="24">
        <f>ROUND(A5/E5,0)</f>
        <v>6</v>
      </c>
      <c r="H3" t="s">
        <v>25</v>
      </c>
      <c r="I3" s="76"/>
      <c r="J3" s="12">
        <v>44331</v>
      </c>
      <c r="K3">
        <f t="shared" ref="K3:K23" si="0">IF($N$1&gt;=N3,1,0)</f>
        <v>1</v>
      </c>
      <c r="L3">
        <f t="shared" ref="L3:L23" si="1">IF(MONTH(J3)=1,13,MONTH(J3))</f>
        <v>5</v>
      </c>
      <c r="M3">
        <f t="shared" ref="M3:M23" si="2">IF(L3=13,YEAR(J3)-1,YEAR(J3))</f>
        <v>2021</v>
      </c>
      <c r="N3">
        <f t="shared" ref="N3:N23" si="3">CONCATENATE(M3,RIGHT(CONCATENATE("00",L3),2)) * 1</f>
        <v>202105</v>
      </c>
    </row>
    <row r="4" spans="1:14" x14ac:dyDescent="0.3">
      <c r="A4" t="s">
        <v>39</v>
      </c>
      <c r="B4" t="s">
        <v>5</v>
      </c>
      <c r="C4" t="s">
        <v>0</v>
      </c>
      <c r="D4" s="3">
        <f>D3*A3/100</f>
        <v>285</v>
      </c>
      <c r="E4" s="8">
        <f>E3*A3/100</f>
        <v>415</v>
      </c>
      <c r="F4" s="28" t="s">
        <v>41</v>
      </c>
      <c r="G4" s="24">
        <f>E2-G3</f>
        <v>9</v>
      </c>
      <c r="H4" t="s">
        <v>26</v>
      </c>
      <c r="I4" s="76"/>
      <c r="J4" s="12">
        <v>44362</v>
      </c>
      <c r="K4">
        <f t="shared" si="0"/>
        <v>1</v>
      </c>
      <c r="L4">
        <f t="shared" si="1"/>
        <v>6</v>
      </c>
      <c r="M4">
        <f t="shared" si="2"/>
        <v>2021</v>
      </c>
      <c r="N4">
        <f t="shared" si="3"/>
        <v>202106</v>
      </c>
    </row>
    <row r="5" spans="1:14" x14ac:dyDescent="0.3">
      <c r="A5" s="38">
        <v>10500</v>
      </c>
      <c r="B5" t="s">
        <v>6</v>
      </c>
      <c r="C5" t="s">
        <v>8</v>
      </c>
      <c r="D5" s="3">
        <f>D3-D4</f>
        <v>1140</v>
      </c>
      <c r="E5" s="8">
        <f>E3-E4</f>
        <v>1660</v>
      </c>
      <c r="F5" s="28" t="s">
        <v>42</v>
      </c>
      <c r="G5" s="38">
        <f>VLOOKUP(G4,'Planos da Turma'!B6:C42,2)</f>
        <v>3310</v>
      </c>
      <c r="H5" s="2" t="s">
        <v>27</v>
      </c>
      <c r="I5" s="76"/>
      <c r="J5" s="12">
        <v>44392</v>
      </c>
      <c r="K5">
        <f t="shared" si="0"/>
        <v>1</v>
      </c>
      <c r="L5">
        <f t="shared" si="1"/>
        <v>7</v>
      </c>
      <c r="M5">
        <f t="shared" si="2"/>
        <v>2021</v>
      </c>
      <c r="N5">
        <f t="shared" si="3"/>
        <v>202107</v>
      </c>
    </row>
    <row r="6" spans="1:14" x14ac:dyDescent="0.3">
      <c r="B6" t="s">
        <v>7</v>
      </c>
      <c r="C6" t="s">
        <v>4</v>
      </c>
      <c r="D6" s="36">
        <v>3</v>
      </c>
      <c r="E6" s="11"/>
      <c r="F6" s="14" t="s">
        <v>43</v>
      </c>
      <c r="G6" s="26">
        <f>G5*A3/100</f>
        <v>662</v>
      </c>
      <c r="H6" s="2" t="s">
        <v>28</v>
      </c>
      <c r="I6" s="76"/>
      <c r="J6" s="12">
        <v>44423</v>
      </c>
      <c r="K6">
        <f t="shared" si="0"/>
        <v>1</v>
      </c>
      <c r="L6">
        <f t="shared" si="1"/>
        <v>8</v>
      </c>
      <c r="M6">
        <f t="shared" si="2"/>
        <v>2021</v>
      </c>
      <c r="N6">
        <f t="shared" si="3"/>
        <v>202108</v>
      </c>
    </row>
    <row r="7" spans="1:14" x14ac:dyDescent="0.3">
      <c r="B7" t="s">
        <v>10</v>
      </c>
      <c r="C7" t="s">
        <v>9</v>
      </c>
      <c r="D7" s="5">
        <f>D5*D6</f>
        <v>3420</v>
      </c>
      <c r="E7" s="9"/>
      <c r="F7" s="14" t="s">
        <v>44</v>
      </c>
      <c r="G7" s="1">
        <f>G5-G6</f>
        <v>2648</v>
      </c>
      <c r="H7" t="s">
        <v>29</v>
      </c>
      <c r="I7" s="76"/>
      <c r="J7" s="12">
        <v>44454</v>
      </c>
      <c r="K7">
        <f t="shared" si="0"/>
        <v>1</v>
      </c>
      <c r="L7">
        <f t="shared" si="1"/>
        <v>9</v>
      </c>
      <c r="M7">
        <f t="shared" si="2"/>
        <v>2021</v>
      </c>
      <c r="N7">
        <f t="shared" si="3"/>
        <v>202109</v>
      </c>
    </row>
    <row r="8" spans="1:14" x14ac:dyDescent="0.3">
      <c r="B8" t="s">
        <v>11</v>
      </c>
      <c r="C8" t="s">
        <v>48</v>
      </c>
      <c r="D8" s="4"/>
      <c r="E8" s="11">
        <f>G10*E2</f>
        <v>13332</v>
      </c>
      <c r="F8" s="29" t="s">
        <v>45</v>
      </c>
      <c r="G8" s="1">
        <f>G7*G4</f>
        <v>23832</v>
      </c>
      <c r="H8" t="s">
        <v>30</v>
      </c>
      <c r="I8" s="76"/>
      <c r="J8" s="12">
        <v>44484</v>
      </c>
      <c r="K8">
        <f t="shared" si="0"/>
        <v>1</v>
      </c>
      <c r="L8">
        <f t="shared" si="1"/>
        <v>10</v>
      </c>
      <c r="M8">
        <f t="shared" si="2"/>
        <v>2021</v>
      </c>
      <c r="N8">
        <f t="shared" si="3"/>
        <v>202110</v>
      </c>
    </row>
    <row r="9" spans="1:14" x14ac:dyDescent="0.3">
      <c r="B9" t="s">
        <v>12</v>
      </c>
      <c r="C9" t="s">
        <v>36</v>
      </c>
      <c r="D9" s="4"/>
      <c r="E9" s="11">
        <f>E8-(E8/D2*D6)</f>
        <v>11665.5</v>
      </c>
      <c r="F9" s="29" t="s">
        <v>46</v>
      </c>
      <c r="G9" s="1">
        <f>G8-A5</f>
        <v>13332</v>
      </c>
      <c r="H9" t="s">
        <v>31</v>
      </c>
      <c r="I9" s="76"/>
      <c r="J9" s="12">
        <v>44515</v>
      </c>
      <c r="K9">
        <f t="shared" si="0"/>
        <v>1</v>
      </c>
      <c r="L9">
        <f t="shared" si="1"/>
        <v>11</v>
      </c>
      <c r="M9">
        <f t="shared" si="2"/>
        <v>2021</v>
      </c>
      <c r="N9">
        <f t="shared" si="3"/>
        <v>202111</v>
      </c>
    </row>
    <row r="10" spans="1:14" x14ac:dyDescent="0.3">
      <c r="B10" t="s">
        <v>13</v>
      </c>
      <c r="C10" t="s">
        <v>37</v>
      </c>
      <c r="D10" s="40" t="s">
        <v>23</v>
      </c>
      <c r="E10" s="39">
        <v>12</v>
      </c>
      <c r="F10" s="27" t="s">
        <v>47</v>
      </c>
      <c r="G10" s="30">
        <f>G9/E2</f>
        <v>888.8</v>
      </c>
      <c r="H10" t="s">
        <v>32</v>
      </c>
      <c r="I10" s="76"/>
      <c r="J10" s="12">
        <v>44545</v>
      </c>
      <c r="K10">
        <f t="shared" si="0"/>
        <v>0</v>
      </c>
      <c r="L10">
        <f t="shared" si="1"/>
        <v>12</v>
      </c>
      <c r="M10">
        <f t="shared" si="2"/>
        <v>2021</v>
      </c>
      <c r="N10">
        <f t="shared" si="3"/>
        <v>202112</v>
      </c>
    </row>
    <row r="11" spans="1:14" ht="15" customHeight="1" x14ac:dyDescent="0.3">
      <c r="B11" t="s">
        <v>14</v>
      </c>
      <c r="C11" t="s">
        <v>19</v>
      </c>
      <c r="D11" s="4"/>
      <c r="E11" s="11">
        <f>E9/E10</f>
        <v>972.125</v>
      </c>
      <c r="F11" s="29"/>
      <c r="G11" s="25"/>
      <c r="H11" t="s">
        <v>33</v>
      </c>
      <c r="I11" s="76">
        <v>2022</v>
      </c>
      <c r="J11" s="12">
        <v>44576</v>
      </c>
      <c r="K11">
        <f>IF($N$1&gt;=N11,1,0)</f>
        <v>0</v>
      </c>
      <c r="L11">
        <f t="shared" si="1"/>
        <v>13</v>
      </c>
      <c r="M11">
        <f t="shared" si="2"/>
        <v>2021</v>
      </c>
      <c r="N11">
        <f t="shared" si="3"/>
        <v>202113</v>
      </c>
    </row>
    <row r="12" spans="1:14" ht="15" thickBot="1" x14ac:dyDescent="0.35">
      <c r="B12" t="s">
        <v>15</v>
      </c>
      <c r="C12" t="s">
        <v>38</v>
      </c>
      <c r="D12" s="6"/>
      <c r="E12" s="10">
        <f>(E11*E10)+D7+A5</f>
        <v>25585.5</v>
      </c>
      <c r="F12" s="28"/>
      <c r="H12" t="s">
        <v>34</v>
      </c>
      <c r="I12" s="76"/>
      <c r="J12" s="12">
        <v>44607</v>
      </c>
      <c r="K12">
        <f>IF($N$1&gt;=N12,1,0)</f>
        <v>0</v>
      </c>
      <c r="L12">
        <f t="shared" si="1"/>
        <v>2</v>
      </c>
      <c r="M12">
        <f t="shared" si="2"/>
        <v>2022</v>
      </c>
      <c r="N12">
        <f t="shared" si="3"/>
        <v>202202</v>
      </c>
    </row>
    <row r="13" spans="1:14" ht="15" thickTop="1" x14ac:dyDescent="0.3">
      <c r="D13" s="2"/>
      <c r="E13" s="2"/>
      <c r="F13" s="2"/>
      <c r="G13" s="24"/>
      <c r="H13" t="s">
        <v>35</v>
      </c>
      <c r="I13" s="76"/>
      <c r="J13" s="12">
        <v>44635</v>
      </c>
      <c r="K13">
        <f t="shared" si="0"/>
        <v>0</v>
      </c>
      <c r="L13">
        <f t="shared" si="1"/>
        <v>3</v>
      </c>
      <c r="M13">
        <f t="shared" si="2"/>
        <v>2022</v>
      </c>
      <c r="N13">
        <f t="shared" si="3"/>
        <v>202203</v>
      </c>
    </row>
    <row r="14" spans="1:14" x14ac:dyDescent="0.3">
      <c r="E14" s="2">
        <f>E2*E5</f>
        <v>24900</v>
      </c>
      <c r="F14" s="2"/>
      <c r="G14" s="24"/>
      <c r="H14" t="s">
        <v>24</v>
      </c>
      <c r="I14" s="76"/>
      <c r="J14" s="12">
        <v>44666</v>
      </c>
      <c r="K14">
        <f t="shared" si="0"/>
        <v>0</v>
      </c>
      <c r="L14">
        <f t="shared" si="1"/>
        <v>4</v>
      </c>
      <c r="M14">
        <f t="shared" si="2"/>
        <v>2022</v>
      </c>
      <c r="N14">
        <f t="shared" si="3"/>
        <v>202204</v>
      </c>
    </row>
    <row r="15" spans="1:14" x14ac:dyDescent="0.3">
      <c r="G15" s="24"/>
      <c r="H15" t="s">
        <v>25</v>
      </c>
      <c r="I15" s="76"/>
      <c r="J15" s="12">
        <v>44696</v>
      </c>
      <c r="K15">
        <f t="shared" si="0"/>
        <v>0</v>
      </c>
      <c r="L15">
        <f t="shared" si="1"/>
        <v>5</v>
      </c>
      <c r="M15">
        <f t="shared" si="2"/>
        <v>2022</v>
      </c>
      <c r="N15">
        <f t="shared" si="3"/>
        <v>202205</v>
      </c>
    </row>
    <row r="16" spans="1:14" x14ac:dyDescent="0.3">
      <c r="E16" s="49"/>
      <c r="G16" s="25"/>
      <c r="H16" t="s">
        <v>26</v>
      </c>
      <c r="I16" s="76"/>
      <c r="J16" s="12">
        <v>44727</v>
      </c>
      <c r="K16">
        <f t="shared" si="0"/>
        <v>0</v>
      </c>
      <c r="L16">
        <f t="shared" si="1"/>
        <v>6</v>
      </c>
      <c r="M16">
        <f t="shared" si="2"/>
        <v>2022</v>
      </c>
      <c r="N16">
        <f t="shared" si="3"/>
        <v>202206</v>
      </c>
    </row>
    <row r="17" spans="5:14" x14ac:dyDescent="0.3">
      <c r="F17" s="49">
        <f>6/10*E8</f>
        <v>7999.2</v>
      </c>
      <c r="H17" s="2" t="s">
        <v>27</v>
      </c>
      <c r="I17" s="76"/>
      <c r="J17" s="12">
        <v>44757</v>
      </c>
      <c r="K17">
        <f t="shared" si="0"/>
        <v>0</v>
      </c>
      <c r="L17">
        <f t="shared" si="1"/>
        <v>7</v>
      </c>
      <c r="M17">
        <f t="shared" si="2"/>
        <v>2022</v>
      </c>
      <c r="N17">
        <f t="shared" si="3"/>
        <v>202207</v>
      </c>
    </row>
    <row r="18" spans="5:14" x14ac:dyDescent="0.3">
      <c r="F18" s="49">
        <f>E8-F17</f>
        <v>5332.8</v>
      </c>
      <c r="G18" s="24"/>
      <c r="H18" s="2" t="s">
        <v>28</v>
      </c>
      <c r="I18" s="76"/>
      <c r="J18" s="12">
        <v>44788</v>
      </c>
      <c r="K18">
        <f t="shared" si="0"/>
        <v>0</v>
      </c>
      <c r="L18">
        <f t="shared" si="1"/>
        <v>8</v>
      </c>
      <c r="M18">
        <f t="shared" si="2"/>
        <v>2022</v>
      </c>
      <c r="N18">
        <f t="shared" si="3"/>
        <v>202208</v>
      </c>
    </row>
    <row r="19" spans="5:14" x14ac:dyDescent="0.3">
      <c r="G19" s="24"/>
      <c r="H19" t="s">
        <v>29</v>
      </c>
      <c r="I19" s="76"/>
      <c r="J19" s="12">
        <v>44819</v>
      </c>
      <c r="K19">
        <f t="shared" si="0"/>
        <v>0</v>
      </c>
      <c r="L19">
        <f t="shared" si="1"/>
        <v>9</v>
      </c>
      <c r="M19">
        <f t="shared" si="2"/>
        <v>2022</v>
      </c>
      <c r="N19">
        <f t="shared" si="3"/>
        <v>202209</v>
      </c>
    </row>
    <row r="20" spans="5:14" x14ac:dyDescent="0.3">
      <c r="G20" s="24"/>
      <c r="H20" t="s">
        <v>30</v>
      </c>
      <c r="I20" s="76"/>
      <c r="J20" s="12">
        <v>44849</v>
      </c>
      <c r="K20">
        <f t="shared" si="0"/>
        <v>0</v>
      </c>
      <c r="L20">
        <f t="shared" si="1"/>
        <v>10</v>
      </c>
      <c r="M20">
        <f t="shared" si="2"/>
        <v>2022</v>
      </c>
      <c r="N20">
        <f t="shared" si="3"/>
        <v>202210</v>
      </c>
    </row>
    <row r="21" spans="5:14" x14ac:dyDescent="0.3">
      <c r="E21" s="2"/>
      <c r="G21" s="58"/>
      <c r="H21" t="s">
        <v>31</v>
      </c>
      <c r="I21" s="76"/>
      <c r="J21" s="12">
        <v>44880</v>
      </c>
      <c r="K21">
        <f t="shared" si="0"/>
        <v>0</v>
      </c>
      <c r="L21">
        <f t="shared" si="1"/>
        <v>11</v>
      </c>
      <c r="M21">
        <f t="shared" si="2"/>
        <v>2022</v>
      </c>
      <c r="N21">
        <f t="shared" si="3"/>
        <v>202211</v>
      </c>
    </row>
    <row r="22" spans="5:14" x14ac:dyDescent="0.3">
      <c r="E22" s="2"/>
      <c r="G22" s="59"/>
      <c r="H22" t="s">
        <v>32</v>
      </c>
      <c r="I22" s="76"/>
      <c r="J22" s="12">
        <v>44910</v>
      </c>
      <c r="K22">
        <f t="shared" si="0"/>
        <v>0</v>
      </c>
      <c r="L22">
        <f t="shared" si="1"/>
        <v>12</v>
      </c>
      <c r="M22">
        <f t="shared" si="2"/>
        <v>2022</v>
      </c>
      <c r="N22">
        <f t="shared" si="3"/>
        <v>202212</v>
      </c>
    </row>
    <row r="23" spans="5:14" ht="27" x14ac:dyDescent="0.3">
      <c r="G23" s="24"/>
      <c r="H23" t="s">
        <v>33</v>
      </c>
      <c r="I23" s="15">
        <v>2023</v>
      </c>
      <c r="J23" s="12">
        <v>44941</v>
      </c>
      <c r="K23">
        <f t="shared" si="0"/>
        <v>0</v>
      </c>
      <c r="L23">
        <f t="shared" si="1"/>
        <v>13</v>
      </c>
      <c r="M23">
        <f t="shared" si="2"/>
        <v>2022</v>
      </c>
      <c r="N23">
        <f t="shared" si="3"/>
        <v>202213</v>
      </c>
    </row>
    <row r="24" spans="5:14" x14ac:dyDescent="0.3">
      <c r="G24" s="24"/>
    </row>
    <row r="25" spans="5:14" x14ac:dyDescent="0.3">
      <c r="G25" s="24"/>
    </row>
  </sheetData>
  <mergeCells count="2">
    <mergeCell ref="I2:I10"/>
    <mergeCell ref="I11:I22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CDE81-3FF1-488A-9EDD-1F333349B9B4}">
  <sheetPr codeName="Planilha6"/>
  <dimension ref="B3:P42"/>
  <sheetViews>
    <sheetView tabSelected="1" workbookViewId="0">
      <selection activeCell="R12" sqref="R12"/>
    </sheetView>
  </sheetViews>
  <sheetFormatPr defaultRowHeight="14.4" x14ac:dyDescent="0.3"/>
  <cols>
    <col min="3" max="3" width="14" bestFit="1" customWidth="1"/>
    <col min="4" max="4" width="12.88671875" bestFit="1" customWidth="1"/>
    <col min="6" max="6" width="13" bestFit="1" customWidth="1"/>
    <col min="7" max="9" width="12.5546875" bestFit="1" customWidth="1"/>
    <col min="10" max="10" width="12.44140625" bestFit="1" customWidth="1"/>
    <col min="11" max="11" width="14.77734375" bestFit="1" customWidth="1"/>
    <col min="12" max="16" width="12.44140625" bestFit="1" customWidth="1"/>
  </cols>
  <sheetData>
    <row r="3" spans="2:16" x14ac:dyDescent="0.3">
      <c r="B3" s="46" t="s">
        <v>51</v>
      </c>
      <c r="C3" s="78"/>
      <c r="D3" s="79"/>
    </row>
    <row r="4" spans="2:16" x14ac:dyDescent="0.3">
      <c r="B4" s="71" t="s">
        <v>90</v>
      </c>
      <c r="C4" s="77" t="s">
        <v>84</v>
      </c>
      <c r="D4" s="77"/>
      <c r="F4" s="80" t="s">
        <v>85</v>
      </c>
      <c r="G4" s="80"/>
      <c r="H4" s="80"/>
      <c r="I4" s="80"/>
      <c r="J4" s="80"/>
      <c r="K4" s="80"/>
      <c r="L4" s="80"/>
      <c r="M4" s="80"/>
      <c r="N4" s="80"/>
      <c r="O4" s="80"/>
      <c r="P4" s="80"/>
    </row>
    <row r="6" spans="2:16" x14ac:dyDescent="0.3">
      <c r="B6" s="67" t="s">
        <v>52</v>
      </c>
      <c r="C6" s="67" t="s">
        <v>70</v>
      </c>
      <c r="D6" s="67" t="s">
        <v>73</v>
      </c>
      <c r="F6" s="67" t="s">
        <v>50</v>
      </c>
      <c r="G6" s="67" t="s">
        <v>71</v>
      </c>
      <c r="H6" s="67" t="s">
        <v>72</v>
      </c>
      <c r="I6" s="67" t="s">
        <v>75</v>
      </c>
      <c r="J6" s="67" t="s">
        <v>78</v>
      </c>
      <c r="K6" s="67" t="s">
        <v>83</v>
      </c>
      <c r="L6" s="67" t="s">
        <v>75</v>
      </c>
      <c r="M6" s="67" t="s">
        <v>86</v>
      </c>
      <c r="N6" s="71" t="s">
        <v>88</v>
      </c>
      <c r="O6" s="71" t="s">
        <v>89</v>
      </c>
      <c r="P6" s="71" t="s">
        <v>90</v>
      </c>
    </row>
    <row r="7" spans="2:16" x14ac:dyDescent="0.3">
      <c r="B7" s="46">
        <v>1</v>
      </c>
      <c r="C7" s="68">
        <f>HLOOKUP($B$4,$F$6:$Z$42,B7+1,FALSE)</f>
        <v>28210</v>
      </c>
      <c r="D7" s="69">
        <f>B7*C7</f>
        <v>28210</v>
      </c>
      <c r="F7" s="68">
        <v>30457</v>
      </c>
      <c r="G7" s="68">
        <v>27260</v>
      </c>
      <c r="H7" s="68">
        <v>27260</v>
      </c>
      <c r="I7" s="68">
        <v>31370</v>
      </c>
      <c r="J7" s="68">
        <v>33250</v>
      </c>
      <c r="K7" s="68">
        <v>31370</v>
      </c>
      <c r="L7" s="68">
        <v>31370</v>
      </c>
      <c r="M7" s="68">
        <v>27260</v>
      </c>
      <c r="N7" s="72">
        <v>31370</v>
      </c>
      <c r="O7" s="72">
        <v>25454</v>
      </c>
      <c r="P7" s="72">
        <v>28210</v>
      </c>
    </row>
    <row r="8" spans="2:16" x14ac:dyDescent="0.3">
      <c r="B8" s="46">
        <v>2</v>
      </c>
      <c r="C8" s="68">
        <f t="shared" ref="C8:C42" si="0">HLOOKUP($B$4,$F$6:$Z$42,B8+1,FALSE)</f>
        <v>14270</v>
      </c>
      <c r="D8" s="69">
        <f t="shared" ref="D8:D42" si="1">B8*C8</f>
        <v>28540</v>
      </c>
      <c r="F8" s="68">
        <v>15409</v>
      </c>
      <c r="G8" s="68">
        <v>13790</v>
      </c>
      <c r="H8" s="68">
        <v>13790</v>
      </c>
      <c r="I8" s="68">
        <v>15870</v>
      </c>
      <c r="J8" s="68">
        <v>16820</v>
      </c>
      <c r="K8" s="68">
        <v>15870</v>
      </c>
      <c r="L8" s="68">
        <v>15870</v>
      </c>
      <c r="M8" s="68">
        <v>13790</v>
      </c>
      <c r="N8" s="72">
        <v>15870</v>
      </c>
      <c r="O8" s="72">
        <v>12878</v>
      </c>
      <c r="P8" s="72">
        <v>14270</v>
      </c>
    </row>
    <row r="9" spans="2:16" x14ac:dyDescent="0.3">
      <c r="B9" s="46">
        <v>3</v>
      </c>
      <c r="C9" s="68">
        <f t="shared" si="0"/>
        <v>9535</v>
      </c>
      <c r="D9" s="69">
        <f t="shared" si="1"/>
        <v>28605</v>
      </c>
      <c r="F9" s="68">
        <v>10299</v>
      </c>
      <c r="G9" s="68">
        <v>9215</v>
      </c>
      <c r="H9" s="68">
        <v>9215</v>
      </c>
      <c r="I9" s="68">
        <v>10605</v>
      </c>
      <c r="J9" s="68">
        <v>11240</v>
      </c>
      <c r="K9" s="68">
        <v>10605</v>
      </c>
      <c r="L9" s="68">
        <v>10605</v>
      </c>
      <c r="M9" s="68">
        <v>9215</v>
      </c>
      <c r="N9" s="72">
        <v>10605</v>
      </c>
      <c r="O9" s="72">
        <v>8608</v>
      </c>
      <c r="P9" s="72">
        <v>9535</v>
      </c>
    </row>
    <row r="10" spans="2:16" x14ac:dyDescent="0.3">
      <c r="B10" s="46">
        <v>4</v>
      </c>
      <c r="C10" s="68">
        <f t="shared" si="0"/>
        <v>7230</v>
      </c>
      <c r="D10" s="69">
        <f t="shared" si="1"/>
        <v>28920</v>
      </c>
      <c r="F10" s="68">
        <v>7815</v>
      </c>
      <c r="G10" s="68">
        <v>6990</v>
      </c>
      <c r="H10" s="68">
        <v>6990</v>
      </c>
      <c r="I10" s="68">
        <v>8045</v>
      </c>
      <c r="J10" s="68">
        <v>8525</v>
      </c>
      <c r="K10" s="68">
        <v>8045</v>
      </c>
      <c r="L10" s="68">
        <v>8045</v>
      </c>
      <c r="M10" s="68">
        <v>6990</v>
      </c>
      <c r="N10" s="72">
        <v>8045</v>
      </c>
      <c r="O10" s="72">
        <v>6532</v>
      </c>
      <c r="P10" s="72">
        <v>7230</v>
      </c>
    </row>
    <row r="11" spans="2:16" x14ac:dyDescent="0.3">
      <c r="B11" s="46">
        <v>5</v>
      </c>
      <c r="C11" s="68">
        <f t="shared" si="0"/>
        <v>5805</v>
      </c>
      <c r="D11" s="69">
        <f t="shared" si="1"/>
        <v>29025</v>
      </c>
      <c r="F11" s="68">
        <v>6268</v>
      </c>
      <c r="G11" s="68">
        <v>5610</v>
      </c>
      <c r="H11" s="68">
        <v>5610</v>
      </c>
      <c r="I11" s="68">
        <v>6455</v>
      </c>
      <c r="J11" s="68">
        <v>6840</v>
      </c>
      <c r="K11" s="68">
        <v>6455</v>
      </c>
      <c r="L11" s="68">
        <v>6455</v>
      </c>
      <c r="M11" s="68">
        <v>5610</v>
      </c>
      <c r="N11" s="72">
        <v>6455</v>
      </c>
      <c r="O11" s="72">
        <v>5238</v>
      </c>
      <c r="P11" s="72">
        <v>5805</v>
      </c>
    </row>
    <row r="12" spans="2:16" x14ac:dyDescent="0.3">
      <c r="B12" s="46">
        <v>6</v>
      </c>
      <c r="C12" s="68">
        <f t="shared" si="0"/>
        <v>4890</v>
      </c>
      <c r="D12" s="69">
        <f t="shared" si="1"/>
        <v>29340</v>
      </c>
      <c r="F12" s="68">
        <v>5284</v>
      </c>
      <c r="G12" s="68">
        <v>4725</v>
      </c>
      <c r="H12" s="68">
        <v>4725</v>
      </c>
      <c r="I12" s="68">
        <v>5440</v>
      </c>
      <c r="J12" s="68">
        <v>5765</v>
      </c>
      <c r="K12" s="68">
        <v>5440</v>
      </c>
      <c r="L12" s="68">
        <v>5440</v>
      </c>
      <c r="M12" s="68">
        <v>4725</v>
      </c>
      <c r="N12" s="72">
        <v>5440</v>
      </c>
      <c r="O12" s="72">
        <v>4416</v>
      </c>
      <c r="P12" s="72">
        <v>4890</v>
      </c>
    </row>
    <row r="13" spans="2:16" x14ac:dyDescent="0.3">
      <c r="B13" s="46">
        <v>7</v>
      </c>
      <c r="C13" s="68">
        <f t="shared" si="0"/>
        <v>4200</v>
      </c>
      <c r="D13" s="69">
        <f t="shared" si="1"/>
        <v>29400</v>
      </c>
      <c r="F13" s="68">
        <v>4539</v>
      </c>
      <c r="G13" s="68">
        <v>4060</v>
      </c>
      <c r="H13" s="68">
        <v>4060</v>
      </c>
      <c r="I13" s="68">
        <v>4675</v>
      </c>
      <c r="J13" s="68">
        <v>4955</v>
      </c>
      <c r="K13" s="68">
        <v>4675</v>
      </c>
      <c r="L13" s="68">
        <v>4675</v>
      </c>
      <c r="M13" s="68">
        <v>4060</v>
      </c>
      <c r="N13" s="72">
        <v>4675</v>
      </c>
      <c r="O13" s="72">
        <v>3794</v>
      </c>
      <c r="P13" s="72">
        <v>4200</v>
      </c>
    </row>
    <row r="14" spans="2:16" x14ac:dyDescent="0.3">
      <c r="B14" s="46">
        <v>8</v>
      </c>
      <c r="C14" s="68">
        <f t="shared" si="0"/>
        <v>3680</v>
      </c>
      <c r="D14" s="69">
        <f t="shared" si="1"/>
        <v>29440</v>
      </c>
      <c r="F14" s="68">
        <v>3980</v>
      </c>
      <c r="G14" s="68">
        <v>3560</v>
      </c>
      <c r="H14" s="68">
        <v>3560</v>
      </c>
      <c r="I14" s="68">
        <v>4095</v>
      </c>
      <c r="J14" s="68">
        <v>4340</v>
      </c>
      <c r="K14" s="68">
        <v>4095</v>
      </c>
      <c r="L14" s="68">
        <v>4095</v>
      </c>
      <c r="M14" s="68">
        <v>3560</v>
      </c>
      <c r="N14" s="72">
        <v>4095</v>
      </c>
      <c r="O14" s="72">
        <v>3326</v>
      </c>
      <c r="P14" s="72">
        <v>3680</v>
      </c>
    </row>
    <row r="15" spans="2:16" x14ac:dyDescent="0.3">
      <c r="B15" s="46">
        <v>9</v>
      </c>
      <c r="C15" s="68">
        <f t="shared" si="0"/>
        <v>3310</v>
      </c>
      <c r="D15" s="69">
        <f t="shared" si="1"/>
        <v>29790</v>
      </c>
      <c r="F15" s="68">
        <v>3579</v>
      </c>
      <c r="G15" s="68">
        <v>3200</v>
      </c>
      <c r="H15" s="68">
        <v>3200</v>
      </c>
      <c r="I15" s="68">
        <v>3685</v>
      </c>
      <c r="J15" s="68">
        <v>3905</v>
      </c>
      <c r="K15" s="68">
        <v>3685</v>
      </c>
      <c r="L15" s="68">
        <v>3685</v>
      </c>
      <c r="M15" s="68">
        <v>3200</v>
      </c>
      <c r="N15" s="72">
        <v>3685</v>
      </c>
      <c r="O15" s="72">
        <v>2991</v>
      </c>
      <c r="P15" s="72">
        <v>3310</v>
      </c>
    </row>
    <row r="16" spans="2:16" x14ac:dyDescent="0.3">
      <c r="B16" s="46">
        <v>10</v>
      </c>
      <c r="C16" s="68">
        <f t="shared" si="0"/>
        <v>2985</v>
      </c>
      <c r="D16" s="69">
        <f t="shared" si="1"/>
        <v>29850</v>
      </c>
      <c r="F16" s="68">
        <v>3227</v>
      </c>
      <c r="G16" s="68">
        <v>2885</v>
      </c>
      <c r="H16" s="68">
        <v>2885</v>
      </c>
      <c r="I16" s="68">
        <v>3320</v>
      </c>
      <c r="J16" s="68">
        <v>3515</v>
      </c>
      <c r="K16" s="68">
        <v>3320</v>
      </c>
      <c r="L16" s="68">
        <v>3320</v>
      </c>
      <c r="M16" s="68">
        <v>2885</v>
      </c>
      <c r="N16" s="72">
        <v>3320</v>
      </c>
      <c r="O16" s="72">
        <v>2697</v>
      </c>
      <c r="P16" s="72">
        <v>2985</v>
      </c>
    </row>
    <row r="17" spans="2:16" x14ac:dyDescent="0.3">
      <c r="B17" s="46">
        <v>11</v>
      </c>
      <c r="C17" s="68">
        <f t="shared" si="0"/>
        <v>2715</v>
      </c>
      <c r="D17" s="69">
        <f t="shared" si="1"/>
        <v>29865</v>
      </c>
      <c r="F17" s="68">
        <v>2939</v>
      </c>
      <c r="G17" s="68">
        <v>2625</v>
      </c>
      <c r="H17" s="68">
        <v>2625</v>
      </c>
      <c r="I17" s="68">
        <v>3025</v>
      </c>
      <c r="J17" s="68">
        <v>3205</v>
      </c>
      <c r="K17" s="68">
        <v>3025</v>
      </c>
      <c r="L17" s="68">
        <v>3025</v>
      </c>
      <c r="M17" s="68">
        <v>2625</v>
      </c>
      <c r="N17" s="72">
        <v>3025</v>
      </c>
      <c r="O17" s="72">
        <v>2456</v>
      </c>
      <c r="P17" s="72">
        <v>2715</v>
      </c>
    </row>
    <row r="18" spans="2:16" x14ac:dyDescent="0.3">
      <c r="B18" s="46">
        <v>12</v>
      </c>
      <c r="C18" s="68">
        <f t="shared" si="0"/>
        <v>2500</v>
      </c>
      <c r="D18" s="69">
        <f t="shared" si="1"/>
        <v>30000</v>
      </c>
      <c r="F18" s="68">
        <v>2712</v>
      </c>
      <c r="G18" s="68">
        <v>2420</v>
      </c>
      <c r="H18" s="68">
        <v>2420</v>
      </c>
      <c r="I18" s="68">
        <v>2790</v>
      </c>
      <c r="J18" s="68">
        <v>2955</v>
      </c>
      <c r="K18" s="68">
        <v>2790</v>
      </c>
      <c r="L18" s="68">
        <v>2790</v>
      </c>
      <c r="M18" s="68">
        <v>2420</v>
      </c>
      <c r="N18" s="72">
        <v>2790</v>
      </c>
      <c r="O18" s="72">
        <v>2266</v>
      </c>
      <c r="P18" s="72">
        <v>2500</v>
      </c>
    </row>
    <row r="19" spans="2:16" x14ac:dyDescent="0.3">
      <c r="B19" s="46">
        <v>13</v>
      </c>
      <c r="C19" s="68">
        <f t="shared" si="0"/>
        <v>2335</v>
      </c>
      <c r="D19" s="69">
        <f t="shared" si="1"/>
        <v>30355</v>
      </c>
      <c r="F19" s="68">
        <v>2532</v>
      </c>
      <c r="G19" s="68">
        <v>2260</v>
      </c>
      <c r="H19" s="68">
        <v>2260</v>
      </c>
      <c r="I19" s="68">
        <v>2605</v>
      </c>
      <c r="J19" s="68">
        <v>2760</v>
      </c>
      <c r="K19" s="68">
        <v>2605</v>
      </c>
      <c r="L19" s="68">
        <v>2605</v>
      </c>
      <c r="M19" s="68">
        <v>2260</v>
      </c>
      <c r="N19" s="72">
        <v>2605</v>
      </c>
      <c r="O19" s="72">
        <v>2116</v>
      </c>
      <c r="P19" s="72">
        <v>2335</v>
      </c>
    </row>
    <row r="20" spans="2:16" x14ac:dyDescent="0.3">
      <c r="B20" s="46">
        <v>14</v>
      </c>
      <c r="C20" s="68">
        <f t="shared" si="0"/>
        <v>2195</v>
      </c>
      <c r="D20" s="69">
        <f t="shared" si="1"/>
        <v>30730</v>
      </c>
      <c r="F20" s="68">
        <v>2377</v>
      </c>
      <c r="G20" s="68">
        <v>2125</v>
      </c>
      <c r="H20" s="68">
        <v>2125</v>
      </c>
      <c r="I20" s="68">
        <v>2445</v>
      </c>
      <c r="J20" s="68">
        <v>2590</v>
      </c>
      <c r="K20" s="68">
        <v>2445</v>
      </c>
      <c r="L20" s="68">
        <v>2445</v>
      </c>
      <c r="M20" s="68">
        <v>2125</v>
      </c>
      <c r="N20" s="72">
        <v>2445</v>
      </c>
      <c r="O20" s="72">
        <v>1987</v>
      </c>
      <c r="P20" s="72">
        <v>2195</v>
      </c>
    </row>
    <row r="21" spans="2:16" x14ac:dyDescent="0.3">
      <c r="B21" s="46">
        <v>15</v>
      </c>
      <c r="C21" s="68">
        <f t="shared" si="0"/>
        <v>2075</v>
      </c>
      <c r="D21" s="69">
        <f t="shared" si="1"/>
        <v>31125</v>
      </c>
      <c r="F21" s="68">
        <v>2244</v>
      </c>
      <c r="G21" s="68">
        <v>2005</v>
      </c>
      <c r="H21" s="68">
        <v>2005</v>
      </c>
      <c r="I21" s="68">
        <v>2310</v>
      </c>
      <c r="J21" s="68">
        <v>2445</v>
      </c>
      <c r="K21" s="68">
        <v>2310</v>
      </c>
      <c r="L21" s="68">
        <v>2310</v>
      </c>
      <c r="M21" s="68">
        <v>2005</v>
      </c>
      <c r="N21" s="72">
        <v>2310</v>
      </c>
      <c r="O21" s="72">
        <v>1875</v>
      </c>
      <c r="P21" s="72">
        <v>2075</v>
      </c>
    </row>
    <row r="22" spans="2:16" x14ac:dyDescent="0.3">
      <c r="B22" s="46">
        <v>16</v>
      </c>
      <c r="C22" s="68">
        <f t="shared" si="0"/>
        <v>1965</v>
      </c>
      <c r="D22" s="69">
        <f t="shared" si="1"/>
        <v>31440</v>
      </c>
      <c r="F22" s="68">
        <v>2127</v>
      </c>
      <c r="G22" s="68">
        <v>1900</v>
      </c>
      <c r="H22" s="68">
        <v>1900</v>
      </c>
      <c r="I22" s="68">
        <v>2190</v>
      </c>
      <c r="J22" s="68">
        <v>2320</v>
      </c>
      <c r="K22" s="68">
        <v>2190</v>
      </c>
      <c r="L22" s="68">
        <v>2190</v>
      </c>
      <c r="M22" s="68">
        <v>1900</v>
      </c>
      <c r="N22" s="72">
        <v>2190</v>
      </c>
      <c r="O22" s="72">
        <v>1778</v>
      </c>
      <c r="P22" s="72">
        <v>1965</v>
      </c>
    </row>
    <row r="23" spans="2:16" x14ac:dyDescent="0.3">
      <c r="B23" s="46">
        <v>17</v>
      </c>
      <c r="C23" s="68">
        <f t="shared" si="0"/>
        <v>1865</v>
      </c>
      <c r="D23" s="69">
        <f t="shared" si="1"/>
        <v>31705</v>
      </c>
      <c r="F23" s="68">
        <v>2024</v>
      </c>
      <c r="G23" s="68">
        <v>1805</v>
      </c>
      <c r="H23" s="68">
        <v>1805</v>
      </c>
      <c r="I23" s="68">
        <v>2080</v>
      </c>
      <c r="J23" s="68">
        <v>2200</v>
      </c>
      <c r="K23" s="68">
        <v>2080</v>
      </c>
      <c r="L23" s="68">
        <v>2080</v>
      </c>
      <c r="M23" s="68">
        <v>1805</v>
      </c>
      <c r="N23" s="72">
        <v>2080</v>
      </c>
      <c r="O23" s="72">
        <v>1692</v>
      </c>
      <c r="P23" s="72">
        <v>1865</v>
      </c>
    </row>
    <row r="24" spans="2:16" x14ac:dyDescent="0.3">
      <c r="B24" s="46">
        <v>18</v>
      </c>
      <c r="C24" s="68">
        <f t="shared" si="0"/>
        <v>1785</v>
      </c>
      <c r="D24" s="69">
        <f t="shared" si="1"/>
        <v>32130</v>
      </c>
      <c r="F24" s="68">
        <v>1933</v>
      </c>
      <c r="G24" s="68">
        <v>1725</v>
      </c>
      <c r="H24" s="68">
        <v>1725</v>
      </c>
      <c r="I24" s="68">
        <v>1990</v>
      </c>
      <c r="J24" s="68">
        <v>2105</v>
      </c>
      <c r="K24" s="68">
        <v>1990</v>
      </c>
      <c r="L24" s="68">
        <v>1990</v>
      </c>
      <c r="M24" s="68">
        <v>1725</v>
      </c>
      <c r="N24" s="72">
        <v>1990</v>
      </c>
      <c r="O24" s="72">
        <v>1615</v>
      </c>
      <c r="P24" s="72">
        <v>1785</v>
      </c>
    </row>
    <row r="25" spans="2:16" x14ac:dyDescent="0.3">
      <c r="B25" s="46">
        <v>19</v>
      </c>
      <c r="C25" s="68">
        <f t="shared" si="0"/>
        <v>1705</v>
      </c>
      <c r="D25" s="69">
        <f t="shared" si="1"/>
        <v>32395</v>
      </c>
      <c r="F25" s="68">
        <v>1851</v>
      </c>
      <c r="G25" s="68">
        <v>1650</v>
      </c>
      <c r="H25" s="68">
        <v>1650</v>
      </c>
      <c r="I25" s="68">
        <v>1905</v>
      </c>
      <c r="J25" s="68">
        <v>2015</v>
      </c>
      <c r="K25" s="68">
        <v>1905</v>
      </c>
      <c r="L25" s="68">
        <v>1905</v>
      </c>
      <c r="M25" s="68">
        <v>1650</v>
      </c>
      <c r="N25" s="72">
        <v>1905</v>
      </c>
      <c r="O25" s="72">
        <v>1547</v>
      </c>
      <c r="P25" s="72">
        <v>1705</v>
      </c>
    </row>
    <row r="26" spans="2:16" x14ac:dyDescent="0.3">
      <c r="B26" s="46">
        <v>20</v>
      </c>
      <c r="C26" s="68">
        <f t="shared" si="0"/>
        <v>1645</v>
      </c>
      <c r="D26" s="69">
        <f t="shared" si="1"/>
        <v>32900</v>
      </c>
      <c r="F26" s="68">
        <v>1778</v>
      </c>
      <c r="G26" s="68">
        <v>1590</v>
      </c>
      <c r="H26" s="68">
        <v>1590</v>
      </c>
      <c r="I26" s="68">
        <v>1830</v>
      </c>
      <c r="J26" s="68">
        <v>1935</v>
      </c>
      <c r="K26" s="68">
        <v>1830</v>
      </c>
      <c r="L26" s="68">
        <v>1830</v>
      </c>
      <c r="M26" s="68">
        <v>1590</v>
      </c>
      <c r="N26" s="72">
        <v>1830</v>
      </c>
      <c r="O26" s="72">
        <v>1486</v>
      </c>
      <c r="P26" s="72">
        <v>1645</v>
      </c>
    </row>
    <row r="27" spans="2:16" x14ac:dyDescent="0.3">
      <c r="B27" s="46">
        <v>21</v>
      </c>
      <c r="C27" s="68">
        <f t="shared" si="0"/>
        <v>1575</v>
      </c>
      <c r="D27" s="69">
        <f t="shared" si="1"/>
        <v>33075</v>
      </c>
      <c r="F27" s="68">
        <v>1712</v>
      </c>
      <c r="G27" s="68">
        <v>1525</v>
      </c>
      <c r="H27" s="68">
        <v>1525</v>
      </c>
      <c r="I27" s="68">
        <v>1760</v>
      </c>
      <c r="J27" s="68">
        <v>1865</v>
      </c>
      <c r="K27" s="68">
        <v>1760</v>
      </c>
      <c r="L27" s="68">
        <v>1760</v>
      </c>
      <c r="M27" s="68">
        <v>1525</v>
      </c>
      <c r="N27" s="72">
        <v>1760</v>
      </c>
      <c r="O27" s="72">
        <v>1431</v>
      </c>
      <c r="P27" s="72">
        <v>1575</v>
      </c>
    </row>
    <row r="28" spans="2:16" x14ac:dyDescent="0.3">
      <c r="B28" s="46">
        <v>22</v>
      </c>
      <c r="C28" s="68">
        <f t="shared" si="0"/>
        <v>1525</v>
      </c>
      <c r="D28" s="69">
        <f t="shared" si="1"/>
        <v>33550</v>
      </c>
      <c r="F28" s="68">
        <v>1652</v>
      </c>
      <c r="G28" s="68">
        <v>1475</v>
      </c>
      <c r="H28" s="68">
        <v>1475</v>
      </c>
      <c r="I28" s="68">
        <v>1700</v>
      </c>
      <c r="J28" s="68">
        <v>1800</v>
      </c>
      <c r="K28" s="68">
        <v>1700</v>
      </c>
      <c r="L28" s="68">
        <v>1700</v>
      </c>
      <c r="M28" s="68">
        <v>1475</v>
      </c>
      <c r="N28" s="72">
        <v>1700</v>
      </c>
      <c r="O28" s="72">
        <v>1381</v>
      </c>
      <c r="P28" s="72">
        <v>1525</v>
      </c>
    </row>
    <row r="29" spans="2:16" x14ac:dyDescent="0.3">
      <c r="B29" s="46">
        <v>23</v>
      </c>
      <c r="C29" s="68">
        <f t="shared" si="0"/>
        <v>1480</v>
      </c>
      <c r="D29" s="69">
        <f t="shared" si="1"/>
        <v>34040</v>
      </c>
      <c r="F29" s="68">
        <v>1598</v>
      </c>
      <c r="G29" s="68">
        <v>1430</v>
      </c>
      <c r="H29" s="68">
        <v>1430</v>
      </c>
      <c r="I29" s="68">
        <v>1645</v>
      </c>
      <c r="J29" s="68">
        <v>1740</v>
      </c>
      <c r="K29" s="68">
        <v>1645</v>
      </c>
      <c r="L29" s="68">
        <v>1645</v>
      </c>
      <c r="M29" s="68">
        <v>1430</v>
      </c>
      <c r="N29" s="72">
        <v>1645</v>
      </c>
      <c r="O29" s="72">
        <v>1335</v>
      </c>
      <c r="P29" s="72">
        <v>1480</v>
      </c>
    </row>
    <row r="30" spans="2:16" x14ac:dyDescent="0.3">
      <c r="B30" s="46">
        <v>24</v>
      </c>
      <c r="C30" s="68">
        <f t="shared" si="0"/>
        <v>1425</v>
      </c>
      <c r="D30" s="69">
        <f t="shared" si="1"/>
        <v>34200</v>
      </c>
      <c r="F30" s="68">
        <v>1548</v>
      </c>
      <c r="G30" s="68">
        <v>1380</v>
      </c>
      <c r="H30" s="68">
        <v>1380</v>
      </c>
      <c r="I30" s="68">
        <v>1590</v>
      </c>
      <c r="J30" s="68">
        <v>1685</v>
      </c>
      <c r="K30" s="68">
        <v>1590</v>
      </c>
      <c r="L30" s="68">
        <v>1590</v>
      </c>
      <c r="M30" s="68">
        <v>1380</v>
      </c>
      <c r="N30" s="72">
        <v>1590</v>
      </c>
      <c r="O30" s="72">
        <v>1293</v>
      </c>
      <c r="P30" s="72">
        <v>1425</v>
      </c>
    </row>
    <row r="31" spans="2:16" x14ac:dyDescent="0.3">
      <c r="B31" s="46">
        <v>25</v>
      </c>
      <c r="C31" s="68">
        <f t="shared" si="0"/>
        <v>1385</v>
      </c>
      <c r="D31" s="69">
        <f t="shared" si="1"/>
        <v>34625</v>
      </c>
      <c r="F31" s="68">
        <v>1502</v>
      </c>
      <c r="G31" s="68">
        <v>1340</v>
      </c>
      <c r="H31" s="68">
        <v>1340</v>
      </c>
      <c r="I31" s="68">
        <v>1545</v>
      </c>
      <c r="J31" s="68">
        <v>1635</v>
      </c>
      <c r="K31" s="68">
        <v>1545</v>
      </c>
      <c r="L31" s="68">
        <v>1545</v>
      </c>
      <c r="M31" s="68">
        <v>1340</v>
      </c>
      <c r="N31" s="72">
        <v>1545</v>
      </c>
      <c r="O31" s="72">
        <v>1255</v>
      </c>
      <c r="P31" s="72">
        <v>1385</v>
      </c>
    </row>
    <row r="32" spans="2:16" x14ac:dyDescent="0.3">
      <c r="B32" s="46">
        <v>26</v>
      </c>
      <c r="C32" s="68">
        <f t="shared" si="0"/>
        <v>1350</v>
      </c>
      <c r="D32" s="69">
        <f t="shared" si="1"/>
        <v>35100</v>
      </c>
      <c r="F32" s="68">
        <v>1459</v>
      </c>
      <c r="G32" s="68">
        <v>1305</v>
      </c>
      <c r="H32" s="68">
        <v>1305</v>
      </c>
      <c r="I32" s="68">
        <v>1500</v>
      </c>
      <c r="J32" s="68">
        <v>1590</v>
      </c>
      <c r="K32" s="68">
        <v>1500</v>
      </c>
      <c r="L32" s="68">
        <v>1500</v>
      </c>
      <c r="M32" s="68">
        <v>1305</v>
      </c>
      <c r="N32" s="72">
        <v>1500</v>
      </c>
      <c r="O32" s="72">
        <v>1220</v>
      </c>
      <c r="P32" s="72">
        <v>1350</v>
      </c>
    </row>
    <row r="33" spans="2:16" x14ac:dyDescent="0.3">
      <c r="B33" s="46">
        <v>27</v>
      </c>
      <c r="C33" s="68">
        <f t="shared" si="0"/>
        <v>1305</v>
      </c>
      <c r="D33" s="69">
        <f t="shared" si="1"/>
        <v>35235</v>
      </c>
      <c r="F33" s="68">
        <v>1420</v>
      </c>
      <c r="G33" s="68">
        <v>1265</v>
      </c>
      <c r="H33" s="68">
        <v>1265</v>
      </c>
      <c r="I33" s="68">
        <v>1460</v>
      </c>
      <c r="J33" s="68">
        <v>1545</v>
      </c>
      <c r="K33" s="68">
        <v>1460</v>
      </c>
      <c r="L33" s="68">
        <v>1460</v>
      </c>
      <c r="M33" s="68">
        <v>1265</v>
      </c>
      <c r="N33" s="72">
        <v>1460</v>
      </c>
      <c r="O33" s="72">
        <v>1187</v>
      </c>
      <c r="P33" s="72">
        <v>1305</v>
      </c>
    </row>
    <row r="34" spans="2:16" x14ac:dyDescent="0.3">
      <c r="B34" s="46">
        <v>28</v>
      </c>
      <c r="C34" s="68">
        <f t="shared" si="0"/>
        <v>1275</v>
      </c>
      <c r="D34" s="69">
        <f t="shared" si="1"/>
        <v>35700</v>
      </c>
      <c r="F34" s="68">
        <v>1384</v>
      </c>
      <c r="G34" s="68">
        <v>1235</v>
      </c>
      <c r="H34" s="68">
        <v>1235</v>
      </c>
      <c r="I34" s="68">
        <v>1425</v>
      </c>
      <c r="J34" s="68">
        <v>1510</v>
      </c>
      <c r="K34" s="68">
        <v>1425</v>
      </c>
      <c r="L34" s="68">
        <v>1425</v>
      </c>
      <c r="M34" s="68">
        <v>1235</v>
      </c>
      <c r="N34" s="72">
        <v>1425</v>
      </c>
      <c r="O34" s="72">
        <v>1157</v>
      </c>
      <c r="P34" s="72">
        <v>1275</v>
      </c>
    </row>
    <row r="35" spans="2:16" x14ac:dyDescent="0.3">
      <c r="B35" s="46">
        <v>29</v>
      </c>
      <c r="C35" s="68">
        <f t="shared" si="0"/>
        <v>1245</v>
      </c>
      <c r="D35" s="69">
        <f t="shared" si="1"/>
        <v>36105</v>
      </c>
      <c r="F35" s="68">
        <v>1351</v>
      </c>
      <c r="G35" s="68">
        <v>1205</v>
      </c>
      <c r="H35" s="68">
        <v>1205</v>
      </c>
      <c r="I35" s="68">
        <v>1390</v>
      </c>
      <c r="J35" s="68">
        <v>1470</v>
      </c>
      <c r="K35" s="68">
        <v>1390</v>
      </c>
      <c r="L35" s="68">
        <v>1390</v>
      </c>
      <c r="M35" s="68">
        <v>1205</v>
      </c>
      <c r="N35" s="72">
        <v>1390</v>
      </c>
      <c r="O35" s="72">
        <v>1129</v>
      </c>
      <c r="P35" s="72">
        <v>1245</v>
      </c>
    </row>
    <row r="36" spans="2:16" x14ac:dyDescent="0.3">
      <c r="B36" s="46">
        <v>30</v>
      </c>
      <c r="C36" s="68">
        <f t="shared" si="0"/>
        <v>1220</v>
      </c>
      <c r="D36" s="69">
        <f t="shared" si="1"/>
        <v>36600</v>
      </c>
      <c r="F36" s="68">
        <v>1319</v>
      </c>
      <c r="G36" s="68">
        <v>1180</v>
      </c>
      <c r="H36" s="68">
        <v>1180</v>
      </c>
      <c r="I36" s="68">
        <v>1355</v>
      </c>
      <c r="J36" s="68">
        <v>1435</v>
      </c>
      <c r="K36" s="68">
        <v>1355</v>
      </c>
      <c r="L36" s="68">
        <v>1355</v>
      </c>
      <c r="M36" s="68">
        <v>1180</v>
      </c>
      <c r="N36" s="72">
        <v>1355</v>
      </c>
      <c r="O36" s="72">
        <v>1103</v>
      </c>
      <c r="P36" s="72">
        <v>1220</v>
      </c>
    </row>
    <row r="37" spans="2:16" x14ac:dyDescent="0.3">
      <c r="B37" s="46">
        <v>31</v>
      </c>
      <c r="C37" s="68">
        <f t="shared" si="0"/>
        <v>1190</v>
      </c>
      <c r="D37" s="69">
        <f t="shared" si="1"/>
        <v>36890</v>
      </c>
      <c r="F37" s="68">
        <v>1290</v>
      </c>
      <c r="G37" s="68">
        <v>1150</v>
      </c>
      <c r="H37" s="68">
        <v>1150</v>
      </c>
      <c r="I37" s="68">
        <v>1325</v>
      </c>
      <c r="J37" s="68">
        <v>1400</v>
      </c>
      <c r="K37" s="68">
        <v>1325</v>
      </c>
      <c r="L37" s="68">
        <v>1325</v>
      </c>
      <c r="M37" s="68">
        <v>1150</v>
      </c>
      <c r="N37" s="72">
        <v>1325</v>
      </c>
      <c r="O37" s="72">
        <v>1078</v>
      </c>
      <c r="P37" s="72">
        <v>1190</v>
      </c>
    </row>
    <row r="38" spans="2:16" x14ac:dyDescent="0.3">
      <c r="B38" s="46">
        <v>32</v>
      </c>
      <c r="C38" s="68">
        <f t="shared" si="0"/>
        <v>1160</v>
      </c>
      <c r="D38" s="69">
        <f t="shared" si="1"/>
        <v>37120</v>
      </c>
      <c r="F38" s="68">
        <v>1263</v>
      </c>
      <c r="G38" s="68">
        <v>1125</v>
      </c>
      <c r="H38" s="68">
        <v>1125</v>
      </c>
      <c r="I38" s="68">
        <v>1300</v>
      </c>
      <c r="J38" s="68">
        <v>1375</v>
      </c>
      <c r="K38" s="68">
        <v>1300</v>
      </c>
      <c r="L38" s="68">
        <v>1300</v>
      </c>
      <c r="M38" s="68">
        <v>1125</v>
      </c>
      <c r="N38" s="72">
        <v>1300</v>
      </c>
      <c r="O38" s="72">
        <v>1055</v>
      </c>
      <c r="P38" s="72">
        <v>1160</v>
      </c>
    </row>
    <row r="39" spans="2:16" x14ac:dyDescent="0.3">
      <c r="B39" s="46">
        <v>33</v>
      </c>
      <c r="C39" s="68">
        <f t="shared" si="0"/>
        <v>1140</v>
      </c>
      <c r="D39" s="69">
        <f t="shared" si="1"/>
        <v>37620</v>
      </c>
      <c r="F39" s="68">
        <v>1237</v>
      </c>
      <c r="G39" s="68">
        <v>1105</v>
      </c>
      <c r="H39" s="68">
        <v>1105</v>
      </c>
      <c r="I39" s="68">
        <v>1270</v>
      </c>
      <c r="J39" s="68">
        <v>1345</v>
      </c>
      <c r="K39" s="68">
        <v>1270</v>
      </c>
      <c r="L39" s="68">
        <v>1270</v>
      </c>
      <c r="M39" s="68">
        <v>1105</v>
      </c>
      <c r="N39" s="72">
        <v>1270</v>
      </c>
      <c r="O39" s="72">
        <v>1034</v>
      </c>
      <c r="P39" s="72">
        <v>1140</v>
      </c>
    </row>
    <row r="40" spans="2:16" x14ac:dyDescent="0.3">
      <c r="B40" s="46">
        <v>34</v>
      </c>
      <c r="C40" s="68">
        <f t="shared" si="0"/>
        <v>1115</v>
      </c>
      <c r="D40" s="69">
        <f t="shared" si="1"/>
        <v>37910</v>
      </c>
      <c r="F40" s="68">
        <v>1213</v>
      </c>
      <c r="G40" s="68">
        <v>1080</v>
      </c>
      <c r="H40" s="68">
        <v>1080</v>
      </c>
      <c r="I40" s="68">
        <v>1245</v>
      </c>
      <c r="J40" s="68">
        <v>1315</v>
      </c>
      <c r="K40" s="68">
        <v>1245</v>
      </c>
      <c r="L40" s="68">
        <v>1245</v>
      </c>
      <c r="M40" s="68">
        <v>1080</v>
      </c>
      <c r="N40" s="72">
        <v>1245</v>
      </c>
      <c r="O40" s="72">
        <v>1014</v>
      </c>
      <c r="P40" s="72">
        <v>1115</v>
      </c>
    </row>
    <row r="41" spans="2:16" x14ac:dyDescent="0.3">
      <c r="B41" s="46">
        <v>35</v>
      </c>
      <c r="C41" s="68">
        <f t="shared" si="0"/>
        <v>1095</v>
      </c>
      <c r="D41" s="69">
        <f t="shared" si="1"/>
        <v>38325</v>
      </c>
      <c r="F41" s="68">
        <v>1191</v>
      </c>
      <c r="G41" s="68">
        <v>1060</v>
      </c>
      <c r="H41" s="68">
        <v>1060</v>
      </c>
      <c r="I41" s="68">
        <v>1225</v>
      </c>
      <c r="J41" s="68">
        <v>1295</v>
      </c>
      <c r="K41" s="68">
        <v>1225</v>
      </c>
      <c r="L41" s="68">
        <v>1225</v>
      </c>
      <c r="M41" s="68">
        <v>1060</v>
      </c>
      <c r="N41" s="72">
        <v>1225</v>
      </c>
      <c r="O41" s="72">
        <v>995</v>
      </c>
      <c r="P41" s="72">
        <v>1095</v>
      </c>
    </row>
    <row r="42" spans="2:16" x14ac:dyDescent="0.3">
      <c r="B42" s="46">
        <v>36</v>
      </c>
      <c r="C42" s="68">
        <f t="shared" si="0"/>
        <v>1080</v>
      </c>
      <c r="D42" s="69">
        <f t="shared" si="1"/>
        <v>38880</v>
      </c>
      <c r="F42" s="68">
        <v>1170</v>
      </c>
      <c r="G42" s="68">
        <v>1045</v>
      </c>
      <c r="H42" s="68">
        <v>1045</v>
      </c>
      <c r="I42" s="68">
        <v>1205</v>
      </c>
      <c r="J42" s="68">
        <v>1275</v>
      </c>
      <c r="K42" s="68">
        <v>1205</v>
      </c>
      <c r="L42" s="68">
        <v>1205</v>
      </c>
      <c r="M42" s="68">
        <v>1045</v>
      </c>
      <c r="N42" s="72">
        <v>1205</v>
      </c>
      <c r="O42" s="72">
        <v>978</v>
      </c>
      <c r="P42" s="72">
        <v>1080</v>
      </c>
    </row>
  </sheetData>
  <mergeCells count="3">
    <mergeCell ref="C4:D4"/>
    <mergeCell ref="C3:D3"/>
    <mergeCell ref="F4:P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Simulação Geral</vt:lpstr>
      <vt:lpstr>Aumentando</vt:lpstr>
      <vt:lpstr>Aumentando com Entrada</vt:lpstr>
      <vt:lpstr>Diminuindo</vt:lpstr>
      <vt:lpstr>Diminuindo com Entrada</vt:lpstr>
      <vt:lpstr>Planos da Turma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Esteves</dc:creator>
  <cp:lastModifiedBy>Usuario</cp:lastModifiedBy>
  <dcterms:created xsi:type="dcterms:W3CDTF">2021-06-29T17:08:05Z</dcterms:created>
  <dcterms:modified xsi:type="dcterms:W3CDTF">2022-07-01T19:09:57Z</dcterms:modified>
</cp:coreProperties>
</file>