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eandroTorres\Documents\Leandro\Programação VBA\"/>
    </mc:Choice>
  </mc:AlternateContent>
  <xr:revisionPtr revIDLastSave="0" documentId="13_ncr:1_{DEBD25DC-5652-4815-B572-DE0A8F3A8A4E}" xr6:coauthVersionLast="47" xr6:coauthVersionMax="47" xr10:uidLastSave="{00000000-0000-0000-0000-000000000000}"/>
  <bookViews>
    <workbookView xWindow="0" yWindow="0" windowWidth="19200" windowHeight="15600" xr2:uid="{3A7BD2BB-CEE9-4BE6-9B32-20359852A2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J113" i="1"/>
  <c r="J114" i="1"/>
  <c r="J115" i="1"/>
  <c r="J116" i="1"/>
  <c r="J117" i="1"/>
  <c r="J112" i="1"/>
  <c r="L109" i="1"/>
  <c r="D6" i="1"/>
  <c r="A4" i="1"/>
  <c r="B4" i="1"/>
  <c r="A6" i="1"/>
  <c r="B6" i="1"/>
  <c r="C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G98" i="1" s="1"/>
  <c r="C98" i="1"/>
  <c r="D98" i="1"/>
  <c r="E98" i="1"/>
  <c r="F98" i="1"/>
  <c r="A99" i="1"/>
  <c r="B99" i="1"/>
  <c r="C99" i="1"/>
  <c r="D99" i="1"/>
  <c r="E99" i="1"/>
  <c r="F99" i="1"/>
  <c r="A100" i="1"/>
  <c r="B100" i="1"/>
  <c r="G100" i="1" s="1"/>
  <c r="C100" i="1"/>
  <c r="D100" i="1"/>
  <c r="E100" i="1"/>
  <c r="F100" i="1"/>
  <c r="A101" i="1"/>
  <c r="B101" i="1"/>
  <c r="C101" i="1"/>
  <c r="D101" i="1"/>
  <c r="E101" i="1"/>
  <c r="F101" i="1"/>
  <c r="A102" i="1"/>
  <c r="B102" i="1"/>
  <c r="G102" i="1" s="1"/>
  <c r="C102" i="1"/>
  <c r="D102" i="1"/>
  <c r="E102" i="1"/>
  <c r="F102" i="1"/>
  <c r="A103" i="1"/>
  <c r="B103" i="1"/>
  <c r="C103" i="1"/>
  <c r="D103" i="1"/>
  <c r="E103" i="1"/>
  <c r="F103" i="1"/>
  <c r="A104" i="1"/>
  <c r="B104" i="1"/>
  <c r="G104" i="1" s="1"/>
  <c r="C104" i="1"/>
  <c r="D104" i="1"/>
  <c r="E104" i="1"/>
  <c r="F104" i="1"/>
  <c r="A105" i="1"/>
  <c r="B105" i="1"/>
  <c r="C105" i="1"/>
  <c r="D105" i="1"/>
  <c r="E105" i="1"/>
  <c r="F105" i="1"/>
  <c r="G96" i="1" l="1"/>
  <c r="G94" i="1"/>
  <c r="G92" i="1"/>
  <c r="G90" i="1"/>
  <c r="G88" i="1"/>
  <c r="G86" i="1"/>
  <c r="G84" i="1"/>
  <c r="G82" i="1"/>
  <c r="G80" i="1"/>
  <c r="G105" i="1"/>
  <c r="G103" i="1"/>
  <c r="I103" i="1" s="1"/>
  <c r="G101" i="1"/>
  <c r="H100" i="1" s="1"/>
  <c r="G99" i="1"/>
  <c r="I99" i="1" s="1"/>
  <c r="G97" i="1"/>
  <c r="I97" i="1" s="1"/>
  <c r="G95" i="1"/>
  <c r="G93" i="1"/>
  <c r="I93" i="1" s="1"/>
  <c r="G91" i="1"/>
  <c r="G89" i="1"/>
  <c r="G87" i="1"/>
  <c r="G85" i="1"/>
  <c r="G83" i="1"/>
  <c r="G78" i="1"/>
  <c r="G76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74" i="1"/>
  <c r="G72" i="1"/>
  <c r="G70" i="1"/>
  <c r="G68" i="1"/>
  <c r="G66" i="1"/>
  <c r="G64" i="1"/>
  <c r="G62" i="1"/>
  <c r="G60" i="1"/>
  <c r="G27" i="1"/>
  <c r="G52" i="1"/>
  <c r="I104" i="1"/>
  <c r="H102" i="1"/>
  <c r="H105" i="1"/>
  <c r="I105" i="1"/>
  <c r="H104" i="1"/>
  <c r="G40" i="1"/>
  <c r="G28" i="1"/>
  <c r="G58" i="1"/>
  <c r="G56" i="1"/>
  <c r="G54" i="1"/>
  <c r="G50" i="1"/>
  <c r="G48" i="1"/>
  <c r="G46" i="1"/>
  <c r="G44" i="1"/>
  <c r="G42" i="1"/>
  <c r="G38" i="1"/>
  <c r="G36" i="1"/>
  <c r="G34" i="1"/>
  <c r="G32" i="1"/>
  <c r="G30" i="1"/>
  <c r="G16" i="1"/>
  <c r="G17" i="1"/>
  <c r="G15" i="1"/>
  <c r="G26" i="1"/>
  <c r="G14" i="1"/>
  <c r="G25" i="1"/>
  <c r="G13" i="1"/>
  <c r="G24" i="1"/>
  <c r="G12" i="1"/>
  <c r="G23" i="1"/>
  <c r="G11" i="1"/>
  <c r="G22" i="1"/>
  <c r="G10" i="1"/>
  <c r="G21" i="1"/>
  <c r="G9" i="1"/>
  <c r="G20" i="1"/>
  <c r="G8" i="1"/>
  <c r="G19" i="1"/>
  <c r="G7" i="1"/>
  <c r="G18" i="1"/>
  <c r="G6" i="1"/>
  <c r="I85" i="1" l="1"/>
  <c r="H88" i="1"/>
  <c r="H90" i="1"/>
  <c r="H101" i="1"/>
  <c r="I101" i="1"/>
  <c r="I100" i="1"/>
  <c r="H103" i="1"/>
  <c r="H95" i="1"/>
  <c r="I75" i="1"/>
  <c r="H96" i="1"/>
  <c r="H94" i="1"/>
  <c r="H97" i="1"/>
  <c r="H98" i="1"/>
  <c r="I102" i="1"/>
  <c r="H99" i="1"/>
  <c r="H76" i="1"/>
  <c r="H93" i="1"/>
  <c r="H91" i="1"/>
  <c r="H92" i="1"/>
  <c r="I81" i="1"/>
  <c r="I77" i="1"/>
  <c r="I76" i="1"/>
  <c r="I96" i="1"/>
  <c r="I95" i="1"/>
  <c r="H75" i="1"/>
  <c r="I94" i="1"/>
  <c r="I98" i="1"/>
  <c r="H47" i="1"/>
  <c r="H49" i="1"/>
  <c r="I52" i="1"/>
  <c r="H71" i="1"/>
  <c r="I92" i="1"/>
  <c r="I91" i="1"/>
  <c r="I90" i="1"/>
  <c r="H89" i="1"/>
  <c r="I89" i="1"/>
  <c r="H45" i="1"/>
  <c r="H87" i="1"/>
  <c r="I70" i="1"/>
  <c r="H43" i="1"/>
  <c r="H80" i="1"/>
  <c r="I74" i="1"/>
  <c r="I58" i="1"/>
  <c r="H73" i="1"/>
  <c r="H74" i="1"/>
  <c r="H83" i="1"/>
  <c r="H65" i="1"/>
  <c r="I86" i="1"/>
  <c r="H84" i="1"/>
  <c r="H85" i="1"/>
  <c r="I83" i="1"/>
  <c r="H81" i="1"/>
  <c r="H86" i="1"/>
  <c r="I82" i="1"/>
  <c r="I87" i="1"/>
  <c r="H82" i="1"/>
  <c r="I84" i="1"/>
  <c r="I88" i="1"/>
  <c r="H79" i="1"/>
  <c r="I79" i="1"/>
  <c r="H77" i="1"/>
  <c r="H78" i="1"/>
  <c r="I54" i="1"/>
  <c r="H63" i="1"/>
  <c r="I78" i="1"/>
  <c r="H29" i="1"/>
  <c r="I80" i="1"/>
  <c r="I32" i="1"/>
  <c r="I69" i="1"/>
  <c r="I60" i="1"/>
  <c r="I64" i="1"/>
  <c r="I36" i="1"/>
  <c r="I38" i="1"/>
  <c r="H67" i="1"/>
  <c r="H68" i="1"/>
  <c r="I68" i="1"/>
  <c r="H69" i="1"/>
  <c r="H62" i="1"/>
  <c r="I63" i="1"/>
  <c r="I73" i="1"/>
  <c r="H64" i="1"/>
  <c r="I66" i="1"/>
  <c r="I61" i="1"/>
  <c r="I65" i="1"/>
  <c r="H61" i="1"/>
  <c r="I62" i="1"/>
  <c r="H66" i="1"/>
  <c r="H72" i="1"/>
  <c r="I72" i="1"/>
  <c r="H70" i="1"/>
  <c r="I67" i="1"/>
  <c r="I71" i="1"/>
  <c r="H59" i="1"/>
  <c r="H60" i="1"/>
  <c r="H51" i="1"/>
  <c r="H37" i="1"/>
  <c r="I22" i="1"/>
  <c r="H21" i="1"/>
  <c r="I11" i="1"/>
  <c r="H10" i="1"/>
  <c r="I17" i="1"/>
  <c r="H16" i="1"/>
  <c r="I57" i="1"/>
  <c r="H56" i="1"/>
  <c r="H35" i="1"/>
  <c r="I10" i="1"/>
  <c r="H9" i="1"/>
  <c r="H54" i="1"/>
  <c r="I55" i="1"/>
  <c r="I23" i="1"/>
  <c r="H22" i="1"/>
  <c r="H30" i="1"/>
  <c r="I31" i="1"/>
  <c r="I59" i="1"/>
  <c r="H58" i="1"/>
  <c r="H52" i="1"/>
  <c r="I12" i="1"/>
  <c r="H11" i="1"/>
  <c r="I33" i="1"/>
  <c r="H32" i="1"/>
  <c r="I29" i="1"/>
  <c r="H27" i="1"/>
  <c r="H28" i="1"/>
  <c r="I46" i="1"/>
  <c r="I16" i="1"/>
  <c r="H15" i="1"/>
  <c r="I24" i="1"/>
  <c r="H23" i="1"/>
  <c r="I35" i="1"/>
  <c r="H34" i="1"/>
  <c r="I41" i="1"/>
  <c r="H40" i="1"/>
  <c r="H33" i="1"/>
  <c r="H39" i="1"/>
  <c r="I13" i="1"/>
  <c r="H12" i="1"/>
  <c r="I37" i="1"/>
  <c r="H36" i="1"/>
  <c r="H31" i="1"/>
  <c r="I56" i="1"/>
  <c r="I25" i="1"/>
  <c r="H24" i="1"/>
  <c r="I39" i="1"/>
  <c r="H38" i="1"/>
  <c r="H57" i="1"/>
  <c r="I34" i="1"/>
  <c r="H18" i="1"/>
  <c r="I19" i="1"/>
  <c r="I14" i="1"/>
  <c r="H13" i="1"/>
  <c r="H42" i="1"/>
  <c r="I43" i="1"/>
  <c r="H55" i="1"/>
  <c r="I40" i="1"/>
  <c r="H41" i="1"/>
  <c r="I51" i="1"/>
  <c r="H50" i="1"/>
  <c r="I8" i="1"/>
  <c r="H7" i="1"/>
  <c r="I26" i="1"/>
  <c r="H25" i="1"/>
  <c r="I45" i="1"/>
  <c r="H44" i="1"/>
  <c r="I50" i="1"/>
  <c r="H53" i="1"/>
  <c r="H17" i="1"/>
  <c r="I18" i="1"/>
  <c r="I9" i="1"/>
  <c r="H8" i="1"/>
  <c r="I15" i="1"/>
  <c r="H14" i="1"/>
  <c r="I47" i="1"/>
  <c r="H46" i="1"/>
  <c r="I30" i="1"/>
  <c r="I53" i="1"/>
  <c r="I28" i="1"/>
  <c r="I20" i="1"/>
  <c r="H19" i="1"/>
  <c r="I21" i="1"/>
  <c r="H20" i="1"/>
  <c r="I27" i="1"/>
  <c r="H26" i="1"/>
  <c r="I49" i="1"/>
  <c r="H48" i="1"/>
  <c r="I42" i="1"/>
  <c r="I44" i="1"/>
  <c r="I48" i="1"/>
  <c r="I7" i="1"/>
  <c r="H6" i="1"/>
  <c r="L14" i="1"/>
</calcChain>
</file>

<file path=xl/sharedStrings.xml><?xml version="1.0" encoding="utf-8"?>
<sst xmlns="http://schemas.openxmlformats.org/spreadsheetml/2006/main" count="25" uniqueCount="23">
  <si>
    <t>COLE O RTD AQUI EM BAIXO</t>
  </si>
  <si>
    <t>Data</t>
  </si>
  <si>
    <t>Compradora</t>
  </si>
  <si>
    <t>Valor</t>
  </si>
  <si>
    <t>Quantidade</t>
  </si>
  <si>
    <t>Vendedora</t>
  </si>
  <si>
    <t>Agressor</t>
  </si>
  <si>
    <t>NOME</t>
  </si>
  <si>
    <t>NEGOCIOS</t>
  </si>
  <si>
    <t>VALOR</t>
  </si>
  <si>
    <t>QTD</t>
  </si>
  <si>
    <t>AGRESSOR</t>
  </si>
  <si>
    <t>FORMATACAO</t>
  </si>
  <si>
    <t>HORA</t>
  </si>
  <si>
    <t>PRECO INICIAL</t>
  </si>
  <si>
    <t>PRECO FINAL</t>
  </si>
  <si>
    <t>$ INIT</t>
  </si>
  <si>
    <t>$ FINAL</t>
  </si>
  <si>
    <t>TOTAL NEGOCIADO</t>
  </si>
  <si>
    <t>1° VENDE</t>
  </si>
  <si>
    <t>2° VEND</t>
  </si>
  <si>
    <t>2° COMP</t>
  </si>
  <si>
    <t>1°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</si>
</sst>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18" fontId="0" fillId="2" borderId="0" xfId="0" applyNumberForma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8" fontId="1" fillId="7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09/08/2023 12:18:02</v>
        <stp/>
        <stp>T&amp;T0</stp>
        <stp>DAT</stp>
        <stp>8</stp>
        <tr r="A14" s="1"/>
      </tp>
      <tp t="s">
        <v>09/08/2023 12:18:02</v>
        <stp/>
        <stp>T&amp;T0</stp>
        <stp>DAT</stp>
        <stp>9</stp>
        <tr r="A15" s="1"/>
      </tp>
      <tp t="s">
        <v>09/08/2023 12:18:02</v>
        <stp/>
        <stp>T&amp;T0</stp>
        <stp>DAT</stp>
        <stp>6</stp>
        <tr r="A12" s="1"/>
      </tp>
      <tp t="s">
        <v>09/08/2023 12:18:02</v>
        <stp/>
        <stp>T&amp;T0</stp>
        <stp>DAT</stp>
        <stp>7</stp>
        <tr r="A13" s="1"/>
      </tp>
      <tp t="s">
        <v>09/08/2023 12:18:02</v>
        <stp/>
        <stp>T&amp;T0</stp>
        <stp>DAT</stp>
        <stp>4</stp>
        <tr r="A10" s="1"/>
      </tp>
      <tp t="s">
        <v>09/08/2023 12:18:02</v>
        <stp/>
        <stp>T&amp;T0</stp>
        <stp>DAT</stp>
        <stp>5</stp>
        <tr r="A11" s="1"/>
      </tp>
      <tp t="s">
        <v>09/08/2023 12:18:03</v>
        <stp/>
        <stp>T&amp;T0</stp>
        <stp>DAT</stp>
        <stp>2</stp>
        <tr r="A8" s="1"/>
      </tp>
      <tp t="s">
        <v>09/08/2023 12:18:03</v>
        <stp/>
        <stp>T&amp;T0</stp>
        <stp>DAT</stp>
        <stp>3</stp>
        <tr r="A9" s="1"/>
      </tp>
      <tp t="s">
        <v>09/08/2023 12:18:03</v>
        <stp/>
        <stp>T&amp;T0</stp>
        <stp>DAT</stp>
        <stp>0</stp>
        <tr r="A6" s="1"/>
      </tp>
      <tp t="s">
        <v>09/08/2023 12:18:03</v>
        <stp/>
        <stp>T&amp;T0</stp>
        <stp>DAT</stp>
        <stp>1</stp>
        <tr r="A7" s="1"/>
      </tp>
      <tp t="s">
        <v>Itau</v>
        <stp/>
        <stp>T&amp;T0</stp>
        <stp>ACP</stp>
        <stp>9</stp>
        <tr r="B15" s="1"/>
      </tp>
      <tp t="s">
        <v>XP</v>
        <stp/>
        <stp>T&amp;T0</stp>
        <stp>ACP</stp>
        <stp>8</stp>
        <tr r="B14" s="1"/>
      </tp>
      <tp t="s">
        <v>BTG</v>
        <stp/>
        <stp>T&amp;T0</stp>
        <stp>ACP</stp>
        <stp>3</stp>
        <tr r="B9" s="1"/>
      </tp>
      <tp t="s">
        <v>BTG</v>
        <stp/>
        <stp>T&amp;T0</stp>
        <stp>ACP</stp>
        <stp>2</stp>
        <tr r="B8" s="1"/>
      </tp>
      <tp t="s">
        <v>Clear</v>
        <stp/>
        <stp>T&amp;T0</stp>
        <stp>ACP</stp>
        <stp>1</stp>
        <tr r="B7" s="1"/>
      </tp>
      <tp t="s">
        <v>Clear</v>
        <stp/>
        <stp>T&amp;T0</stp>
        <stp>ACP</stp>
        <stp>0</stp>
        <tr r="B6" s="1"/>
      </tp>
      <tp t="s">
        <v>Clear</v>
        <stp/>
        <stp>T&amp;T0</stp>
        <stp>ACP</stp>
        <stp>7</stp>
        <tr r="B13" s="1"/>
      </tp>
      <tp t="s">
        <v>JP Morgan</v>
        <stp/>
        <stp>T&amp;T0</stp>
        <stp>ACP</stp>
        <stp>6</stp>
        <tr r="B12" s="1"/>
      </tp>
      <tp t="s">
        <v>Genial</v>
        <stp/>
        <stp>T&amp;T0</stp>
        <stp>ACP</stp>
        <stp>5</stp>
        <tr r="B11" s="1"/>
      </tp>
      <tp t="s">
        <v>Genial</v>
        <stp/>
        <stp>T&amp;T0</stp>
        <stp>ACP</stp>
        <stp>4</stp>
        <tr r="B10" s="1"/>
      </tp>
      <tp t="s">
        <v>Vendedor</v>
        <stp/>
        <stp>T&amp;T0</stp>
        <stp>AGR</stp>
        <stp>9</stp>
        <tr r="F15" s="1"/>
      </tp>
      <tp t="s">
        <v>Vendedor</v>
        <stp/>
        <stp>T&amp;T0</stp>
        <stp>AGR</stp>
        <stp>8</stp>
        <tr r="F14" s="1"/>
      </tp>
      <tp t="s">
        <v>Vendedor</v>
        <stp/>
        <stp>T&amp;T0</stp>
        <stp>AGR</stp>
        <stp>3</stp>
        <tr r="F9" s="1"/>
      </tp>
      <tp t="s">
        <v>Vendedor</v>
        <stp/>
        <stp>T&amp;T0</stp>
        <stp>AGR</stp>
        <stp>2</stp>
        <tr r="F8" s="1"/>
      </tp>
      <tp t="s">
        <v>Vendedor</v>
        <stp/>
        <stp>T&amp;T0</stp>
        <stp>AGR</stp>
        <stp>1</stp>
        <tr r="F7" s="1"/>
      </tp>
      <tp t="s">
        <v>Vendedor</v>
        <stp/>
        <stp>T&amp;T0</stp>
        <stp>AGR</stp>
        <stp>0</stp>
        <tr r="F6" s="1"/>
      </tp>
      <tp t="s">
        <v>Vendedor</v>
        <stp/>
        <stp>T&amp;T0</stp>
        <stp>AGR</stp>
        <stp>7</stp>
        <tr r="F13" s="1"/>
      </tp>
      <tp t="s">
        <v>Vendedor</v>
        <stp/>
        <stp>T&amp;T0</stp>
        <stp>AGR</stp>
        <stp>6</stp>
        <tr r="F12" s="1"/>
      </tp>
      <tp t="s">
        <v>Vendedor</v>
        <stp/>
        <stp>T&amp;T0</stp>
        <stp>AGR</stp>
        <stp>5</stp>
        <tr r="F11" s="1"/>
      </tp>
      <tp t="s">
        <v>Vendedor</v>
        <stp/>
        <stp>T&amp;T0</stp>
        <stp>AGR</stp>
        <stp>4</stp>
        <tr r="F10" s="1"/>
      </tp>
      <tp t="s">
        <v>Genial</v>
        <stp/>
        <stp>T&amp;T0</stp>
        <stp>AVD</stp>
        <stp>9</stp>
        <tr r="E15" s="1"/>
      </tp>
      <tp t="s">
        <v>Genial</v>
        <stp/>
        <stp>T&amp;T0</stp>
        <stp>AVD</stp>
        <stp>8</stp>
        <tr r="E14" s="1"/>
      </tp>
      <tp t="s">
        <v>XP</v>
        <stp/>
        <stp>T&amp;T0</stp>
        <stp>AVD</stp>
        <stp>3</stp>
        <tr r="E9" s="1"/>
      </tp>
      <tp t="s">
        <v>Bradesco</v>
        <stp/>
        <stp>T&amp;T0</stp>
        <stp>AVD</stp>
        <stp>2</stp>
        <tr r="E8" s="1"/>
      </tp>
      <tp t="s">
        <v>XP</v>
        <stp/>
        <stp>T&amp;T0</stp>
        <stp>AVD</stp>
        <stp>1</stp>
        <tr r="E7" s="1"/>
      </tp>
      <tp t="s">
        <v>Morgan</v>
        <stp/>
        <stp>T&amp;T0</stp>
        <stp>AVD</stp>
        <stp>0</stp>
        <tr r="E6" s="1"/>
      </tp>
      <tp t="s">
        <v>Genial</v>
        <stp/>
        <stp>T&amp;T0</stp>
        <stp>AVD</stp>
        <stp>7</stp>
        <tr r="E13" s="1"/>
      </tp>
      <tp t="s">
        <v>Genial</v>
        <stp/>
        <stp>T&amp;T0</stp>
        <stp>AVD</stp>
        <stp>6</stp>
        <tr r="E12" s="1"/>
      </tp>
      <tp t="s">
        <v>Morgan</v>
        <stp/>
        <stp>T&amp;T0</stp>
        <stp>AVD</stp>
        <stp>5</stp>
        <tr r="E11" s="1"/>
      </tp>
      <tp t="s">
        <v>Clear</v>
        <stp/>
        <stp>T&amp;T0</stp>
        <stp>AVD</stp>
        <stp>4</stp>
        <tr r="E10" s="1"/>
      </tp>
      <tp>
        <v>16.66</v>
        <stp/>
        <stp>T&amp;T0</stp>
        <stp>PRE</stp>
        <stp>8</stp>
        <tr r="C14" s="1"/>
      </tp>
      <tp>
        <v>16.66</v>
        <stp/>
        <stp>T&amp;T0</stp>
        <stp>PRE</stp>
        <stp>9</stp>
        <tr r="C15" s="1"/>
      </tp>
      <tp>
        <v>16.649999999999999</v>
        <stp/>
        <stp>T&amp;T0</stp>
        <stp>PRE</stp>
        <stp>2</stp>
        <tr r="C8" s="1"/>
      </tp>
      <tp>
        <v>16.649999999999999</v>
        <stp/>
        <stp>T&amp;T0</stp>
        <stp>PRE</stp>
        <stp>3</stp>
        <tr r="C9" s="1"/>
      </tp>
      <tp>
        <v>16.649999999999999</v>
        <stp/>
        <stp>T&amp;T0</stp>
        <stp>PRE</stp>
        <stp>0</stp>
        <tr r="C6" s="1"/>
      </tp>
      <tp>
        <v>16.649999999999999</v>
        <stp/>
        <stp>T&amp;T0</stp>
        <stp>PRE</stp>
        <stp>1</stp>
        <tr r="C7" s="1"/>
      </tp>
      <tp>
        <v>16.66</v>
        <stp/>
        <stp>T&amp;T0</stp>
        <stp>PRE</stp>
        <stp>6</stp>
        <tr r="C12" s="1"/>
      </tp>
      <tp>
        <v>16.66</v>
        <stp/>
        <stp>T&amp;T0</stp>
        <stp>PRE</stp>
        <stp>7</stp>
        <tr r="C13" s="1"/>
      </tp>
      <tp>
        <v>16.649999999999999</v>
        <stp/>
        <stp>T&amp;T0</stp>
        <stp>PRE</stp>
        <stp>4</stp>
        <tr r="C10" s="1"/>
      </tp>
      <tp>
        <v>16.649999999999999</v>
        <stp/>
        <stp>T&amp;T0</stp>
        <stp>PRE</stp>
        <stp>5</stp>
        <tr r="C11" s="1"/>
      </tp>
      <tp>
        <v>700</v>
        <stp/>
        <stp>T&amp;T0</stp>
        <stp>QUL</stp>
        <stp>9</stp>
        <tr r="D15" s="1"/>
      </tp>
      <tp>
        <v>4000</v>
        <stp/>
        <stp>T&amp;T0</stp>
        <stp>QUL</stp>
        <stp>8</stp>
        <tr r="D14" s="1"/>
      </tp>
      <tp>
        <v>100</v>
        <stp/>
        <stp>T&amp;T0</stp>
        <stp>QUL</stp>
        <stp>3</stp>
        <tr r="D9" s="1"/>
      </tp>
      <tp>
        <v>100</v>
        <stp/>
        <stp>T&amp;T0</stp>
        <stp>QUL</stp>
        <stp>2</stp>
        <tr r="D8" s="1"/>
      </tp>
      <tp>
        <v>100</v>
        <stp/>
        <stp>T&amp;T0</stp>
        <stp>QUL</stp>
        <stp>1</stp>
        <tr r="D7" s="1"/>
      </tp>
      <tp>
        <v>300</v>
        <stp/>
        <stp>T&amp;T0</stp>
        <stp>QUL</stp>
        <stp>0</stp>
        <tr r="D6" s="1"/>
      </tp>
      <tp>
        <v>100</v>
        <stp/>
        <stp>T&amp;T0</stp>
        <stp>QUL</stp>
        <stp>7</stp>
        <tr r="D13" s="1"/>
      </tp>
      <tp>
        <v>800</v>
        <stp/>
        <stp>T&amp;T0</stp>
        <stp>QUL</stp>
        <stp>6</stp>
        <tr r="D12" s="1"/>
      </tp>
      <tp>
        <v>200</v>
        <stp/>
        <stp>T&amp;T0</stp>
        <stp>QUL</stp>
        <stp>5</stp>
        <tr r="D11" s="1"/>
      </tp>
      <tp>
        <v>3000</v>
        <stp/>
        <stp>T&amp;T0</stp>
        <stp>QUL</stp>
        <stp>4</stp>
        <tr r="D10" s="1"/>
      </tp>
      <tp t="s">
        <v>Negócios</v>
        <stp/>
        <stp>T&amp;T0</stp>
        <stp>INFO</stp>
        <stp>TAB</stp>
        <tr r="B4" s="1"/>
      </tp>
      <tp t="s">
        <v>AZUL4</v>
        <stp/>
        <stp>T&amp;T0</stp>
        <stp>INFO</stp>
        <stp>ATV</stp>
        <tr r="A4" s="1"/>
      </tp>
      <tp>
        <v>0</v>
        <stp/>
        <stp>T&amp;T0</stp>
        <stp>QUL</stp>
        <stp>99</stp>
        <tr r="D105" s="1"/>
      </tp>
      <tp>
        <v>0</v>
        <stp/>
        <stp>T&amp;T0</stp>
        <stp>QUL</stp>
        <stp>98</stp>
        <tr r="D104" s="1"/>
      </tp>
      <tp>
        <v>16.690000000000001</v>
        <stp/>
        <stp>T&amp;T0</stp>
        <stp>PRE</stp>
        <stp>88</stp>
        <tr r="C94" s="1"/>
      </tp>
      <tp>
        <v>16.690000000000001</v>
        <stp/>
        <stp>T&amp;T0</stp>
        <stp>PRE</stp>
        <stp>89</stp>
        <tr r="C95" s="1"/>
      </tp>
      <tp>
        <v>16.690000000000001</v>
        <stp/>
        <stp>T&amp;T0</stp>
        <stp>PRE</stp>
        <stp>86</stp>
        <tr r="C92" s="1"/>
      </tp>
      <tp>
        <v>0</v>
        <stp/>
        <stp>T&amp;T0</stp>
        <stp>QUL</stp>
        <stp>91</stp>
        <tr r="D97" s="1"/>
      </tp>
      <tp>
        <v>16.690000000000001</v>
        <stp/>
        <stp>T&amp;T0</stp>
        <stp>PRE</stp>
        <stp>87</stp>
        <tr r="C93" s="1"/>
      </tp>
      <tp>
        <v>0</v>
        <stp/>
        <stp>T&amp;T0</stp>
        <stp>QUL</stp>
        <stp>90</stp>
        <tr r="D96" s="1"/>
      </tp>
      <tp>
        <v>16.7</v>
        <stp/>
        <stp>T&amp;T0</stp>
        <stp>PRE</stp>
        <stp>84</stp>
        <tr r="C90" s="1"/>
      </tp>
      <tp>
        <v>0</v>
        <stp/>
        <stp>T&amp;T0</stp>
        <stp>QUL</stp>
        <stp>93</stp>
        <tr r="D99" s="1"/>
      </tp>
      <tp>
        <v>16.7</v>
        <stp/>
        <stp>T&amp;T0</stp>
        <stp>PRE</stp>
        <stp>85</stp>
        <tr r="C91" s="1"/>
      </tp>
      <tp>
        <v>0</v>
        <stp/>
        <stp>T&amp;T0</stp>
        <stp>QUL</stp>
        <stp>92</stp>
        <tr r="D98" s="1"/>
      </tp>
      <tp>
        <v>16.690000000000001</v>
        <stp/>
        <stp>T&amp;T0</stp>
        <stp>PRE</stp>
        <stp>82</stp>
        <tr r="C88" s="1"/>
      </tp>
      <tp>
        <v>0</v>
        <stp/>
        <stp>T&amp;T0</stp>
        <stp>QUL</stp>
        <stp>95</stp>
        <tr r="D101" s="1"/>
      </tp>
      <tp>
        <v>16.690000000000001</v>
        <stp/>
        <stp>T&amp;T0</stp>
        <stp>PRE</stp>
        <stp>83</stp>
        <tr r="C89" s="1"/>
      </tp>
      <tp>
        <v>0</v>
        <stp/>
        <stp>T&amp;T0</stp>
        <stp>QUL</stp>
        <stp>94</stp>
        <tr r="D100" s="1"/>
      </tp>
      <tp>
        <v>16.690000000000001</v>
        <stp/>
        <stp>T&amp;T0</stp>
        <stp>PRE</stp>
        <stp>80</stp>
        <tr r="C86" s="1"/>
      </tp>
      <tp>
        <v>0</v>
        <stp/>
        <stp>T&amp;T0</stp>
        <stp>QUL</stp>
        <stp>97</stp>
        <tr r="D103" s="1"/>
      </tp>
      <tp>
        <v>16.690000000000001</v>
        <stp/>
        <stp>T&amp;T0</stp>
        <stp>PRE</stp>
        <stp>81</stp>
        <tr r="C87" s="1"/>
      </tp>
      <tp>
        <v>0</v>
        <stp/>
        <stp>T&amp;T0</stp>
        <stp>QUL</stp>
        <stp>96</stp>
        <tr r="D102" s="1"/>
      </tp>
      <tp>
        <v>200</v>
        <stp/>
        <stp>T&amp;T0</stp>
        <stp>QUL</stp>
        <stp>89</stp>
        <tr r="D95" s="1"/>
      </tp>
      <tp>
        <v>100</v>
        <stp/>
        <stp>T&amp;T0</stp>
        <stp>QUL</stp>
        <stp>88</stp>
        <tr r="D94" s="1"/>
      </tp>
      <tp>
        <v>0</v>
        <stp/>
        <stp>T&amp;T0</stp>
        <stp>PRE</stp>
        <stp>98</stp>
        <tr r="C104" s="1"/>
      </tp>
      <tp>
        <v>0</v>
        <stp/>
        <stp>T&amp;T0</stp>
        <stp>PRE</stp>
        <stp>99</stp>
        <tr r="C105" s="1"/>
      </tp>
      <tp>
        <v>0</v>
        <stp/>
        <stp>T&amp;T0</stp>
        <stp>PRE</stp>
        <stp>96</stp>
        <tr r="C102" s="1"/>
      </tp>
      <tp>
        <v>100</v>
        <stp/>
        <stp>T&amp;T0</stp>
        <stp>QUL</stp>
        <stp>81</stp>
        <tr r="D87" s="1"/>
      </tp>
      <tp>
        <v>0</v>
        <stp/>
        <stp>T&amp;T0</stp>
        <stp>PRE</stp>
        <stp>97</stp>
        <tr r="C103" s="1"/>
      </tp>
      <tp>
        <v>100</v>
        <stp/>
        <stp>T&amp;T0</stp>
        <stp>QUL</stp>
        <stp>80</stp>
        <tr r="D86" s="1"/>
      </tp>
      <tp>
        <v>0</v>
        <stp/>
        <stp>T&amp;T0</stp>
        <stp>PRE</stp>
        <stp>94</stp>
        <tr r="C100" s="1"/>
      </tp>
      <tp>
        <v>300</v>
        <stp/>
        <stp>T&amp;T0</stp>
        <stp>QUL</stp>
        <stp>83</stp>
        <tr r="D89" s="1"/>
      </tp>
      <tp>
        <v>0</v>
        <stp/>
        <stp>T&amp;T0</stp>
        <stp>PRE</stp>
        <stp>95</stp>
        <tr r="C101" s="1"/>
      </tp>
      <tp>
        <v>100</v>
        <stp/>
        <stp>T&amp;T0</stp>
        <stp>QUL</stp>
        <stp>82</stp>
        <tr r="D88" s="1"/>
      </tp>
      <tp>
        <v>0</v>
        <stp/>
        <stp>T&amp;T0</stp>
        <stp>PRE</stp>
        <stp>92</stp>
        <tr r="C98" s="1"/>
      </tp>
      <tp>
        <v>4600</v>
        <stp/>
        <stp>T&amp;T0</stp>
        <stp>QUL</stp>
        <stp>85</stp>
        <tr r="D91" s="1"/>
      </tp>
      <tp>
        <v>0</v>
        <stp/>
        <stp>T&amp;T0</stp>
        <stp>PRE</stp>
        <stp>93</stp>
        <tr r="C99" s="1"/>
      </tp>
      <tp>
        <v>2000</v>
        <stp/>
        <stp>T&amp;T0</stp>
        <stp>QUL</stp>
        <stp>84</stp>
        <tr r="D90" s="1"/>
      </tp>
      <tp>
        <v>0</v>
        <stp/>
        <stp>T&amp;T0</stp>
        <stp>PRE</stp>
        <stp>90</stp>
        <tr r="C96" s="1"/>
      </tp>
      <tp>
        <v>100</v>
        <stp/>
        <stp>T&amp;T0</stp>
        <stp>QUL</stp>
        <stp>87</stp>
        <tr r="D93" s="1"/>
      </tp>
      <tp>
        <v>0</v>
        <stp/>
        <stp>T&amp;T0</stp>
        <stp>PRE</stp>
        <stp>91</stp>
        <tr r="C97" s="1"/>
      </tp>
      <tp>
        <v>100</v>
        <stp/>
        <stp>T&amp;T0</stp>
        <stp>QUL</stp>
        <stp>86</stp>
        <tr r="D92" s="1"/>
      </tp>
      <tp>
        <v>200</v>
        <stp/>
        <stp>T&amp;T0</stp>
        <stp>QUL</stp>
        <stp>39</stp>
        <tr r="D45" s="1"/>
      </tp>
      <tp>
        <v>400</v>
        <stp/>
        <stp>T&amp;T0</stp>
        <stp>QUL</stp>
        <stp>38</stp>
        <tr r="D44" s="1"/>
      </tp>
      <tp>
        <v>16.670000000000002</v>
        <stp/>
        <stp>T&amp;T0</stp>
        <stp>PRE</stp>
        <stp>28</stp>
        <tr r="C34" s="1"/>
      </tp>
      <tp>
        <v>16.68</v>
        <stp/>
        <stp>T&amp;T0</stp>
        <stp>PRE</stp>
        <stp>29</stp>
        <tr r="C35" s="1"/>
      </tp>
      <tp>
        <v>16.670000000000002</v>
        <stp/>
        <stp>T&amp;T0</stp>
        <stp>PRE</stp>
        <stp>26</stp>
        <tr r="C32" s="1"/>
      </tp>
      <tp>
        <v>100</v>
        <stp/>
        <stp>T&amp;T0</stp>
        <stp>QUL</stp>
        <stp>31</stp>
        <tr r="D37" s="1"/>
      </tp>
      <tp>
        <v>16.670000000000002</v>
        <stp/>
        <stp>T&amp;T0</stp>
        <stp>PRE</stp>
        <stp>27</stp>
        <tr r="C33" s="1"/>
      </tp>
      <tp>
        <v>100</v>
        <stp/>
        <stp>T&amp;T0</stp>
        <stp>QUL</stp>
        <stp>30</stp>
        <tr r="D36" s="1"/>
      </tp>
      <tp>
        <v>16.670000000000002</v>
        <stp/>
        <stp>T&amp;T0</stp>
        <stp>PRE</stp>
        <stp>24</stp>
        <tr r="C30" s="1"/>
      </tp>
      <tp>
        <v>400</v>
        <stp/>
        <stp>T&amp;T0</stp>
        <stp>QUL</stp>
        <stp>33</stp>
        <tr r="D39" s="1"/>
      </tp>
      <tp>
        <v>16.670000000000002</v>
        <stp/>
        <stp>T&amp;T0</stp>
        <stp>PRE</stp>
        <stp>25</stp>
        <tr r="C31" s="1"/>
      </tp>
      <tp>
        <v>1000</v>
        <stp/>
        <stp>T&amp;T0</stp>
        <stp>QUL</stp>
        <stp>32</stp>
        <tr r="D38" s="1"/>
      </tp>
      <tp>
        <v>16.670000000000002</v>
        <stp/>
        <stp>T&amp;T0</stp>
        <stp>PRE</stp>
        <stp>22</stp>
        <tr r="C28" s="1"/>
      </tp>
      <tp>
        <v>1000</v>
        <stp/>
        <stp>T&amp;T0</stp>
        <stp>QUL</stp>
        <stp>35</stp>
        <tr r="D41" s="1"/>
      </tp>
      <tp>
        <v>16.670000000000002</v>
        <stp/>
        <stp>T&amp;T0</stp>
        <stp>PRE</stp>
        <stp>23</stp>
        <tr r="C29" s="1"/>
      </tp>
      <tp>
        <v>1100</v>
        <stp/>
        <stp>T&amp;T0</stp>
        <stp>QUL</stp>
        <stp>34</stp>
        <tr r="D40" s="1"/>
      </tp>
      <tp>
        <v>16.670000000000002</v>
        <stp/>
        <stp>T&amp;T0</stp>
        <stp>PRE</stp>
        <stp>20</stp>
        <tr r="C26" s="1"/>
      </tp>
      <tp>
        <v>100</v>
        <stp/>
        <stp>T&amp;T0</stp>
        <stp>QUL</stp>
        <stp>37</stp>
        <tr r="D43" s="1"/>
      </tp>
      <tp>
        <v>16.670000000000002</v>
        <stp/>
        <stp>T&amp;T0</stp>
        <stp>PRE</stp>
        <stp>21</stp>
        <tr r="C27" s="1"/>
      </tp>
      <tp>
        <v>1100</v>
        <stp/>
        <stp>T&amp;T0</stp>
        <stp>QUL</stp>
        <stp>36</stp>
        <tr r="D42" s="1"/>
      </tp>
      <tp>
        <v>1800</v>
        <stp/>
        <stp>T&amp;T0</stp>
        <stp>QUL</stp>
        <stp>29</stp>
        <tr r="D35" s="1"/>
      </tp>
      <tp>
        <v>100</v>
        <stp/>
        <stp>T&amp;T0</stp>
        <stp>QUL</stp>
        <stp>28</stp>
        <tr r="D34" s="1"/>
      </tp>
      <tp>
        <v>16.670000000000002</v>
        <stp/>
        <stp>T&amp;T0</stp>
        <stp>PRE</stp>
        <stp>38</stp>
        <tr r="C44" s="1"/>
      </tp>
      <tp>
        <v>16.670000000000002</v>
        <stp/>
        <stp>T&amp;T0</stp>
        <stp>PRE</stp>
        <stp>39</stp>
        <tr r="C45" s="1"/>
      </tp>
      <tp>
        <v>16.670000000000002</v>
        <stp/>
        <stp>T&amp;T0</stp>
        <stp>PRE</stp>
        <stp>36</stp>
        <tr r="C42" s="1"/>
      </tp>
      <tp>
        <v>100</v>
        <stp/>
        <stp>T&amp;T0</stp>
        <stp>QUL</stp>
        <stp>21</stp>
        <tr r="D27" s="1"/>
      </tp>
      <tp>
        <v>16.670000000000002</v>
        <stp/>
        <stp>T&amp;T0</stp>
        <stp>PRE</stp>
        <stp>37</stp>
        <tr r="C43" s="1"/>
      </tp>
      <tp>
        <v>100</v>
        <stp/>
        <stp>T&amp;T0</stp>
        <stp>QUL</stp>
        <stp>20</stp>
        <tr r="D26" s="1"/>
      </tp>
      <tp>
        <v>16.670000000000002</v>
        <stp/>
        <stp>T&amp;T0</stp>
        <stp>PRE</stp>
        <stp>34</stp>
        <tr r="C40" s="1"/>
      </tp>
      <tp>
        <v>100</v>
        <stp/>
        <stp>T&amp;T0</stp>
        <stp>QUL</stp>
        <stp>23</stp>
        <tr r="D29" s="1"/>
      </tp>
      <tp>
        <v>16.670000000000002</v>
        <stp/>
        <stp>T&amp;T0</stp>
        <stp>PRE</stp>
        <stp>35</stp>
        <tr r="C41" s="1"/>
      </tp>
      <tp>
        <v>2000</v>
        <stp/>
        <stp>T&amp;T0</stp>
        <stp>QUL</stp>
        <stp>22</stp>
        <tr r="D28" s="1"/>
      </tp>
      <tp>
        <v>16.670000000000002</v>
        <stp/>
        <stp>T&amp;T0</stp>
        <stp>PRE</stp>
        <stp>32</stp>
        <tr r="C38" s="1"/>
      </tp>
      <tp>
        <v>700</v>
        <stp/>
        <stp>T&amp;T0</stp>
        <stp>QUL</stp>
        <stp>25</stp>
        <tr r="D31" s="1"/>
      </tp>
      <tp>
        <v>16.670000000000002</v>
        <stp/>
        <stp>T&amp;T0</stp>
        <stp>PRE</stp>
        <stp>33</stp>
        <tr r="C39" s="1"/>
      </tp>
      <tp>
        <v>100</v>
        <stp/>
        <stp>T&amp;T0</stp>
        <stp>QUL</stp>
        <stp>24</stp>
        <tr r="D30" s="1"/>
      </tp>
      <tp>
        <v>16.68</v>
        <stp/>
        <stp>T&amp;T0</stp>
        <stp>PRE</stp>
        <stp>30</stp>
        <tr r="C36" s="1"/>
      </tp>
      <tp>
        <v>200</v>
        <stp/>
        <stp>T&amp;T0</stp>
        <stp>QUL</stp>
        <stp>27</stp>
        <tr r="D33" s="1"/>
      </tp>
      <tp>
        <v>16.68</v>
        <stp/>
        <stp>T&amp;T0</stp>
        <stp>PRE</stp>
        <stp>31</stp>
        <tr r="C37" s="1"/>
      </tp>
      <tp>
        <v>400</v>
        <stp/>
        <stp>T&amp;T0</stp>
        <stp>QUL</stp>
        <stp>26</stp>
        <tr r="D32" s="1"/>
      </tp>
      <tp>
        <v>1900</v>
        <stp/>
        <stp>T&amp;T0</stp>
        <stp>QUL</stp>
        <stp>19</stp>
        <tr r="D25" s="1"/>
      </tp>
      <tp>
        <v>100</v>
        <stp/>
        <stp>T&amp;T0</stp>
        <stp>QUL</stp>
        <stp>18</stp>
        <tr r="D24" s="1"/>
      </tp>
      <tp>
        <v>2200</v>
        <stp/>
        <stp>T&amp;T0</stp>
        <stp>QUL</stp>
        <stp>11</stp>
        <tr r="D17" s="1"/>
      </tp>
      <tp>
        <v>100</v>
        <stp/>
        <stp>T&amp;T0</stp>
        <stp>QUL</stp>
        <stp>10</stp>
        <tr r="D16" s="1"/>
      </tp>
      <tp>
        <v>100</v>
        <stp/>
        <stp>T&amp;T0</stp>
        <stp>QUL</stp>
        <stp>13</stp>
        <tr r="D19" s="1"/>
      </tp>
      <tp>
        <v>500</v>
        <stp/>
        <stp>T&amp;T0</stp>
        <stp>QUL</stp>
        <stp>12</stp>
        <tr r="D18" s="1"/>
      </tp>
      <tp>
        <v>4500</v>
        <stp/>
        <stp>T&amp;T0</stp>
        <stp>QUL</stp>
        <stp>15</stp>
        <tr r="D21" s="1"/>
      </tp>
      <tp>
        <v>500</v>
        <stp/>
        <stp>T&amp;T0</stp>
        <stp>QUL</stp>
        <stp>14</stp>
        <tr r="D20" s="1"/>
      </tp>
      <tp>
        <v>1900</v>
        <stp/>
        <stp>T&amp;T0</stp>
        <stp>QUL</stp>
        <stp>17</stp>
        <tr r="D23" s="1"/>
      </tp>
      <tp>
        <v>100</v>
        <stp/>
        <stp>T&amp;T0</stp>
        <stp>QUL</stp>
        <stp>16</stp>
        <tr r="D22" s="1"/>
      </tp>
      <tp>
        <v>16.670000000000002</v>
        <stp/>
        <stp>T&amp;T0</stp>
        <stp>PRE</stp>
        <stp>18</stp>
        <tr r="C24" s="1"/>
      </tp>
      <tp>
        <v>16.670000000000002</v>
        <stp/>
        <stp>T&amp;T0</stp>
        <stp>PRE</stp>
        <stp>19</stp>
        <tr r="C25" s="1"/>
      </tp>
      <tp>
        <v>16.66</v>
        <stp/>
        <stp>T&amp;T0</stp>
        <stp>PRE</stp>
        <stp>16</stp>
        <tr r="C22" s="1"/>
      </tp>
      <tp>
        <v>16.670000000000002</v>
        <stp/>
        <stp>T&amp;T0</stp>
        <stp>PRE</stp>
        <stp>17</stp>
        <tr r="C23" s="1"/>
      </tp>
      <tp>
        <v>16.66</v>
        <stp/>
        <stp>T&amp;T0</stp>
        <stp>PRE</stp>
        <stp>14</stp>
        <tr r="C20" s="1"/>
      </tp>
      <tp>
        <v>16.66</v>
        <stp/>
        <stp>T&amp;T0</stp>
        <stp>PRE</stp>
        <stp>15</stp>
        <tr r="C21" s="1"/>
      </tp>
      <tp>
        <v>16.66</v>
        <stp/>
        <stp>T&amp;T0</stp>
        <stp>PRE</stp>
        <stp>12</stp>
        <tr r="C18" s="1"/>
      </tp>
      <tp>
        <v>16.670000000000002</v>
        <stp/>
        <stp>T&amp;T0</stp>
        <stp>PRE</stp>
        <stp>13</stp>
        <tr r="C19" s="1"/>
      </tp>
      <tp>
        <v>16.66</v>
        <stp/>
        <stp>T&amp;T0</stp>
        <stp>PRE</stp>
        <stp>10</stp>
        <tr r="C16" s="1"/>
      </tp>
      <tp>
        <v>16.66</v>
        <stp/>
        <stp>T&amp;T0</stp>
        <stp>PRE</stp>
        <stp>11</stp>
        <tr r="C17" s="1"/>
      </tp>
      <tp>
        <v>100</v>
        <stp/>
        <stp>T&amp;T0</stp>
        <stp>QUL</stp>
        <stp>79</stp>
        <tr r="D85" s="1"/>
      </tp>
      <tp>
        <v>100</v>
        <stp/>
        <stp>T&amp;T0</stp>
        <stp>QUL</stp>
        <stp>78</stp>
        <tr r="D84" s="1"/>
      </tp>
      <tp>
        <v>16.690000000000001</v>
        <stp/>
        <stp>T&amp;T0</stp>
        <stp>PRE</stp>
        <stp>68</stp>
        <tr r="C74" s="1"/>
      </tp>
      <tp>
        <v>16.690000000000001</v>
        <stp/>
        <stp>T&amp;T0</stp>
        <stp>PRE</stp>
        <stp>69</stp>
        <tr r="C75" s="1"/>
      </tp>
      <tp>
        <v>16.690000000000001</v>
        <stp/>
        <stp>T&amp;T0</stp>
        <stp>PRE</stp>
        <stp>66</stp>
        <tr r="C72" s="1"/>
      </tp>
      <tp>
        <v>200</v>
        <stp/>
        <stp>T&amp;T0</stp>
        <stp>QUL</stp>
        <stp>71</stp>
        <tr r="D77" s="1"/>
      </tp>
      <tp>
        <v>16.690000000000001</v>
        <stp/>
        <stp>T&amp;T0</stp>
        <stp>PRE</stp>
        <stp>67</stp>
        <tr r="C73" s="1"/>
      </tp>
      <tp>
        <v>300</v>
        <stp/>
        <stp>T&amp;T0</stp>
        <stp>QUL</stp>
        <stp>70</stp>
        <tr r="D76" s="1"/>
      </tp>
      <tp>
        <v>16.690000000000001</v>
        <stp/>
        <stp>T&amp;T0</stp>
        <stp>PRE</stp>
        <stp>64</stp>
        <tr r="C70" s="1"/>
      </tp>
      <tp>
        <v>100</v>
        <stp/>
        <stp>T&amp;T0</stp>
        <stp>QUL</stp>
        <stp>73</stp>
        <tr r="D79" s="1"/>
      </tp>
      <tp>
        <v>16.690000000000001</v>
        <stp/>
        <stp>T&amp;T0</stp>
        <stp>PRE</stp>
        <stp>65</stp>
        <tr r="C71" s="1"/>
      </tp>
      <tp>
        <v>200</v>
        <stp/>
        <stp>T&amp;T0</stp>
        <stp>QUL</stp>
        <stp>72</stp>
        <tr r="D78" s="1"/>
      </tp>
      <tp>
        <v>16.690000000000001</v>
        <stp/>
        <stp>T&amp;T0</stp>
        <stp>PRE</stp>
        <stp>62</stp>
        <tr r="C68" s="1"/>
      </tp>
      <tp>
        <v>100</v>
        <stp/>
        <stp>T&amp;T0</stp>
        <stp>QUL</stp>
        <stp>75</stp>
        <tr r="D81" s="1"/>
      </tp>
      <tp>
        <v>16.690000000000001</v>
        <stp/>
        <stp>T&amp;T0</stp>
        <stp>PRE</stp>
        <stp>63</stp>
        <tr r="C69" s="1"/>
      </tp>
      <tp>
        <v>100</v>
        <stp/>
        <stp>T&amp;T0</stp>
        <stp>QUL</stp>
        <stp>74</stp>
        <tr r="D80" s="1"/>
      </tp>
      <tp>
        <v>16.690000000000001</v>
        <stp/>
        <stp>T&amp;T0</stp>
        <stp>PRE</stp>
        <stp>60</stp>
        <tr r="C66" s="1"/>
      </tp>
      <tp>
        <v>100</v>
        <stp/>
        <stp>T&amp;T0</stp>
        <stp>QUL</stp>
        <stp>77</stp>
        <tr r="D83" s="1"/>
      </tp>
      <tp>
        <v>16.68</v>
        <stp/>
        <stp>T&amp;T0</stp>
        <stp>PRE</stp>
        <stp>61</stp>
        <tr r="C67" s="1"/>
      </tp>
      <tp>
        <v>100</v>
        <stp/>
        <stp>T&amp;T0</stp>
        <stp>QUL</stp>
        <stp>76</stp>
        <tr r="D82" s="1"/>
      </tp>
      <tp>
        <v>500</v>
        <stp/>
        <stp>T&amp;T0</stp>
        <stp>QUL</stp>
        <stp>69</stp>
        <tr r="D75" s="1"/>
      </tp>
      <tp>
        <v>100</v>
        <stp/>
        <stp>T&amp;T0</stp>
        <stp>QUL</stp>
        <stp>68</stp>
        <tr r="D74" s="1"/>
      </tp>
      <tp>
        <v>16.690000000000001</v>
        <stp/>
        <stp>T&amp;T0</stp>
        <stp>PRE</stp>
        <stp>78</stp>
        <tr r="C84" s="1"/>
      </tp>
      <tp>
        <v>16.690000000000001</v>
        <stp/>
        <stp>T&amp;T0</stp>
        <stp>PRE</stp>
        <stp>79</stp>
        <tr r="C85" s="1"/>
      </tp>
      <tp>
        <v>16.690000000000001</v>
        <stp/>
        <stp>T&amp;T0</stp>
        <stp>PRE</stp>
        <stp>76</stp>
        <tr r="C82" s="1"/>
      </tp>
      <tp>
        <v>800</v>
        <stp/>
        <stp>T&amp;T0</stp>
        <stp>QUL</stp>
        <stp>61</stp>
        <tr r="D67" s="1"/>
      </tp>
      <tp>
        <v>16.690000000000001</v>
        <stp/>
        <stp>T&amp;T0</stp>
        <stp>PRE</stp>
        <stp>77</stp>
        <tr r="C83" s="1"/>
      </tp>
      <tp>
        <v>100</v>
        <stp/>
        <stp>T&amp;T0</stp>
        <stp>QUL</stp>
        <stp>60</stp>
        <tr r="D66" s="1"/>
      </tp>
      <tp>
        <v>16.690000000000001</v>
        <stp/>
        <stp>T&amp;T0</stp>
        <stp>PRE</stp>
        <stp>74</stp>
        <tr r="C80" s="1"/>
      </tp>
      <tp>
        <v>300</v>
        <stp/>
        <stp>T&amp;T0</stp>
        <stp>QUL</stp>
        <stp>63</stp>
        <tr r="D69" s="1"/>
      </tp>
      <tp>
        <v>16.690000000000001</v>
        <stp/>
        <stp>T&amp;T0</stp>
        <stp>PRE</stp>
        <stp>75</stp>
        <tr r="C81" s="1"/>
      </tp>
      <tp>
        <v>500</v>
        <stp/>
        <stp>T&amp;T0</stp>
        <stp>QUL</stp>
        <stp>62</stp>
        <tr r="D68" s="1"/>
      </tp>
      <tp>
        <v>16.690000000000001</v>
        <stp/>
        <stp>T&amp;T0</stp>
        <stp>PRE</stp>
        <stp>72</stp>
        <tr r="C78" s="1"/>
      </tp>
      <tp>
        <v>2000</v>
        <stp/>
        <stp>T&amp;T0</stp>
        <stp>QUL</stp>
        <stp>65</stp>
        <tr r="D71" s="1"/>
      </tp>
      <tp>
        <v>16.690000000000001</v>
        <stp/>
        <stp>T&amp;T0</stp>
        <stp>PRE</stp>
        <stp>73</stp>
        <tr r="C79" s="1"/>
      </tp>
      <tp>
        <v>500</v>
        <stp/>
        <stp>T&amp;T0</stp>
        <stp>QUL</stp>
        <stp>64</stp>
        <tr r="D70" s="1"/>
      </tp>
      <tp>
        <v>16.690000000000001</v>
        <stp/>
        <stp>T&amp;T0</stp>
        <stp>PRE</stp>
        <stp>70</stp>
        <tr r="C76" s="1"/>
      </tp>
      <tp>
        <v>10000</v>
        <stp/>
        <stp>T&amp;T0</stp>
        <stp>QUL</stp>
        <stp>67</stp>
        <tr r="D73" s="1"/>
      </tp>
      <tp>
        <v>16.690000000000001</v>
        <stp/>
        <stp>T&amp;T0</stp>
        <stp>PRE</stp>
        <stp>71</stp>
        <tr r="C77" s="1"/>
      </tp>
      <tp>
        <v>1800</v>
        <stp/>
        <stp>T&amp;T0</stp>
        <stp>QUL</stp>
        <stp>66</stp>
        <tr r="D72" s="1"/>
      </tp>
      <tp>
        <v>1000</v>
        <stp/>
        <stp>T&amp;T0</stp>
        <stp>QUL</stp>
        <stp>59</stp>
        <tr r="D65" s="1"/>
      </tp>
      <tp>
        <v>200</v>
        <stp/>
        <stp>T&amp;T0</stp>
        <stp>QUL</stp>
        <stp>58</stp>
        <tr r="D64" s="1"/>
      </tp>
      <tp>
        <v>16.68</v>
        <stp/>
        <stp>T&amp;T0</stp>
        <stp>PRE</stp>
        <stp>48</stp>
        <tr r="C54" s="1"/>
      </tp>
      <tp>
        <v>16.68</v>
        <stp/>
        <stp>T&amp;T0</stp>
        <stp>PRE</stp>
        <stp>49</stp>
        <tr r="C55" s="1"/>
      </tp>
      <tp>
        <v>16.68</v>
        <stp/>
        <stp>T&amp;T0</stp>
        <stp>PRE</stp>
        <stp>46</stp>
        <tr r="C52" s="1"/>
      </tp>
      <tp>
        <v>100</v>
        <stp/>
        <stp>T&amp;T0</stp>
        <stp>QUL</stp>
        <stp>51</stp>
        <tr r="D57" s="1"/>
      </tp>
      <tp>
        <v>16.68</v>
        <stp/>
        <stp>T&amp;T0</stp>
        <stp>PRE</stp>
        <stp>47</stp>
        <tr r="C53" s="1"/>
      </tp>
      <tp>
        <v>100</v>
        <stp/>
        <stp>T&amp;T0</stp>
        <stp>QUL</stp>
        <stp>50</stp>
        <tr r="D56" s="1"/>
      </tp>
      <tp>
        <v>16.68</v>
        <stp/>
        <stp>T&amp;T0</stp>
        <stp>PRE</stp>
        <stp>44</stp>
        <tr r="C50" s="1"/>
      </tp>
      <tp>
        <v>200</v>
        <stp/>
        <stp>T&amp;T0</stp>
        <stp>QUL</stp>
        <stp>53</stp>
        <tr r="D59" s="1"/>
      </tp>
      <tp>
        <v>16.68</v>
        <stp/>
        <stp>T&amp;T0</stp>
        <stp>PRE</stp>
        <stp>45</stp>
        <tr r="C51" s="1"/>
      </tp>
      <tp>
        <v>200</v>
        <stp/>
        <stp>T&amp;T0</stp>
        <stp>QUL</stp>
        <stp>52</stp>
        <tr r="D58" s="1"/>
      </tp>
      <tp>
        <v>16.68</v>
        <stp/>
        <stp>T&amp;T0</stp>
        <stp>PRE</stp>
        <stp>42</stp>
        <tr r="C48" s="1"/>
      </tp>
      <tp>
        <v>100</v>
        <stp/>
        <stp>T&amp;T0</stp>
        <stp>QUL</stp>
        <stp>55</stp>
        <tr r="D61" s="1"/>
      </tp>
      <tp>
        <v>16.68</v>
        <stp/>
        <stp>T&amp;T0</stp>
        <stp>PRE</stp>
        <stp>43</stp>
        <tr r="C49" s="1"/>
      </tp>
      <tp>
        <v>100</v>
        <stp/>
        <stp>T&amp;T0</stp>
        <stp>QUL</stp>
        <stp>54</stp>
        <tr r="D60" s="1"/>
      </tp>
      <tp>
        <v>16.670000000000002</v>
        <stp/>
        <stp>T&amp;T0</stp>
        <stp>PRE</stp>
        <stp>40</stp>
        <tr r="C46" s="1"/>
      </tp>
      <tp>
        <v>100</v>
        <stp/>
        <stp>T&amp;T0</stp>
        <stp>QUL</stp>
        <stp>57</stp>
        <tr r="D63" s="1"/>
      </tp>
      <tp>
        <v>16.68</v>
        <stp/>
        <stp>T&amp;T0</stp>
        <stp>PRE</stp>
        <stp>41</stp>
        <tr r="C47" s="1"/>
      </tp>
      <tp>
        <v>2700</v>
        <stp/>
        <stp>T&amp;T0</stp>
        <stp>QUL</stp>
        <stp>56</stp>
        <tr r="D62" s="1"/>
      </tp>
      <tp>
        <v>100</v>
        <stp/>
        <stp>T&amp;T0</stp>
        <stp>QUL</stp>
        <stp>49</stp>
        <tr r="D55" s="1"/>
      </tp>
      <tp>
        <v>100</v>
        <stp/>
        <stp>T&amp;T0</stp>
        <stp>QUL</stp>
        <stp>48</stp>
        <tr r="D54" s="1"/>
      </tp>
      <tp>
        <v>16.68</v>
        <stp/>
        <stp>T&amp;T0</stp>
        <stp>PRE</stp>
        <stp>58</stp>
        <tr r="C64" s="1"/>
      </tp>
      <tp>
        <v>16.690000000000001</v>
        <stp/>
        <stp>T&amp;T0</stp>
        <stp>PRE</stp>
        <stp>59</stp>
        <tr r="C65" s="1"/>
      </tp>
      <tp>
        <v>16.68</v>
        <stp/>
        <stp>T&amp;T0</stp>
        <stp>PRE</stp>
        <stp>56</stp>
        <tr r="C62" s="1"/>
      </tp>
      <tp>
        <v>700</v>
        <stp/>
        <stp>T&amp;T0</stp>
        <stp>QUL</stp>
        <stp>41</stp>
        <tr r="D47" s="1"/>
      </tp>
      <tp>
        <v>16.68</v>
        <stp/>
        <stp>T&amp;T0</stp>
        <stp>PRE</stp>
        <stp>57</stp>
        <tr r="C63" s="1"/>
      </tp>
      <tp>
        <v>4300</v>
        <stp/>
        <stp>T&amp;T0</stp>
        <stp>QUL</stp>
        <stp>40</stp>
        <tr r="D46" s="1"/>
      </tp>
      <tp>
        <v>16.68</v>
        <stp/>
        <stp>T&amp;T0</stp>
        <stp>PRE</stp>
        <stp>54</stp>
        <tr r="C60" s="1"/>
      </tp>
      <tp>
        <v>700</v>
        <stp/>
        <stp>T&amp;T0</stp>
        <stp>QUL</stp>
        <stp>43</stp>
        <tr r="D49" s="1"/>
      </tp>
      <tp>
        <v>16.68</v>
        <stp/>
        <stp>T&amp;T0</stp>
        <stp>PRE</stp>
        <stp>55</stp>
        <tr r="C61" s="1"/>
      </tp>
      <tp>
        <v>3000</v>
        <stp/>
        <stp>T&amp;T0</stp>
        <stp>QUL</stp>
        <stp>42</stp>
        <tr r="D48" s="1"/>
      </tp>
      <tp>
        <v>16.690000000000001</v>
        <stp/>
        <stp>T&amp;T0</stp>
        <stp>PRE</stp>
        <stp>52</stp>
        <tr r="C58" s="1"/>
      </tp>
      <tp>
        <v>300</v>
        <stp/>
        <stp>T&amp;T0</stp>
        <stp>QUL</stp>
        <stp>45</stp>
        <tr r="D51" s="1"/>
      </tp>
      <tp>
        <v>16.68</v>
        <stp/>
        <stp>T&amp;T0</stp>
        <stp>PRE</stp>
        <stp>53</stp>
        <tr r="C59" s="1"/>
      </tp>
      <tp>
        <v>100</v>
        <stp/>
        <stp>T&amp;T0</stp>
        <stp>QUL</stp>
        <stp>44</stp>
        <tr r="D50" s="1"/>
      </tp>
      <tp>
        <v>16.68</v>
        <stp/>
        <stp>T&amp;T0</stp>
        <stp>PRE</stp>
        <stp>50</stp>
        <tr r="C56" s="1"/>
      </tp>
      <tp>
        <v>200</v>
        <stp/>
        <stp>T&amp;T0</stp>
        <stp>QUL</stp>
        <stp>47</stp>
        <tr r="D53" s="1"/>
      </tp>
      <tp>
        <v>16.68</v>
        <stp/>
        <stp>T&amp;T0</stp>
        <stp>PRE</stp>
        <stp>51</stp>
        <tr r="C57" s="1"/>
      </tp>
      <tp>
        <v>6300</v>
        <stp/>
        <stp>T&amp;T0</stp>
        <stp>QUL</stp>
        <stp>46</stp>
        <tr r="D52" s="1"/>
      </tp>
      <tp t="s">
        <v>-</v>
        <stp/>
        <stp>T&amp;T0</stp>
        <stp>AGR</stp>
        <stp>99</stp>
        <tr r="F105" s="1"/>
      </tp>
      <tp t="s">
        <v>-</v>
        <stp/>
        <stp>T&amp;T0</stp>
        <stp>AGR</stp>
        <stp>98</stp>
        <tr r="F104" s="1"/>
      </tp>
      <tp t="s">
        <v>-</v>
        <stp/>
        <stp>T&amp;T0</stp>
        <stp>ACP</stp>
        <stp>99</stp>
        <tr r="B105" s="1"/>
      </tp>
      <tp t="s">
        <v>-</v>
        <stp/>
        <stp>T&amp;T0</stp>
        <stp>ACP</stp>
        <stp>98</stp>
        <tr r="B104" s="1"/>
      </tp>
      <tp t="s">
        <v>-</v>
        <stp/>
        <stp>T&amp;T0</stp>
        <stp>ACP</stp>
        <stp>97</stp>
        <tr r="B103" s="1"/>
      </tp>
      <tp t="s">
        <v>-</v>
        <stp/>
        <stp>T&amp;T0</stp>
        <stp>AGR</stp>
        <stp>93</stp>
        <tr r="F99" s="1"/>
      </tp>
      <tp t="s">
        <v>-</v>
        <stp/>
        <stp>T&amp;T0</stp>
        <stp>ACP</stp>
        <stp>96</stp>
        <tr r="B102" s="1"/>
      </tp>
      <tp t="s">
        <v>-</v>
        <stp/>
        <stp>T&amp;T0</stp>
        <stp>AGR</stp>
        <stp>92</stp>
        <tr r="F98" s="1"/>
      </tp>
      <tp t="s">
        <v>-</v>
        <stp/>
        <stp>T&amp;T0</stp>
        <stp>ACP</stp>
        <stp>95</stp>
        <tr r="B101" s="1"/>
      </tp>
      <tp t="s">
        <v>-</v>
        <stp/>
        <stp>T&amp;T0</stp>
        <stp>AGR</stp>
        <stp>91</stp>
        <tr r="F97" s="1"/>
      </tp>
      <tp t="s">
        <v>-</v>
        <stp/>
        <stp>T&amp;T0</stp>
        <stp>ACP</stp>
        <stp>94</stp>
        <tr r="B100" s="1"/>
      </tp>
      <tp t="s">
        <v>-</v>
        <stp/>
        <stp>T&amp;T0</stp>
        <stp>AGR</stp>
        <stp>90</stp>
        <tr r="F96" s="1"/>
      </tp>
      <tp t="s">
        <v>-</v>
        <stp/>
        <stp>T&amp;T0</stp>
        <stp>ACP</stp>
        <stp>93</stp>
        <tr r="B99" s="1"/>
      </tp>
      <tp t="s">
        <v>-</v>
        <stp/>
        <stp>T&amp;T0</stp>
        <stp>AGR</stp>
        <stp>97</stp>
        <tr r="F103" s="1"/>
      </tp>
      <tp t="s">
        <v>-</v>
        <stp/>
        <stp>T&amp;T0</stp>
        <stp>ACP</stp>
        <stp>92</stp>
        <tr r="B98" s="1"/>
      </tp>
      <tp t="s">
        <v>-</v>
        <stp/>
        <stp>T&amp;T0</stp>
        <stp>AGR</stp>
        <stp>96</stp>
        <tr r="F102" s="1"/>
      </tp>
      <tp t="s">
        <v>-</v>
        <stp/>
        <stp>T&amp;T0</stp>
        <stp>ACP</stp>
        <stp>91</stp>
        <tr r="B97" s="1"/>
      </tp>
      <tp t="s">
        <v>-</v>
        <stp/>
        <stp>T&amp;T0</stp>
        <stp>AGR</stp>
        <stp>95</stp>
        <tr r="F101" s="1"/>
      </tp>
      <tp t="s">
        <v>-</v>
        <stp/>
        <stp>T&amp;T0</stp>
        <stp>ACP</stp>
        <stp>90</stp>
        <tr r="B96" s="1"/>
      </tp>
      <tp t="s">
        <v>-</v>
        <stp/>
        <stp>T&amp;T0</stp>
        <stp>AGR</stp>
        <stp>94</stp>
        <tr r="F100" s="1"/>
      </tp>
      <tp t="s">
        <v>-</v>
        <stp/>
        <stp>T&amp;T0</stp>
        <stp>AVD</stp>
        <stp>98</stp>
        <tr r="E104" s="1"/>
      </tp>
      <tp t="s">
        <v>-</v>
        <stp/>
        <stp>T&amp;T0</stp>
        <stp>AVD</stp>
        <stp>99</stp>
        <tr r="E105" s="1"/>
      </tp>
      <tp t="s">
        <v>-</v>
        <stp/>
        <stp>T&amp;T0</stp>
        <stp>AVD</stp>
        <stp>92</stp>
        <tr r="E98" s="1"/>
      </tp>
      <tp t="s">
        <v>-</v>
        <stp/>
        <stp>T&amp;T0</stp>
        <stp>AVD</stp>
        <stp>93</stp>
        <tr r="E99" s="1"/>
      </tp>
      <tp t="s">
        <v>-</v>
        <stp/>
        <stp>T&amp;T0</stp>
        <stp>AVD</stp>
        <stp>90</stp>
        <tr r="E96" s="1"/>
      </tp>
      <tp t="s">
        <v>-</v>
        <stp/>
        <stp>T&amp;T0</stp>
        <stp>AVD</stp>
        <stp>91</stp>
        <tr r="E97" s="1"/>
      </tp>
      <tp t="s">
        <v>-</v>
        <stp/>
        <stp>T&amp;T0</stp>
        <stp>AVD</stp>
        <stp>96</stp>
        <tr r="E102" s="1"/>
      </tp>
      <tp t="s">
        <v>-</v>
        <stp/>
        <stp>T&amp;T0</stp>
        <stp>AVD</stp>
        <stp>97</stp>
        <tr r="E103" s="1"/>
      </tp>
      <tp t="s">
        <v>-</v>
        <stp/>
        <stp>T&amp;T0</stp>
        <stp>AVD</stp>
        <stp>94</stp>
        <tr r="E100" s="1"/>
      </tp>
      <tp t="s">
        <v>-</v>
        <stp/>
        <stp>T&amp;T0</stp>
        <stp>AVD</stp>
        <stp>95</stp>
        <tr r="E101" s="1"/>
      </tp>
      <tp t="s">
        <v>Vendedor</v>
        <stp/>
        <stp>T&amp;T0</stp>
        <stp>AGR</stp>
        <stp>89</stp>
        <tr r="F95" s="1"/>
      </tp>
      <tp t="s">
        <v>Vendedor</v>
        <stp/>
        <stp>T&amp;T0</stp>
        <stp>AGR</stp>
        <stp>88</stp>
        <tr r="F94" s="1"/>
      </tp>
      <tp t="s">
        <v>Genial</v>
        <stp/>
        <stp>T&amp;T0</stp>
        <stp>ACP</stp>
        <stp>89</stp>
        <tr r="B95" s="1"/>
      </tp>
      <tp t="s">
        <v>XP</v>
        <stp/>
        <stp>T&amp;T0</stp>
        <stp>ACP</stp>
        <stp>88</stp>
        <tr r="B94" s="1"/>
      </tp>
      <tp t="s">
        <v>Clear</v>
        <stp/>
        <stp>T&amp;T0</stp>
        <stp>ACP</stp>
        <stp>87</stp>
        <tr r="B93" s="1"/>
      </tp>
      <tp t="s">
        <v>Vendedor</v>
        <stp/>
        <stp>T&amp;T0</stp>
        <stp>AGR</stp>
        <stp>83</stp>
        <tr r="F89" s="1"/>
      </tp>
      <tp t="s">
        <v>Genial</v>
        <stp/>
        <stp>T&amp;T0</stp>
        <stp>ACP</stp>
        <stp>86</stp>
        <tr r="B92" s="1"/>
      </tp>
      <tp t="s">
        <v>Vendedor</v>
        <stp/>
        <stp>T&amp;T0</stp>
        <stp>AGR</stp>
        <stp>82</stp>
        <tr r="F88" s="1"/>
      </tp>
      <tp t="s">
        <v>XP</v>
        <stp/>
        <stp>T&amp;T0</stp>
        <stp>ACP</stp>
        <stp>85</stp>
        <tr r="B91" s="1"/>
      </tp>
      <tp t="s">
        <v>Vendedor</v>
        <stp/>
        <stp>T&amp;T0</stp>
        <stp>AGR</stp>
        <stp>81</stp>
        <tr r="F87" s="1"/>
      </tp>
      <tp t="s">
        <v>XP</v>
        <stp/>
        <stp>T&amp;T0</stp>
        <stp>ACP</stp>
        <stp>84</stp>
        <tr r="B90" s="1"/>
      </tp>
      <tp t="s">
        <v>Vendedor</v>
        <stp/>
        <stp>T&amp;T0</stp>
        <stp>AGR</stp>
        <stp>80</stp>
        <tr r="F86" s="1"/>
      </tp>
      <tp t="s">
        <v>XP</v>
        <stp/>
        <stp>T&amp;T0</stp>
        <stp>ACP</stp>
        <stp>83</stp>
        <tr r="B89" s="1"/>
      </tp>
      <tp t="s">
        <v>Vendedor</v>
        <stp/>
        <stp>T&amp;T0</stp>
        <stp>AGR</stp>
        <stp>87</stp>
        <tr r="F93" s="1"/>
      </tp>
      <tp t="s">
        <v>XP</v>
        <stp/>
        <stp>T&amp;T0</stp>
        <stp>ACP</stp>
        <stp>82</stp>
        <tr r="B88" s="1"/>
      </tp>
      <tp t="s">
        <v>Vendedor</v>
        <stp/>
        <stp>T&amp;T0</stp>
        <stp>AGR</stp>
        <stp>86</stp>
        <tr r="F92" s="1"/>
      </tp>
      <tp t="s">
        <v>XP</v>
        <stp/>
        <stp>T&amp;T0</stp>
        <stp>ACP</stp>
        <stp>81</stp>
        <tr r="B87" s="1"/>
      </tp>
      <tp t="s">
        <v>Comprador</v>
        <stp/>
        <stp>T&amp;T0</stp>
        <stp>AGR</stp>
        <stp>85</stp>
        <tr r="F91" s="1"/>
      </tp>
      <tp t="s">
        <v>XP</v>
        <stp/>
        <stp>T&amp;T0</stp>
        <stp>ACP</stp>
        <stp>80</stp>
        <tr r="B86" s="1"/>
      </tp>
      <tp t="s">
        <v>Comprador</v>
        <stp/>
        <stp>T&amp;T0</stp>
        <stp>AGR</stp>
        <stp>84</stp>
        <tr r="F90" s="1"/>
      </tp>
      <tp t="s">
        <v>Bradesco</v>
        <stp/>
        <stp>T&amp;T0</stp>
        <stp>AVD</stp>
        <stp>88</stp>
        <tr r="E94" s="1"/>
      </tp>
      <tp t="s">
        <v>Bradesco</v>
        <stp/>
        <stp>T&amp;T0</stp>
        <stp>AVD</stp>
        <stp>89</stp>
        <tr r="E95" s="1"/>
      </tp>
      <tp t="s">
        <v>Bradesco</v>
        <stp/>
        <stp>T&amp;T0</stp>
        <stp>AVD</stp>
        <stp>82</stp>
        <tr r="E88" s="1"/>
      </tp>
      <tp t="s">
        <v>Morgan</v>
        <stp/>
        <stp>T&amp;T0</stp>
        <stp>AVD</stp>
        <stp>83</stp>
        <tr r="E89" s="1"/>
      </tp>
      <tp t="s">
        <v>XP</v>
        <stp/>
        <stp>T&amp;T0</stp>
        <stp>AVD</stp>
        <stp>80</stp>
        <tr r="E86" s="1"/>
      </tp>
      <tp t="s">
        <v>Merrill</v>
        <stp/>
        <stp>T&amp;T0</stp>
        <stp>AVD</stp>
        <stp>81</stp>
        <tr r="E87" s="1"/>
      </tp>
      <tp t="s">
        <v>XP</v>
        <stp/>
        <stp>T&amp;T0</stp>
        <stp>AVD</stp>
        <stp>86</stp>
        <tr r="E92" s="1"/>
      </tp>
      <tp t="s">
        <v>Bradesco</v>
        <stp/>
        <stp>T&amp;T0</stp>
        <stp>AVD</stp>
        <stp>87</stp>
        <tr r="E93" s="1"/>
      </tp>
      <tp t="s">
        <v>Ideal</v>
        <stp/>
        <stp>T&amp;T0</stp>
        <stp>AVD</stp>
        <stp>84</stp>
        <tr r="E90" s="1"/>
      </tp>
      <tp t="s">
        <v>Genial</v>
        <stp/>
        <stp>T&amp;T0</stp>
        <stp>AVD</stp>
        <stp>85</stp>
        <tr r="E91" s="1"/>
      </tp>
      <tp t="s">
        <v>09/08/2023 12:17:05</v>
        <stp/>
        <stp>T&amp;T0</stp>
        <stp>DAT</stp>
        <stp>89</stp>
        <tr r="A95" s="1"/>
      </tp>
      <tp t="s">
        <v>09/08/2023 12:17:05</v>
        <stp/>
        <stp>T&amp;T0</stp>
        <stp>DAT</stp>
        <stp>88</stp>
        <tr r="A94" s="1"/>
      </tp>
      <tp t="s">
        <v>09/08/2023 12:17:06</v>
        <stp/>
        <stp>T&amp;T0</stp>
        <stp>DAT</stp>
        <stp>85</stp>
        <tr r="A91" s="1"/>
      </tp>
      <tp t="s">
        <v>09/08/2023 12:17:06</v>
        <stp/>
        <stp>T&amp;T0</stp>
        <stp>DAT</stp>
        <stp>84</stp>
        <tr r="A90" s="1"/>
      </tp>
      <tp t="s">
        <v>09/08/2023 12:17:05</v>
        <stp/>
        <stp>T&amp;T0</stp>
        <stp>DAT</stp>
        <stp>87</stp>
        <tr r="A93" s="1"/>
      </tp>
      <tp t="s">
        <v>09/08/2023 12:17:05</v>
        <stp/>
        <stp>T&amp;T0</stp>
        <stp>DAT</stp>
        <stp>86</stp>
        <tr r="A92" s="1"/>
      </tp>
      <tp t="s">
        <v>09/08/2023 12:17:10</v>
        <stp/>
        <stp>T&amp;T0</stp>
        <stp>DAT</stp>
        <stp>81</stp>
        <tr r="A87" s="1"/>
      </tp>
      <tp t="s">
        <v>09/08/2023 12:17:10</v>
        <stp/>
        <stp>T&amp;T0</stp>
        <stp>DAT</stp>
        <stp>80</stp>
        <tr r="A86" s="1"/>
      </tp>
      <tp t="s">
        <v>09/08/2023 12:17:06</v>
        <stp/>
        <stp>T&amp;T0</stp>
        <stp>DAT</stp>
        <stp>83</stp>
        <tr r="A89" s="1"/>
      </tp>
      <tp t="s">
        <v>09/08/2023 12:17:10</v>
        <stp/>
        <stp>T&amp;T0</stp>
        <stp>DAT</stp>
        <stp>82</stp>
        <tr r="A88" s="1"/>
      </tp>
      <tp t="s">
        <v>-</v>
        <stp/>
        <stp>T&amp;T0</stp>
        <stp>DAT</stp>
        <stp>99</stp>
        <tr r="A105" s="1"/>
      </tp>
      <tp t="s">
        <v>-</v>
        <stp/>
        <stp>T&amp;T0</stp>
        <stp>DAT</stp>
        <stp>98</stp>
        <tr r="A104" s="1"/>
      </tp>
      <tp t="s">
        <v>-</v>
        <stp/>
        <stp>T&amp;T0</stp>
        <stp>DAT</stp>
        <stp>95</stp>
        <tr r="A101" s="1"/>
      </tp>
      <tp t="s">
        <v>-</v>
        <stp/>
        <stp>T&amp;T0</stp>
        <stp>DAT</stp>
        <stp>94</stp>
        <tr r="A100" s="1"/>
      </tp>
      <tp t="s">
        <v>-</v>
        <stp/>
        <stp>T&amp;T0</stp>
        <stp>DAT</stp>
        <stp>97</stp>
        <tr r="A103" s="1"/>
      </tp>
      <tp t="s">
        <v>-</v>
        <stp/>
        <stp>T&amp;T0</stp>
        <stp>DAT</stp>
        <stp>96</stp>
        <tr r="A102" s="1"/>
      </tp>
      <tp t="s">
        <v>-</v>
        <stp/>
        <stp>T&amp;T0</stp>
        <stp>DAT</stp>
        <stp>91</stp>
        <tr r="A97" s="1"/>
      </tp>
      <tp t="s">
        <v>-</v>
        <stp/>
        <stp>T&amp;T0</stp>
        <stp>DAT</stp>
        <stp>90</stp>
        <tr r="A96" s="1"/>
      </tp>
      <tp t="s">
        <v>-</v>
        <stp/>
        <stp>T&amp;T0</stp>
        <stp>DAT</stp>
        <stp>93</stp>
        <tr r="A99" s="1"/>
      </tp>
      <tp t="s">
        <v>-</v>
        <stp/>
        <stp>T&amp;T0</stp>
        <stp>DAT</stp>
        <stp>92</stp>
        <tr r="A98" s="1"/>
      </tp>
      <tp t="s">
        <v>Vendedor</v>
        <stp/>
        <stp>T&amp;T0</stp>
        <stp>AGR</stp>
        <stp>39</stp>
        <tr r="F45" s="1"/>
      </tp>
      <tp t="s">
        <v>Vendedor</v>
        <stp/>
        <stp>T&amp;T0</stp>
        <stp>AGR</stp>
        <stp>38</stp>
        <tr r="F44" s="1"/>
      </tp>
      <tp t="s">
        <v>09/08/2023 12:17:16</v>
        <stp/>
        <stp>T&amp;T0</stp>
        <stp>DAT</stp>
        <stp>69</stp>
        <tr r="A75" s="1"/>
      </tp>
      <tp t="s">
        <v>09/08/2023 12:17:16</v>
        <stp/>
        <stp>T&amp;T0</stp>
        <stp>DAT</stp>
        <stp>68</stp>
        <tr r="A74" s="1"/>
      </tp>
      <tp t="s">
        <v>Genial</v>
        <stp/>
        <stp>T&amp;T0</stp>
        <stp>ACP</stp>
        <stp>39</stp>
        <tr r="B45" s="1"/>
      </tp>
      <tp t="s">
        <v>XP</v>
        <stp/>
        <stp>T&amp;T0</stp>
        <stp>ACP</stp>
        <stp>38</stp>
        <tr r="B44" s="1"/>
      </tp>
      <tp t="s">
        <v>09/08/2023 12:17:16</v>
        <stp/>
        <stp>T&amp;T0</stp>
        <stp>DAT</stp>
        <stp>65</stp>
        <tr r="A71" s="1"/>
      </tp>
      <tp t="s">
        <v>XP</v>
        <stp/>
        <stp>T&amp;T0</stp>
        <stp>ACP</stp>
        <stp>37</stp>
        <tr r="B43" s="1"/>
      </tp>
      <tp t="s">
        <v>Vendedor</v>
        <stp/>
        <stp>T&amp;T0</stp>
        <stp>AGR</stp>
        <stp>33</stp>
        <tr r="F39" s="1"/>
      </tp>
      <tp t="s">
        <v>09/08/2023 12:17:16</v>
        <stp/>
        <stp>T&amp;T0</stp>
        <stp>DAT</stp>
        <stp>64</stp>
        <tr r="A70" s="1"/>
      </tp>
      <tp t="s">
        <v>NuInvest</v>
        <stp/>
        <stp>T&amp;T0</stp>
        <stp>ACP</stp>
        <stp>36</stp>
        <tr r="B42" s="1"/>
      </tp>
      <tp t="s">
        <v>Vendedor</v>
        <stp/>
        <stp>T&amp;T0</stp>
        <stp>AGR</stp>
        <stp>32</stp>
        <tr r="F38" s="1"/>
      </tp>
      <tp t="s">
        <v>09/08/2023 12:17:16</v>
        <stp/>
        <stp>T&amp;T0</stp>
        <stp>DAT</stp>
        <stp>67</stp>
        <tr r="A73" s="1"/>
      </tp>
      <tp t="s">
        <v>NuInvest</v>
        <stp/>
        <stp>T&amp;T0</stp>
        <stp>ACP</stp>
        <stp>35</stp>
        <tr r="B41" s="1"/>
      </tp>
      <tp t="s">
        <v>Comprador</v>
        <stp/>
        <stp>T&amp;T0</stp>
        <stp>AGR</stp>
        <stp>31</stp>
        <tr r="F37" s="1"/>
      </tp>
      <tp t="s">
        <v>09/08/2023 12:17:16</v>
        <stp/>
        <stp>T&amp;T0</stp>
        <stp>DAT</stp>
        <stp>66</stp>
        <tr r="A72" s="1"/>
      </tp>
      <tp t="s">
        <v>NuInvest</v>
        <stp/>
        <stp>T&amp;T0</stp>
        <stp>ACP</stp>
        <stp>34</stp>
        <tr r="B40" s="1"/>
      </tp>
      <tp t="s">
        <v>Comprador</v>
        <stp/>
        <stp>T&amp;T0</stp>
        <stp>AGR</stp>
        <stp>30</stp>
        <tr r="F36" s="1"/>
      </tp>
      <tp t="s">
        <v>09/08/2023 12:17:17</v>
        <stp/>
        <stp>T&amp;T0</stp>
        <stp>DAT</stp>
        <stp>61</stp>
        <tr r="A67" s="1"/>
      </tp>
      <tp t="s">
        <v>NuInvest</v>
        <stp/>
        <stp>T&amp;T0</stp>
        <stp>ACP</stp>
        <stp>33</stp>
        <tr r="B39" s="1"/>
      </tp>
      <tp t="s">
        <v>Vendedor</v>
        <stp/>
        <stp>T&amp;T0</stp>
        <stp>AGR</stp>
        <stp>37</stp>
        <tr r="F43" s="1"/>
      </tp>
      <tp t="s">
        <v>09/08/2023 12:17:22</v>
        <stp/>
        <stp>T&amp;T0</stp>
        <stp>DAT</stp>
        <stp>60</stp>
        <tr r="A66" s="1"/>
      </tp>
      <tp t="s">
        <v>NuInvest</v>
        <stp/>
        <stp>T&amp;T0</stp>
        <stp>ACP</stp>
        <stp>32</stp>
        <tr r="B38" s="1"/>
      </tp>
      <tp t="s">
        <v>Vendedor</v>
        <stp/>
        <stp>T&amp;T0</stp>
        <stp>AGR</stp>
        <stp>36</stp>
        <tr r="F42" s="1"/>
      </tp>
      <tp t="s">
        <v>09/08/2023 12:17:16</v>
        <stp/>
        <stp>T&amp;T0</stp>
        <stp>DAT</stp>
        <stp>63</stp>
        <tr r="A69" s="1"/>
      </tp>
      <tp t="s">
        <v>BTG</v>
        <stp/>
        <stp>T&amp;T0</stp>
        <stp>ACP</stp>
        <stp>31</stp>
        <tr r="B37" s="1"/>
      </tp>
      <tp t="s">
        <v>Vendedor</v>
        <stp/>
        <stp>T&amp;T0</stp>
        <stp>AGR</stp>
        <stp>35</stp>
        <tr r="F41" s="1"/>
      </tp>
      <tp t="s">
        <v>09/08/2023 12:17:16</v>
        <stp/>
        <stp>T&amp;T0</stp>
        <stp>DAT</stp>
        <stp>62</stp>
        <tr r="A68" s="1"/>
      </tp>
      <tp t="s">
        <v>BTG</v>
        <stp/>
        <stp>T&amp;T0</stp>
        <stp>ACP</stp>
        <stp>30</stp>
        <tr r="B36" s="1"/>
      </tp>
      <tp t="s">
        <v>Vendedor</v>
        <stp/>
        <stp>T&amp;T0</stp>
        <stp>AGR</stp>
        <stp>34</stp>
        <tr r="F40" s="1"/>
      </tp>
      <tp t="s">
        <v>Morgan</v>
        <stp/>
        <stp>T&amp;T0</stp>
        <stp>AVD</stp>
        <stp>38</stp>
        <tr r="E44" s="1"/>
      </tp>
      <tp t="s">
        <v>Morgan</v>
        <stp/>
        <stp>T&amp;T0</stp>
        <stp>AVD</stp>
        <stp>39</stp>
        <tr r="E45" s="1"/>
      </tp>
      <tp t="s">
        <v>XP</v>
        <stp/>
        <stp>T&amp;T0</stp>
        <stp>AVD</stp>
        <stp>32</stp>
        <tr r="E38" s="1"/>
      </tp>
      <tp t="s">
        <v>Toro</v>
        <stp/>
        <stp>T&amp;T0</stp>
        <stp>AVD</stp>
        <stp>33</stp>
        <tr r="E39" s="1"/>
      </tp>
      <tp t="s">
        <v>JP Morgan</v>
        <stp/>
        <stp>T&amp;T0</stp>
        <stp>AVD</stp>
        <stp>30</stp>
        <tr r="E36" s="1"/>
      </tp>
      <tp t="s">
        <v>XP</v>
        <stp/>
        <stp>T&amp;T0</stp>
        <stp>AVD</stp>
        <stp>31</stp>
        <tr r="E37" s="1"/>
      </tp>
      <tp t="s">
        <v>Morgan</v>
        <stp/>
        <stp>T&amp;T0</stp>
        <stp>AVD</stp>
        <stp>36</stp>
        <tr r="E42" s="1"/>
      </tp>
      <tp t="s">
        <v>Morgan</v>
        <stp/>
        <stp>T&amp;T0</stp>
        <stp>AVD</stp>
        <stp>37</stp>
        <tr r="E43" s="1"/>
      </tp>
      <tp t="s">
        <v>Morgan</v>
        <stp/>
        <stp>T&amp;T0</stp>
        <stp>AVD</stp>
        <stp>34</stp>
        <tr r="E40" s="1"/>
      </tp>
      <tp t="s">
        <v>Clear</v>
        <stp/>
        <stp>T&amp;T0</stp>
        <stp>AVD</stp>
        <stp>35</stp>
        <tr r="E41" s="1"/>
      </tp>
      <tp t="s">
        <v>Comprador</v>
        <stp/>
        <stp>T&amp;T0</stp>
        <stp>AGR</stp>
        <stp>29</stp>
        <tr r="F35" s="1"/>
      </tp>
      <tp t="s">
        <v>Vendedor</v>
        <stp/>
        <stp>T&amp;T0</stp>
        <stp>AGR</stp>
        <stp>28</stp>
        <tr r="F34" s="1"/>
      </tp>
      <tp t="s">
        <v>09/08/2023 12:17:10</v>
        <stp/>
        <stp>T&amp;T0</stp>
        <stp>DAT</stp>
        <stp>79</stp>
        <tr r="A85" s="1"/>
      </tp>
      <tp t="s">
        <v>09/08/2023 12:17:10</v>
        <stp/>
        <stp>T&amp;T0</stp>
        <stp>DAT</stp>
        <stp>78</stp>
        <tr r="A84" s="1"/>
      </tp>
      <tp t="s">
        <v>BTG</v>
        <stp/>
        <stp>T&amp;T0</stp>
        <stp>ACP</stp>
        <stp>29</stp>
        <tr r="B35" s="1"/>
      </tp>
      <tp t="s">
        <v>NuInvest</v>
        <stp/>
        <stp>T&amp;T0</stp>
        <stp>ACP</stp>
        <stp>28</stp>
        <tr r="B34" s="1"/>
      </tp>
      <tp t="s">
        <v>09/08/2023 12:17:14</v>
        <stp/>
        <stp>T&amp;T0</stp>
        <stp>DAT</stp>
        <stp>75</stp>
        <tr r="A81" s="1"/>
      </tp>
      <tp t="s">
        <v>NuInvest</v>
        <stp/>
        <stp>T&amp;T0</stp>
        <stp>ACP</stp>
        <stp>27</stp>
        <tr r="B33" s="1"/>
      </tp>
      <tp t="s">
        <v>Vendedor</v>
        <stp/>
        <stp>T&amp;T0</stp>
        <stp>AGR</stp>
        <stp>23</stp>
        <tr r="F29" s="1"/>
      </tp>
      <tp t="s">
        <v>09/08/2023 12:17:14</v>
        <stp/>
        <stp>T&amp;T0</stp>
        <stp>DAT</stp>
        <stp>74</stp>
        <tr r="A80" s="1"/>
      </tp>
      <tp t="s">
        <v>NuInvest</v>
        <stp/>
        <stp>T&amp;T0</stp>
        <stp>ACP</stp>
        <stp>26</stp>
        <tr r="B32" s="1"/>
      </tp>
      <tp t="s">
        <v>Comprador</v>
        <stp/>
        <stp>T&amp;T0</stp>
        <stp>AGR</stp>
        <stp>22</stp>
        <tr r="F28" s="1"/>
      </tp>
      <tp t="s">
        <v>09/08/2023 12:17:10</v>
        <stp/>
        <stp>T&amp;T0</stp>
        <stp>DAT</stp>
        <stp>77</stp>
        <tr r="A83" s="1"/>
      </tp>
      <tp t="s">
        <v>NuInvest</v>
        <stp/>
        <stp>T&amp;T0</stp>
        <stp>ACP</stp>
        <stp>25</stp>
        <tr r="B31" s="1"/>
      </tp>
      <tp t="s">
        <v>Comprador</v>
        <stp/>
        <stp>T&amp;T0</stp>
        <stp>AGR</stp>
        <stp>21</stp>
        <tr r="F27" s="1"/>
      </tp>
      <tp t="s">
        <v>09/08/2023 12:17:10</v>
        <stp/>
        <stp>T&amp;T0</stp>
        <stp>DAT</stp>
        <stp>76</stp>
        <tr r="A82" s="1"/>
      </tp>
      <tp t="s">
        <v>Clear</v>
        <stp/>
        <stp>T&amp;T0</stp>
        <stp>ACP</stp>
        <stp>24</stp>
        <tr r="B30" s="1"/>
      </tp>
      <tp t="s">
        <v>Comprador</v>
        <stp/>
        <stp>T&amp;T0</stp>
        <stp>AGR</stp>
        <stp>20</stp>
        <tr r="F26" s="1"/>
      </tp>
      <tp t="s">
        <v>09/08/2023 12:17:14</v>
        <stp/>
        <stp>T&amp;T0</stp>
        <stp>DAT</stp>
        <stp>71</stp>
        <tr r="A77" s="1"/>
      </tp>
      <tp t="s">
        <v>Clear</v>
        <stp/>
        <stp>T&amp;T0</stp>
        <stp>ACP</stp>
        <stp>23</stp>
        <tr r="B29" s="1"/>
      </tp>
      <tp t="s">
        <v>Vendedor</v>
        <stp/>
        <stp>T&amp;T0</stp>
        <stp>AGR</stp>
        <stp>27</stp>
        <tr r="F33" s="1"/>
      </tp>
      <tp t="s">
        <v>09/08/2023 12:17:16</v>
        <stp/>
        <stp>T&amp;T0</stp>
        <stp>DAT</stp>
        <stp>70</stp>
        <tr r="A76" s="1"/>
      </tp>
      <tp t="s">
        <v>Genial</v>
        <stp/>
        <stp>T&amp;T0</stp>
        <stp>ACP</stp>
        <stp>22</stp>
        <tr r="B28" s="1"/>
      </tp>
      <tp t="s">
        <v>Vendedor</v>
        <stp/>
        <stp>T&amp;T0</stp>
        <stp>AGR</stp>
        <stp>26</stp>
        <tr r="F32" s="1"/>
      </tp>
      <tp t="s">
        <v>09/08/2023 12:17:14</v>
        <stp/>
        <stp>T&amp;T0</stp>
        <stp>DAT</stp>
        <stp>73</stp>
        <tr r="A79" s="1"/>
      </tp>
      <tp t="s">
        <v>Genial</v>
        <stp/>
        <stp>T&amp;T0</stp>
        <stp>ACP</stp>
        <stp>21</stp>
        <tr r="B27" s="1"/>
      </tp>
      <tp t="s">
        <v>Vendedor</v>
        <stp/>
        <stp>T&amp;T0</stp>
        <stp>AGR</stp>
        <stp>25</stp>
        <tr r="F31" s="1"/>
      </tp>
      <tp t="s">
        <v>09/08/2023 12:17:14</v>
        <stp/>
        <stp>T&amp;T0</stp>
        <stp>DAT</stp>
        <stp>72</stp>
        <tr r="A78" s="1"/>
      </tp>
      <tp t="s">
        <v>Inter</v>
        <stp/>
        <stp>T&amp;T0</stp>
        <stp>ACP</stp>
        <stp>20</stp>
        <tr r="B26" s="1"/>
      </tp>
      <tp t="s">
        <v>Vendedor</v>
        <stp/>
        <stp>T&amp;T0</stp>
        <stp>AGR</stp>
        <stp>24</stp>
        <tr r="F30" s="1"/>
      </tp>
      <tp t="s">
        <v>Morgan</v>
        <stp/>
        <stp>T&amp;T0</stp>
        <stp>AVD</stp>
        <stp>28</stp>
        <tr r="E34" s="1"/>
      </tp>
      <tp t="s">
        <v>Genial</v>
        <stp/>
        <stp>T&amp;T0</stp>
        <stp>AVD</stp>
        <stp>29</stp>
        <tr r="E35" s="1"/>
      </tp>
      <tp t="s">
        <v>Ideal</v>
        <stp/>
        <stp>T&amp;T0</stp>
        <stp>AVD</stp>
        <stp>22</stp>
        <tr r="E28" s="1"/>
      </tp>
      <tp t="s">
        <v>Morgan</v>
        <stp/>
        <stp>T&amp;T0</stp>
        <stp>AVD</stp>
        <stp>23</stp>
        <tr r="E29" s="1"/>
      </tp>
      <tp t="s">
        <v>Ideal</v>
        <stp/>
        <stp>T&amp;T0</stp>
        <stp>AVD</stp>
        <stp>20</stp>
        <tr r="E26" s="1"/>
      </tp>
      <tp t="s">
        <v>SCOTIABANK</v>
        <stp/>
        <stp>T&amp;T0</stp>
        <stp>AVD</stp>
        <stp>21</stp>
        <tr r="E27" s="1"/>
      </tp>
      <tp t="s">
        <v>Toro</v>
        <stp/>
        <stp>T&amp;T0</stp>
        <stp>AVD</stp>
        <stp>26</stp>
        <tr r="E32" s="1"/>
      </tp>
      <tp t="s">
        <v>Morgan</v>
        <stp/>
        <stp>T&amp;T0</stp>
        <stp>AVD</stp>
        <stp>27</stp>
        <tr r="E33" s="1"/>
      </tp>
      <tp t="s">
        <v>Morgan</v>
        <stp/>
        <stp>T&amp;T0</stp>
        <stp>AVD</stp>
        <stp>24</stp>
        <tr r="E30" s="1"/>
      </tp>
      <tp t="s">
        <v>Morgan</v>
        <stp/>
        <stp>T&amp;T0</stp>
        <stp>AVD</stp>
        <stp>25</stp>
        <tr r="E31" s="1"/>
      </tp>
      <tp t="s">
        <v>Comprador</v>
        <stp/>
        <stp>T&amp;T0</stp>
        <stp>AGR</stp>
        <stp>19</stp>
        <tr r="F25" s="1"/>
      </tp>
      <tp t="s">
        <v>Vendedor</v>
        <stp/>
        <stp>T&amp;T0</stp>
        <stp>AGR</stp>
        <stp>18</stp>
        <tr r="F24" s="1"/>
      </tp>
      <tp t="s">
        <v>09/08/2023 12:17:36</v>
        <stp/>
        <stp>T&amp;T0</stp>
        <stp>DAT</stp>
        <stp>49</stp>
        <tr r="A55" s="1"/>
      </tp>
      <tp t="s">
        <v>09/08/2023 12:17:36</v>
        <stp/>
        <stp>T&amp;T0</stp>
        <stp>DAT</stp>
        <stp>48</stp>
        <tr r="A54" s="1"/>
      </tp>
      <tp t="s">
        <v>Genial</v>
        <stp/>
        <stp>T&amp;T0</stp>
        <stp>ACP</stp>
        <stp>19</stp>
        <tr r="B25" s="1"/>
      </tp>
      <tp t="s">
        <v>Planner</v>
        <stp/>
        <stp>T&amp;T0</stp>
        <stp>ACP</stp>
        <stp>18</stp>
        <tr r="B24" s="1"/>
      </tp>
      <tp t="s">
        <v>09/08/2023 12:17:36</v>
        <stp/>
        <stp>T&amp;T0</stp>
        <stp>DAT</stp>
        <stp>45</stp>
        <tr r="A51" s="1"/>
      </tp>
      <tp t="s">
        <v>Genial</v>
        <stp/>
        <stp>T&amp;T0</stp>
        <stp>ACP</stp>
        <stp>17</stp>
        <tr r="B23" s="1"/>
      </tp>
      <tp t="s">
        <v>Comprador</v>
        <stp/>
        <stp>T&amp;T0</stp>
        <stp>AGR</stp>
        <stp>13</stp>
        <tr r="F19" s="1"/>
      </tp>
      <tp t="s">
        <v>09/08/2023 12:17:36</v>
        <stp/>
        <stp>T&amp;T0</stp>
        <stp>DAT</stp>
        <stp>44</stp>
        <tr r="A50" s="1"/>
      </tp>
      <tp t="s">
        <v>Genial</v>
        <stp/>
        <stp>T&amp;T0</stp>
        <stp>ACP</stp>
        <stp>16</stp>
        <tr r="B22" s="1"/>
      </tp>
      <tp t="s">
        <v>Vendedor</v>
        <stp/>
        <stp>T&amp;T0</stp>
        <stp>AGR</stp>
        <stp>12</stp>
        <tr r="F18" s="1"/>
      </tp>
      <tp t="s">
        <v>09/08/2023 12:17:36</v>
        <stp/>
        <stp>T&amp;T0</stp>
        <stp>DAT</stp>
        <stp>47</stp>
        <tr r="A53" s="1"/>
      </tp>
      <tp t="s">
        <v>Genial</v>
        <stp/>
        <stp>T&amp;T0</stp>
        <stp>ACP</stp>
        <stp>15</stp>
        <tr r="B21" s="1"/>
      </tp>
      <tp t="s">
        <v>Vendedor</v>
        <stp/>
        <stp>T&amp;T0</stp>
        <stp>AGR</stp>
        <stp>11</stp>
        <tr r="F17" s="1"/>
      </tp>
      <tp t="s">
        <v>09/08/2023 12:17:36</v>
        <stp/>
        <stp>T&amp;T0</stp>
        <stp>DAT</stp>
        <stp>46</stp>
        <tr r="A52" s="1"/>
      </tp>
      <tp t="s">
        <v>BTG</v>
        <stp/>
        <stp>T&amp;T0</stp>
        <stp>ACP</stp>
        <stp>14</stp>
        <tr r="B20" s="1"/>
      </tp>
      <tp t="s">
        <v>Vendedor</v>
        <stp/>
        <stp>T&amp;T0</stp>
        <stp>AGR</stp>
        <stp>10</stp>
        <tr r="F16" s="1"/>
      </tp>
      <tp t="s">
        <v>09/08/2023 12:17:36</v>
        <stp/>
        <stp>T&amp;T0</stp>
        <stp>DAT</stp>
        <stp>41</stp>
        <tr r="A47" s="1"/>
      </tp>
      <tp t="s">
        <v>Planner</v>
        <stp/>
        <stp>T&amp;T0</stp>
        <stp>ACP</stp>
        <stp>13</stp>
        <tr r="B19" s="1"/>
      </tp>
      <tp t="s">
        <v>Comprador</v>
        <stp/>
        <stp>T&amp;T0</stp>
        <stp>AGR</stp>
        <stp>17</stp>
        <tr r="F23" s="1"/>
      </tp>
      <tp t="s">
        <v>09/08/2023 12:17:36</v>
        <stp/>
        <stp>T&amp;T0</stp>
        <stp>DAT</stp>
        <stp>40</stp>
        <tr r="A46" s="1"/>
      </tp>
      <tp t="s">
        <v>BTG</v>
        <stp/>
        <stp>T&amp;T0</stp>
        <stp>ACP</stp>
        <stp>12</stp>
        <tr r="B18" s="1"/>
      </tp>
      <tp t="s">
        <v>Vendedor</v>
        <stp/>
        <stp>T&amp;T0</stp>
        <stp>AGR</stp>
        <stp>16</stp>
        <tr r="F22" s="1"/>
      </tp>
      <tp t="s">
        <v>09/08/2023 12:17:36</v>
        <stp/>
        <stp>T&amp;T0</stp>
        <stp>DAT</stp>
        <stp>43</stp>
        <tr r="A49" s="1"/>
      </tp>
      <tp t="s">
        <v>Itau</v>
        <stp/>
        <stp>T&amp;T0</stp>
        <stp>ACP</stp>
        <stp>11</stp>
        <tr r="B17" s="1"/>
      </tp>
      <tp t="s">
        <v>Vendedor</v>
        <stp/>
        <stp>T&amp;T0</stp>
        <stp>AGR</stp>
        <stp>15</stp>
        <tr r="F21" s="1"/>
      </tp>
      <tp t="s">
        <v>09/08/2023 12:17:36</v>
        <stp/>
        <stp>T&amp;T0</stp>
        <stp>DAT</stp>
        <stp>42</stp>
        <tr r="A48" s="1"/>
      </tp>
      <tp t="s">
        <v>Itau</v>
        <stp/>
        <stp>T&amp;T0</stp>
        <stp>ACP</stp>
        <stp>10</stp>
        <tr r="B16" s="1"/>
      </tp>
      <tp t="s">
        <v>Vendedor</v>
        <stp/>
        <stp>T&amp;T0</stp>
        <stp>AGR</stp>
        <stp>14</stp>
        <tr r="F20" s="1"/>
      </tp>
      <tp t="s">
        <v>Ideal</v>
        <stp/>
        <stp>T&amp;T0</stp>
        <stp>AVD</stp>
        <stp>18</stp>
        <tr r="E24" s="1"/>
      </tp>
      <tp t="s">
        <v>Ideal</v>
        <stp/>
        <stp>T&amp;T0</stp>
        <stp>AVD</stp>
        <stp>19</stp>
        <tr r="E25" s="1"/>
      </tp>
      <tp t="s">
        <v>Morgan</v>
        <stp/>
        <stp>T&amp;T0</stp>
        <stp>AVD</stp>
        <stp>12</stp>
        <tr r="E18" s="1"/>
      </tp>
      <tp t="s">
        <v>Ideal</v>
        <stp/>
        <stp>T&amp;T0</stp>
        <stp>AVD</stp>
        <stp>13</stp>
        <tr r="E19" s="1"/>
      </tp>
      <tp t="s">
        <v>Morgan</v>
        <stp/>
        <stp>T&amp;T0</stp>
        <stp>AVD</stp>
        <stp>10</stp>
        <tr r="E16" s="1"/>
      </tp>
      <tp t="s">
        <v>Clear</v>
        <stp/>
        <stp>T&amp;T0</stp>
        <stp>AVD</stp>
        <stp>11</stp>
        <tr r="E17" s="1"/>
      </tp>
      <tp t="s">
        <v>Morgan</v>
        <stp/>
        <stp>T&amp;T0</stp>
        <stp>AVD</stp>
        <stp>16</stp>
        <tr r="E22" s="1"/>
      </tp>
      <tp t="s">
        <v>Ideal</v>
        <stp/>
        <stp>T&amp;T0</stp>
        <stp>AVD</stp>
        <stp>17</stp>
        <tr r="E23" s="1"/>
      </tp>
      <tp t="s">
        <v>Clear</v>
        <stp/>
        <stp>T&amp;T0</stp>
        <stp>AVD</stp>
        <stp>14</stp>
        <tr r="E20" s="1"/>
      </tp>
      <tp t="s">
        <v>Clear</v>
        <stp/>
        <stp>T&amp;T0</stp>
        <stp>AVD</stp>
        <stp>15</stp>
        <tr r="E21" s="1"/>
      </tp>
      <tp t="s">
        <v>09/08/2023 12:17:25</v>
        <stp/>
        <stp>T&amp;T0</stp>
        <stp>DAT</stp>
        <stp>59</stp>
        <tr r="A65" s="1"/>
      </tp>
      <tp t="s">
        <v>09/08/2023 12:17:31</v>
        <stp/>
        <stp>T&amp;T0</stp>
        <stp>DAT</stp>
        <stp>58</stp>
        <tr r="A64" s="1"/>
      </tp>
      <tp t="s">
        <v>09/08/2023 12:17:31</v>
        <stp/>
        <stp>T&amp;T0</stp>
        <stp>DAT</stp>
        <stp>55</stp>
        <tr r="A61" s="1"/>
      </tp>
      <tp t="s">
        <v>09/08/2023 12:17:32</v>
        <stp/>
        <stp>T&amp;T0</stp>
        <stp>DAT</stp>
        <stp>54</stp>
        <tr r="A60" s="1"/>
      </tp>
      <tp t="s">
        <v>09/08/2023 12:17:31</v>
        <stp/>
        <stp>T&amp;T0</stp>
        <stp>DAT</stp>
        <stp>57</stp>
        <tr r="A63" s="1"/>
      </tp>
      <tp t="s">
        <v>09/08/2023 12:17:31</v>
        <stp/>
        <stp>T&amp;T0</stp>
        <stp>DAT</stp>
        <stp>56</stp>
        <tr r="A62" s="1"/>
      </tp>
      <tp t="s">
        <v>09/08/2023 12:17:36</v>
        <stp/>
        <stp>T&amp;T0</stp>
        <stp>DAT</stp>
        <stp>51</stp>
        <tr r="A57" s="1"/>
      </tp>
      <tp t="s">
        <v>09/08/2023 12:17:36</v>
        <stp/>
        <stp>T&amp;T0</stp>
        <stp>DAT</stp>
        <stp>50</stp>
        <tr r="A56" s="1"/>
      </tp>
      <tp t="s">
        <v>09/08/2023 12:17:34</v>
        <stp/>
        <stp>T&amp;T0</stp>
        <stp>DAT</stp>
        <stp>53</stp>
        <tr r="A59" s="1"/>
      </tp>
      <tp t="s">
        <v>09/08/2023 12:17:34</v>
        <stp/>
        <stp>T&amp;T0</stp>
        <stp>DAT</stp>
        <stp>52</stp>
        <tr r="A58" s="1"/>
      </tp>
      <tp t="s">
        <v>Vendedor</v>
        <stp/>
        <stp>T&amp;T0</stp>
        <stp>AGR</stp>
        <stp>79</stp>
        <tr r="F85" s="1"/>
      </tp>
      <tp t="s">
        <v>Vendedor</v>
        <stp/>
        <stp>T&amp;T0</stp>
        <stp>AGR</stp>
        <stp>78</stp>
        <tr r="F84" s="1"/>
      </tp>
      <tp t="s">
        <v>09/08/2023 12:17:45</v>
        <stp/>
        <stp>T&amp;T0</stp>
        <stp>DAT</stp>
        <stp>29</stp>
        <tr r="A35" s="1"/>
      </tp>
      <tp t="s">
        <v>09/08/2023 12:17:45</v>
        <stp/>
        <stp>T&amp;T0</stp>
        <stp>DAT</stp>
        <stp>28</stp>
        <tr r="A34" s="1"/>
      </tp>
      <tp t="s">
        <v>XP</v>
        <stp/>
        <stp>T&amp;T0</stp>
        <stp>ACP</stp>
        <stp>79</stp>
        <tr r="B85" s="1"/>
      </tp>
      <tp t="s">
        <v>XP</v>
        <stp/>
        <stp>T&amp;T0</stp>
        <stp>ACP</stp>
        <stp>78</stp>
        <tr r="B84" s="1"/>
      </tp>
      <tp t="s">
        <v>09/08/2023 12:17:50</v>
        <stp/>
        <stp>T&amp;T0</stp>
        <stp>DAT</stp>
        <stp>25</stp>
        <tr r="A31" s="1"/>
      </tp>
      <tp t="s">
        <v>XP</v>
        <stp/>
        <stp>T&amp;T0</stp>
        <stp>ACP</stp>
        <stp>77</stp>
        <tr r="B83" s="1"/>
      </tp>
      <tp t="s">
        <v>Vendedor</v>
        <stp/>
        <stp>T&amp;T0</stp>
        <stp>AGR</stp>
        <stp>73</stp>
        <tr r="F79" s="1"/>
      </tp>
      <tp t="s">
        <v>09/08/2023 12:17:50</v>
        <stp/>
        <stp>T&amp;T0</stp>
        <stp>DAT</stp>
        <stp>24</stp>
        <tr r="A30" s="1"/>
      </tp>
      <tp t="s">
        <v>XP</v>
        <stp/>
        <stp>T&amp;T0</stp>
        <stp>ACP</stp>
        <stp>76</stp>
        <tr r="B82" s="1"/>
      </tp>
      <tp t="s">
        <v>Vendedor</v>
        <stp/>
        <stp>T&amp;T0</stp>
        <stp>AGR</stp>
        <stp>72</stp>
        <tr r="F78" s="1"/>
      </tp>
      <tp t="s">
        <v>09/08/2023 12:17:46</v>
        <stp/>
        <stp>T&amp;T0</stp>
        <stp>DAT</stp>
        <stp>27</stp>
        <tr r="A33" s="1"/>
      </tp>
      <tp t="s">
        <v>XP</v>
        <stp/>
        <stp>T&amp;T0</stp>
        <stp>ACP</stp>
        <stp>75</stp>
        <tr r="B81" s="1"/>
      </tp>
      <tp t="s">
        <v>Vendedor</v>
        <stp/>
        <stp>T&amp;T0</stp>
        <stp>AGR</stp>
        <stp>71</stp>
        <tr r="F77" s="1"/>
      </tp>
      <tp t="s">
        <v>09/08/2023 12:17:49</v>
        <stp/>
        <stp>T&amp;T0</stp>
        <stp>DAT</stp>
        <stp>26</stp>
        <tr r="A32" s="1"/>
      </tp>
      <tp t="s">
        <v>XP</v>
        <stp/>
        <stp>T&amp;T0</stp>
        <stp>ACP</stp>
        <stp>74</stp>
        <tr r="B80" s="1"/>
      </tp>
      <tp t="s">
        <v>Vendedor</v>
        <stp/>
        <stp>T&amp;T0</stp>
        <stp>AGR</stp>
        <stp>70</stp>
        <tr r="F76" s="1"/>
      </tp>
      <tp t="s">
        <v>09/08/2023 12:17:54</v>
        <stp/>
        <stp>T&amp;T0</stp>
        <stp>DAT</stp>
        <stp>21</stp>
        <tr r="A27" s="1"/>
      </tp>
      <tp t="s">
        <v>XP</v>
        <stp/>
        <stp>T&amp;T0</stp>
        <stp>ACP</stp>
        <stp>73</stp>
        <tr r="B79" s="1"/>
      </tp>
      <tp t="s">
        <v>Vendedor</v>
        <stp/>
        <stp>T&amp;T0</stp>
        <stp>AGR</stp>
        <stp>77</stp>
        <tr r="F83" s="1"/>
      </tp>
      <tp t="s">
        <v>09/08/2023 12:17:56</v>
        <stp/>
        <stp>T&amp;T0</stp>
        <stp>DAT</stp>
        <stp>20</stp>
        <tr r="A26" s="1"/>
      </tp>
      <tp t="s">
        <v>XP</v>
        <stp/>
        <stp>T&amp;T0</stp>
        <stp>ACP</stp>
        <stp>72</stp>
        <tr r="B78" s="1"/>
      </tp>
      <tp t="s">
        <v>Vendedor</v>
        <stp/>
        <stp>T&amp;T0</stp>
        <stp>AGR</stp>
        <stp>76</stp>
        <tr r="F82" s="1"/>
      </tp>
      <tp t="s">
        <v>09/08/2023 12:17:50</v>
        <stp/>
        <stp>T&amp;T0</stp>
        <stp>DAT</stp>
        <stp>23</stp>
        <tr r="A29" s="1"/>
      </tp>
      <tp t="s">
        <v>XP</v>
        <stp/>
        <stp>T&amp;T0</stp>
        <stp>ACP</stp>
        <stp>71</stp>
        <tr r="B77" s="1"/>
      </tp>
      <tp t="s">
        <v>Vendedor</v>
        <stp/>
        <stp>T&amp;T0</stp>
        <stp>AGR</stp>
        <stp>75</stp>
        <tr r="F81" s="1"/>
      </tp>
      <tp t="s">
        <v>09/08/2023 12:17:54</v>
        <stp/>
        <stp>T&amp;T0</stp>
        <stp>DAT</stp>
        <stp>22</stp>
        <tr r="A28" s="1"/>
      </tp>
      <tp t="s">
        <v>XP</v>
        <stp/>
        <stp>T&amp;T0</stp>
        <stp>ACP</stp>
        <stp>70</stp>
        <tr r="B76" s="1"/>
      </tp>
      <tp t="s">
        <v>Vendedor</v>
        <stp/>
        <stp>T&amp;T0</stp>
        <stp>AGR</stp>
        <stp>74</stp>
        <tr r="F80" s="1"/>
      </tp>
      <tp t="s">
        <v>Bradesco</v>
        <stp/>
        <stp>T&amp;T0</stp>
        <stp>AVD</stp>
        <stp>78</stp>
        <tr r="E84" s="1"/>
      </tp>
      <tp t="s">
        <v>XP</v>
        <stp/>
        <stp>T&amp;T0</stp>
        <stp>AVD</stp>
        <stp>79</stp>
        <tr r="E85" s="1"/>
      </tp>
      <tp t="s">
        <v>Bradesco</v>
        <stp/>
        <stp>T&amp;T0</stp>
        <stp>AVD</stp>
        <stp>72</stp>
        <tr r="E78" s="1"/>
      </tp>
      <tp t="s">
        <v>XP</v>
        <stp/>
        <stp>T&amp;T0</stp>
        <stp>AVD</stp>
        <stp>73</stp>
        <tr r="E79" s="1"/>
      </tp>
      <tp t="s">
        <v>Bradesco</v>
        <stp/>
        <stp>T&amp;T0</stp>
        <stp>AVD</stp>
        <stp>70</stp>
        <tr r="E76" s="1"/>
      </tp>
      <tp t="s">
        <v>Bradesco</v>
        <stp/>
        <stp>T&amp;T0</stp>
        <stp>AVD</stp>
        <stp>71</stp>
        <tr r="E77" s="1"/>
      </tp>
      <tp t="s">
        <v>Bradesco</v>
        <stp/>
        <stp>T&amp;T0</stp>
        <stp>AVD</stp>
        <stp>76</stp>
        <tr r="E82" s="1"/>
      </tp>
      <tp t="s">
        <v>Bradesco</v>
        <stp/>
        <stp>T&amp;T0</stp>
        <stp>AVD</stp>
        <stp>77</stp>
        <tr r="E83" s="1"/>
      </tp>
      <tp t="s">
        <v>XP</v>
        <stp/>
        <stp>T&amp;T0</stp>
        <stp>AVD</stp>
        <stp>74</stp>
        <tr r="E80" s="1"/>
      </tp>
      <tp t="s">
        <v>Morgan</v>
        <stp/>
        <stp>T&amp;T0</stp>
        <stp>AVD</stp>
        <stp>75</stp>
        <tr r="E81" s="1"/>
      </tp>
      <tp t="s">
        <v>Vendedor</v>
        <stp/>
        <stp>T&amp;T0</stp>
        <stp>AGR</stp>
        <stp>69</stp>
        <tr r="F75" s="1"/>
      </tp>
      <tp t="s">
        <v>Vendedor</v>
        <stp/>
        <stp>T&amp;T0</stp>
        <stp>AGR</stp>
        <stp>68</stp>
        <tr r="F74" s="1"/>
      </tp>
      <tp t="s">
        <v>09/08/2023 12:17:36</v>
        <stp/>
        <stp>T&amp;T0</stp>
        <stp>DAT</stp>
        <stp>39</stp>
        <tr r="A45" s="1"/>
      </tp>
      <tp t="s">
        <v>09/08/2023 12:17:36</v>
        <stp/>
        <stp>T&amp;T0</stp>
        <stp>DAT</stp>
        <stp>38</stp>
        <tr r="A44" s="1"/>
      </tp>
      <tp t="s">
        <v>XP</v>
        <stp/>
        <stp>T&amp;T0</stp>
        <stp>ACP</stp>
        <stp>69</stp>
        <tr r="B75" s="1"/>
      </tp>
      <tp t="s">
        <v>Agora</v>
        <stp/>
        <stp>T&amp;T0</stp>
        <stp>ACP</stp>
        <stp>68</stp>
        <tr r="B74" s="1"/>
      </tp>
      <tp t="s">
        <v>09/08/2023 12:17:41</v>
        <stp/>
        <stp>T&amp;T0</stp>
        <stp>DAT</stp>
        <stp>35</stp>
        <tr r="A41" s="1"/>
      </tp>
      <tp t="s">
        <v>XP</v>
        <stp/>
        <stp>T&amp;T0</stp>
        <stp>ACP</stp>
        <stp>67</stp>
        <tr r="B73" s="1"/>
      </tp>
      <tp t="s">
        <v>Vendedor</v>
        <stp/>
        <stp>T&amp;T0</stp>
        <stp>AGR</stp>
        <stp>63</stp>
        <tr r="F69" s="1"/>
      </tp>
      <tp t="s">
        <v>09/08/2023 12:17:41</v>
        <stp/>
        <stp>T&amp;T0</stp>
        <stp>DAT</stp>
        <stp>34</stp>
        <tr r="A40" s="1"/>
      </tp>
      <tp t="s">
        <v>XP</v>
        <stp/>
        <stp>T&amp;T0</stp>
        <stp>ACP</stp>
        <stp>66</stp>
        <tr r="B72" s="1"/>
      </tp>
      <tp t="s">
        <v>Vendedor</v>
        <stp/>
        <stp>T&amp;T0</stp>
        <stp>AGR</stp>
        <stp>62</stp>
        <tr r="F68" s="1"/>
      </tp>
      <tp t="s">
        <v>09/08/2023 12:17:37</v>
        <stp/>
        <stp>T&amp;T0</stp>
        <stp>DAT</stp>
        <stp>37</stp>
        <tr r="A43" s="1"/>
      </tp>
      <tp t="s">
        <v>XP</v>
        <stp/>
        <stp>T&amp;T0</stp>
        <stp>ACP</stp>
        <stp>65</stp>
        <tr r="B71" s="1"/>
      </tp>
      <tp t="s">
        <v>Vendedor</v>
        <stp/>
        <stp>T&amp;T0</stp>
        <stp>AGR</stp>
        <stp>61</stp>
        <tr r="F67" s="1"/>
      </tp>
      <tp t="s">
        <v>09/08/2023 12:17:37</v>
        <stp/>
        <stp>T&amp;T0</stp>
        <stp>DAT</stp>
        <stp>36</stp>
        <tr r="A42" s="1"/>
      </tp>
      <tp t="s">
        <v>JP Morgan</v>
        <stp/>
        <stp>T&amp;T0</stp>
        <stp>ACP</stp>
        <stp>64</stp>
        <tr r="B70" s="1"/>
      </tp>
      <tp t="s">
        <v>Comprador</v>
        <stp/>
        <stp>T&amp;T0</stp>
        <stp>AGR</stp>
        <stp>60</stp>
        <tr r="F66" s="1"/>
      </tp>
      <tp t="s">
        <v>09/08/2023 12:17:45</v>
        <stp/>
        <stp>T&amp;T0</stp>
        <stp>DAT</stp>
        <stp>31</stp>
        <tr r="A37" s="1"/>
      </tp>
      <tp t="s">
        <v>JP Morgan</v>
        <stp/>
        <stp>T&amp;T0</stp>
        <stp>ACP</stp>
        <stp>63</stp>
        <tr r="B69" s="1"/>
      </tp>
      <tp t="s">
        <v>Vendedor</v>
        <stp/>
        <stp>T&amp;T0</stp>
        <stp>AGR</stp>
        <stp>67</stp>
        <tr r="F73" s="1"/>
      </tp>
      <tp t="s">
        <v>09/08/2023 12:17:45</v>
        <stp/>
        <stp>T&amp;T0</stp>
        <stp>DAT</stp>
        <stp>30</stp>
        <tr r="A36" s="1"/>
      </tp>
      <tp t="s">
        <v>Merrill</v>
        <stp/>
        <stp>T&amp;T0</stp>
        <stp>ACP</stp>
        <stp>62</stp>
        <tr r="B68" s="1"/>
      </tp>
      <tp t="s">
        <v>Vendedor</v>
        <stp/>
        <stp>T&amp;T0</stp>
        <stp>AGR</stp>
        <stp>66</stp>
        <tr r="F72" s="1"/>
      </tp>
      <tp t="s">
        <v>09/08/2023 12:17:43</v>
        <stp/>
        <stp>T&amp;T0</stp>
        <stp>DAT</stp>
        <stp>33</stp>
        <tr r="A39" s="1"/>
      </tp>
      <tp t="s">
        <v>Genial</v>
        <stp/>
        <stp>T&amp;T0</stp>
        <stp>ACP</stp>
        <stp>61</stp>
        <tr r="B67" s="1"/>
      </tp>
      <tp t="s">
        <v>Vendedor</v>
        <stp/>
        <stp>T&amp;T0</stp>
        <stp>AGR</stp>
        <stp>65</stp>
        <tr r="F71" s="1"/>
      </tp>
      <tp t="s">
        <v>09/08/2023 12:17:45</v>
        <stp/>
        <stp>T&amp;T0</stp>
        <stp>DAT</stp>
        <stp>32</stp>
        <tr r="A38" s="1"/>
      </tp>
      <tp t="s">
        <v>Inter</v>
        <stp/>
        <stp>T&amp;T0</stp>
        <stp>ACP</stp>
        <stp>60</stp>
        <tr r="B66" s="1"/>
      </tp>
      <tp t="s">
        <v>Vendedor</v>
        <stp/>
        <stp>T&amp;T0</stp>
        <stp>AGR</stp>
        <stp>64</stp>
        <tr r="F70" s="1"/>
      </tp>
      <tp t="s">
        <v>Bradesco</v>
        <stp/>
        <stp>T&amp;T0</stp>
        <stp>AVD</stp>
        <stp>68</stp>
        <tr r="E74" s="1"/>
      </tp>
      <tp t="s">
        <v>Bradesco</v>
        <stp/>
        <stp>T&amp;T0</stp>
        <stp>AVD</stp>
        <stp>69</stp>
        <tr r="E75" s="1"/>
      </tp>
      <tp t="s">
        <v>UBS</v>
        <stp/>
        <stp>T&amp;T0</stp>
        <stp>AVD</stp>
        <stp>62</stp>
        <tr r="E68" s="1"/>
      </tp>
      <tp t="s">
        <v>UBS</v>
        <stp/>
        <stp>T&amp;T0</stp>
        <stp>AVD</stp>
        <stp>63</stp>
        <tr r="E69" s="1"/>
      </tp>
      <tp t="s">
        <v>Morgan</v>
        <stp/>
        <stp>T&amp;T0</stp>
        <stp>AVD</stp>
        <stp>60</stp>
        <tr r="E66" s="1"/>
      </tp>
      <tp t="s">
        <v>Morgan</v>
        <stp/>
        <stp>T&amp;T0</stp>
        <stp>AVD</stp>
        <stp>61</stp>
        <tr r="E67" s="1"/>
      </tp>
      <tp t="s">
        <v>Bradesco</v>
        <stp/>
        <stp>T&amp;T0</stp>
        <stp>AVD</stp>
        <stp>66</stp>
        <tr r="E72" s="1"/>
      </tp>
      <tp t="s">
        <v>Bradesco</v>
        <stp/>
        <stp>T&amp;T0</stp>
        <stp>AVD</stp>
        <stp>67</stp>
        <tr r="E73" s="1"/>
      </tp>
      <tp t="s">
        <v>Bradesco</v>
        <stp/>
        <stp>T&amp;T0</stp>
        <stp>AVD</stp>
        <stp>64</stp>
        <tr r="E70" s="1"/>
      </tp>
      <tp t="s">
        <v>Bradesco</v>
        <stp/>
        <stp>T&amp;T0</stp>
        <stp>AVD</stp>
        <stp>65</stp>
        <tr r="E71" s="1"/>
      </tp>
      <tp t="s">
        <v>Comprador</v>
        <stp/>
        <stp>T&amp;T0</stp>
        <stp>AGR</stp>
        <stp>59</stp>
        <tr r="F65" s="1"/>
      </tp>
      <tp t="s">
        <v>Vendedor</v>
        <stp/>
        <stp>T&amp;T0</stp>
        <stp>AGR</stp>
        <stp>58</stp>
        <tr r="F64" s="1"/>
      </tp>
      <tp t="s">
        <v>Genial</v>
        <stp/>
        <stp>T&amp;T0</stp>
        <stp>ACP</stp>
        <stp>59</stp>
        <tr r="B65" s="1"/>
      </tp>
      <tp t="s">
        <v>C6</v>
        <stp/>
        <stp>T&amp;T0</stp>
        <stp>ACP</stp>
        <stp>58</stp>
        <tr r="B64" s="1"/>
      </tp>
      <tp t="s">
        <v>Clear</v>
        <stp/>
        <stp>T&amp;T0</stp>
        <stp>ACP</stp>
        <stp>57</stp>
        <tr r="B63" s="1"/>
      </tp>
      <tp t="s">
        <v>Vendedor</v>
        <stp/>
        <stp>T&amp;T0</stp>
        <stp>AGR</stp>
        <stp>53</stp>
        <tr r="F59" s="1"/>
      </tp>
      <tp t="s">
        <v>XP</v>
        <stp/>
        <stp>T&amp;T0</stp>
        <stp>ACP</stp>
        <stp>56</stp>
        <tr r="B62" s="1"/>
      </tp>
      <tp t="s">
        <v>Comprador</v>
        <stp/>
        <stp>T&amp;T0</stp>
        <stp>AGR</stp>
        <stp>52</stp>
        <tr r="F58" s="1"/>
      </tp>
      <tp t="s">
        <v>XP</v>
        <stp/>
        <stp>T&amp;T0</stp>
        <stp>ACP</stp>
        <stp>55</stp>
        <tr r="B61" s="1"/>
      </tp>
      <tp t="s">
        <v>Vendedor</v>
        <stp/>
        <stp>T&amp;T0</stp>
        <stp>AGR</stp>
        <stp>51</stp>
        <tr r="F57" s="1"/>
      </tp>
      <tp t="s">
        <v>XP</v>
        <stp/>
        <stp>T&amp;T0</stp>
        <stp>ACP</stp>
        <stp>54</stp>
        <tr r="B60" s="1"/>
      </tp>
      <tp t="s">
        <v>Vendedor</v>
        <stp/>
        <stp>T&amp;T0</stp>
        <stp>AGR</stp>
        <stp>50</stp>
        <tr r="F56" s="1"/>
      </tp>
      <tp t="s">
        <v>XP</v>
        <stp/>
        <stp>T&amp;T0</stp>
        <stp>ACP</stp>
        <stp>53</stp>
        <tr r="B59" s="1"/>
      </tp>
      <tp t="s">
        <v>Vendedor</v>
        <stp/>
        <stp>T&amp;T0</stp>
        <stp>AGR</stp>
        <stp>57</stp>
        <tr r="F63" s="1"/>
      </tp>
      <tp t="s">
        <v>XP</v>
        <stp/>
        <stp>T&amp;T0</stp>
        <stp>ACP</stp>
        <stp>52</stp>
        <tr r="B58" s="1"/>
      </tp>
      <tp t="s">
        <v>Vendedor</v>
        <stp/>
        <stp>T&amp;T0</stp>
        <stp>AGR</stp>
        <stp>56</stp>
        <tr r="F62" s="1"/>
      </tp>
      <tp t="s">
        <v>XP</v>
        <stp/>
        <stp>T&amp;T0</stp>
        <stp>ACP</stp>
        <stp>51</stp>
        <tr r="B57" s="1"/>
      </tp>
      <tp t="s">
        <v>Vendedor</v>
        <stp/>
        <stp>T&amp;T0</stp>
        <stp>AGR</stp>
        <stp>55</stp>
        <tr r="F61" s="1"/>
      </tp>
      <tp t="s">
        <v>XP</v>
        <stp/>
        <stp>T&amp;T0</stp>
        <stp>ACP</stp>
        <stp>50</stp>
        <tr r="B56" s="1"/>
      </tp>
      <tp t="s">
        <v>Vendedor</v>
        <stp/>
        <stp>T&amp;T0</stp>
        <stp>AGR</stp>
        <stp>54</stp>
        <tr r="F60" s="1"/>
      </tp>
      <tp t="s">
        <v>Morgan</v>
        <stp/>
        <stp>T&amp;T0</stp>
        <stp>AVD</stp>
        <stp>58</stp>
        <tr r="E64" s="1"/>
      </tp>
      <tp t="s">
        <v>Morgan</v>
        <stp/>
        <stp>T&amp;T0</stp>
        <stp>AVD</stp>
        <stp>59</stp>
        <tr r="E65" s="1"/>
      </tp>
      <tp t="s">
        <v>Morgan</v>
        <stp/>
        <stp>T&amp;T0</stp>
        <stp>AVD</stp>
        <stp>52</stp>
        <tr r="E58" s="1"/>
      </tp>
      <tp t="s">
        <v>Clear</v>
        <stp/>
        <stp>T&amp;T0</stp>
        <stp>AVD</stp>
        <stp>53</stp>
        <tr r="E59" s="1"/>
      </tp>
      <tp t="s">
        <v>XP</v>
        <stp/>
        <stp>T&amp;T0</stp>
        <stp>AVD</stp>
        <stp>50</stp>
        <tr r="E56" s="1"/>
      </tp>
      <tp t="s">
        <v>Merrill</v>
        <stp/>
        <stp>T&amp;T0</stp>
        <stp>AVD</stp>
        <stp>51</stp>
        <tr r="E57" s="1"/>
      </tp>
      <tp t="s">
        <v>Morgan</v>
        <stp/>
        <stp>T&amp;T0</stp>
        <stp>AVD</stp>
        <stp>56</stp>
        <tr r="E62" s="1"/>
      </tp>
      <tp t="s">
        <v>Morgan</v>
        <stp/>
        <stp>T&amp;T0</stp>
        <stp>AVD</stp>
        <stp>57</stp>
        <tr r="E63" s="1"/>
      </tp>
      <tp t="s">
        <v>JP Morgan</v>
        <stp/>
        <stp>T&amp;T0</stp>
        <stp>AVD</stp>
        <stp>54</stp>
        <tr r="E60" s="1"/>
      </tp>
      <tp t="s">
        <v>Morgan</v>
        <stp/>
        <stp>T&amp;T0</stp>
        <stp>AVD</stp>
        <stp>55</stp>
        <tr r="E61" s="1"/>
      </tp>
      <tp t="s">
        <v>Vendedor</v>
        <stp/>
        <stp>T&amp;T0</stp>
        <stp>AGR</stp>
        <stp>49</stp>
        <tr r="F55" s="1"/>
      </tp>
      <tp t="s">
        <v>Vendedor</v>
        <stp/>
        <stp>T&amp;T0</stp>
        <stp>AGR</stp>
        <stp>48</stp>
        <tr r="F54" s="1"/>
      </tp>
      <tp t="s">
        <v>09/08/2023 12:17:57</v>
        <stp/>
        <stp>T&amp;T0</stp>
        <stp>DAT</stp>
        <stp>19</stp>
        <tr r="A25" s="1"/>
      </tp>
      <tp t="s">
        <v>09/08/2023 12:17:57</v>
        <stp/>
        <stp>T&amp;T0</stp>
        <stp>DAT</stp>
        <stp>18</stp>
        <tr r="A24" s="1"/>
      </tp>
      <tp t="s">
        <v>XP</v>
        <stp/>
        <stp>T&amp;T0</stp>
        <stp>ACP</stp>
        <stp>49</stp>
        <tr r="B55" s="1"/>
      </tp>
      <tp t="s">
        <v>XP</v>
        <stp/>
        <stp>T&amp;T0</stp>
        <stp>ACP</stp>
        <stp>48</stp>
        <tr r="B54" s="1"/>
      </tp>
      <tp t="s">
        <v>09/08/2023 12:17:57</v>
        <stp/>
        <stp>T&amp;T0</stp>
        <stp>DAT</stp>
        <stp>15</stp>
        <tr r="A21" s="1"/>
      </tp>
      <tp t="s">
        <v>XP</v>
        <stp/>
        <stp>T&amp;T0</stp>
        <stp>ACP</stp>
        <stp>47</stp>
        <tr r="B53" s="1"/>
      </tp>
      <tp t="s">
        <v>Vendedor</v>
        <stp/>
        <stp>T&amp;T0</stp>
        <stp>AGR</stp>
        <stp>43</stp>
        <tr r="F49" s="1"/>
      </tp>
      <tp t="s">
        <v>09/08/2023 12:17:57</v>
        <stp/>
        <stp>T&amp;T0</stp>
        <stp>DAT</stp>
        <stp>14</stp>
        <tr r="A20" s="1"/>
      </tp>
      <tp t="s">
        <v>XP</v>
        <stp/>
        <stp>T&amp;T0</stp>
        <stp>ACP</stp>
        <stp>46</stp>
        <tr r="B52" s="1"/>
      </tp>
      <tp t="s">
        <v>Vendedor</v>
        <stp/>
        <stp>T&amp;T0</stp>
        <stp>AGR</stp>
        <stp>42</stp>
        <tr r="F48" s="1"/>
      </tp>
      <tp t="s">
        <v>09/08/2023 12:17:57</v>
        <stp/>
        <stp>T&amp;T0</stp>
        <stp>DAT</stp>
        <stp>17</stp>
        <tr r="A23" s="1"/>
      </tp>
      <tp t="s">
        <v>Agora</v>
        <stp/>
        <stp>T&amp;T0</stp>
        <stp>ACP</stp>
        <stp>45</stp>
        <tr r="B51" s="1"/>
      </tp>
      <tp t="s">
        <v>Vendedor</v>
        <stp/>
        <stp>T&amp;T0</stp>
        <stp>AGR</stp>
        <stp>41</stp>
        <tr r="F47" s="1"/>
      </tp>
      <tp t="s">
        <v>09/08/2023 12:17:57</v>
        <stp/>
        <stp>T&amp;T0</stp>
        <stp>DAT</stp>
        <stp>16</stp>
        <tr r="A22" s="1"/>
      </tp>
      <tp t="s">
        <v>Agora</v>
        <stp/>
        <stp>T&amp;T0</stp>
        <stp>ACP</stp>
        <stp>44</stp>
        <tr r="B50" s="1"/>
      </tp>
      <tp t="s">
        <v>Vendedor</v>
        <stp/>
        <stp>T&amp;T0</stp>
        <stp>AGR</stp>
        <stp>40</stp>
        <tr r="F46" s="1"/>
      </tp>
      <tp t="s">
        <v>09/08/2023 12:17:58</v>
        <stp/>
        <stp>T&amp;T0</stp>
        <stp>DAT</stp>
        <stp>11</stp>
        <tr r="A17" s="1"/>
      </tp>
      <tp t="s">
        <v>Agora</v>
        <stp/>
        <stp>T&amp;T0</stp>
        <stp>ACP</stp>
        <stp>43</stp>
        <tr r="B49" s="1"/>
      </tp>
      <tp t="s">
        <v>Vendedor</v>
        <stp/>
        <stp>T&amp;T0</stp>
        <stp>AGR</stp>
        <stp>47</stp>
        <tr r="F53" s="1"/>
      </tp>
      <tp t="s">
        <v>09/08/2023 12:17:59</v>
        <stp/>
        <stp>T&amp;T0</stp>
        <stp>DAT</stp>
        <stp>10</stp>
        <tr r="A16" s="1"/>
      </tp>
      <tp t="s">
        <v>Itau</v>
        <stp/>
        <stp>T&amp;T0</stp>
        <stp>ACP</stp>
        <stp>42</stp>
        <tr r="B48" s="1"/>
      </tp>
      <tp t="s">
        <v>Vendedor</v>
        <stp/>
        <stp>T&amp;T0</stp>
        <stp>AGR</stp>
        <stp>46</stp>
        <tr r="F52" s="1"/>
      </tp>
      <tp t="s">
        <v>09/08/2023 12:17:58</v>
        <stp/>
        <stp>T&amp;T0</stp>
        <stp>DAT</stp>
        <stp>13</stp>
        <tr r="A19" s="1"/>
      </tp>
      <tp t="s">
        <v>JP Morgan</v>
        <stp/>
        <stp>T&amp;T0</stp>
        <stp>ACP</stp>
        <stp>41</stp>
        <tr r="B47" s="1"/>
      </tp>
      <tp t="s">
        <v>Vendedor</v>
        <stp/>
        <stp>T&amp;T0</stp>
        <stp>AGR</stp>
        <stp>45</stp>
        <tr r="F51" s="1"/>
      </tp>
      <tp t="s">
        <v>09/08/2023 12:17:58</v>
        <stp/>
        <stp>T&amp;T0</stp>
        <stp>DAT</stp>
        <stp>12</stp>
        <tr r="A18" s="1"/>
      </tp>
      <tp t="s">
        <v>Genial</v>
        <stp/>
        <stp>T&amp;T0</stp>
        <stp>ACP</stp>
        <stp>40</stp>
        <tr r="B46" s="1"/>
      </tp>
      <tp t="s">
        <v>Vendedor</v>
        <stp/>
        <stp>T&amp;T0</stp>
        <stp>AGR</stp>
        <stp>44</stp>
        <tr r="F50" s="1"/>
      </tp>
      <tp t="s">
        <v>Bradesco</v>
        <stp/>
        <stp>T&amp;T0</stp>
        <stp>AVD</stp>
        <stp>48</stp>
        <tr r="E54" s="1"/>
      </tp>
      <tp t="s">
        <v>Bradesco</v>
        <stp/>
        <stp>T&amp;T0</stp>
        <stp>AVD</stp>
        <stp>49</stp>
        <tr r="E55" s="1"/>
      </tp>
      <tp t="s">
        <v>UBS</v>
        <stp/>
        <stp>T&amp;T0</stp>
        <stp>AVD</stp>
        <stp>42</stp>
        <tr r="E48" s="1"/>
      </tp>
      <tp t="s">
        <v>UBS</v>
        <stp/>
        <stp>T&amp;T0</stp>
        <stp>AVD</stp>
        <stp>43</stp>
        <tr r="E49" s="1"/>
      </tp>
      <tp t="s">
        <v>Morgan</v>
        <stp/>
        <stp>T&amp;T0</stp>
        <stp>AVD</stp>
        <stp>40</stp>
        <tr r="E46" s="1"/>
      </tp>
      <tp t="s">
        <v>UBS</v>
        <stp/>
        <stp>T&amp;T0</stp>
        <stp>AVD</stp>
        <stp>41</stp>
        <tr r="E47" s="1"/>
      </tp>
      <tp t="s">
        <v>Genial</v>
        <stp/>
        <stp>T&amp;T0</stp>
        <stp>AVD</stp>
        <stp>46</stp>
        <tr r="E52" s="1"/>
      </tp>
      <tp t="s">
        <v>Bradesco</v>
        <stp/>
        <stp>T&amp;T0</stp>
        <stp>AVD</stp>
        <stp>47</stp>
        <tr r="E53" s="1"/>
      </tp>
      <tp t="s">
        <v>Bradesco</v>
        <stp/>
        <stp>T&amp;T0</stp>
        <stp>AVD</stp>
        <stp>44</stp>
        <tr r="E50" s="1"/>
      </tp>
      <tp t="s">
        <v>Genial</v>
        <stp/>
        <stp>T&amp;T0</stp>
        <stp>AVD</stp>
        <stp>45</stp>
        <tr r="E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9D0A-C280-4A21-A4F3-1552868D73A2}">
  <sheetPr codeName="Planilha1"/>
  <dimension ref="A1:R294"/>
  <sheetViews>
    <sheetView tabSelected="1" zoomScale="90" zoomScaleNormal="90" workbookViewId="0">
      <selection activeCell="L14" sqref="L14"/>
    </sheetView>
  </sheetViews>
  <sheetFormatPr defaultRowHeight="15" x14ac:dyDescent="0.25"/>
  <cols>
    <col min="1" max="1" width="20" style="1" bestFit="1" customWidth="1"/>
    <col min="2" max="2" width="11.85546875" style="1" bestFit="1" customWidth="1"/>
    <col min="3" max="3" width="7" style="1" bestFit="1" customWidth="1"/>
    <col min="4" max="4" width="10.5703125" style="1" customWidth="1"/>
    <col min="5" max="5" width="10.85546875" style="1" bestFit="1" customWidth="1"/>
    <col min="6" max="6" width="10.42578125" style="1" bestFit="1" customWidth="1"/>
    <col min="7" max="8" width="13.85546875" style="1" bestFit="1" customWidth="1"/>
    <col min="9" max="9" width="12.42578125" style="1" bestFit="1" customWidth="1"/>
    <col min="10" max="11" width="9.7109375" style="1" bestFit="1" customWidth="1"/>
    <col min="12" max="12" width="9.7109375" style="1" customWidth="1"/>
    <col min="13" max="13" width="9.140625" style="1"/>
    <col min="14" max="14" width="18.140625" style="1" bestFit="1" customWidth="1"/>
    <col min="15" max="16" width="11" style="1" bestFit="1" customWidth="1"/>
    <col min="17" max="16384" width="9.140625" style="1"/>
  </cols>
  <sheetData>
    <row r="1" spans="1:12" x14ac:dyDescent="0.25">
      <c r="A1" s="20" t="s">
        <v>0</v>
      </c>
      <c r="B1" s="21"/>
      <c r="C1" s="21"/>
      <c r="D1" s="21"/>
      <c r="E1" s="21"/>
      <c r="F1" s="21"/>
      <c r="G1" s="24" t="s">
        <v>12</v>
      </c>
      <c r="H1" s="24"/>
      <c r="I1" s="24"/>
    </row>
    <row r="2" spans="1:12" ht="15.75" thickBot="1" x14ac:dyDescent="0.3">
      <c r="A2" s="22"/>
      <c r="B2" s="23"/>
      <c r="C2" s="23"/>
      <c r="D2" s="23"/>
      <c r="E2" s="23"/>
      <c r="F2" s="23"/>
      <c r="G2" s="24"/>
      <c r="H2" s="24"/>
      <c r="I2" s="24"/>
    </row>
    <row r="3" spans="1:12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5</v>
      </c>
      <c r="F3" s="3" t="s">
        <v>11</v>
      </c>
      <c r="G3" s="24"/>
      <c r="H3" s="24"/>
      <c r="I3" s="24"/>
    </row>
    <row r="4" spans="1:12" x14ac:dyDescent="0.25">
      <c r="A4" s="13" t="str">
        <f>RTD("rtdtrading.rtdserver",, "T&amp;T0", "INFO", "ATV")</f>
        <v>AZUL4</v>
      </c>
      <c r="B4" s="9" t="str">
        <f>RTD("rtdtrading.rtdserver",, "T&amp;T0", "INFO", "TAB")</f>
        <v>Negócios</v>
      </c>
      <c r="C4" s="9"/>
      <c r="D4" s="9"/>
      <c r="E4" s="9"/>
      <c r="F4" s="12"/>
      <c r="G4" s="24"/>
      <c r="H4" s="24"/>
      <c r="I4" s="24"/>
    </row>
    <row r="5" spans="1:12" x14ac:dyDescent="0.25">
      <c r="A5" s="10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11" t="s">
        <v>6</v>
      </c>
      <c r="G5" s="9" t="s">
        <v>13</v>
      </c>
      <c r="H5" s="9" t="s">
        <v>14</v>
      </c>
      <c r="I5" s="9" t="s">
        <v>15</v>
      </c>
      <c r="K5" s="1">
        <v>0.41736111111111113</v>
      </c>
    </row>
    <row r="6" spans="1:12" x14ac:dyDescent="0.25">
      <c r="A6" s="4" t="str">
        <f>RTD("rtdtrading.rtdserver",, "T&amp;T0", "DAT", 0)</f>
        <v>09/08/2023 12:18:03</v>
      </c>
      <c r="B6" s="1" t="str">
        <f>RTD("rtdtrading.rtdserver",, "T&amp;T0", "ACP", 0)</f>
        <v>Clear</v>
      </c>
      <c r="C6" s="1">
        <f>RTD("rtdtrading.rtdserver",, "T&amp;T0", "PRE", 0)</f>
        <v>16.649999999999999</v>
      </c>
      <c r="D6" s="1">
        <f>RTD("rtdtrading.rtdserver",, "T&amp;T0", "QUL", 0)+0</f>
        <v>300</v>
      </c>
      <c r="E6" s="1" t="str">
        <f>RTD("rtdtrading.rtdserver",, "T&amp;T0", "AVD", 0)</f>
        <v>Morgan</v>
      </c>
      <c r="F6" s="5" t="str">
        <f>RTD("rtdtrading.rtdserver",, "T&amp;T0", "AGR", 0)</f>
        <v>Vendedor</v>
      </c>
      <c r="G6" s="15">
        <f t="shared" ref="G6:G69" si="0">IF(B6="-","-",TIME(TEXT(A6,"HH"),RIGHT(TEXT(A6,"HH:MM"),2),0))</f>
        <v>0.51250000000000007</v>
      </c>
      <c r="H6" s="1" t="str">
        <f>IF(AND(G6&lt;&gt;G7,G7=G8),C6,"-")</f>
        <v>-</v>
      </c>
      <c r="J6" s="15"/>
    </row>
    <row r="7" spans="1:12" x14ac:dyDescent="0.25">
      <c r="A7" s="4" t="str">
        <f>RTD("rtdtrading.rtdserver",, "T&amp;T0", "DAT", 1)</f>
        <v>09/08/2023 12:18:03</v>
      </c>
      <c r="B7" s="1" t="str">
        <f>RTD("rtdtrading.rtdserver",, "T&amp;T0", "ACP", 1)</f>
        <v>Clear</v>
      </c>
      <c r="C7" s="1">
        <f>RTD("rtdtrading.rtdserver",, "T&amp;T0", "PRE", 1)</f>
        <v>16.649999999999999</v>
      </c>
      <c r="D7" s="1">
        <f>RTD("rtdtrading.rtdserver",, "T&amp;T0", "QUL", 1)</f>
        <v>100</v>
      </c>
      <c r="E7" s="1" t="str">
        <f>RTD("rtdtrading.rtdserver",, "T&amp;T0", "AVD", 1)</f>
        <v>XP</v>
      </c>
      <c r="F7" s="5" t="str">
        <f>RTD("rtdtrading.rtdserver",, "T&amp;T0", "AGR", 1)</f>
        <v>Vendedor</v>
      </c>
      <c r="G7" s="15">
        <f t="shared" si="0"/>
        <v>0.51250000000000007</v>
      </c>
      <c r="H7" s="1" t="str">
        <f t="shared" ref="H7:H70" si="1">IF(AND(G7&lt;&gt;G8,G8=G9),C7,"-")</f>
        <v>-</v>
      </c>
      <c r="I7" s="1" t="str">
        <f>IF(AND(G6&lt;&gt;G7,G7=G8),C7,"-")</f>
        <v>-</v>
      </c>
      <c r="K7" s="14"/>
    </row>
    <row r="8" spans="1:12" x14ac:dyDescent="0.25">
      <c r="A8" s="4" t="str">
        <f>RTD("rtdtrading.rtdserver",, "T&amp;T0", "DAT", 2)</f>
        <v>09/08/2023 12:18:03</v>
      </c>
      <c r="B8" s="1" t="str">
        <f>RTD("rtdtrading.rtdserver",, "T&amp;T0", "ACP", 2)</f>
        <v>BTG</v>
      </c>
      <c r="C8" s="1">
        <f>RTD("rtdtrading.rtdserver",, "T&amp;T0", "PRE", 2)</f>
        <v>16.649999999999999</v>
      </c>
      <c r="D8" s="1">
        <f>RTD("rtdtrading.rtdserver",, "T&amp;T0", "QUL", 2)</f>
        <v>100</v>
      </c>
      <c r="E8" s="1" t="str">
        <f>RTD("rtdtrading.rtdserver",, "T&amp;T0", "AVD", 2)</f>
        <v>Bradesco</v>
      </c>
      <c r="F8" s="5" t="str">
        <f>RTD("rtdtrading.rtdserver",, "T&amp;T0", "AGR", 2)</f>
        <v>Vendedor</v>
      </c>
      <c r="G8" s="15">
        <f t="shared" si="0"/>
        <v>0.51250000000000007</v>
      </c>
      <c r="H8" s="1" t="str">
        <f t="shared" si="1"/>
        <v>-</v>
      </c>
      <c r="I8" s="1" t="str">
        <f t="shared" ref="I8:I71" si="2">IF(AND(G7&lt;&gt;G8,G8=G9),C8,"-")</f>
        <v>-</v>
      </c>
    </row>
    <row r="9" spans="1:12" x14ac:dyDescent="0.25">
      <c r="A9" s="4" t="str">
        <f>RTD("rtdtrading.rtdserver",, "T&amp;T0", "DAT", 3)</f>
        <v>09/08/2023 12:18:03</v>
      </c>
      <c r="B9" s="1" t="str">
        <f>RTD("rtdtrading.rtdserver",, "T&amp;T0", "ACP", 3)</f>
        <v>BTG</v>
      </c>
      <c r="C9" s="1">
        <f>RTD("rtdtrading.rtdserver",, "T&amp;T0", "PRE", 3)</f>
        <v>16.649999999999999</v>
      </c>
      <c r="D9" s="1">
        <f>RTD("rtdtrading.rtdserver",, "T&amp;T0", "QUL", 3)</f>
        <v>100</v>
      </c>
      <c r="E9" s="1" t="str">
        <f>RTD("rtdtrading.rtdserver",, "T&amp;T0", "AVD", 3)</f>
        <v>XP</v>
      </c>
      <c r="F9" s="5" t="str">
        <f>RTD("rtdtrading.rtdserver",, "T&amp;T0", "AGR", 3)</f>
        <v>Vendedor</v>
      </c>
      <c r="G9" s="15">
        <f t="shared" si="0"/>
        <v>0.51250000000000007</v>
      </c>
      <c r="H9" s="1" t="str">
        <f t="shared" si="1"/>
        <v>-</v>
      </c>
      <c r="I9" s="1" t="str">
        <f t="shared" si="2"/>
        <v>-</v>
      </c>
    </row>
    <row r="10" spans="1:12" x14ac:dyDescent="0.25">
      <c r="A10" s="4" t="str">
        <f>RTD("rtdtrading.rtdserver",, "T&amp;T0", "DAT", 4)</f>
        <v>09/08/2023 12:18:02</v>
      </c>
      <c r="B10" s="1" t="str">
        <f>RTD("rtdtrading.rtdserver",, "T&amp;T0", "ACP", 4)</f>
        <v>Genial</v>
      </c>
      <c r="C10" s="1">
        <f>RTD("rtdtrading.rtdserver",, "T&amp;T0", "PRE", 4)</f>
        <v>16.649999999999999</v>
      </c>
      <c r="D10" s="1">
        <f>RTD("rtdtrading.rtdserver",, "T&amp;T0", "QUL", 4)</f>
        <v>3000</v>
      </c>
      <c r="E10" s="1" t="str">
        <f>RTD("rtdtrading.rtdserver",, "T&amp;T0", "AVD", 4)</f>
        <v>Clear</v>
      </c>
      <c r="F10" s="5" t="str">
        <f>RTD("rtdtrading.rtdserver",, "T&amp;T0", "AGR", 4)</f>
        <v>Vendedor</v>
      </c>
      <c r="G10" s="15">
        <f t="shared" si="0"/>
        <v>0.51250000000000007</v>
      </c>
      <c r="H10" s="1" t="str">
        <f t="shared" si="1"/>
        <v>-</v>
      </c>
      <c r="I10" s="1" t="str">
        <f t="shared" si="2"/>
        <v>-</v>
      </c>
    </row>
    <row r="11" spans="1:12" x14ac:dyDescent="0.25">
      <c r="A11" s="4" t="str">
        <f>RTD("rtdtrading.rtdserver",, "T&amp;T0", "DAT", 5)</f>
        <v>09/08/2023 12:18:02</v>
      </c>
      <c r="B11" s="1" t="str">
        <f>RTD("rtdtrading.rtdserver",, "T&amp;T0", "ACP", 5)</f>
        <v>Genial</v>
      </c>
      <c r="C11" s="1">
        <f>RTD("rtdtrading.rtdserver",, "T&amp;T0", "PRE", 5)</f>
        <v>16.649999999999999</v>
      </c>
      <c r="D11" s="1">
        <f>RTD("rtdtrading.rtdserver",, "T&amp;T0", "QUL", 5)</f>
        <v>200</v>
      </c>
      <c r="E11" s="1" t="str">
        <f>RTD("rtdtrading.rtdserver",, "T&amp;T0", "AVD", 5)</f>
        <v>Morgan</v>
      </c>
      <c r="F11" s="5" t="str">
        <f>RTD("rtdtrading.rtdserver",, "T&amp;T0", "AGR", 5)</f>
        <v>Vendedor</v>
      </c>
      <c r="G11" s="15">
        <f t="shared" si="0"/>
        <v>0.51250000000000007</v>
      </c>
      <c r="H11" s="1" t="str">
        <f t="shared" si="1"/>
        <v>-</v>
      </c>
      <c r="I11" s="1" t="str">
        <f t="shared" si="2"/>
        <v>-</v>
      </c>
    </row>
    <row r="12" spans="1:12" x14ac:dyDescent="0.25">
      <c r="A12" s="4" t="str">
        <f>RTD("rtdtrading.rtdserver",, "T&amp;T0", "DAT", 6)</f>
        <v>09/08/2023 12:18:02</v>
      </c>
      <c r="B12" s="1" t="str">
        <f>RTD("rtdtrading.rtdserver",, "T&amp;T0", "ACP", 6)</f>
        <v>JP Morgan</v>
      </c>
      <c r="C12" s="1">
        <f>RTD("rtdtrading.rtdserver",, "T&amp;T0", "PRE", 6)</f>
        <v>16.66</v>
      </c>
      <c r="D12" s="1">
        <f>RTD("rtdtrading.rtdserver",, "T&amp;T0", "QUL", 6)</f>
        <v>800</v>
      </c>
      <c r="E12" s="1" t="str">
        <f>RTD("rtdtrading.rtdserver",, "T&amp;T0", "AVD", 6)</f>
        <v>Genial</v>
      </c>
      <c r="F12" s="5" t="str">
        <f>RTD("rtdtrading.rtdserver",, "T&amp;T0", "AGR", 6)</f>
        <v>Vendedor</v>
      </c>
      <c r="G12" s="15">
        <f t="shared" si="0"/>
        <v>0.51250000000000007</v>
      </c>
      <c r="H12" s="1" t="str">
        <f t="shared" si="1"/>
        <v>-</v>
      </c>
      <c r="I12" s="1" t="str">
        <f t="shared" si="2"/>
        <v>-</v>
      </c>
      <c r="L12" s="15">
        <f>TIME(12,16,0)</f>
        <v>0.51111111111111118</v>
      </c>
    </row>
    <row r="13" spans="1:12" x14ac:dyDescent="0.25">
      <c r="A13" s="4" t="str">
        <f>RTD("rtdtrading.rtdserver",, "T&amp;T0", "DAT", 7)</f>
        <v>09/08/2023 12:18:02</v>
      </c>
      <c r="B13" s="1" t="str">
        <f>RTD("rtdtrading.rtdserver",, "T&amp;T0", "ACP", 7)</f>
        <v>Clear</v>
      </c>
      <c r="C13" s="1">
        <f>RTD("rtdtrading.rtdserver",, "T&amp;T0", "PRE", 7)</f>
        <v>16.66</v>
      </c>
      <c r="D13" s="1">
        <f>RTD("rtdtrading.rtdserver",, "T&amp;T0", "QUL", 7)</f>
        <v>100</v>
      </c>
      <c r="E13" s="1" t="str">
        <f>RTD("rtdtrading.rtdserver",, "T&amp;T0", "AVD", 7)</f>
        <v>Genial</v>
      </c>
      <c r="F13" s="5" t="str">
        <f>RTD("rtdtrading.rtdserver",, "T&amp;T0", "AGR", 7)</f>
        <v>Vendedor</v>
      </c>
      <c r="G13" s="15">
        <f t="shared" si="0"/>
        <v>0.51250000000000007</v>
      </c>
      <c r="H13" s="1" t="str">
        <f t="shared" si="1"/>
        <v>-</v>
      </c>
      <c r="I13" s="1" t="str">
        <f t="shared" si="2"/>
        <v>-</v>
      </c>
      <c r="L13" s="15"/>
    </row>
    <row r="14" spans="1:12" x14ac:dyDescent="0.25">
      <c r="A14" s="4" t="str">
        <f>RTD("rtdtrading.rtdserver",, "T&amp;T0", "DAT", 8)</f>
        <v>09/08/2023 12:18:02</v>
      </c>
      <c r="B14" s="1" t="str">
        <f>RTD("rtdtrading.rtdserver",, "T&amp;T0", "ACP", 8)</f>
        <v>XP</v>
      </c>
      <c r="C14" s="1">
        <f>RTD("rtdtrading.rtdserver",, "T&amp;T0", "PRE", 8)</f>
        <v>16.66</v>
      </c>
      <c r="D14" s="1">
        <f>RTD("rtdtrading.rtdserver",, "T&amp;T0", "QUL", 8)</f>
        <v>4000</v>
      </c>
      <c r="E14" s="1" t="str">
        <f>RTD("rtdtrading.rtdserver",, "T&amp;T0", "AVD", 8)</f>
        <v>Genial</v>
      </c>
      <c r="F14" s="5" t="str">
        <f>RTD("rtdtrading.rtdserver",, "T&amp;T0", "AGR", 8)</f>
        <v>Vendedor</v>
      </c>
      <c r="G14" s="15">
        <f t="shared" si="0"/>
        <v>0.51250000000000007</v>
      </c>
      <c r="H14" s="1" t="str">
        <f t="shared" si="1"/>
        <v>-</v>
      </c>
      <c r="I14" s="1" t="str">
        <f t="shared" si="2"/>
        <v>-</v>
      </c>
      <c r="L14" s="1">
        <f>precoInicial(L12)</f>
        <v>16.72</v>
      </c>
    </row>
    <row r="15" spans="1:12" x14ac:dyDescent="0.25">
      <c r="A15" s="4" t="str">
        <f>RTD("rtdtrading.rtdserver",, "T&amp;T0", "DAT", 9)</f>
        <v>09/08/2023 12:18:02</v>
      </c>
      <c r="B15" s="1" t="str">
        <f>RTD("rtdtrading.rtdserver",, "T&amp;T0", "ACP", 9)</f>
        <v>Itau</v>
      </c>
      <c r="C15" s="1">
        <f>RTD("rtdtrading.rtdserver",, "T&amp;T0", "PRE", 9)</f>
        <v>16.66</v>
      </c>
      <c r="D15" s="1">
        <f>RTD("rtdtrading.rtdserver",, "T&amp;T0", "QUL", 9)</f>
        <v>700</v>
      </c>
      <c r="E15" s="1" t="str">
        <f>RTD("rtdtrading.rtdserver",, "T&amp;T0", "AVD", 9)</f>
        <v>Genial</v>
      </c>
      <c r="F15" s="5" t="str">
        <f>RTD("rtdtrading.rtdserver",, "T&amp;T0", "AGR", 9)</f>
        <v>Vendedor</v>
      </c>
      <c r="G15" s="15">
        <f t="shared" si="0"/>
        <v>0.51250000000000007</v>
      </c>
      <c r="H15" s="1">
        <f t="shared" si="1"/>
        <v>16.66</v>
      </c>
      <c r="I15" s="1" t="str">
        <f t="shared" si="2"/>
        <v>-</v>
      </c>
    </row>
    <row r="16" spans="1:12" x14ac:dyDescent="0.25">
      <c r="A16" s="4" t="str">
        <f>RTD("rtdtrading.rtdserver",, "T&amp;T0", "DAT", 10)</f>
        <v>09/08/2023 12:17:59</v>
      </c>
      <c r="B16" s="1" t="str">
        <f>RTD("rtdtrading.rtdserver",, "T&amp;T0", "ACP", 10)</f>
        <v>Itau</v>
      </c>
      <c r="C16" s="1">
        <f>RTD("rtdtrading.rtdserver",, "T&amp;T0", "PRE", 10)</f>
        <v>16.66</v>
      </c>
      <c r="D16" s="1">
        <f>RTD("rtdtrading.rtdserver",, "T&amp;T0", "QUL", 10)</f>
        <v>100</v>
      </c>
      <c r="E16" s="1" t="str">
        <f>RTD("rtdtrading.rtdserver",, "T&amp;T0", "AVD", 10)</f>
        <v>Morgan</v>
      </c>
      <c r="F16" s="5" t="str">
        <f>RTD("rtdtrading.rtdserver",, "T&amp;T0", "AGR", 10)</f>
        <v>Vendedor</v>
      </c>
      <c r="G16" s="15">
        <f t="shared" si="0"/>
        <v>0.51180555555555551</v>
      </c>
      <c r="H16" s="1" t="str">
        <f t="shared" si="1"/>
        <v>-</v>
      </c>
      <c r="I16" s="1">
        <f t="shared" si="2"/>
        <v>16.66</v>
      </c>
    </row>
    <row r="17" spans="1:9" x14ac:dyDescent="0.25">
      <c r="A17" s="4" t="str">
        <f>RTD("rtdtrading.rtdserver",, "T&amp;T0", "DAT", 11)</f>
        <v>09/08/2023 12:17:58</v>
      </c>
      <c r="B17" s="1" t="str">
        <f>RTD("rtdtrading.rtdserver",, "T&amp;T0", "ACP", 11)</f>
        <v>Itau</v>
      </c>
      <c r="C17" s="1">
        <f>RTD("rtdtrading.rtdserver",, "T&amp;T0", "PRE", 11)</f>
        <v>16.66</v>
      </c>
      <c r="D17" s="1">
        <f>RTD("rtdtrading.rtdserver",, "T&amp;T0", "QUL", 11)</f>
        <v>2200</v>
      </c>
      <c r="E17" s="1" t="str">
        <f>RTD("rtdtrading.rtdserver",, "T&amp;T0", "AVD", 11)</f>
        <v>Clear</v>
      </c>
      <c r="F17" s="5" t="str">
        <f>RTD("rtdtrading.rtdserver",, "T&amp;T0", "AGR", 11)</f>
        <v>Vendedor</v>
      </c>
      <c r="G17" s="15">
        <f t="shared" si="0"/>
        <v>0.51180555555555551</v>
      </c>
      <c r="H17" s="1" t="str">
        <f t="shared" si="1"/>
        <v>-</v>
      </c>
      <c r="I17" s="1" t="str">
        <f t="shared" si="2"/>
        <v>-</v>
      </c>
    </row>
    <row r="18" spans="1:9" x14ac:dyDescent="0.25">
      <c r="A18" s="4" t="str">
        <f>RTD("rtdtrading.rtdserver",, "T&amp;T0", "DAT", 12)</f>
        <v>09/08/2023 12:17:58</v>
      </c>
      <c r="B18" s="1" t="str">
        <f>RTD("rtdtrading.rtdserver",, "T&amp;T0", "ACP", 12)</f>
        <v>BTG</v>
      </c>
      <c r="C18" s="1">
        <f>RTD("rtdtrading.rtdserver",, "T&amp;T0", "PRE", 12)</f>
        <v>16.66</v>
      </c>
      <c r="D18" s="1">
        <f>RTD("rtdtrading.rtdserver",, "T&amp;T0", "QUL", 12)</f>
        <v>500</v>
      </c>
      <c r="E18" s="1" t="str">
        <f>RTD("rtdtrading.rtdserver",, "T&amp;T0", "AVD", 12)</f>
        <v>Morgan</v>
      </c>
      <c r="F18" s="5" t="str">
        <f>RTD("rtdtrading.rtdserver",, "T&amp;T0", "AGR", 12)</f>
        <v>Vendedor</v>
      </c>
      <c r="G18" s="15">
        <f t="shared" si="0"/>
        <v>0.51180555555555551</v>
      </c>
      <c r="H18" s="1" t="str">
        <f t="shared" si="1"/>
        <v>-</v>
      </c>
      <c r="I18" s="1" t="str">
        <f t="shared" si="2"/>
        <v>-</v>
      </c>
    </row>
    <row r="19" spans="1:9" x14ac:dyDescent="0.25">
      <c r="A19" s="4" t="str">
        <f>RTD("rtdtrading.rtdserver",, "T&amp;T0", "DAT", 13)</f>
        <v>09/08/2023 12:17:58</v>
      </c>
      <c r="B19" s="1" t="str">
        <f>RTD("rtdtrading.rtdserver",, "T&amp;T0", "ACP", 13)</f>
        <v>Planner</v>
      </c>
      <c r="C19" s="1">
        <f>RTD("rtdtrading.rtdserver",, "T&amp;T0", "PRE", 13)</f>
        <v>16.670000000000002</v>
      </c>
      <c r="D19" s="1">
        <f>RTD("rtdtrading.rtdserver",, "T&amp;T0", "QUL", 13)</f>
        <v>100</v>
      </c>
      <c r="E19" s="1" t="str">
        <f>RTD("rtdtrading.rtdserver",, "T&amp;T0", "AVD", 13)</f>
        <v>Ideal</v>
      </c>
      <c r="F19" s="5" t="str">
        <f>RTD("rtdtrading.rtdserver",, "T&amp;T0", "AGR", 13)</f>
        <v>Comprador</v>
      </c>
      <c r="G19" s="15">
        <f t="shared" si="0"/>
        <v>0.51180555555555551</v>
      </c>
      <c r="H19" s="1" t="str">
        <f t="shared" si="1"/>
        <v>-</v>
      </c>
      <c r="I19" s="1" t="str">
        <f t="shared" si="2"/>
        <v>-</v>
      </c>
    </row>
    <row r="20" spans="1:9" x14ac:dyDescent="0.25">
      <c r="A20" s="4" t="str">
        <f>RTD("rtdtrading.rtdserver",, "T&amp;T0", "DAT", 14)</f>
        <v>09/08/2023 12:17:57</v>
      </c>
      <c r="B20" s="1" t="str">
        <f>RTD("rtdtrading.rtdserver",, "T&amp;T0", "ACP", 14)</f>
        <v>BTG</v>
      </c>
      <c r="C20" s="1">
        <f>RTD("rtdtrading.rtdserver",, "T&amp;T0", "PRE", 14)</f>
        <v>16.66</v>
      </c>
      <c r="D20" s="1">
        <f>RTD("rtdtrading.rtdserver",, "T&amp;T0", "QUL", 14)</f>
        <v>500</v>
      </c>
      <c r="E20" s="1" t="str">
        <f>RTD("rtdtrading.rtdserver",, "T&amp;T0", "AVD", 14)</f>
        <v>Clear</v>
      </c>
      <c r="F20" s="5" t="str">
        <f>RTD("rtdtrading.rtdserver",, "T&amp;T0", "AGR", 14)</f>
        <v>Vendedor</v>
      </c>
      <c r="G20" s="15">
        <f t="shared" si="0"/>
        <v>0.51180555555555551</v>
      </c>
      <c r="H20" s="1" t="str">
        <f t="shared" si="1"/>
        <v>-</v>
      </c>
      <c r="I20" s="1" t="str">
        <f t="shared" si="2"/>
        <v>-</v>
      </c>
    </row>
    <row r="21" spans="1:9" x14ac:dyDescent="0.25">
      <c r="A21" s="4" t="str">
        <f>RTD("rtdtrading.rtdserver",, "T&amp;T0", "DAT", 15)</f>
        <v>09/08/2023 12:17:57</v>
      </c>
      <c r="B21" s="1" t="str">
        <f>RTD("rtdtrading.rtdserver",, "T&amp;T0", "ACP", 15)</f>
        <v>Genial</v>
      </c>
      <c r="C21" s="1">
        <f>RTD("rtdtrading.rtdserver",, "T&amp;T0", "PRE", 15)</f>
        <v>16.66</v>
      </c>
      <c r="D21" s="1">
        <f>RTD("rtdtrading.rtdserver",, "T&amp;T0", "QUL", 15)</f>
        <v>4500</v>
      </c>
      <c r="E21" s="1" t="str">
        <f>RTD("rtdtrading.rtdserver",, "T&amp;T0", "AVD", 15)</f>
        <v>Clear</v>
      </c>
      <c r="F21" s="5" t="str">
        <f>RTD("rtdtrading.rtdserver",, "T&amp;T0", "AGR", 15)</f>
        <v>Vendedor</v>
      </c>
      <c r="G21" s="15">
        <f t="shared" si="0"/>
        <v>0.51180555555555551</v>
      </c>
      <c r="H21" s="1" t="str">
        <f t="shared" si="1"/>
        <v>-</v>
      </c>
      <c r="I21" s="1" t="str">
        <f t="shared" si="2"/>
        <v>-</v>
      </c>
    </row>
    <row r="22" spans="1:9" x14ac:dyDescent="0.25">
      <c r="A22" s="4" t="str">
        <f>RTD("rtdtrading.rtdserver",, "T&amp;T0", "DAT", 16)</f>
        <v>09/08/2023 12:17:57</v>
      </c>
      <c r="B22" s="1" t="str">
        <f>RTD("rtdtrading.rtdserver",, "T&amp;T0", "ACP", 16)</f>
        <v>Genial</v>
      </c>
      <c r="C22" s="1">
        <f>RTD("rtdtrading.rtdserver",, "T&amp;T0", "PRE", 16)</f>
        <v>16.66</v>
      </c>
      <c r="D22" s="1">
        <f>RTD("rtdtrading.rtdserver",, "T&amp;T0", "QUL", 16)</f>
        <v>100</v>
      </c>
      <c r="E22" s="1" t="str">
        <f>RTD("rtdtrading.rtdserver",, "T&amp;T0", "AVD", 16)</f>
        <v>Morgan</v>
      </c>
      <c r="F22" s="5" t="str">
        <f>RTD("rtdtrading.rtdserver",, "T&amp;T0", "AGR", 16)</f>
        <v>Vendedor</v>
      </c>
      <c r="G22" s="15">
        <f t="shared" si="0"/>
        <v>0.51180555555555551</v>
      </c>
      <c r="H22" s="1" t="str">
        <f t="shared" si="1"/>
        <v>-</v>
      </c>
      <c r="I22" s="1" t="str">
        <f t="shared" si="2"/>
        <v>-</v>
      </c>
    </row>
    <row r="23" spans="1:9" x14ac:dyDescent="0.25">
      <c r="A23" s="4" t="str">
        <f>RTD("rtdtrading.rtdserver",, "T&amp;T0", "DAT", 17)</f>
        <v>09/08/2023 12:17:57</v>
      </c>
      <c r="B23" s="1" t="str">
        <f>RTD("rtdtrading.rtdserver",, "T&amp;T0", "ACP", 17)</f>
        <v>Genial</v>
      </c>
      <c r="C23" s="1">
        <f>RTD("rtdtrading.rtdserver",, "T&amp;T0", "PRE", 17)</f>
        <v>16.670000000000002</v>
      </c>
      <c r="D23" s="1">
        <f>RTD("rtdtrading.rtdserver",, "T&amp;T0", "QUL", 17)</f>
        <v>1900</v>
      </c>
      <c r="E23" s="1" t="str">
        <f>RTD("rtdtrading.rtdserver",, "T&amp;T0", "AVD", 17)</f>
        <v>Ideal</v>
      </c>
      <c r="F23" s="5" t="str">
        <f>RTD("rtdtrading.rtdserver",, "T&amp;T0", "AGR", 17)</f>
        <v>Comprador</v>
      </c>
      <c r="G23" s="15">
        <f t="shared" si="0"/>
        <v>0.51180555555555551</v>
      </c>
      <c r="H23" s="1" t="str">
        <f t="shared" si="1"/>
        <v>-</v>
      </c>
      <c r="I23" s="1" t="str">
        <f t="shared" si="2"/>
        <v>-</v>
      </c>
    </row>
    <row r="24" spans="1:9" x14ac:dyDescent="0.25">
      <c r="A24" s="4" t="str">
        <f>RTD("rtdtrading.rtdserver",, "T&amp;T0", "DAT", 18)</f>
        <v>09/08/2023 12:17:57</v>
      </c>
      <c r="B24" s="1" t="str">
        <f>RTD("rtdtrading.rtdserver",, "T&amp;T0", "ACP", 18)</f>
        <v>Planner</v>
      </c>
      <c r="C24" s="1">
        <f>RTD("rtdtrading.rtdserver",, "T&amp;T0", "PRE", 18)</f>
        <v>16.670000000000002</v>
      </c>
      <c r="D24" s="1">
        <f>RTD("rtdtrading.rtdserver",, "T&amp;T0", "QUL", 18)</f>
        <v>100</v>
      </c>
      <c r="E24" s="1" t="str">
        <f>RTD("rtdtrading.rtdserver",, "T&amp;T0", "AVD", 18)</f>
        <v>Ideal</v>
      </c>
      <c r="F24" s="5" t="str">
        <f>RTD("rtdtrading.rtdserver",, "T&amp;T0", "AGR", 18)</f>
        <v>Vendedor</v>
      </c>
      <c r="G24" s="15">
        <f t="shared" si="0"/>
        <v>0.51180555555555551</v>
      </c>
      <c r="H24" s="1" t="str">
        <f t="shared" si="1"/>
        <v>-</v>
      </c>
      <c r="I24" s="1" t="str">
        <f t="shared" si="2"/>
        <v>-</v>
      </c>
    </row>
    <row r="25" spans="1:9" x14ac:dyDescent="0.25">
      <c r="A25" s="4" t="str">
        <f>RTD("rtdtrading.rtdserver",, "T&amp;T0", "DAT", 19)</f>
        <v>09/08/2023 12:17:57</v>
      </c>
      <c r="B25" s="1" t="str">
        <f>RTD("rtdtrading.rtdserver",, "T&amp;T0", "ACP", 19)</f>
        <v>Genial</v>
      </c>
      <c r="C25" s="1">
        <f>RTD("rtdtrading.rtdserver",, "T&amp;T0", "PRE", 19)</f>
        <v>16.670000000000002</v>
      </c>
      <c r="D25" s="1">
        <f>RTD("rtdtrading.rtdserver",, "T&amp;T0", "QUL", 19)</f>
        <v>1900</v>
      </c>
      <c r="E25" s="1" t="str">
        <f>RTD("rtdtrading.rtdserver",, "T&amp;T0", "AVD", 19)</f>
        <v>Ideal</v>
      </c>
      <c r="F25" s="5" t="str">
        <f>RTD("rtdtrading.rtdserver",, "T&amp;T0", "AGR", 19)</f>
        <v>Comprador</v>
      </c>
      <c r="G25" s="15">
        <f t="shared" si="0"/>
        <v>0.51180555555555551</v>
      </c>
      <c r="H25" s="1" t="str">
        <f t="shared" si="1"/>
        <v>-</v>
      </c>
      <c r="I25" s="1" t="str">
        <f t="shared" si="2"/>
        <v>-</v>
      </c>
    </row>
    <row r="26" spans="1:9" x14ac:dyDescent="0.25">
      <c r="A26" s="4" t="str">
        <f>RTD("rtdtrading.rtdserver",, "T&amp;T0", "DAT", 20)</f>
        <v>09/08/2023 12:17:56</v>
      </c>
      <c r="B26" s="1" t="str">
        <f>RTD("rtdtrading.rtdserver",, "T&amp;T0", "ACP", 20)</f>
        <v>Inter</v>
      </c>
      <c r="C26" s="1">
        <f>RTD("rtdtrading.rtdserver",, "T&amp;T0", "PRE", 20)</f>
        <v>16.670000000000002</v>
      </c>
      <c r="D26" s="1">
        <f>RTD("rtdtrading.rtdserver",, "T&amp;T0", "QUL", 20)</f>
        <v>100</v>
      </c>
      <c r="E26" s="1" t="str">
        <f>RTD("rtdtrading.rtdserver",, "T&amp;T0", "AVD", 20)</f>
        <v>Ideal</v>
      </c>
      <c r="F26" s="5" t="str">
        <f>RTD("rtdtrading.rtdserver",, "T&amp;T0", "AGR", 20)</f>
        <v>Comprador</v>
      </c>
      <c r="G26" s="15">
        <f t="shared" si="0"/>
        <v>0.51180555555555551</v>
      </c>
      <c r="H26" s="1" t="str">
        <f t="shared" si="1"/>
        <v>-</v>
      </c>
      <c r="I26" s="1" t="str">
        <f t="shared" si="2"/>
        <v>-</v>
      </c>
    </row>
    <row r="27" spans="1:9" x14ac:dyDescent="0.25">
      <c r="A27" s="4" t="str">
        <f>RTD("rtdtrading.rtdserver",, "T&amp;T0", "DAT", 21)</f>
        <v>09/08/2023 12:17:54</v>
      </c>
      <c r="B27" s="1" t="str">
        <f>RTD("rtdtrading.rtdserver",, "T&amp;T0", "ACP", 21)</f>
        <v>Genial</v>
      </c>
      <c r="C27" s="1">
        <f>RTD("rtdtrading.rtdserver",, "T&amp;T0", "PRE", 21)</f>
        <v>16.670000000000002</v>
      </c>
      <c r="D27" s="1">
        <f>RTD("rtdtrading.rtdserver",, "T&amp;T0", "QUL", 21)</f>
        <v>100</v>
      </c>
      <c r="E27" s="1" t="str">
        <f>RTD("rtdtrading.rtdserver",, "T&amp;T0", "AVD", 21)</f>
        <v>SCOTIABANK</v>
      </c>
      <c r="F27" s="5" t="str">
        <f>RTD("rtdtrading.rtdserver",, "T&amp;T0", "AGR", 21)</f>
        <v>Comprador</v>
      </c>
      <c r="G27" s="15">
        <f t="shared" si="0"/>
        <v>0.51180555555555551</v>
      </c>
      <c r="H27" s="1" t="str">
        <f t="shared" si="1"/>
        <v>-</v>
      </c>
      <c r="I27" s="1" t="str">
        <f t="shared" si="2"/>
        <v>-</v>
      </c>
    </row>
    <row r="28" spans="1:9" x14ac:dyDescent="0.25">
      <c r="A28" s="4" t="str">
        <f>RTD("rtdtrading.rtdserver",, "T&amp;T0", "DAT", 22)</f>
        <v>09/08/2023 12:17:54</v>
      </c>
      <c r="B28" s="1" t="str">
        <f>RTD("rtdtrading.rtdserver",, "T&amp;T0", "ACP", 22)</f>
        <v>Genial</v>
      </c>
      <c r="C28" s="1">
        <f>RTD("rtdtrading.rtdserver",, "T&amp;T0", "PRE", 22)</f>
        <v>16.670000000000002</v>
      </c>
      <c r="D28" s="1">
        <f>RTD("rtdtrading.rtdserver",, "T&amp;T0", "QUL", 22)</f>
        <v>2000</v>
      </c>
      <c r="E28" s="1" t="str">
        <f>RTD("rtdtrading.rtdserver",, "T&amp;T0", "AVD", 22)</f>
        <v>Ideal</v>
      </c>
      <c r="F28" s="5" t="str">
        <f>RTD("rtdtrading.rtdserver",, "T&amp;T0", "AGR", 22)</f>
        <v>Comprador</v>
      </c>
      <c r="G28" s="15">
        <f t="shared" si="0"/>
        <v>0.51180555555555551</v>
      </c>
      <c r="H28" s="1" t="str">
        <f t="shared" si="1"/>
        <v>-</v>
      </c>
      <c r="I28" s="1" t="str">
        <f t="shared" si="2"/>
        <v>-</v>
      </c>
    </row>
    <row r="29" spans="1:9" x14ac:dyDescent="0.25">
      <c r="A29" s="4" t="str">
        <f>RTD("rtdtrading.rtdserver",, "T&amp;T0", "DAT", 23)</f>
        <v>09/08/2023 12:17:50</v>
      </c>
      <c r="B29" s="1" t="str">
        <f>RTD("rtdtrading.rtdserver",, "T&amp;T0", "ACP", 23)</f>
        <v>Clear</v>
      </c>
      <c r="C29" s="1">
        <f>RTD("rtdtrading.rtdserver",, "T&amp;T0", "PRE", 23)</f>
        <v>16.670000000000002</v>
      </c>
      <c r="D29" s="1">
        <f>RTD("rtdtrading.rtdserver",, "T&amp;T0", "QUL", 23)</f>
        <v>100</v>
      </c>
      <c r="E29" s="1" t="str">
        <f>RTD("rtdtrading.rtdserver",, "T&amp;T0", "AVD", 23)</f>
        <v>Morgan</v>
      </c>
      <c r="F29" s="5" t="str">
        <f>RTD("rtdtrading.rtdserver",, "T&amp;T0", "AGR", 23)</f>
        <v>Vendedor</v>
      </c>
      <c r="G29" s="15">
        <f t="shared" si="0"/>
        <v>0.51180555555555551</v>
      </c>
      <c r="H29" s="1" t="str">
        <f t="shared" si="1"/>
        <v>-</v>
      </c>
      <c r="I29" s="1" t="str">
        <f t="shared" si="2"/>
        <v>-</v>
      </c>
    </row>
    <row r="30" spans="1:9" x14ac:dyDescent="0.25">
      <c r="A30" s="4" t="str">
        <f>RTD("rtdtrading.rtdserver",, "T&amp;T0", "DAT", 24)</f>
        <v>09/08/2023 12:17:50</v>
      </c>
      <c r="B30" s="1" t="str">
        <f>RTD("rtdtrading.rtdserver",, "T&amp;T0", "ACP", 24)</f>
        <v>Clear</v>
      </c>
      <c r="C30" s="1">
        <f>RTD("rtdtrading.rtdserver",, "T&amp;T0", "PRE", 24)</f>
        <v>16.670000000000002</v>
      </c>
      <c r="D30" s="1">
        <f>RTD("rtdtrading.rtdserver",, "T&amp;T0", "QUL", 24)</f>
        <v>100</v>
      </c>
      <c r="E30" s="1" t="str">
        <f>RTD("rtdtrading.rtdserver",, "T&amp;T0", "AVD", 24)</f>
        <v>Morgan</v>
      </c>
      <c r="F30" s="5" t="str">
        <f>RTD("rtdtrading.rtdserver",, "T&amp;T0", "AGR", 24)</f>
        <v>Vendedor</v>
      </c>
      <c r="G30" s="15">
        <f t="shared" si="0"/>
        <v>0.51180555555555551</v>
      </c>
      <c r="H30" s="1" t="str">
        <f t="shared" si="1"/>
        <v>-</v>
      </c>
      <c r="I30" s="1" t="str">
        <f t="shared" si="2"/>
        <v>-</v>
      </c>
    </row>
    <row r="31" spans="1:9" x14ac:dyDescent="0.25">
      <c r="A31" s="4" t="str">
        <f>RTD("rtdtrading.rtdserver",, "T&amp;T0", "DAT", 25)</f>
        <v>09/08/2023 12:17:50</v>
      </c>
      <c r="B31" s="1" t="str">
        <f>RTD("rtdtrading.rtdserver",, "T&amp;T0", "ACP", 25)</f>
        <v>NuInvest</v>
      </c>
      <c r="C31" s="1">
        <f>RTD("rtdtrading.rtdserver",, "T&amp;T0", "PRE", 25)</f>
        <v>16.670000000000002</v>
      </c>
      <c r="D31" s="1">
        <f>RTD("rtdtrading.rtdserver",, "T&amp;T0", "QUL", 25)</f>
        <v>700</v>
      </c>
      <c r="E31" s="1" t="str">
        <f>RTD("rtdtrading.rtdserver",, "T&amp;T0", "AVD", 25)</f>
        <v>Morgan</v>
      </c>
      <c r="F31" s="5" t="str">
        <f>RTD("rtdtrading.rtdserver",, "T&amp;T0", "AGR", 25)</f>
        <v>Vendedor</v>
      </c>
      <c r="G31" s="15">
        <f t="shared" si="0"/>
        <v>0.51180555555555551</v>
      </c>
      <c r="H31" s="1" t="str">
        <f t="shared" si="1"/>
        <v>-</v>
      </c>
      <c r="I31" s="1" t="str">
        <f t="shared" si="2"/>
        <v>-</v>
      </c>
    </row>
    <row r="32" spans="1:9" x14ac:dyDescent="0.25">
      <c r="A32" s="4" t="str">
        <f>RTD("rtdtrading.rtdserver",, "T&amp;T0", "DAT", 26)</f>
        <v>09/08/2023 12:17:49</v>
      </c>
      <c r="B32" s="1" t="str">
        <f>RTD("rtdtrading.rtdserver",, "T&amp;T0", "ACP", 26)</f>
        <v>NuInvest</v>
      </c>
      <c r="C32" s="1">
        <f>RTD("rtdtrading.rtdserver",, "T&amp;T0", "PRE", 26)</f>
        <v>16.670000000000002</v>
      </c>
      <c r="D32" s="1">
        <f>RTD("rtdtrading.rtdserver",, "T&amp;T0", "QUL", 26)</f>
        <v>400</v>
      </c>
      <c r="E32" s="1" t="str">
        <f>RTD("rtdtrading.rtdserver",, "T&amp;T0", "AVD", 26)</f>
        <v>Toro</v>
      </c>
      <c r="F32" s="5" t="str">
        <f>RTD("rtdtrading.rtdserver",, "T&amp;T0", "AGR", 26)</f>
        <v>Vendedor</v>
      </c>
      <c r="G32" s="15">
        <f t="shared" si="0"/>
        <v>0.51180555555555551</v>
      </c>
      <c r="H32" s="1" t="str">
        <f t="shared" si="1"/>
        <v>-</v>
      </c>
      <c r="I32" s="1" t="str">
        <f t="shared" si="2"/>
        <v>-</v>
      </c>
    </row>
    <row r="33" spans="1:14" x14ac:dyDescent="0.25">
      <c r="A33" s="4" t="str">
        <f>RTD("rtdtrading.rtdserver",, "T&amp;T0", "DAT", 27)</f>
        <v>09/08/2023 12:17:46</v>
      </c>
      <c r="B33" s="1" t="str">
        <f>RTD("rtdtrading.rtdserver",, "T&amp;T0", "ACP", 27)</f>
        <v>NuInvest</v>
      </c>
      <c r="C33" s="1">
        <f>RTD("rtdtrading.rtdserver",, "T&amp;T0", "PRE", 27)</f>
        <v>16.670000000000002</v>
      </c>
      <c r="D33" s="1">
        <f>RTD("rtdtrading.rtdserver",, "T&amp;T0", "QUL", 27)</f>
        <v>200</v>
      </c>
      <c r="E33" s="1" t="str">
        <f>RTD("rtdtrading.rtdserver",, "T&amp;T0", "AVD", 27)</f>
        <v>Morgan</v>
      </c>
      <c r="F33" s="5" t="str">
        <f>RTD("rtdtrading.rtdserver",, "T&amp;T0", "AGR", 27)</f>
        <v>Vendedor</v>
      </c>
      <c r="G33" s="15">
        <f t="shared" si="0"/>
        <v>0.51180555555555551</v>
      </c>
      <c r="H33" s="1" t="str">
        <f t="shared" si="1"/>
        <v>-</v>
      </c>
      <c r="I33" s="1" t="str">
        <f t="shared" si="2"/>
        <v>-</v>
      </c>
      <c r="N33" s="15"/>
    </row>
    <row r="34" spans="1:14" x14ac:dyDescent="0.25">
      <c r="A34" s="4" t="str">
        <f>RTD("rtdtrading.rtdserver",, "T&amp;T0", "DAT", 28)</f>
        <v>09/08/2023 12:17:45</v>
      </c>
      <c r="B34" s="1" t="str">
        <f>RTD("rtdtrading.rtdserver",, "T&amp;T0", "ACP", 28)</f>
        <v>NuInvest</v>
      </c>
      <c r="C34" s="1">
        <f>RTD("rtdtrading.rtdserver",, "T&amp;T0", "PRE", 28)</f>
        <v>16.670000000000002</v>
      </c>
      <c r="D34" s="1">
        <f>RTD("rtdtrading.rtdserver",, "T&amp;T0", "QUL", 28)</f>
        <v>100</v>
      </c>
      <c r="E34" s="1" t="str">
        <f>RTD("rtdtrading.rtdserver",, "T&amp;T0", "AVD", 28)</f>
        <v>Morgan</v>
      </c>
      <c r="F34" s="5" t="str">
        <f>RTD("rtdtrading.rtdserver",, "T&amp;T0", "AGR", 28)</f>
        <v>Vendedor</v>
      </c>
      <c r="G34" s="15">
        <f t="shared" si="0"/>
        <v>0.51180555555555551</v>
      </c>
      <c r="H34" s="1" t="str">
        <f t="shared" si="1"/>
        <v>-</v>
      </c>
      <c r="I34" s="1" t="str">
        <f t="shared" si="2"/>
        <v>-</v>
      </c>
    </row>
    <row r="35" spans="1:14" x14ac:dyDescent="0.25">
      <c r="A35" s="4" t="str">
        <f>RTD("rtdtrading.rtdserver",, "T&amp;T0", "DAT", 29)</f>
        <v>09/08/2023 12:17:45</v>
      </c>
      <c r="B35" s="1" t="str">
        <f>RTD("rtdtrading.rtdserver",, "T&amp;T0", "ACP", 29)</f>
        <v>BTG</v>
      </c>
      <c r="C35" s="1">
        <f>RTD("rtdtrading.rtdserver",, "T&amp;T0", "PRE", 29)</f>
        <v>16.68</v>
      </c>
      <c r="D35" s="1">
        <f>RTD("rtdtrading.rtdserver",, "T&amp;T0", "QUL", 29)</f>
        <v>1800</v>
      </c>
      <c r="E35" s="1" t="str">
        <f>RTD("rtdtrading.rtdserver",, "T&amp;T0", "AVD", 29)</f>
        <v>Genial</v>
      </c>
      <c r="F35" s="5" t="str">
        <f>RTD("rtdtrading.rtdserver",, "T&amp;T0", "AGR", 29)</f>
        <v>Comprador</v>
      </c>
      <c r="G35" s="15">
        <f t="shared" si="0"/>
        <v>0.51180555555555551</v>
      </c>
      <c r="H35" s="1" t="str">
        <f t="shared" si="1"/>
        <v>-</v>
      </c>
      <c r="I35" s="1" t="str">
        <f t="shared" si="2"/>
        <v>-</v>
      </c>
    </row>
    <row r="36" spans="1:14" x14ac:dyDescent="0.25">
      <c r="A36" s="4" t="str">
        <f>RTD("rtdtrading.rtdserver",, "T&amp;T0", "DAT", 30)</f>
        <v>09/08/2023 12:17:45</v>
      </c>
      <c r="B36" s="1" t="str">
        <f>RTD("rtdtrading.rtdserver",, "T&amp;T0", "ACP", 30)</f>
        <v>BTG</v>
      </c>
      <c r="C36" s="1">
        <f>RTD("rtdtrading.rtdserver",, "T&amp;T0", "PRE", 30)</f>
        <v>16.68</v>
      </c>
      <c r="D36" s="1">
        <f>RTD("rtdtrading.rtdserver",, "T&amp;T0", "QUL", 30)</f>
        <v>100</v>
      </c>
      <c r="E36" s="1" t="str">
        <f>RTD("rtdtrading.rtdserver",, "T&amp;T0", "AVD", 30)</f>
        <v>JP Morgan</v>
      </c>
      <c r="F36" s="5" t="str">
        <f>RTD("rtdtrading.rtdserver",, "T&amp;T0", "AGR", 30)</f>
        <v>Comprador</v>
      </c>
      <c r="G36" s="15">
        <f t="shared" si="0"/>
        <v>0.51180555555555551</v>
      </c>
      <c r="H36" s="1" t="str">
        <f t="shared" si="1"/>
        <v>-</v>
      </c>
      <c r="I36" s="1" t="str">
        <f t="shared" si="2"/>
        <v>-</v>
      </c>
    </row>
    <row r="37" spans="1:14" x14ac:dyDescent="0.25">
      <c r="A37" s="4" t="str">
        <f>RTD("rtdtrading.rtdserver",, "T&amp;T0", "DAT", 31)</f>
        <v>09/08/2023 12:17:45</v>
      </c>
      <c r="B37" s="1" t="str">
        <f>RTD("rtdtrading.rtdserver",, "T&amp;T0", "ACP", 31)</f>
        <v>BTG</v>
      </c>
      <c r="C37" s="1">
        <f>RTD("rtdtrading.rtdserver",, "T&amp;T0", "PRE", 31)</f>
        <v>16.68</v>
      </c>
      <c r="D37" s="1">
        <f>RTD("rtdtrading.rtdserver",, "T&amp;T0", "QUL", 31)</f>
        <v>100</v>
      </c>
      <c r="E37" s="1" t="str">
        <f>RTD("rtdtrading.rtdserver",, "T&amp;T0", "AVD", 31)</f>
        <v>XP</v>
      </c>
      <c r="F37" s="5" t="str">
        <f>RTD("rtdtrading.rtdserver",, "T&amp;T0", "AGR", 31)</f>
        <v>Comprador</v>
      </c>
      <c r="G37" s="15">
        <f t="shared" si="0"/>
        <v>0.51180555555555551</v>
      </c>
      <c r="H37" s="1" t="str">
        <f t="shared" si="1"/>
        <v>-</v>
      </c>
      <c r="I37" s="1" t="str">
        <f t="shared" si="2"/>
        <v>-</v>
      </c>
    </row>
    <row r="38" spans="1:14" x14ac:dyDescent="0.25">
      <c r="A38" s="4" t="str">
        <f>RTD("rtdtrading.rtdserver",, "T&amp;T0", "DAT", 32)</f>
        <v>09/08/2023 12:17:45</v>
      </c>
      <c r="B38" s="1" t="str">
        <f>RTD("rtdtrading.rtdserver",, "T&amp;T0", "ACP", 32)</f>
        <v>NuInvest</v>
      </c>
      <c r="C38" s="1">
        <f>RTD("rtdtrading.rtdserver",, "T&amp;T0", "PRE", 32)</f>
        <v>16.670000000000002</v>
      </c>
      <c r="D38" s="1">
        <f>RTD("rtdtrading.rtdserver",, "T&amp;T0", "QUL", 32)</f>
        <v>1000</v>
      </c>
      <c r="E38" s="1" t="str">
        <f>RTD("rtdtrading.rtdserver",, "T&amp;T0", "AVD", 32)</f>
        <v>XP</v>
      </c>
      <c r="F38" s="5" t="str">
        <f>RTD("rtdtrading.rtdserver",, "T&amp;T0", "AGR", 32)</f>
        <v>Vendedor</v>
      </c>
      <c r="G38" s="15">
        <f t="shared" si="0"/>
        <v>0.51180555555555551</v>
      </c>
      <c r="H38" s="1" t="str">
        <f t="shared" si="1"/>
        <v>-</v>
      </c>
      <c r="I38" s="1" t="str">
        <f t="shared" si="2"/>
        <v>-</v>
      </c>
    </row>
    <row r="39" spans="1:14" x14ac:dyDescent="0.25">
      <c r="A39" s="4" t="str">
        <f>RTD("rtdtrading.rtdserver",, "T&amp;T0", "DAT", 33)</f>
        <v>09/08/2023 12:17:43</v>
      </c>
      <c r="B39" s="1" t="str">
        <f>RTD("rtdtrading.rtdserver",, "T&amp;T0", "ACP", 33)</f>
        <v>NuInvest</v>
      </c>
      <c r="C39" s="1">
        <f>RTD("rtdtrading.rtdserver",, "T&amp;T0", "PRE", 33)</f>
        <v>16.670000000000002</v>
      </c>
      <c r="D39" s="1">
        <f>RTD("rtdtrading.rtdserver",, "T&amp;T0", "QUL", 33)</f>
        <v>400</v>
      </c>
      <c r="E39" s="1" t="str">
        <f>RTD("rtdtrading.rtdserver",, "T&amp;T0", "AVD", 33)</f>
        <v>Toro</v>
      </c>
      <c r="F39" s="5" t="str">
        <f>RTD("rtdtrading.rtdserver",, "T&amp;T0", "AGR", 33)</f>
        <v>Vendedor</v>
      </c>
      <c r="G39" s="15">
        <f t="shared" si="0"/>
        <v>0.51180555555555551</v>
      </c>
      <c r="H39" s="1" t="str">
        <f t="shared" si="1"/>
        <v>-</v>
      </c>
      <c r="I39" s="1" t="str">
        <f t="shared" si="2"/>
        <v>-</v>
      </c>
    </row>
    <row r="40" spans="1:14" x14ac:dyDescent="0.25">
      <c r="A40" s="4" t="str">
        <f>RTD("rtdtrading.rtdserver",, "T&amp;T0", "DAT", 34)</f>
        <v>09/08/2023 12:17:41</v>
      </c>
      <c r="B40" s="1" t="str">
        <f>RTD("rtdtrading.rtdserver",, "T&amp;T0", "ACP", 34)</f>
        <v>NuInvest</v>
      </c>
      <c r="C40" s="1">
        <f>RTD("rtdtrading.rtdserver",, "T&amp;T0", "PRE", 34)</f>
        <v>16.670000000000002</v>
      </c>
      <c r="D40" s="1">
        <f>RTD("rtdtrading.rtdserver",, "T&amp;T0", "QUL", 34)</f>
        <v>1100</v>
      </c>
      <c r="E40" s="1" t="str">
        <f>RTD("rtdtrading.rtdserver",, "T&amp;T0", "AVD", 34)</f>
        <v>Morgan</v>
      </c>
      <c r="F40" s="5" t="str">
        <f>RTD("rtdtrading.rtdserver",, "T&amp;T0", "AGR", 34)</f>
        <v>Vendedor</v>
      </c>
      <c r="G40" s="15">
        <f t="shared" si="0"/>
        <v>0.51180555555555551</v>
      </c>
      <c r="H40" s="1" t="str">
        <f t="shared" si="1"/>
        <v>-</v>
      </c>
      <c r="I40" s="1" t="str">
        <f t="shared" si="2"/>
        <v>-</v>
      </c>
    </row>
    <row r="41" spans="1:14" x14ac:dyDescent="0.25">
      <c r="A41" s="4" t="str">
        <f>RTD("rtdtrading.rtdserver",, "T&amp;T0", "DAT", 35)</f>
        <v>09/08/2023 12:17:41</v>
      </c>
      <c r="B41" s="1" t="str">
        <f>RTD("rtdtrading.rtdserver",, "T&amp;T0", "ACP", 35)</f>
        <v>NuInvest</v>
      </c>
      <c r="C41" s="1">
        <f>RTD("rtdtrading.rtdserver",, "T&amp;T0", "PRE", 35)</f>
        <v>16.670000000000002</v>
      </c>
      <c r="D41" s="1">
        <f>RTD("rtdtrading.rtdserver",, "T&amp;T0", "QUL", 35)</f>
        <v>1000</v>
      </c>
      <c r="E41" s="1" t="str">
        <f>RTD("rtdtrading.rtdserver",, "T&amp;T0", "AVD", 35)</f>
        <v>Clear</v>
      </c>
      <c r="F41" s="5" t="str">
        <f>RTD("rtdtrading.rtdserver",, "T&amp;T0", "AGR", 35)</f>
        <v>Vendedor</v>
      </c>
      <c r="G41" s="15">
        <f t="shared" si="0"/>
        <v>0.51180555555555551</v>
      </c>
      <c r="H41" s="1" t="str">
        <f t="shared" si="1"/>
        <v>-</v>
      </c>
      <c r="I41" s="1" t="str">
        <f t="shared" si="2"/>
        <v>-</v>
      </c>
    </row>
    <row r="42" spans="1:14" x14ac:dyDescent="0.25">
      <c r="A42" s="4" t="str">
        <f>RTD("rtdtrading.rtdserver",, "T&amp;T0", "DAT", 36)</f>
        <v>09/08/2023 12:17:37</v>
      </c>
      <c r="B42" s="1" t="str">
        <f>RTD("rtdtrading.rtdserver",, "T&amp;T0", "ACP", 36)</f>
        <v>NuInvest</v>
      </c>
      <c r="C42" s="1">
        <f>RTD("rtdtrading.rtdserver",, "T&amp;T0", "PRE", 36)</f>
        <v>16.670000000000002</v>
      </c>
      <c r="D42" s="1">
        <f>RTD("rtdtrading.rtdserver",, "T&amp;T0", "QUL", 36)</f>
        <v>1100</v>
      </c>
      <c r="E42" s="1" t="str">
        <f>RTD("rtdtrading.rtdserver",, "T&amp;T0", "AVD", 36)</f>
        <v>Morgan</v>
      </c>
      <c r="F42" s="5" t="str">
        <f>RTD("rtdtrading.rtdserver",, "T&amp;T0", "AGR", 36)</f>
        <v>Vendedor</v>
      </c>
      <c r="G42" s="15">
        <f t="shared" si="0"/>
        <v>0.51180555555555551</v>
      </c>
      <c r="H42" s="1" t="str">
        <f t="shared" si="1"/>
        <v>-</v>
      </c>
      <c r="I42" s="1" t="str">
        <f t="shared" si="2"/>
        <v>-</v>
      </c>
    </row>
    <row r="43" spans="1:14" x14ac:dyDescent="0.25">
      <c r="A43" s="4" t="str">
        <f>RTD("rtdtrading.rtdserver",, "T&amp;T0", "DAT", 37)</f>
        <v>09/08/2023 12:17:37</v>
      </c>
      <c r="B43" s="1" t="str">
        <f>RTD("rtdtrading.rtdserver",, "T&amp;T0", "ACP", 37)</f>
        <v>XP</v>
      </c>
      <c r="C43" s="1">
        <f>RTD("rtdtrading.rtdserver",, "T&amp;T0", "PRE", 37)</f>
        <v>16.670000000000002</v>
      </c>
      <c r="D43" s="1">
        <f>RTD("rtdtrading.rtdserver",, "T&amp;T0", "QUL", 37)</f>
        <v>100</v>
      </c>
      <c r="E43" s="1" t="str">
        <f>RTD("rtdtrading.rtdserver",, "T&amp;T0", "AVD", 37)</f>
        <v>Morgan</v>
      </c>
      <c r="F43" s="5" t="str">
        <f>RTD("rtdtrading.rtdserver",, "T&amp;T0", "AGR", 37)</f>
        <v>Vendedor</v>
      </c>
      <c r="G43" s="15">
        <f t="shared" si="0"/>
        <v>0.51180555555555551</v>
      </c>
      <c r="H43" s="1" t="str">
        <f t="shared" si="1"/>
        <v>-</v>
      </c>
      <c r="I43" s="1" t="str">
        <f t="shared" si="2"/>
        <v>-</v>
      </c>
    </row>
    <row r="44" spans="1:14" x14ac:dyDescent="0.25">
      <c r="A44" s="4" t="str">
        <f>RTD("rtdtrading.rtdserver",, "T&amp;T0", "DAT", 38)</f>
        <v>09/08/2023 12:17:36</v>
      </c>
      <c r="B44" s="1" t="str">
        <f>RTD("rtdtrading.rtdserver",, "T&amp;T0", "ACP", 38)</f>
        <v>XP</v>
      </c>
      <c r="C44" s="1">
        <f>RTD("rtdtrading.rtdserver",, "T&amp;T0", "PRE", 38)</f>
        <v>16.670000000000002</v>
      </c>
      <c r="D44" s="1">
        <f>RTD("rtdtrading.rtdserver",, "T&amp;T0", "QUL", 38)</f>
        <v>400</v>
      </c>
      <c r="E44" s="1" t="str">
        <f>RTD("rtdtrading.rtdserver",, "T&amp;T0", "AVD", 38)</f>
        <v>Morgan</v>
      </c>
      <c r="F44" s="5" t="str">
        <f>RTD("rtdtrading.rtdserver",, "T&amp;T0", "AGR", 38)</f>
        <v>Vendedor</v>
      </c>
      <c r="G44" s="15">
        <f t="shared" si="0"/>
        <v>0.51180555555555551</v>
      </c>
      <c r="H44" s="1" t="str">
        <f t="shared" si="1"/>
        <v>-</v>
      </c>
      <c r="I44" s="1" t="str">
        <f t="shared" si="2"/>
        <v>-</v>
      </c>
    </row>
    <row r="45" spans="1:14" x14ac:dyDescent="0.25">
      <c r="A45" s="4" t="str">
        <f>RTD("rtdtrading.rtdserver",, "T&amp;T0", "DAT", 39)</f>
        <v>09/08/2023 12:17:36</v>
      </c>
      <c r="B45" s="1" t="str">
        <f>RTD("rtdtrading.rtdserver",, "T&amp;T0", "ACP", 39)</f>
        <v>Genial</v>
      </c>
      <c r="C45" s="1">
        <f>RTD("rtdtrading.rtdserver",, "T&amp;T0", "PRE", 39)</f>
        <v>16.670000000000002</v>
      </c>
      <c r="D45" s="1">
        <f>RTD("rtdtrading.rtdserver",, "T&amp;T0", "QUL", 39)</f>
        <v>200</v>
      </c>
      <c r="E45" s="1" t="str">
        <f>RTD("rtdtrading.rtdserver",, "T&amp;T0", "AVD", 39)</f>
        <v>Morgan</v>
      </c>
      <c r="F45" s="5" t="str">
        <f>RTD("rtdtrading.rtdserver",, "T&amp;T0", "AGR", 39)</f>
        <v>Vendedor</v>
      </c>
      <c r="G45" s="15">
        <f t="shared" si="0"/>
        <v>0.51180555555555551</v>
      </c>
      <c r="H45" s="1" t="str">
        <f t="shared" si="1"/>
        <v>-</v>
      </c>
      <c r="I45" s="1" t="str">
        <f t="shared" si="2"/>
        <v>-</v>
      </c>
    </row>
    <row r="46" spans="1:14" x14ac:dyDescent="0.25">
      <c r="A46" s="4" t="str">
        <f>RTD("rtdtrading.rtdserver",, "T&amp;T0", "DAT", 40)</f>
        <v>09/08/2023 12:17:36</v>
      </c>
      <c r="B46" s="1" t="str">
        <f>RTD("rtdtrading.rtdserver",, "T&amp;T0", "ACP", 40)</f>
        <v>Genial</v>
      </c>
      <c r="C46" s="1">
        <f>RTD("rtdtrading.rtdserver",, "T&amp;T0", "PRE", 40)</f>
        <v>16.670000000000002</v>
      </c>
      <c r="D46" s="1">
        <f>RTD("rtdtrading.rtdserver",, "T&amp;T0", "QUL", 40)</f>
        <v>4300</v>
      </c>
      <c r="E46" s="1" t="str">
        <f>RTD("rtdtrading.rtdserver",, "T&amp;T0", "AVD", 40)</f>
        <v>Morgan</v>
      </c>
      <c r="F46" s="5" t="str">
        <f>RTD("rtdtrading.rtdserver",, "T&amp;T0", "AGR", 40)</f>
        <v>Vendedor</v>
      </c>
      <c r="G46" s="15">
        <f t="shared" si="0"/>
        <v>0.51180555555555551</v>
      </c>
      <c r="H46" s="1" t="str">
        <f t="shared" si="1"/>
        <v>-</v>
      </c>
      <c r="I46" s="1" t="str">
        <f t="shared" si="2"/>
        <v>-</v>
      </c>
    </row>
    <row r="47" spans="1:14" x14ac:dyDescent="0.25">
      <c r="A47" s="4" t="str">
        <f>RTD("rtdtrading.rtdserver",, "T&amp;T0", "DAT", 41)</f>
        <v>09/08/2023 12:17:36</v>
      </c>
      <c r="B47" s="1" t="str">
        <f>RTD("rtdtrading.rtdserver",, "T&amp;T0", "ACP", 41)</f>
        <v>JP Morgan</v>
      </c>
      <c r="C47" s="1">
        <f>RTD("rtdtrading.rtdserver",, "T&amp;T0", "PRE", 41)</f>
        <v>16.68</v>
      </c>
      <c r="D47" s="1">
        <f>RTD("rtdtrading.rtdserver",, "T&amp;T0", "QUL", 41)</f>
        <v>700</v>
      </c>
      <c r="E47" s="1" t="str">
        <f>RTD("rtdtrading.rtdserver",, "T&amp;T0", "AVD", 41)</f>
        <v>UBS</v>
      </c>
      <c r="F47" s="5" t="str">
        <f>RTD("rtdtrading.rtdserver",, "T&amp;T0", "AGR", 41)</f>
        <v>Vendedor</v>
      </c>
      <c r="G47" s="15">
        <f t="shared" si="0"/>
        <v>0.51180555555555551</v>
      </c>
      <c r="H47" s="1" t="str">
        <f t="shared" si="1"/>
        <v>-</v>
      </c>
      <c r="I47" s="1" t="str">
        <f t="shared" si="2"/>
        <v>-</v>
      </c>
    </row>
    <row r="48" spans="1:14" x14ac:dyDescent="0.25">
      <c r="A48" s="4" t="str">
        <f>RTD("rtdtrading.rtdserver",, "T&amp;T0", "DAT", 42)</f>
        <v>09/08/2023 12:17:36</v>
      </c>
      <c r="B48" s="1" t="str">
        <f>RTD("rtdtrading.rtdserver",, "T&amp;T0", "ACP", 42)</f>
        <v>Itau</v>
      </c>
      <c r="C48" s="1">
        <f>RTD("rtdtrading.rtdserver",, "T&amp;T0", "PRE", 42)</f>
        <v>16.68</v>
      </c>
      <c r="D48" s="1">
        <f>RTD("rtdtrading.rtdserver",, "T&amp;T0", "QUL", 42)</f>
        <v>3000</v>
      </c>
      <c r="E48" s="1" t="str">
        <f>RTD("rtdtrading.rtdserver",, "T&amp;T0", "AVD", 42)</f>
        <v>UBS</v>
      </c>
      <c r="F48" s="5" t="str">
        <f>RTD("rtdtrading.rtdserver",, "T&amp;T0", "AGR", 42)</f>
        <v>Vendedor</v>
      </c>
      <c r="G48" s="15">
        <f t="shared" si="0"/>
        <v>0.51180555555555551</v>
      </c>
      <c r="H48" s="1" t="str">
        <f t="shared" si="1"/>
        <v>-</v>
      </c>
      <c r="I48" s="1" t="str">
        <f t="shared" si="2"/>
        <v>-</v>
      </c>
    </row>
    <row r="49" spans="1:9" x14ac:dyDescent="0.25">
      <c r="A49" s="4" t="str">
        <f>RTD("rtdtrading.rtdserver",, "T&amp;T0", "DAT", 43)</f>
        <v>09/08/2023 12:17:36</v>
      </c>
      <c r="B49" s="1" t="str">
        <f>RTD("rtdtrading.rtdserver",, "T&amp;T0", "ACP", 43)</f>
        <v>Agora</v>
      </c>
      <c r="C49" s="1">
        <f>RTD("rtdtrading.rtdserver",, "T&amp;T0", "PRE", 43)</f>
        <v>16.68</v>
      </c>
      <c r="D49" s="1">
        <f>RTD("rtdtrading.rtdserver",, "T&amp;T0", "QUL", 43)</f>
        <v>700</v>
      </c>
      <c r="E49" s="1" t="str">
        <f>RTD("rtdtrading.rtdserver",, "T&amp;T0", "AVD", 43)</f>
        <v>UBS</v>
      </c>
      <c r="F49" s="5" t="str">
        <f>RTD("rtdtrading.rtdserver",, "T&amp;T0", "AGR", 43)</f>
        <v>Vendedor</v>
      </c>
      <c r="G49" s="15">
        <f t="shared" si="0"/>
        <v>0.51180555555555551</v>
      </c>
      <c r="H49" s="1" t="str">
        <f t="shared" si="1"/>
        <v>-</v>
      </c>
      <c r="I49" s="1" t="str">
        <f t="shared" si="2"/>
        <v>-</v>
      </c>
    </row>
    <row r="50" spans="1:9" x14ac:dyDescent="0.25">
      <c r="A50" s="4" t="str">
        <f>RTD("rtdtrading.rtdserver",, "T&amp;T0", "DAT", 44)</f>
        <v>09/08/2023 12:17:36</v>
      </c>
      <c r="B50" s="1" t="str">
        <f>RTD("rtdtrading.rtdserver",, "T&amp;T0", "ACP", 44)</f>
        <v>Agora</v>
      </c>
      <c r="C50" s="1">
        <f>RTD("rtdtrading.rtdserver",, "T&amp;T0", "PRE", 44)</f>
        <v>16.68</v>
      </c>
      <c r="D50" s="1">
        <f>RTD("rtdtrading.rtdserver",, "T&amp;T0", "QUL", 44)</f>
        <v>100</v>
      </c>
      <c r="E50" s="1" t="str">
        <f>RTD("rtdtrading.rtdserver",, "T&amp;T0", "AVD", 44)</f>
        <v>Bradesco</v>
      </c>
      <c r="F50" s="5" t="str">
        <f>RTD("rtdtrading.rtdserver",, "T&amp;T0", "AGR", 44)</f>
        <v>Vendedor</v>
      </c>
      <c r="G50" s="15">
        <f t="shared" si="0"/>
        <v>0.51180555555555551</v>
      </c>
      <c r="H50" s="1" t="str">
        <f t="shared" si="1"/>
        <v>-</v>
      </c>
      <c r="I50" s="1" t="str">
        <f t="shared" si="2"/>
        <v>-</v>
      </c>
    </row>
    <row r="51" spans="1:9" x14ac:dyDescent="0.25">
      <c r="A51" s="4" t="str">
        <f>RTD("rtdtrading.rtdserver",, "T&amp;T0", "DAT", 45)</f>
        <v>09/08/2023 12:17:36</v>
      </c>
      <c r="B51" s="1" t="str">
        <f>RTD("rtdtrading.rtdserver",, "T&amp;T0", "ACP", 45)</f>
        <v>Agora</v>
      </c>
      <c r="C51" s="1">
        <f>RTD("rtdtrading.rtdserver",, "T&amp;T0", "PRE", 45)</f>
        <v>16.68</v>
      </c>
      <c r="D51" s="1">
        <f>RTD("rtdtrading.rtdserver",, "T&amp;T0", "QUL", 45)</f>
        <v>300</v>
      </c>
      <c r="E51" s="1" t="str">
        <f>RTD("rtdtrading.rtdserver",, "T&amp;T0", "AVD", 45)</f>
        <v>Genial</v>
      </c>
      <c r="F51" s="5" t="str">
        <f>RTD("rtdtrading.rtdserver",, "T&amp;T0", "AGR", 45)</f>
        <v>Vendedor</v>
      </c>
      <c r="G51" s="15">
        <f t="shared" si="0"/>
        <v>0.51180555555555551</v>
      </c>
      <c r="H51" s="1" t="str">
        <f t="shared" si="1"/>
        <v>-</v>
      </c>
      <c r="I51" s="1" t="str">
        <f t="shared" si="2"/>
        <v>-</v>
      </c>
    </row>
    <row r="52" spans="1:9" x14ac:dyDescent="0.25">
      <c r="A52" s="4" t="str">
        <f>RTD("rtdtrading.rtdserver",, "T&amp;T0", "DAT", 46)</f>
        <v>09/08/2023 12:17:36</v>
      </c>
      <c r="B52" s="1" t="str">
        <f>RTD("rtdtrading.rtdserver",, "T&amp;T0", "ACP", 46)</f>
        <v>XP</v>
      </c>
      <c r="C52" s="1">
        <f>RTD("rtdtrading.rtdserver",, "T&amp;T0", "PRE", 46)</f>
        <v>16.68</v>
      </c>
      <c r="D52" s="1">
        <f>RTD("rtdtrading.rtdserver",, "T&amp;T0", "QUL", 46)</f>
        <v>6300</v>
      </c>
      <c r="E52" s="1" t="str">
        <f>RTD("rtdtrading.rtdserver",, "T&amp;T0", "AVD", 46)</f>
        <v>Genial</v>
      </c>
      <c r="F52" s="5" t="str">
        <f>RTD("rtdtrading.rtdserver",, "T&amp;T0", "AGR", 46)</f>
        <v>Vendedor</v>
      </c>
      <c r="G52" s="15">
        <f t="shared" si="0"/>
        <v>0.51180555555555551</v>
      </c>
      <c r="H52" s="1" t="str">
        <f t="shared" si="1"/>
        <v>-</v>
      </c>
      <c r="I52" s="1" t="str">
        <f t="shared" si="2"/>
        <v>-</v>
      </c>
    </row>
    <row r="53" spans="1:9" x14ac:dyDescent="0.25">
      <c r="A53" s="4" t="str">
        <f>RTD("rtdtrading.rtdserver",, "T&amp;T0", "DAT", 47)</f>
        <v>09/08/2023 12:17:36</v>
      </c>
      <c r="B53" s="1" t="str">
        <f>RTD("rtdtrading.rtdserver",, "T&amp;T0", "ACP", 47)</f>
        <v>XP</v>
      </c>
      <c r="C53" s="1">
        <f>RTD("rtdtrading.rtdserver",, "T&amp;T0", "PRE", 47)</f>
        <v>16.68</v>
      </c>
      <c r="D53" s="1">
        <f>RTD("rtdtrading.rtdserver",, "T&amp;T0", "QUL", 47)</f>
        <v>200</v>
      </c>
      <c r="E53" s="1" t="str">
        <f>RTD("rtdtrading.rtdserver",, "T&amp;T0", "AVD", 47)</f>
        <v>Bradesco</v>
      </c>
      <c r="F53" s="5" t="str">
        <f>RTD("rtdtrading.rtdserver",, "T&amp;T0", "AGR", 47)</f>
        <v>Vendedor</v>
      </c>
      <c r="G53" s="15">
        <f t="shared" si="0"/>
        <v>0.51180555555555551</v>
      </c>
      <c r="H53" s="1" t="str">
        <f t="shared" si="1"/>
        <v>-</v>
      </c>
      <c r="I53" s="1" t="str">
        <f t="shared" si="2"/>
        <v>-</v>
      </c>
    </row>
    <row r="54" spans="1:9" x14ac:dyDescent="0.25">
      <c r="A54" s="4" t="str">
        <f>RTD("rtdtrading.rtdserver",, "T&amp;T0", "DAT", 48)</f>
        <v>09/08/2023 12:17:36</v>
      </c>
      <c r="B54" s="1" t="str">
        <f>RTD("rtdtrading.rtdserver",, "T&amp;T0", "ACP", 48)</f>
        <v>XP</v>
      </c>
      <c r="C54" s="1">
        <f>RTD("rtdtrading.rtdserver",, "T&amp;T0", "PRE", 48)</f>
        <v>16.68</v>
      </c>
      <c r="D54" s="1">
        <f>RTD("rtdtrading.rtdserver",, "T&amp;T0", "QUL", 48)</f>
        <v>100</v>
      </c>
      <c r="E54" s="1" t="str">
        <f>RTD("rtdtrading.rtdserver",, "T&amp;T0", "AVD", 48)</f>
        <v>Bradesco</v>
      </c>
      <c r="F54" s="5" t="str">
        <f>RTD("rtdtrading.rtdserver",, "T&amp;T0", "AGR", 48)</f>
        <v>Vendedor</v>
      </c>
      <c r="G54" s="15">
        <f t="shared" si="0"/>
        <v>0.51180555555555551</v>
      </c>
      <c r="H54" s="1" t="str">
        <f t="shared" si="1"/>
        <v>-</v>
      </c>
      <c r="I54" s="1" t="str">
        <f t="shared" si="2"/>
        <v>-</v>
      </c>
    </row>
    <row r="55" spans="1:9" x14ac:dyDescent="0.25">
      <c r="A55" s="4" t="str">
        <f>RTD("rtdtrading.rtdserver",, "T&amp;T0", "DAT", 49)</f>
        <v>09/08/2023 12:17:36</v>
      </c>
      <c r="B55" s="1" t="str">
        <f>RTD("rtdtrading.rtdserver",, "T&amp;T0", "ACP", 49)</f>
        <v>XP</v>
      </c>
      <c r="C55" s="1">
        <f>RTD("rtdtrading.rtdserver",, "T&amp;T0", "PRE", 49)</f>
        <v>16.68</v>
      </c>
      <c r="D55" s="1">
        <f>RTD("rtdtrading.rtdserver",, "T&amp;T0", "QUL", 49)</f>
        <v>100</v>
      </c>
      <c r="E55" s="1" t="str">
        <f>RTD("rtdtrading.rtdserver",, "T&amp;T0", "AVD", 49)</f>
        <v>Bradesco</v>
      </c>
      <c r="F55" s="5" t="str">
        <f>RTD("rtdtrading.rtdserver",, "T&amp;T0", "AGR", 49)</f>
        <v>Vendedor</v>
      </c>
      <c r="G55" s="15">
        <f t="shared" si="0"/>
        <v>0.51180555555555551</v>
      </c>
      <c r="H55" s="1" t="str">
        <f t="shared" si="1"/>
        <v>-</v>
      </c>
      <c r="I55" s="1" t="str">
        <f t="shared" si="2"/>
        <v>-</v>
      </c>
    </row>
    <row r="56" spans="1:9" x14ac:dyDescent="0.25">
      <c r="A56" s="4" t="str">
        <f>RTD("rtdtrading.rtdserver",, "T&amp;T0", "DAT", 50)</f>
        <v>09/08/2023 12:17:36</v>
      </c>
      <c r="B56" s="1" t="str">
        <f>RTD("rtdtrading.rtdserver",, "T&amp;T0", "ACP", 50)</f>
        <v>XP</v>
      </c>
      <c r="C56" s="1">
        <f>RTD("rtdtrading.rtdserver",, "T&amp;T0", "PRE", 50)</f>
        <v>16.68</v>
      </c>
      <c r="D56" s="1">
        <f>RTD("rtdtrading.rtdserver",, "T&amp;T0", "QUL", 50)</f>
        <v>100</v>
      </c>
      <c r="E56" s="1" t="str">
        <f>RTD("rtdtrading.rtdserver",, "T&amp;T0", "AVD", 50)</f>
        <v>XP</v>
      </c>
      <c r="F56" s="5" t="str">
        <f>RTD("rtdtrading.rtdserver",, "T&amp;T0", "AGR", 50)</f>
        <v>Vendedor</v>
      </c>
      <c r="G56" s="15">
        <f t="shared" si="0"/>
        <v>0.51180555555555551</v>
      </c>
      <c r="H56" s="1" t="str">
        <f t="shared" si="1"/>
        <v>-</v>
      </c>
      <c r="I56" s="1" t="str">
        <f t="shared" si="2"/>
        <v>-</v>
      </c>
    </row>
    <row r="57" spans="1:9" x14ac:dyDescent="0.25">
      <c r="A57" s="4" t="str">
        <f>RTD("rtdtrading.rtdserver",, "T&amp;T0", "DAT", 51)</f>
        <v>09/08/2023 12:17:36</v>
      </c>
      <c r="B57" s="1" t="str">
        <f>RTD("rtdtrading.rtdserver",, "T&amp;T0", "ACP", 51)</f>
        <v>XP</v>
      </c>
      <c r="C57" s="1">
        <f>RTD("rtdtrading.rtdserver",, "T&amp;T0", "PRE", 51)</f>
        <v>16.68</v>
      </c>
      <c r="D57" s="1">
        <f>RTD("rtdtrading.rtdserver",, "T&amp;T0", "QUL", 51)</f>
        <v>100</v>
      </c>
      <c r="E57" s="1" t="str">
        <f>RTD("rtdtrading.rtdserver",, "T&amp;T0", "AVD", 51)</f>
        <v>Merrill</v>
      </c>
      <c r="F57" s="5" t="str">
        <f>RTD("rtdtrading.rtdserver",, "T&amp;T0", "AGR", 51)</f>
        <v>Vendedor</v>
      </c>
      <c r="G57" s="15">
        <f t="shared" si="0"/>
        <v>0.51180555555555551</v>
      </c>
      <c r="H57" s="1" t="str">
        <f t="shared" si="1"/>
        <v>-</v>
      </c>
      <c r="I57" s="1" t="str">
        <f t="shared" si="2"/>
        <v>-</v>
      </c>
    </row>
    <row r="58" spans="1:9" x14ac:dyDescent="0.25">
      <c r="A58" s="4" t="str">
        <f>RTD("rtdtrading.rtdserver",, "T&amp;T0", "DAT", 52)</f>
        <v>09/08/2023 12:17:34</v>
      </c>
      <c r="B58" s="1" t="str">
        <f>RTD("rtdtrading.rtdserver",, "T&amp;T0", "ACP", 52)</f>
        <v>XP</v>
      </c>
      <c r="C58" s="1">
        <f>RTD("rtdtrading.rtdserver",, "T&amp;T0", "PRE", 52)</f>
        <v>16.690000000000001</v>
      </c>
      <c r="D58" s="1">
        <f>RTD("rtdtrading.rtdserver",, "T&amp;T0", "QUL", 52)</f>
        <v>200</v>
      </c>
      <c r="E58" s="1" t="str">
        <f>RTD("rtdtrading.rtdserver",, "T&amp;T0", "AVD", 52)</f>
        <v>Morgan</v>
      </c>
      <c r="F58" s="5" t="str">
        <f>RTD("rtdtrading.rtdserver",, "T&amp;T0", "AGR", 52)</f>
        <v>Comprador</v>
      </c>
      <c r="G58" s="15">
        <f t="shared" si="0"/>
        <v>0.51180555555555551</v>
      </c>
      <c r="H58" s="1" t="str">
        <f t="shared" si="1"/>
        <v>-</v>
      </c>
      <c r="I58" s="1" t="str">
        <f t="shared" si="2"/>
        <v>-</v>
      </c>
    </row>
    <row r="59" spans="1:9" x14ac:dyDescent="0.25">
      <c r="A59" s="4" t="str">
        <f>RTD("rtdtrading.rtdserver",, "T&amp;T0", "DAT", 53)</f>
        <v>09/08/2023 12:17:34</v>
      </c>
      <c r="B59" s="1" t="str">
        <f>RTD("rtdtrading.rtdserver",, "T&amp;T0", "ACP", 53)</f>
        <v>XP</v>
      </c>
      <c r="C59" s="1">
        <f>RTD("rtdtrading.rtdserver",, "T&amp;T0", "PRE", 53)</f>
        <v>16.68</v>
      </c>
      <c r="D59" s="1">
        <f>RTD("rtdtrading.rtdserver",, "T&amp;T0", "QUL", 53)</f>
        <v>200</v>
      </c>
      <c r="E59" s="1" t="str">
        <f>RTD("rtdtrading.rtdserver",, "T&amp;T0", "AVD", 53)</f>
        <v>Clear</v>
      </c>
      <c r="F59" s="5" t="str">
        <f>RTD("rtdtrading.rtdserver",, "T&amp;T0", "AGR", 53)</f>
        <v>Vendedor</v>
      </c>
      <c r="G59" s="15">
        <f t="shared" si="0"/>
        <v>0.51180555555555551</v>
      </c>
      <c r="H59" s="1" t="str">
        <f t="shared" si="1"/>
        <v>-</v>
      </c>
      <c r="I59" s="1" t="str">
        <f t="shared" si="2"/>
        <v>-</v>
      </c>
    </row>
    <row r="60" spans="1:9" x14ac:dyDescent="0.25">
      <c r="A60" s="4" t="str">
        <f>RTD("rtdtrading.rtdserver",, "T&amp;T0", "DAT", 54)</f>
        <v>09/08/2023 12:17:32</v>
      </c>
      <c r="B60" s="1" t="str">
        <f>RTD("rtdtrading.rtdserver",, "T&amp;T0", "ACP", 54)</f>
        <v>XP</v>
      </c>
      <c r="C60" s="1">
        <f>RTD("rtdtrading.rtdserver",, "T&amp;T0", "PRE", 54)</f>
        <v>16.68</v>
      </c>
      <c r="D60" s="1">
        <f>RTD("rtdtrading.rtdserver",, "T&amp;T0", "QUL", 54)</f>
        <v>100</v>
      </c>
      <c r="E60" s="1" t="str">
        <f>RTD("rtdtrading.rtdserver",, "T&amp;T0", "AVD", 54)</f>
        <v>JP Morgan</v>
      </c>
      <c r="F60" s="5" t="str">
        <f>RTD("rtdtrading.rtdserver",, "T&amp;T0", "AGR", 54)</f>
        <v>Vendedor</v>
      </c>
      <c r="G60" s="15">
        <f t="shared" si="0"/>
        <v>0.51180555555555551</v>
      </c>
      <c r="H60" s="1" t="str">
        <f t="shared" si="1"/>
        <v>-</v>
      </c>
      <c r="I60" s="1" t="str">
        <f t="shared" si="2"/>
        <v>-</v>
      </c>
    </row>
    <row r="61" spans="1:9" x14ac:dyDescent="0.25">
      <c r="A61" s="4" t="str">
        <f>RTD("rtdtrading.rtdserver",, "T&amp;T0", "DAT", 55)</f>
        <v>09/08/2023 12:17:31</v>
      </c>
      <c r="B61" s="1" t="str">
        <f>RTD("rtdtrading.rtdserver",, "T&amp;T0", "ACP", 55)</f>
        <v>XP</v>
      </c>
      <c r="C61" s="1">
        <f>RTD("rtdtrading.rtdserver",, "T&amp;T0", "PRE", 55)</f>
        <v>16.68</v>
      </c>
      <c r="D61" s="1">
        <f>RTD("rtdtrading.rtdserver",, "T&amp;T0", "QUL", 55)</f>
        <v>100</v>
      </c>
      <c r="E61" s="1" t="str">
        <f>RTD("rtdtrading.rtdserver",, "T&amp;T0", "AVD", 55)</f>
        <v>Morgan</v>
      </c>
      <c r="F61" s="5" t="str">
        <f>RTD("rtdtrading.rtdserver",, "T&amp;T0", "AGR", 55)</f>
        <v>Vendedor</v>
      </c>
      <c r="G61" s="15">
        <f t="shared" si="0"/>
        <v>0.51180555555555551</v>
      </c>
      <c r="H61" s="1" t="str">
        <f t="shared" si="1"/>
        <v>-</v>
      </c>
      <c r="I61" s="1" t="str">
        <f t="shared" si="2"/>
        <v>-</v>
      </c>
    </row>
    <row r="62" spans="1:9" x14ac:dyDescent="0.25">
      <c r="A62" s="4" t="str">
        <f>RTD("rtdtrading.rtdserver",, "T&amp;T0", "DAT", 56)</f>
        <v>09/08/2023 12:17:31</v>
      </c>
      <c r="B62" s="1" t="str">
        <f>RTD("rtdtrading.rtdserver",, "T&amp;T0", "ACP", 56)</f>
        <v>XP</v>
      </c>
      <c r="C62" s="1">
        <f>RTD("rtdtrading.rtdserver",, "T&amp;T0", "PRE", 56)</f>
        <v>16.68</v>
      </c>
      <c r="D62" s="1">
        <f>RTD("rtdtrading.rtdserver",, "T&amp;T0", "QUL", 56)</f>
        <v>2700</v>
      </c>
      <c r="E62" s="1" t="str">
        <f>RTD("rtdtrading.rtdserver",, "T&amp;T0", "AVD", 56)</f>
        <v>Morgan</v>
      </c>
      <c r="F62" s="5" t="str">
        <f>RTD("rtdtrading.rtdserver",, "T&amp;T0", "AGR", 56)</f>
        <v>Vendedor</v>
      </c>
      <c r="G62" s="15">
        <f t="shared" si="0"/>
        <v>0.51180555555555551</v>
      </c>
      <c r="H62" s="1" t="str">
        <f t="shared" si="1"/>
        <v>-</v>
      </c>
      <c r="I62" s="1" t="str">
        <f t="shared" si="2"/>
        <v>-</v>
      </c>
    </row>
    <row r="63" spans="1:9" x14ac:dyDescent="0.25">
      <c r="A63" s="4" t="str">
        <f>RTD("rtdtrading.rtdserver",, "T&amp;T0", "DAT", 57)</f>
        <v>09/08/2023 12:17:31</v>
      </c>
      <c r="B63" s="1" t="str">
        <f>RTD("rtdtrading.rtdserver",, "T&amp;T0", "ACP", 57)</f>
        <v>Clear</v>
      </c>
      <c r="C63" s="1">
        <f>RTD("rtdtrading.rtdserver",, "T&amp;T0", "PRE", 57)</f>
        <v>16.68</v>
      </c>
      <c r="D63" s="1">
        <f>RTD("rtdtrading.rtdserver",, "T&amp;T0", "QUL", 57)</f>
        <v>100</v>
      </c>
      <c r="E63" s="1" t="str">
        <f>RTD("rtdtrading.rtdserver",, "T&amp;T0", "AVD", 57)</f>
        <v>Morgan</v>
      </c>
      <c r="F63" s="5" t="str">
        <f>RTD("rtdtrading.rtdserver",, "T&amp;T0", "AGR", 57)</f>
        <v>Vendedor</v>
      </c>
      <c r="G63" s="15">
        <f t="shared" si="0"/>
        <v>0.51180555555555551</v>
      </c>
      <c r="H63" s="1" t="str">
        <f t="shared" si="1"/>
        <v>-</v>
      </c>
      <c r="I63" s="1" t="str">
        <f t="shared" si="2"/>
        <v>-</v>
      </c>
    </row>
    <row r="64" spans="1:9" x14ac:dyDescent="0.25">
      <c r="A64" s="4" t="str">
        <f>RTD("rtdtrading.rtdserver",, "T&amp;T0", "DAT", 58)</f>
        <v>09/08/2023 12:17:31</v>
      </c>
      <c r="B64" s="1" t="str">
        <f>RTD("rtdtrading.rtdserver",, "T&amp;T0", "ACP", 58)</f>
        <v>C6</v>
      </c>
      <c r="C64" s="1">
        <f>RTD("rtdtrading.rtdserver",, "T&amp;T0", "PRE", 58)</f>
        <v>16.68</v>
      </c>
      <c r="D64" s="1">
        <f>RTD("rtdtrading.rtdserver",, "T&amp;T0", "QUL", 58)</f>
        <v>200</v>
      </c>
      <c r="E64" s="1" t="str">
        <f>RTD("rtdtrading.rtdserver",, "T&amp;T0", "AVD", 58)</f>
        <v>Morgan</v>
      </c>
      <c r="F64" s="5" t="str">
        <f>RTD("rtdtrading.rtdserver",, "T&amp;T0", "AGR", 58)</f>
        <v>Vendedor</v>
      </c>
      <c r="G64" s="15">
        <f t="shared" si="0"/>
        <v>0.51180555555555551</v>
      </c>
      <c r="H64" s="1" t="str">
        <f t="shared" si="1"/>
        <v>-</v>
      </c>
      <c r="I64" s="1" t="str">
        <f t="shared" si="2"/>
        <v>-</v>
      </c>
    </row>
    <row r="65" spans="1:9" x14ac:dyDescent="0.25">
      <c r="A65" s="4" t="str">
        <f>RTD("rtdtrading.rtdserver",, "T&amp;T0", "DAT", 59)</f>
        <v>09/08/2023 12:17:25</v>
      </c>
      <c r="B65" s="1" t="str">
        <f>RTD("rtdtrading.rtdserver",, "T&amp;T0", "ACP", 59)</f>
        <v>Genial</v>
      </c>
      <c r="C65" s="1">
        <f>RTD("rtdtrading.rtdserver",, "T&amp;T0", "PRE", 59)</f>
        <v>16.690000000000001</v>
      </c>
      <c r="D65" s="1">
        <f>RTD("rtdtrading.rtdserver",, "T&amp;T0", "QUL", 59)</f>
        <v>1000</v>
      </c>
      <c r="E65" s="1" t="str">
        <f>RTD("rtdtrading.rtdserver",, "T&amp;T0", "AVD", 59)</f>
        <v>Morgan</v>
      </c>
      <c r="F65" s="5" t="str">
        <f>RTD("rtdtrading.rtdserver",, "T&amp;T0", "AGR", 59)</f>
        <v>Comprador</v>
      </c>
      <c r="G65" s="15">
        <f t="shared" si="0"/>
        <v>0.51180555555555551</v>
      </c>
      <c r="H65" s="1" t="str">
        <f t="shared" si="1"/>
        <v>-</v>
      </c>
      <c r="I65" s="1" t="str">
        <f t="shared" si="2"/>
        <v>-</v>
      </c>
    </row>
    <row r="66" spans="1:9" x14ac:dyDescent="0.25">
      <c r="A66" s="4" t="str">
        <f>RTD("rtdtrading.rtdserver",, "T&amp;T0", "DAT", 60)</f>
        <v>09/08/2023 12:17:22</v>
      </c>
      <c r="B66" s="1" t="str">
        <f>RTD("rtdtrading.rtdserver",, "T&amp;T0", "ACP", 60)</f>
        <v>Inter</v>
      </c>
      <c r="C66" s="1">
        <f>RTD("rtdtrading.rtdserver",, "T&amp;T0", "PRE", 60)</f>
        <v>16.690000000000001</v>
      </c>
      <c r="D66" s="1">
        <f>RTD("rtdtrading.rtdserver",, "T&amp;T0", "QUL", 60)</f>
        <v>100</v>
      </c>
      <c r="E66" s="1" t="str">
        <f>RTD("rtdtrading.rtdserver",, "T&amp;T0", "AVD", 60)</f>
        <v>Morgan</v>
      </c>
      <c r="F66" s="5" t="str">
        <f>RTD("rtdtrading.rtdserver",, "T&amp;T0", "AGR", 60)</f>
        <v>Comprador</v>
      </c>
      <c r="G66" s="15">
        <f t="shared" si="0"/>
        <v>0.51180555555555551</v>
      </c>
      <c r="H66" s="1" t="str">
        <f t="shared" si="1"/>
        <v>-</v>
      </c>
      <c r="I66" s="1" t="str">
        <f t="shared" si="2"/>
        <v>-</v>
      </c>
    </row>
    <row r="67" spans="1:9" x14ac:dyDescent="0.25">
      <c r="A67" s="4" t="str">
        <f>RTD("rtdtrading.rtdserver",, "T&amp;T0", "DAT", 61)</f>
        <v>09/08/2023 12:17:17</v>
      </c>
      <c r="B67" s="1" t="str">
        <f>RTD("rtdtrading.rtdserver",, "T&amp;T0", "ACP", 61)</f>
        <v>Genial</v>
      </c>
      <c r="C67" s="1">
        <f>RTD("rtdtrading.rtdserver",, "T&amp;T0", "PRE", 61)</f>
        <v>16.68</v>
      </c>
      <c r="D67" s="1">
        <f>RTD("rtdtrading.rtdserver",, "T&amp;T0", "QUL", 61)</f>
        <v>800</v>
      </c>
      <c r="E67" s="1" t="str">
        <f>RTD("rtdtrading.rtdserver",, "T&amp;T0", "AVD", 61)</f>
        <v>Morgan</v>
      </c>
      <c r="F67" s="5" t="str">
        <f>RTD("rtdtrading.rtdserver",, "T&amp;T0", "AGR", 61)</f>
        <v>Vendedor</v>
      </c>
      <c r="G67" s="15">
        <f t="shared" si="0"/>
        <v>0.51180555555555551</v>
      </c>
      <c r="H67" s="1" t="str">
        <f t="shared" si="1"/>
        <v>-</v>
      </c>
      <c r="I67" s="1" t="str">
        <f t="shared" si="2"/>
        <v>-</v>
      </c>
    </row>
    <row r="68" spans="1:9" x14ac:dyDescent="0.25">
      <c r="A68" s="4" t="str">
        <f>RTD("rtdtrading.rtdserver",, "T&amp;T0", "DAT", 62)</f>
        <v>09/08/2023 12:17:16</v>
      </c>
      <c r="B68" s="1" t="str">
        <f>RTD("rtdtrading.rtdserver",, "T&amp;T0", "ACP", 62)</f>
        <v>Merrill</v>
      </c>
      <c r="C68" s="1">
        <f>RTD("rtdtrading.rtdserver",, "T&amp;T0", "PRE", 62)</f>
        <v>16.690000000000001</v>
      </c>
      <c r="D68" s="1">
        <f>RTD("rtdtrading.rtdserver",, "T&amp;T0", "QUL", 62)</f>
        <v>500</v>
      </c>
      <c r="E68" s="1" t="str">
        <f>RTD("rtdtrading.rtdserver",, "T&amp;T0", "AVD", 62)</f>
        <v>UBS</v>
      </c>
      <c r="F68" s="5" t="str">
        <f>RTD("rtdtrading.rtdserver",, "T&amp;T0", "AGR", 62)</f>
        <v>Vendedor</v>
      </c>
      <c r="G68" s="15">
        <f t="shared" si="0"/>
        <v>0.51180555555555551</v>
      </c>
      <c r="H68" s="1" t="str">
        <f t="shared" si="1"/>
        <v>-</v>
      </c>
      <c r="I68" s="1" t="str">
        <f t="shared" si="2"/>
        <v>-</v>
      </c>
    </row>
    <row r="69" spans="1:9" x14ac:dyDescent="0.25">
      <c r="A69" s="4" t="str">
        <f>RTD("rtdtrading.rtdserver",, "T&amp;T0", "DAT", 63)</f>
        <v>09/08/2023 12:17:16</v>
      </c>
      <c r="B69" s="1" t="str">
        <f>RTD("rtdtrading.rtdserver",, "T&amp;T0", "ACP", 63)</f>
        <v>JP Morgan</v>
      </c>
      <c r="C69" s="1">
        <f>RTD("rtdtrading.rtdserver",, "T&amp;T0", "PRE", 63)</f>
        <v>16.690000000000001</v>
      </c>
      <c r="D69" s="1">
        <f>RTD("rtdtrading.rtdserver",, "T&amp;T0", "QUL", 63)</f>
        <v>300</v>
      </c>
      <c r="E69" s="1" t="str">
        <f>RTD("rtdtrading.rtdserver",, "T&amp;T0", "AVD", 63)</f>
        <v>UBS</v>
      </c>
      <c r="F69" s="5" t="str">
        <f>RTD("rtdtrading.rtdserver",, "T&amp;T0", "AGR", 63)</f>
        <v>Vendedor</v>
      </c>
      <c r="G69" s="15">
        <f t="shared" si="0"/>
        <v>0.51180555555555551</v>
      </c>
      <c r="H69" s="1" t="str">
        <f t="shared" si="1"/>
        <v>-</v>
      </c>
      <c r="I69" s="1" t="str">
        <f t="shared" si="2"/>
        <v>-</v>
      </c>
    </row>
    <row r="70" spans="1:9" x14ac:dyDescent="0.25">
      <c r="A70" s="4" t="str">
        <f>RTD("rtdtrading.rtdserver",, "T&amp;T0", "DAT", 64)</f>
        <v>09/08/2023 12:17:16</v>
      </c>
      <c r="B70" s="1" t="str">
        <f>RTD("rtdtrading.rtdserver",, "T&amp;T0", "ACP", 64)</f>
        <v>JP Morgan</v>
      </c>
      <c r="C70" s="1">
        <f>RTD("rtdtrading.rtdserver",, "T&amp;T0", "PRE", 64)</f>
        <v>16.690000000000001</v>
      </c>
      <c r="D70" s="1">
        <f>RTD("rtdtrading.rtdserver",, "T&amp;T0", "QUL", 64)</f>
        <v>500</v>
      </c>
      <c r="E70" s="1" t="str">
        <f>RTD("rtdtrading.rtdserver",, "T&amp;T0", "AVD", 64)</f>
        <v>Bradesco</v>
      </c>
      <c r="F70" s="5" t="str">
        <f>RTD("rtdtrading.rtdserver",, "T&amp;T0", "AGR", 64)</f>
        <v>Vendedor</v>
      </c>
      <c r="G70" s="15">
        <f t="shared" ref="G70:G104" si="3">IF(B70="-","-",TIME(TEXT(A70,"HH"),RIGHT(TEXT(A70,"HH:MM"),2),0))</f>
        <v>0.51180555555555551</v>
      </c>
      <c r="H70" s="1" t="str">
        <f t="shared" si="1"/>
        <v>-</v>
      </c>
      <c r="I70" s="1" t="str">
        <f t="shared" si="2"/>
        <v>-</v>
      </c>
    </row>
    <row r="71" spans="1:9" x14ac:dyDescent="0.25">
      <c r="A71" s="4" t="str">
        <f>RTD("rtdtrading.rtdserver",, "T&amp;T0", "DAT", 65)</f>
        <v>09/08/2023 12:17:16</v>
      </c>
      <c r="B71" s="1" t="str">
        <f>RTD("rtdtrading.rtdserver",, "T&amp;T0", "ACP", 65)</f>
        <v>XP</v>
      </c>
      <c r="C71" s="1">
        <f>RTD("rtdtrading.rtdserver",, "T&amp;T0", "PRE", 65)</f>
        <v>16.690000000000001</v>
      </c>
      <c r="D71" s="1">
        <f>RTD("rtdtrading.rtdserver",, "T&amp;T0", "QUL", 65)</f>
        <v>2000</v>
      </c>
      <c r="E71" s="1" t="str">
        <f>RTD("rtdtrading.rtdserver",, "T&amp;T0", "AVD", 65)</f>
        <v>Bradesco</v>
      </c>
      <c r="F71" s="5" t="str">
        <f>RTD("rtdtrading.rtdserver",, "T&amp;T0", "AGR", 65)</f>
        <v>Vendedor</v>
      </c>
      <c r="G71" s="15">
        <f t="shared" si="3"/>
        <v>0.51180555555555551</v>
      </c>
      <c r="H71" s="1" t="str">
        <f t="shared" ref="H71:H105" si="4">IF(AND(G71&lt;&gt;G72,G72=G73),C71,"-")</f>
        <v>-</v>
      </c>
      <c r="I71" s="1" t="str">
        <f t="shared" si="2"/>
        <v>-</v>
      </c>
    </row>
    <row r="72" spans="1:9" x14ac:dyDescent="0.25">
      <c r="A72" s="4" t="str">
        <f>RTD("rtdtrading.rtdserver",, "T&amp;T0", "DAT", 66)</f>
        <v>09/08/2023 12:17:16</v>
      </c>
      <c r="B72" s="1" t="str">
        <f>RTD("rtdtrading.rtdserver",, "T&amp;T0", "ACP", 66)</f>
        <v>XP</v>
      </c>
      <c r="C72" s="1">
        <f>RTD("rtdtrading.rtdserver",, "T&amp;T0", "PRE", 66)</f>
        <v>16.690000000000001</v>
      </c>
      <c r="D72" s="1">
        <f>RTD("rtdtrading.rtdserver",, "T&amp;T0", "QUL", 66)</f>
        <v>1800</v>
      </c>
      <c r="E72" s="1" t="str">
        <f>RTD("rtdtrading.rtdserver",, "T&amp;T0", "AVD", 66)</f>
        <v>Bradesco</v>
      </c>
      <c r="F72" s="5" t="str">
        <f>RTD("rtdtrading.rtdserver",, "T&amp;T0", "AGR", 66)</f>
        <v>Vendedor</v>
      </c>
      <c r="G72" s="15">
        <f t="shared" si="3"/>
        <v>0.51180555555555551</v>
      </c>
      <c r="H72" s="1" t="str">
        <f t="shared" si="4"/>
        <v>-</v>
      </c>
      <c r="I72" s="1" t="str">
        <f t="shared" ref="I72:I105" si="5">IF(AND(G71&lt;&gt;G72,G72=G73),C72,"-")</f>
        <v>-</v>
      </c>
    </row>
    <row r="73" spans="1:9" x14ac:dyDescent="0.25">
      <c r="A73" s="4" t="str">
        <f>RTD("rtdtrading.rtdserver",, "T&amp;T0", "DAT", 67)</f>
        <v>09/08/2023 12:17:16</v>
      </c>
      <c r="B73" s="1" t="str">
        <f>RTD("rtdtrading.rtdserver",, "T&amp;T0", "ACP", 67)</f>
        <v>XP</v>
      </c>
      <c r="C73" s="1">
        <f>RTD("rtdtrading.rtdserver",, "T&amp;T0", "PRE", 67)</f>
        <v>16.690000000000001</v>
      </c>
      <c r="D73" s="1">
        <f>RTD("rtdtrading.rtdserver",, "T&amp;T0", "QUL", 67)</f>
        <v>10000</v>
      </c>
      <c r="E73" s="1" t="str">
        <f>RTD("rtdtrading.rtdserver",, "T&amp;T0", "AVD", 67)</f>
        <v>Bradesco</v>
      </c>
      <c r="F73" s="5" t="str">
        <f>RTD("rtdtrading.rtdserver",, "T&amp;T0", "AGR", 67)</f>
        <v>Vendedor</v>
      </c>
      <c r="G73" s="15">
        <f t="shared" si="3"/>
        <v>0.51180555555555551</v>
      </c>
      <c r="H73" s="1" t="str">
        <f t="shared" si="4"/>
        <v>-</v>
      </c>
      <c r="I73" s="1" t="str">
        <f t="shared" si="5"/>
        <v>-</v>
      </c>
    </row>
    <row r="74" spans="1:9" x14ac:dyDescent="0.25">
      <c r="A74" s="4" t="str">
        <f>RTD("rtdtrading.rtdserver",, "T&amp;T0", "DAT", 68)</f>
        <v>09/08/2023 12:17:16</v>
      </c>
      <c r="B74" s="1" t="str">
        <f>RTD("rtdtrading.rtdserver",, "T&amp;T0", "ACP", 68)</f>
        <v>Agora</v>
      </c>
      <c r="C74" s="1">
        <f>RTD("rtdtrading.rtdserver",, "T&amp;T0", "PRE", 68)</f>
        <v>16.690000000000001</v>
      </c>
      <c r="D74" s="1">
        <f>RTD("rtdtrading.rtdserver",, "T&amp;T0", "QUL", 68)</f>
        <v>100</v>
      </c>
      <c r="E74" s="1" t="str">
        <f>RTD("rtdtrading.rtdserver",, "T&amp;T0", "AVD", 68)</f>
        <v>Bradesco</v>
      </c>
      <c r="F74" s="5" t="str">
        <f>RTD("rtdtrading.rtdserver",, "T&amp;T0", "AGR", 68)</f>
        <v>Vendedor</v>
      </c>
      <c r="G74" s="15">
        <f t="shared" si="3"/>
        <v>0.51180555555555551</v>
      </c>
      <c r="H74" s="1" t="str">
        <f t="shared" si="4"/>
        <v>-</v>
      </c>
      <c r="I74" s="1" t="str">
        <f t="shared" si="5"/>
        <v>-</v>
      </c>
    </row>
    <row r="75" spans="1:9" x14ac:dyDescent="0.25">
      <c r="A75" s="4" t="str">
        <f>RTD("rtdtrading.rtdserver",, "T&amp;T0", "DAT", 69)</f>
        <v>09/08/2023 12:17:16</v>
      </c>
      <c r="B75" s="1" t="str">
        <f>RTD("rtdtrading.rtdserver",, "T&amp;T0", "ACP", 69)</f>
        <v>XP</v>
      </c>
      <c r="C75" s="1">
        <f>RTD("rtdtrading.rtdserver",, "T&amp;T0", "PRE", 69)</f>
        <v>16.690000000000001</v>
      </c>
      <c r="D75" s="1">
        <f>RTD("rtdtrading.rtdserver",, "T&amp;T0", "QUL", 69)</f>
        <v>500</v>
      </c>
      <c r="E75" s="1" t="str">
        <f>RTD("rtdtrading.rtdserver",, "T&amp;T0", "AVD", 69)</f>
        <v>Bradesco</v>
      </c>
      <c r="F75" s="5" t="str">
        <f>RTD("rtdtrading.rtdserver",, "T&amp;T0", "AGR", 69)</f>
        <v>Vendedor</v>
      </c>
      <c r="G75" s="15">
        <f t="shared" si="3"/>
        <v>0.51180555555555551</v>
      </c>
      <c r="H75" s="1" t="str">
        <f t="shared" si="4"/>
        <v>-</v>
      </c>
      <c r="I75" s="1" t="str">
        <f t="shared" si="5"/>
        <v>-</v>
      </c>
    </row>
    <row r="76" spans="1:9" x14ac:dyDescent="0.25">
      <c r="A76" s="4" t="str">
        <f>RTD("rtdtrading.rtdserver",, "T&amp;T0", "DAT", 70)</f>
        <v>09/08/2023 12:17:16</v>
      </c>
      <c r="B76" s="1" t="str">
        <f>RTD("rtdtrading.rtdserver",, "T&amp;T0", "ACP", 70)</f>
        <v>XP</v>
      </c>
      <c r="C76" s="1">
        <f>RTD("rtdtrading.rtdserver",, "T&amp;T0", "PRE", 70)</f>
        <v>16.690000000000001</v>
      </c>
      <c r="D76" s="1">
        <f>RTD("rtdtrading.rtdserver",, "T&amp;T0", "QUL", 70)</f>
        <v>300</v>
      </c>
      <c r="E76" s="1" t="str">
        <f>RTD("rtdtrading.rtdserver",, "T&amp;T0", "AVD", 70)</f>
        <v>Bradesco</v>
      </c>
      <c r="F76" s="5" t="str">
        <f>RTD("rtdtrading.rtdserver",, "T&amp;T0", "AGR", 70)</f>
        <v>Vendedor</v>
      </c>
      <c r="G76" s="15">
        <f t="shared" si="3"/>
        <v>0.51180555555555551</v>
      </c>
      <c r="H76" s="1" t="str">
        <f t="shared" si="4"/>
        <v>-</v>
      </c>
      <c r="I76" s="1" t="str">
        <f t="shared" si="5"/>
        <v>-</v>
      </c>
    </row>
    <row r="77" spans="1:9" x14ac:dyDescent="0.25">
      <c r="A77" s="4" t="str">
        <f>RTD("rtdtrading.rtdserver",, "T&amp;T0", "DAT", 71)</f>
        <v>09/08/2023 12:17:14</v>
      </c>
      <c r="B77" s="1" t="str">
        <f>RTD("rtdtrading.rtdserver",, "T&amp;T0", "ACP", 71)</f>
        <v>XP</v>
      </c>
      <c r="C77" s="1">
        <f>RTD("rtdtrading.rtdserver",, "T&amp;T0", "PRE", 71)</f>
        <v>16.690000000000001</v>
      </c>
      <c r="D77" s="1">
        <f>RTD("rtdtrading.rtdserver",, "T&amp;T0", "QUL", 71)</f>
        <v>200</v>
      </c>
      <c r="E77" s="1" t="str">
        <f>RTD("rtdtrading.rtdserver",, "T&amp;T0", "AVD", 71)</f>
        <v>Bradesco</v>
      </c>
      <c r="F77" s="5" t="str">
        <f>RTD("rtdtrading.rtdserver",, "T&amp;T0", "AGR", 71)</f>
        <v>Vendedor</v>
      </c>
      <c r="G77" s="15">
        <f t="shared" si="3"/>
        <v>0.51180555555555551</v>
      </c>
      <c r="H77" s="1" t="str">
        <f t="shared" si="4"/>
        <v>-</v>
      </c>
      <c r="I77" s="1" t="str">
        <f t="shared" si="5"/>
        <v>-</v>
      </c>
    </row>
    <row r="78" spans="1:9" x14ac:dyDescent="0.25">
      <c r="A78" s="4" t="str">
        <f>RTD("rtdtrading.rtdserver",, "T&amp;T0", "DAT", 72)</f>
        <v>09/08/2023 12:17:14</v>
      </c>
      <c r="B78" s="1" t="str">
        <f>RTD("rtdtrading.rtdserver",, "T&amp;T0", "ACP", 72)</f>
        <v>XP</v>
      </c>
      <c r="C78" s="1">
        <f>RTD("rtdtrading.rtdserver",, "T&amp;T0", "PRE", 72)</f>
        <v>16.690000000000001</v>
      </c>
      <c r="D78" s="1">
        <f>RTD("rtdtrading.rtdserver",, "T&amp;T0", "QUL", 72)</f>
        <v>200</v>
      </c>
      <c r="E78" s="1" t="str">
        <f>RTD("rtdtrading.rtdserver",, "T&amp;T0", "AVD", 72)</f>
        <v>Bradesco</v>
      </c>
      <c r="F78" s="5" t="str">
        <f>RTD("rtdtrading.rtdserver",, "T&amp;T0", "AGR", 72)</f>
        <v>Vendedor</v>
      </c>
      <c r="G78" s="15">
        <f t="shared" si="3"/>
        <v>0.51180555555555551</v>
      </c>
      <c r="H78" s="1" t="str">
        <f t="shared" si="4"/>
        <v>-</v>
      </c>
      <c r="I78" s="1" t="str">
        <f t="shared" si="5"/>
        <v>-</v>
      </c>
    </row>
    <row r="79" spans="1:9" x14ac:dyDescent="0.25">
      <c r="A79" s="4" t="str">
        <f>RTD("rtdtrading.rtdserver",, "T&amp;T0", "DAT", 73)</f>
        <v>09/08/2023 12:17:14</v>
      </c>
      <c r="B79" s="1" t="str">
        <f>RTD("rtdtrading.rtdserver",, "T&amp;T0", "ACP", 73)</f>
        <v>XP</v>
      </c>
      <c r="C79" s="1">
        <f>RTD("rtdtrading.rtdserver",, "T&amp;T0", "PRE", 73)</f>
        <v>16.690000000000001</v>
      </c>
      <c r="D79" s="1">
        <f>RTD("rtdtrading.rtdserver",, "T&amp;T0", "QUL", 73)</f>
        <v>100</v>
      </c>
      <c r="E79" s="1" t="str">
        <f>RTD("rtdtrading.rtdserver",, "T&amp;T0", "AVD", 73)</f>
        <v>XP</v>
      </c>
      <c r="F79" s="5" t="str">
        <f>RTD("rtdtrading.rtdserver",, "T&amp;T0", "AGR", 73)</f>
        <v>Vendedor</v>
      </c>
      <c r="G79" s="15">
        <f t="shared" si="3"/>
        <v>0.51180555555555551</v>
      </c>
      <c r="H79" s="1" t="str">
        <f t="shared" si="4"/>
        <v>-</v>
      </c>
      <c r="I79" s="1" t="str">
        <f t="shared" si="5"/>
        <v>-</v>
      </c>
    </row>
    <row r="80" spans="1:9" x14ac:dyDescent="0.25">
      <c r="A80" s="4" t="str">
        <f>RTD("rtdtrading.rtdserver",, "T&amp;T0", "DAT", 74)</f>
        <v>09/08/2023 12:17:14</v>
      </c>
      <c r="B80" s="1" t="str">
        <f>RTD("rtdtrading.rtdserver",, "T&amp;T0", "ACP", 74)</f>
        <v>XP</v>
      </c>
      <c r="C80" s="1">
        <f>RTD("rtdtrading.rtdserver",, "T&amp;T0", "PRE", 74)</f>
        <v>16.690000000000001</v>
      </c>
      <c r="D80" s="1">
        <f>RTD("rtdtrading.rtdserver",, "T&amp;T0", "QUL", 74)</f>
        <v>100</v>
      </c>
      <c r="E80" s="1" t="str">
        <f>RTD("rtdtrading.rtdserver",, "T&amp;T0", "AVD", 74)</f>
        <v>XP</v>
      </c>
      <c r="F80" s="5" t="str">
        <f>RTD("rtdtrading.rtdserver",, "T&amp;T0", "AGR", 74)</f>
        <v>Vendedor</v>
      </c>
      <c r="G80" s="15">
        <f t="shared" si="3"/>
        <v>0.51180555555555551</v>
      </c>
      <c r="H80" s="1" t="str">
        <f t="shared" si="4"/>
        <v>-</v>
      </c>
      <c r="I80" s="1" t="str">
        <f t="shared" si="5"/>
        <v>-</v>
      </c>
    </row>
    <row r="81" spans="1:9" x14ac:dyDescent="0.25">
      <c r="A81" s="4" t="str">
        <f>RTD("rtdtrading.rtdserver",, "T&amp;T0", "DAT", 75)</f>
        <v>09/08/2023 12:17:14</v>
      </c>
      <c r="B81" s="1" t="str">
        <f>RTD("rtdtrading.rtdserver",, "T&amp;T0", "ACP", 75)</f>
        <v>XP</v>
      </c>
      <c r="C81" s="1">
        <f>RTD("rtdtrading.rtdserver",, "T&amp;T0", "PRE", 75)</f>
        <v>16.690000000000001</v>
      </c>
      <c r="D81" s="1">
        <f>RTD("rtdtrading.rtdserver",, "T&amp;T0", "QUL", 75)</f>
        <v>100</v>
      </c>
      <c r="E81" s="1" t="str">
        <f>RTD("rtdtrading.rtdserver",, "T&amp;T0", "AVD", 75)</f>
        <v>Morgan</v>
      </c>
      <c r="F81" s="5" t="str">
        <f>RTD("rtdtrading.rtdserver",, "T&amp;T0", "AGR", 75)</f>
        <v>Vendedor</v>
      </c>
      <c r="G81" s="15">
        <f t="shared" si="3"/>
        <v>0.51180555555555551</v>
      </c>
      <c r="H81" s="1" t="str">
        <f t="shared" si="4"/>
        <v>-</v>
      </c>
      <c r="I81" s="1" t="str">
        <f t="shared" si="5"/>
        <v>-</v>
      </c>
    </row>
    <row r="82" spans="1:9" x14ac:dyDescent="0.25">
      <c r="A82" s="4" t="str">
        <f>RTD("rtdtrading.rtdserver",, "T&amp;T0", "DAT", 76)</f>
        <v>09/08/2023 12:17:10</v>
      </c>
      <c r="B82" s="1" t="str">
        <f>RTD("rtdtrading.rtdserver",, "T&amp;T0", "ACP", 76)</f>
        <v>XP</v>
      </c>
      <c r="C82" s="1">
        <f>RTD("rtdtrading.rtdserver",, "T&amp;T0", "PRE", 76)</f>
        <v>16.690000000000001</v>
      </c>
      <c r="D82" s="1">
        <f>RTD("rtdtrading.rtdserver",, "T&amp;T0", "QUL", 76)</f>
        <v>100</v>
      </c>
      <c r="E82" s="1" t="str">
        <f>RTD("rtdtrading.rtdserver",, "T&amp;T0", "AVD", 76)</f>
        <v>Bradesco</v>
      </c>
      <c r="F82" s="5" t="str">
        <f>RTD("rtdtrading.rtdserver",, "T&amp;T0", "AGR", 76)</f>
        <v>Vendedor</v>
      </c>
      <c r="G82" s="15">
        <f t="shared" si="3"/>
        <v>0.51180555555555551</v>
      </c>
      <c r="H82" s="1" t="str">
        <f t="shared" si="4"/>
        <v>-</v>
      </c>
      <c r="I82" s="1" t="str">
        <f t="shared" si="5"/>
        <v>-</v>
      </c>
    </row>
    <row r="83" spans="1:9" x14ac:dyDescent="0.25">
      <c r="A83" s="4" t="str">
        <f>RTD("rtdtrading.rtdserver",, "T&amp;T0", "DAT", 77)</f>
        <v>09/08/2023 12:17:10</v>
      </c>
      <c r="B83" s="1" t="str">
        <f>RTD("rtdtrading.rtdserver",, "T&amp;T0", "ACP", 77)</f>
        <v>XP</v>
      </c>
      <c r="C83" s="1">
        <f>RTD("rtdtrading.rtdserver",, "T&amp;T0", "PRE", 77)</f>
        <v>16.690000000000001</v>
      </c>
      <c r="D83" s="1">
        <f>RTD("rtdtrading.rtdserver",, "T&amp;T0", "QUL", 77)</f>
        <v>100</v>
      </c>
      <c r="E83" s="1" t="str">
        <f>RTD("rtdtrading.rtdserver",, "T&amp;T0", "AVD", 77)</f>
        <v>Bradesco</v>
      </c>
      <c r="F83" s="5" t="str">
        <f>RTD("rtdtrading.rtdserver",, "T&amp;T0", "AGR", 77)</f>
        <v>Vendedor</v>
      </c>
      <c r="G83" s="15">
        <f t="shared" si="3"/>
        <v>0.51180555555555551</v>
      </c>
      <c r="H83" s="1" t="str">
        <f t="shared" si="4"/>
        <v>-</v>
      </c>
      <c r="I83" s="1" t="str">
        <f t="shared" si="5"/>
        <v>-</v>
      </c>
    </row>
    <row r="84" spans="1:9" x14ac:dyDescent="0.25">
      <c r="A84" s="4" t="str">
        <f>RTD("rtdtrading.rtdserver",, "T&amp;T0", "DAT", 78)</f>
        <v>09/08/2023 12:17:10</v>
      </c>
      <c r="B84" s="1" t="str">
        <f>RTD("rtdtrading.rtdserver",, "T&amp;T0", "ACP", 78)</f>
        <v>XP</v>
      </c>
      <c r="C84" s="1">
        <f>RTD("rtdtrading.rtdserver",, "T&amp;T0", "PRE", 78)</f>
        <v>16.690000000000001</v>
      </c>
      <c r="D84" s="1">
        <f>RTD("rtdtrading.rtdserver",, "T&amp;T0", "QUL", 78)</f>
        <v>100</v>
      </c>
      <c r="E84" s="1" t="str">
        <f>RTD("rtdtrading.rtdserver",, "T&amp;T0", "AVD", 78)</f>
        <v>Bradesco</v>
      </c>
      <c r="F84" s="5" t="str">
        <f>RTD("rtdtrading.rtdserver",, "T&amp;T0", "AGR", 78)</f>
        <v>Vendedor</v>
      </c>
      <c r="G84" s="15">
        <f t="shared" si="3"/>
        <v>0.51180555555555551</v>
      </c>
      <c r="H84" s="1" t="str">
        <f t="shared" si="4"/>
        <v>-</v>
      </c>
      <c r="I84" s="1" t="str">
        <f t="shared" si="5"/>
        <v>-</v>
      </c>
    </row>
    <row r="85" spans="1:9" x14ac:dyDescent="0.25">
      <c r="A85" s="4" t="str">
        <f>RTD("rtdtrading.rtdserver",, "T&amp;T0", "DAT", 79)</f>
        <v>09/08/2023 12:17:10</v>
      </c>
      <c r="B85" s="1" t="str">
        <f>RTD("rtdtrading.rtdserver",, "T&amp;T0", "ACP", 79)</f>
        <v>XP</v>
      </c>
      <c r="C85" s="1">
        <f>RTD("rtdtrading.rtdserver",, "T&amp;T0", "PRE", 79)</f>
        <v>16.690000000000001</v>
      </c>
      <c r="D85" s="1">
        <f>RTD("rtdtrading.rtdserver",, "T&amp;T0", "QUL", 79)</f>
        <v>100</v>
      </c>
      <c r="E85" s="1" t="str">
        <f>RTD("rtdtrading.rtdserver",, "T&amp;T0", "AVD", 79)</f>
        <v>XP</v>
      </c>
      <c r="F85" s="5" t="str">
        <f>RTD("rtdtrading.rtdserver",, "T&amp;T0", "AGR", 79)</f>
        <v>Vendedor</v>
      </c>
      <c r="G85" s="15">
        <f t="shared" si="3"/>
        <v>0.51180555555555551</v>
      </c>
      <c r="H85" s="1" t="str">
        <f t="shared" si="4"/>
        <v>-</v>
      </c>
      <c r="I85" s="1" t="str">
        <f t="shared" si="5"/>
        <v>-</v>
      </c>
    </row>
    <row r="86" spans="1:9" x14ac:dyDescent="0.25">
      <c r="A86" s="4" t="str">
        <f>RTD("rtdtrading.rtdserver",, "T&amp;T0", "DAT", 80)</f>
        <v>09/08/2023 12:17:10</v>
      </c>
      <c r="B86" s="1" t="str">
        <f>RTD("rtdtrading.rtdserver",, "T&amp;T0", "ACP", 80)</f>
        <v>XP</v>
      </c>
      <c r="C86" s="1">
        <f>RTD("rtdtrading.rtdserver",, "T&amp;T0", "PRE", 80)</f>
        <v>16.690000000000001</v>
      </c>
      <c r="D86" s="1">
        <f>RTD("rtdtrading.rtdserver",, "T&amp;T0", "QUL", 80)</f>
        <v>100</v>
      </c>
      <c r="E86" s="1" t="str">
        <f>RTD("rtdtrading.rtdserver",, "T&amp;T0", "AVD", 80)</f>
        <v>XP</v>
      </c>
      <c r="F86" s="5" t="str">
        <f>RTD("rtdtrading.rtdserver",, "T&amp;T0", "AGR", 80)</f>
        <v>Vendedor</v>
      </c>
      <c r="G86" s="15">
        <f t="shared" si="3"/>
        <v>0.51180555555555551</v>
      </c>
      <c r="H86" s="1" t="str">
        <f t="shared" si="4"/>
        <v>-</v>
      </c>
      <c r="I86" s="1" t="str">
        <f t="shared" si="5"/>
        <v>-</v>
      </c>
    </row>
    <row r="87" spans="1:9" x14ac:dyDescent="0.25">
      <c r="A87" s="4" t="str">
        <f>RTD("rtdtrading.rtdserver",, "T&amp;T0", "DAT", 81)</f>
        <v>09/08/2023 12:17:10</v>
      </c>
      <c r="B87" s="1" t="str">
        <f>RTD("rtdtrading.rtdserver",, "T&amp;T0", "ACP", 81)</f>
        <v>XP</v>
      </c>
      <c r="C87" s="1">
        <f>RTD("rtdtrading.rtdserver",, "T&amp;T0", "PRE", 81)</f>
        <v>16.690000000000001</v>
      </c>
      <c r="D87" s="1">
        <f>RTD("rtdtrading.rtdserver",, "T&amp;T0", "QUL", 81)</f>
        <v>100</v>
      </c>
      <c r="E87" s="1" t="str">
        <f>RTD("rtdtrading.rtdserver",, "T&amp;T0", "AVD", 81)</f>
        <v>Merrill</v>
      </c>
      <c r="F87" s="5" t="str">
        <f>RTD("rtdtrading.rtdserver",, "T&amp;T0", "AGR", 81)</f>
        <v>Vendedor</v>
      </c>
      <c r="G87" s="15">
        <f t="shared" si="3"/>
        <v>0.51180555555555551</v>
      </c>
      <c r="H87" s="1" t="str">
        <f t="shared" si="4"/>
        <v>-</v>
      </c>
      <c r="I87" s="1" t="str">
        <f t="shared" si="5"/>
        <v>-</v>
      </c>
    </row>
    <row r="88" spans="1:9" x14ac:dyDescent="0.25">
      <c r="A88" s="4" t="str">
        <f>RTD("rtdtrading.rtdserver",, "T&amp;T0", "DAT", 82)</f>
        <v>09/08/2023 12:17:10</v>
      </c>
      <c r="B88" s="1" t="str">
        <f>RTD("rtdtrading.rtdserver",, "T&amp;T0", "ACP", 82)</f>
        <v>XP</v>
      </c>
      <c r="C88" s="1">
        <f>RTD("rtdtrading.rtdserver",, "T&amp;T0", "PRE", 82)</f>
        <v>16.690000000000001</v>
      </c>
      <c r="D88" s="1">
        <f>RTD("rtdtrading.rtdserver",, "T&amp;T0", "QUL", 82)</f>
        <v>100</v>
      </c>
      <c r="E88" s="1" t="str">
        <f>RTD("rtdtrading.rtdserver",, "T&amp;T0", "AVD", 82)</f>
        <v>Bradesco</v>
      </c>
      <c r="F88" s="5" t="str">
        <f>RTD("rtdtrading.rtdserver",, "T&amp;T0", "AGR", 82)</f>
        <v>Vendedor</v>
      </c>
      <c r="G88" s="15">
        <f t="shared" si="3"/>
        <v>0.51180555555555551</v>
      </c>
      <c r="H88" s="1" t="str">
        <f t="shared" si="4"/>
        <v>-</v>
      </c>
      <c r="I88" s="1" t="str">
        <f t="shared" si="5"/>
        <v>-</v>
      </c>
    </row>
    <row r="89" spans="1:9" x14ac:dyDescent="0.25">
      <c r="A89" s="4" t="str">
        <f>RTD("rtdtrading.rtdserver",, "T&amp;T0", "DAT", 83)</f>
        <v>09/08/2023 12:17:06</v>
      </c>
      <c r="B89" s="1" t="str">
        <f>RTD("rtdtrading.rtdserver",, "T&amp;T0", "ACP", 83)</f>
        <v>XP</v>
      </c>
      <c r="C89" s="1">
        <f>RTD("rtdtrading.rtdserver",, "T&amp;T0", "PRE", 83)</f>
        <v>16.690000000000001</v>
      </c>
      <c r="D89" s="1">
        <f>RTD("rtdtrading.rtdserver",, "T&amp;T0", "QUL", 83)</f>
        <v>300</v>
      </c>
      <c r="E89" s="1" t="str">
        <f>RTD("rtdtrading.rtdserver",, "T&amp;T0", "AVD", 83)</f>
        <v>Morgan</v>
      </c>
      <c r="F89" s="5" t="str">
        <f>RTD("rtdtrading.rtdserver",, "T&amp;T0", "AGR", 83)</f>
        <v>Vendedor</v>
      </c>
      <c r="G89" s="15">
        <f t="shared" si="3"/>
        <v>0.51180555555555551</v>
      </c>
      <c r="H89" s="1" t="str">
        <f t="shared" si="4"/>
        <v>-</v>
      </c>
      <c r="I89" s="1" t="str">
        <f t="shared" si="5"/>
        <v>-</v>
      </c>
    </row>
    <row r="90" spans="1:9" x14ac:dyDescent="0.25">
      <c r="A90" s="4" t="str">
        <f>RTD("rtdtrading.rtdserver",, "T&amp;T0", "DAT", 84)</f>
        <v>09/08/2023 12:17:06</v>
      </c>
      <c r="B90" s="1" t="str">
        <f>RTD("rtdtrading.rtdserver",, "T&amp;T0", "ACP", 84)</f>
        <v>XP</v>
      </c>
      <c r="C90" s="1">
        <f>RTD("rtdtrading.rtdserver",, "T&amp;T0", "PRE", 84)</f>
        <v>16.7</v>
      </c>
      <c r="D90" s="1">
        <f>RTD("rtdtrading.rtdserver",, "T&amp;T0", "QUL", 84)</f>
        <v>2000</v>
      </c>
      <c r="E90" s="1" t="str">
        <f>RTD("rtdtrading.rtdserver",, "T&amp;T0", "AVD", 84)</f>
        <v>Ideal</v>
      </c>
      <c r="F90" s="5" t="str">
        <f>RTD("rtdtrading.rtdserver",, "T&amp;T0", "AGR", 84)</f>
        <v>Comprador</v>
      </c>
      <c r="G90" s="15">
        <f t="shared" si="3"/>
        <v>0.51180555555555551</v>
      </c>
      <c r="H90" s="1" t="str">
        <f t="shared" si="4"/>
        <v>-</v>
      </c>
      <c r="I90" s="1" t="str">
        <f t="shared" si="5"/>
        <v>-</v>
      </c>
    </row>
    <row r="91" spans="1:9" x14ac:dyDescent="0.25">
      <c r="A91" s="4" t="str">
        <f>RTD("rtdtrading.rtdserver",, "T&amp;T0", "DAT", 85)</f>
        <v>09/08/2023 12:17:06</v>
      </c>
      <c r="B91" s="1" t="str">
        <f>RTD("rtdtrading.rtdserver",, "T&amp;T0", "ACP", 85)</f>
        <v>XP</v>
      </c>
      <c r="C91" s="1">
        <f>RTD("rtdtrading.rtdserver",, "T&amp;T0", "PRE", 85)</f>
        <v>16.7</v>
      </c>
      <c r="D91" s="1">
        <f>RTD("rtdtrading.rtdserver",, "T&amp;T0", "QUL", 85)</f>
        <v>4600</v>
      </c>
      <c r="E91" s="1" t="str">
        <f>RTD("rtdtrading.rtdserver",, "T&amp;T0", "AVD", 85)</f>
        <v>Genial</v>
      </c>
      <c r="F91" s="5" t="str">
        <f>RTD("rtdtrading.rtdserver",, "T&amp;T0", "AGR", 85)</f>
        <v>Comprador</v>
      </c>
      <c r="G91" s="15">
        <f t="shared" si="3"/>
        <v>0.51180555555555551</v>
      </c>
      <c r="H91" s="1" t="str">
        <f t="shared" si="4"/>
        <v>-</v>
      </c>
      <c r="I91" s="1" t="str">
        <f t="shared" si="5"/>
        <v>-</v>
      </c>
    </row>
    <row r="92" spans="1:9" x14ac:dyDescent="0.25">
      <c r="A92" s="4" t="str">
        <f>RTD("rtdtrading.rtdserver",, "T&amp;T0", "DAT", 86)</f>
        <v>09/08/2023 12:17:05</v>
      </c>
      <c r="B92" s="1" t="str">
        <f>RTD("rtdtrading.rtdserver",, "T&amp;T0", "ACP", 86)</f>
        <v>Genial</v>
      </c>
      <c r="C92" s="1">
        <f>RTD("rtdtrading.rtdserver",, "T&amp;T0", "PRE", 86)</f>
        <v>16.690000000000001</v>
      </c>
      <c r="D92" s="1">
        <f>RTD("rtdtrading.rtdserver",, "T&amp;T0", "QUL", 86)</f>
        <v>100</v>
      </c>
      <c r="E92" s="1" t="str">
        <f>RTD("rtdtrading.rtdserver",, "T&amp;T0", "AVD", 86)</f>
        <v>XP</v>
      </c>
      <c r="F92" s="5" t="str">
        <f>RTD("rtdtrading.rtdserver",, "T&amp;T0", "AGR", 86)</f>
        <v>Vendedor</v>
      </c>
      <c r="G92" s="15">
        <f t="shared" si="3"/>
        <v>0.51180555555555551</v>
      </c>
      <c r="H92" s="1" t="str">
        <f t="shared" si="4"/>
        <v>-</v>
      </c>
      <c r="I92" s="1" t="str">
        <f t="shared" si="5"/>
        <v>-</v>
      </c>
    </row>
    <row r="93" spans="1:9" x14ac:dyDescent="0.25">
      <c r="A93" s="4" t="str">
        <f>RTD("rtdtrading.rtdserver",, "T&amp;T0", "DAT", 87)</f>
        <v>09/08/2023 12:17:05</v>
      </c>
      <c r="B93" s="1" t="str">
        <f>RTD("rtdtrading.rtdserver",, "T&amp;T0", "ACP", 87)</f>
        <v>Clear</v>
      </c>
      <c r="C93" s="1">
        <f>RTD("rtdtrading.rtdserver",, "T&amp;T0", "PRE", 87)</f>
        <v>16.690000000000001</v>
      </c>
      <c r="D93" s="1">
        <f>RTD("rtdtrading.rtdserver",, "T&amp;T0", "QUL", 87)</f>
        <v>100</v>
      </c>
      <c r="E93" s="1" t="str">
        <f>RTD("rtdtrading.rtdserver",, "T&amp;T0", "AVD", 87)</f>
        <v>Bradesco</v>
      </c>
      <c r="F93" s="5" t="str">
        <f>RTD("rtdtrading.rtdserver",, "T&amp;T0", "AGR", 87)</f>
        <v>Vendedor</v>
      </c>
      <c r="G93" s="15">
        <f t="shared" si="3"/>
        <v>0.51180555555555551</v>
      </c>
      <c r="H93" s="1" t="str">
        <f t="shared" si="4"/>
        <v>-</v>
      </c>
      <c r="I93" s="1" t="str">
        <f t="shared" si="5"/>
        <v>-</v>
      </c>
    </row>
    <row r="94" spans="1:9" x14ac:dyDescent="0.25">
      <c r="A94" s="4" t="str">
        <f>RTD("rtdtrading.rtdserver",, "T&amp;T0", "DAT", 88)</f>
        <v>09/08/2023 12:17:05</v>
      </c>
      <c r="B94" s="1" t="str">
        <f>RTD("rtdtrading.rtdserver",, "T&amp;T0", "ACP", 88)</f>
        <v>XP</v>
      </c>
      <c r="C94" s="1">
        <f>RTD("rtdtrading.rtdserver",, "T&amp;T0", "PRE", 88)</f>
        <v>16.690000000000001</v>
      </c>
      <c r="D94" s="1">
        <f>RTD("rtdtrading.rtdserver",, "T&amp;T0", "QUL", 88)</f>
        <v>100</v>
      </c>
      <c r="E94" s="1" t="str">
        <f>RTD("rtdtrading.rtdserver",, "T&amp;T0", "AVD", 88)</f>
        <v>Bradesco</v>
      </c>
      <c r="F94" s="5" t="str">
        <f>RTD("rtdtrading.rtdserver",, "T&amp;T0", "AGR", 88)</f>
        <v>Vendedor</v>
      </c>
      <c r="G94" s="15">
        <f t="shared" si="3"/>
        <v>0.51180555555555551</v>
      </c>
      <c r="H94" s="1" t="str">
        <f t="shared" si="4"/>
        <v>-</v>
      </c>
      <c r="I94" s="1" t="str">
        <f t="shared" si="5"/>
        <v>-</v>
      </c>
    </row>
    <row r="95" spans="1:9" x14ac:dyDescent="0.25">
      <c r="A95" s="4" t="str">
        <f>RTD("rtdtrading.rtdserver",, "T&amp;T0", "DAT", 89)</f>
        <v>09/08/2023 12:17:05</v>
      </c>
      <c r="B95" s="1" t="str">
        <f>RTD("rtdtrading.rtdserver",, "T&amp;T0", "ACP", 89)</f>
        <v>Genial</v>
      </c>
      <c r="C95" s="1">
        <f>RTD("rtdtrading.rtdserver",, "T&amp;T0", "PRE", 89)</f>
        <v>16.690000000000001</v>
      </c>
      <c r="D95" s="1">
        <f>RTD("rtdtrading.rtdserver",, "T&amp;T0", "QUL", 89)</f>
        <v>200</v>
      </c>
      <c r="E95" s="1" t="str">
        <f>RTD("rtdtrading.rtdserver",, "T&amp;T0", "AVD", 89)</f>
        <v>Bradesco</v>
      </c>
      <c r="F95" s="5" t="str">
        <f>RTD("rtdtrading.rtdserver",, "T&amp;T0", "AGR", 89)</f>
        <v>Vendedor</v>
      </c>
      <c r="G95" s="15">
        <f t="shared" si="3"/>
        <v>0.51180555555555551</v>
      </c>
      <c r="H95" s="1">
        <f t="shared" si="4"/>
        <v>16.690000000000001</v>
      </c>
      <c r="I95" s="1" t="str">
        <f t="shared" si="5"/>
        <v>-</v>
      </c>
    </row>
    <row r="96" spans="1:9" x14ac:dyDescent="0.25">
      <c r="A96" s="4" t="str">
        <f>RTD("rtdtrading.rtdserver",, "T&amp;T0", "DAT", 90)</f>
        <v>-</v>
      </c>
      <c r="B96" s="1" t="str">
        <f>RTD("rtdtrading.rtdserver",, "T&amp;T0", "ACP", 90)</f>
        <v>-</v>
      </c>
      <c r="C96" s="1">
        <f>RTD("rtdtrading.rtdserver",, "T&amp;T0", "PRE", 90)</f>
        <v>0</v>
      </c>
      <c r="D96" s="1">
        <f>RTD("rtdtrading.rtdserver",, "T&amp;T0", "QUL", 90)</f>
        <v>0</v>
      </c>
      <c r="E96" s="1" t="str">
        <f>RTD("rtdtrading.rtdserver",, "T&amp;T0", "AVD", 90)</f>
        <v>-</v>
      </c>
      <c r="F96" s="5" t="str">
        <f>RTD("rtdtrading.rtdserver",, "T&amp;T0", "AGR", 90)</f>
        <v>-</v>
      </c>
      <c r="G96" s="15" t="str">
        <f t="shared" si="3"/>
        <v>-</v>
      </c>
      <c r="H96" s="1" t="str">
        <f t="shared" si="4"/>
        <v>-</v>
      </c>
      <c r="I96" s="1">
        <f t="shared" si="5"/>
        <v>0</v>
      </c>
    </row>
    <row r="97" spans="1:18" x14ac:dyDescent="0.25">
      <c r="A97" s="4" t="str">
        <f>RTD("rtdtrading.rtdserver",, "T&amp;T0", "DAT", 91)</f>
        <v>-</v>
      </c>
      <c r="B97" s="1" t="str">
        <f>RTD("rtdtrading.rtdserver",, "T&amp;T0", "ACP", 91)</f>
        <v>-</v>
      </c>
      <c r="C97" s="1">
        <f>RTD("rtdtrading.rtdserver",, "T&amp;T0", "PRE", 91)</f>
        <v>0</v>
      </c>
      <c r="D97" s="1">
        <f>RTD("rtdtrading.rtdserver",, "T&amp;T0", "QUL", 91)</f>
        <v>0</v>
      </c>
      <c r="E97" s="1" t="str">
        <f>RTD("rtdtrading.rtdserver",, "T&amp;T0", "AVD", 91)</f>
        <v>-</v>
      </c>
      <c r="F97" s="5" t="str">
        <f>RTD("rtdtrading.rtdserver",, "T&amp;T0", "AGR", 91)</f>
        <v>-</v>
      </c>
      <c r="G97" s="15" t="str">
        <f t="shared" si="3"/>
        <v>-</v>
      </c>
      <c r="H97" s="1" t="str">
        <f t="shared" si="4"/>
        <v>-</v>
      </c>
      <c r="I97" s="1" t="str">
        <f t="shared" si="5"/>
        <v>-</v>
      </c>
    </row>
    <row r="98" spans="1:18" x14ac:dyDescent="0.25">
      <c r="A98" s="4" t="str">
        <f>RTD("rtdtrading.rtdserver",, "T&amp;T0", "DAT", 92)</f>
        <v>-</v>
      </c>
      <c r="B98" s="1" t="str">
        <f>RTD("rtdtrading.rtdserver",, "T&amp;T0", "ACP", 92)</f>
        <v>-</v>
      </c>
      <c r="C98" s="1">
        <f>RTD("rtdtrading.rtdserver",, "T&amp;T0", "PRE", 92)</f>
        <v>0</v>
      </c>
      <c r="D98" s="1">
        <f>RTD("rtdtrading.rtdserver",, "T&amp;T0", "QUL", 92)</f>
        <v>0</v>
      </c>
      <c r="E98" s="1" t="str">
        <f>RTD("rtdtrading.rtdserver",, "T&amp;T0", "AVD", 92)</f>
        <v>-</v>
      </c>
      <c r="F98" s="5" t="str">
        <f>RTD("rtdtrading.rtdserver",, "T&amp;T0", "AGR", 92)</f>
        <v>-</v>
      </c>
      <c r="G98" s="15" t="str">
        <f t="shared" si="3"/>
        <v>-</v>
      </c>
      <c r="H98" s="1" t="str">
        <f t="shared" si="4"/>
        <v>-</v>
      </c>
      <c r="I98" s="1" t="str">
        <f t="shared" si="5"/>
        <v>-</v>
      </c>
    </row>
    <row r="99" spans="1:18" x14ac:dyDescent="0.25">
      <c r="A99" s="4" t="str">
        <f>RTD("rtdtrading.rtdserver",, "T&amp;T0", "DAT", 93)</f>
        <v>-</v>
      </c>
      <c r="B99" s="1" t="str">
        <f>RTD("rtdtrading.rtdserver",, "T&amp;T0", "ACP", 93)</f>
        <v>-</v>
      </c>
      <c r="C99" s="1">
        <f>RTD("rtdtrading.rtdserver",, "T&amp;T0", "PRE", 93)</f>
        <v>0</v>
      </c>
      <c r="D99" s="1">
        <f>RTD("rtdtrading.rtdserver",, "T&amp;T0", "QUL", 93)</f>
        <v>0</v>
      </c>
      <c r="E99" s="1" t="str">
        <f>RTD("rtdtrading.rtdserver",, "T&amp;T0", "AVD", 93)</f>
        <v>-</v>
      </c>
      <c r="F99" s="5" t="str">
        <f>RTD("rtdtrading.rtdserver",, "T&amp;T0", "AGR", 93)</f>
        <v>-</v>
      </c>
      <c r="G99" s="15" t="str">
        <f t="shared" si="3"/>
        <v>-</v>
      </c>
      <c r="H99" s="1" t="str">
        <f t="shared" si="4"/>
        <v>-</v>
      </c>
      <c r="I99" s="1" t="str">
        <f t="shared" si="5"/>
        <v>-</v>
      </c>
    </row>
    <row r="100" spans="1:18" x14ac:dyDescent="0.25">
      <c r="A100" s="4" t="str">
        <f>RTD("rtdtrading.rtdserver",, "T&amp;T0", "DAT", 94)</f>
        <v>-</v>
      </c>
      <c r="B100" s="1" t="str">
        <f>RTD("rtdtrading.rtdserver",, "T&amp;T0", "ACP", 94)</f>
        <v>-</v>
      </c>
      <c r="C100" s="1">
        <f>RTD("rtdtrading.rtdserver",, "T&amp;T0", "PRE", 94)</f>
        <v>0</v>
      </c>
      <c r="D100" s="1">
        <f>RTD("rtdtrading.rtdserver",, "T&amp;T0", "QUL", 94)</f>
        <v>0</v>
      </c>
      <c r="E100" s="1" t="str">
        <f>RTD("rtdtrading.rtdserver",, "T&amp;T0", "AVD", 94)</f>
        <v>-</v>
      </c>
      <c r="F100" s="5" t="str">
        <f>RTD("rtdtrading.rtdserver",, "T&amp;T0", "AGR", 94)</f>
        <v>-</v>
      </c>
      <c r="G100" s="15" t="str">
        <f t="shared" si="3"/>
        <v>-</v>
      </c>
      <c r="H100" s="1" t="str">
        <f t="shared" si="4"/>
        <v>-</v>
      </c>
      <c r="I100" s="1" t="str">
        <f t="shared" si="5"/>
        <v>-</v>
      </c>
    </row>
    <row r="101" spans="1:18" x14ac:dyDescent="0.25">
      <c r="A101" s="4" t="str">
        <f>RTD("rtdtrading.rtdserver",, "T&amp;T0", "DAT", 95)</f>
        <v>-</v>
      </c>
      <c r="B101" s="1" t="str">
        <f>RTD("rtdtrading.rtdserver",, "T&amp;T0", "ACP", 95)</f>
        <v>-</v>
      </c>
      <c r="C101" s="1">
        <f>RTD("rtdtrading.rtdserver",, "T&amp;T0", "PRE", 95)</f>
        <v>0</v>
      </c>
      <c r="D101" s="1">
        <f>RTD("rtdtrading.rtdserver",, "T&amp;T0", "QUL", 95)</f>
        <v>0</v>
      </c>
      <c r="E101" s="1" t="str">
        <f>RTD("rtdtrading.rtdserver",, "T&amp;T0", "AVD", 95)</f>
        <v>-</v>
      </c>
      <c r="F101" s="5" t="str">
        <f>RTD("rtdtrading.rtdserver",, "T&amp;T0", "AGR", 95)</f>
        <v>-</v>
      </c>
      <c r="G101" s="15" t="str">
        <f t="shared" si="3"/>
        <v>-</v>
      </c>
      <c r="H101" s="1" t="str">
        <f t="shared" si="4"/>
        <v>-</v>
      </c>
      <c r="I101" s="1" t="str">
        <f t="shared" si="5"/>
        <v>-</v>
      </c>
    </row>
    <row r="102" spans="1:18" x14ac:dyDescent="0.25">
      <c r="A102" s="4" t="str">
        <f>RTD("rtdtrading.rtdserver",, "T&amp;T0", "DAT", 96)</f>
        <v>-</v>
      </c>
      <c r="B102" s="1" t="str">
        <f>RTD("rtdtrading.rtdserver",, "T&amp;T0", "ACP", 96)</f>
        <v>-</v>
      </c>
      <c r="C102" s="1">
        <f>RTD("rtdtrading.rtdserver",, "T&amp;T0", "PRE", 96)</f>
        <v>0</v>
      </c>
      <c r="D102" s="1">
        <f>RTD("rtdtrading.rtdserver",, "T&amp;T0", "QUL", 96)</f>
        <v>0</v>
      </c>
      <c r="E102" s="1" t="str">
        <f>RTD("rtdtrading.rtdserver",, "T&amp;T0", "AVD", 96)</f>
        <v>-</v>
      </c>
      <c r="F102" s="5" t="str">
        <f>RTD("rtdtrading.rtdserver",, "T&amp;T0", "AGR", 96)</f>
        <v>-</v>
      </c>
      <c r="G102" s="15" t="str">
        <f t="shared" si="3"/>
        <v>-</v>
      </c>
      <c r="H102" s="1" t="str">
        <f t="shared" si="4"/>
        <v>-</v>
      </c>
      <c r="I102" s="1" t="str">
        <f t="shared" si="5"/>
        <v>-</v>
      </c>
    </row>
    <row r="103" spans="1:18" x14ac:dyDescent="0.25">
      <c r="A103" s="4" t="str">
        <f>RTD("rtdtrading.rtdserver",, "T&amp;T0", "DAT", 97)</f>
        <v>-</v>
      </c>
      <c r="B103" s="1" t="str">
        <f>RTD("rtdtrading.rtdserver",, "T&amp;T0", "ACP", 97)</f>
        <v>-</v>
      </c>
      <c r="C103" s="1">
        <f>RTD("rtdtrading.rtdserver",, "T&amp;T0", "PRE", 97)</f>
        <v>0</v>
      </c>
      <c r="D103" s="1">
        <f>RTD("rtdtrading.rtdserver",, "T&amp;T0", "QUL", 97)</f>
        <v>0</v>
      </c>
      <c r="E103" s="1" t="str">
        <f>RTD("rtdtrading.rtdserver",, "T&amp;T0", "AVD", 97)</f>
        <v>-</v>
      </c>
      <c r="F103" s="5" t="str">
        <f>RTD("rtdtrading.rtdserver",, "T&amp;T0", "AGR", 97)</f>
        <v>-</v>
      </c>
      <c r="G103" s="15" t="str">
        <f t="shared" si="3"/>
        <v>-</v>
      </c>
      <c r="H103" s="1" t="str">
        <f t="shared" si="4"/>
        <v>-</v>
      </c>
      <c r="I103" s="1" t="str">
        <f t="shared" si="5"/>
        <v>-</v>
      </c>
    </row>
    <row r="104" spans="1:18" x14ac:dyDescent="0.25">
      <c r="A104" s="4" t="str">
        <f>RTD("rtdtrading.rtdserver",, "T&amp;T0", "DAT", 98)</f>
        <v>-</v>
      </c>
      <c r="B104" s="1" t="str">
        <f>RTD("rtdtrading.rtdserver",, "T&amp;T0", "ACP", 98)</f>
        <v>-</v>
      </c>
      <c r="C104" s="1">
        <f>RTD("rtdtrading.rtdserver",, "T&amp;T0", "PRE", 98)</f>
        <v>0</v>
      </c>
      <c r="D104" s="1">
        <f>RTD("rtdtrading.rtdserver",, "T&amp;T0", "QUL", 98)</f>
        <v>0</v>
      </c>
      <c r="E104" s="1" t="str">
        <f>RTD("rtdtrading.rtdserver",, "T&amp;T0", "AVD", 98)</f>
        <v>-</v>
      </c>
      <c r="F104" s="5" t="str">
        <f>RTD("rtdtrading.rtdserver",, "T&amp;T0", "AGR", 98)</f>
        <v>-</v>
      </c>
      <c r="G104" s="15" t="str">
        <f t="shared" si="3"/>
        <v>-</v>
      </c>
      <c r="H104" s="1" t="str">
        <f t="shared" si="4"/>
        <v>-</v>
      </c>
      <c r="I104" s="1" t="str">
        <f t="shared" si="5"/>
        <v>-</v>
      </c>
    </row>
    <row r="105" spans="1:18" ht="15.75" thickBot="1" x14ac:dyDescent="0.3">
      <c r="A105" s="6" t="str">
        <f>RTD("rtdtrading.rtdserver",, "T&amp;T0", "DAT", 99)</f>
        <v>-</v>
      </c>
      <c r="B105" s="7" t="str">
        <f>RTD("rtdtrading.rtdserver",, "T&amp;T0", "ACP", 99)</f>
        <v>-</v>
      </c>
      <c r="C105" s="7">
        <f>RTD("rtdtrading.rtdserver",, "T&amp;T0", "PRE", 99)</f>
        <v>0</v>
      </c>
      <c r="D105" s="7">
        <f>RTD("rtdtrading.rtdserver",, "T&amp;T0", "QUL", 99)</f>
        <v>0</v>
      </c>
      <c r="E105" s="7" t="str">
        <f>RTD("rtdtrading.rtdserver",, "T&amp;T0", "AVD", 99)</f>
        <v>-</v>
      </c>
      <c r="F105" s="8" t="str">
        <f>RTD("rtdtrading.rtdserver",, "T&amp;T0", "AGR", 99)</f>
        <v>-</v>
      </c>
      <c r="G105" s="15" t="str">
        <f>IF(B105="-","-",TIME(TEXT(A105,"HH"),RIGHT(TEXT(A105,"HH:MM"),2),0))</f>
        <v>-</v>
      </c>
      <c r="H105" s="1">
        <f t="shared" si="4"/>
        <v>0</v>
      </c>
      <c r="I105" s="1" t="str">
        <f t="shared" si="5"/>
        <v>-</v>
      </c>
      <c r="K105" s="18"/>
    </row>
    <row r="109" spans="1:18" x14ac:dyDescent="0.25">
      <c r="L109" s="1">
        <f>TYPE(K112)</f>
        <v>1</v>
      </c>
    </row>
    <row r="110" spans="1:18" ht="22.5" customHeight="1" x14ac:dyDescent="0.25"/>
    <row r="111" spans="1:18" x14ac:dyDescent="0.25">
      <c r="K111" s="16" t="s">
        <v>13</v>
      </c>
      <c r="L111" s="16" t="s">
        <v>16</v>
      </c>
      <c r="M111" s="16" t="s">
        <v>17</v>
      </c>
      <c r="N111" s="16" t="s">
        <v>18</v>
      </c>
      <c r="O111" s="16" t="s">
        <v>22</v>
      </c>
      <c r="P111" s="16" t="s">
        <v>21</v>
      </c>
      <c r="Q111" s="16" t="s">
        <v>19</v>
      </c>
      <c r="R111" s="16" t="s">
        <v>20</v>
      </c>
    </row>
    <row r="112" spans="1:18" x14ac:dyDescent="0.25">
      <c r="I112" s="15"/>
      <c r="J112" s="19">
        <f>K112</f>
        <v>0.41736111111111113</v>
      </c>
      <c r="K112" s="17">
        <v>0.41736111111111113</v>
      </c>
    </row>
    <row r="113" spans="9:11" x14ac:dyDescent="0.25">
      <c r="I113" s="15"/>
      <c r="J113" s="19">
        <f t="shared" ref="J113:J117" si="6">K113</f>
        <v>0.41805555555555557</v>
      </c>
      <c r="K113" s="17">
        <v>0.41805555555555557</v>
      </c>
    </row>
    <row r="114" spans="9:11" x14ac:dyDescent="0.25">
      <c r="I114" s="15"/>
      <c r="J114" s="19">
        <f t="shared" si="6"/>
        <v>0.41875000000000001</v>
      </c>
      <c r="K114" s="17">
        <v>0.41875000000000001</v>
      </c>
    </row>
    <row r="115" spans="9:11" x14ac:dyDescent="0.25">
      <c r="I115" s="15"/>
      <c r="J115" s="19">
        <f t="shared" si="6"/>
        <v>0.41944444444444445</v>
      </c>
      <c r="K115" s="17">
        <v>0.41944444444444445</v>
      </c>
    </row>
    <row r="116" spans="9:11" x14ac:dyDescent="0.25">
      <c r="I116" s="15"/>
      <c r="J116" s="19">
        <f t="shared" si="6"/>
        <v>0.4201388888888889</v>
      </c>
      <c r="K116" s="17">
        <v>0.4201388888888889</v>
      </c>
    </row>
    <row r="117" spans="9:11" x14ac:dyDescent="0.25">
      <c r="I117" s="15"/>
      <c r="J117" s="19">
        <f t="shared" si="6"/>
        <v>0.42083333333333334</v>
      </c>
      <c r="K117" s="17">
        <v>0.42083333333333334</v>
      </c>
    </row>
    <row r="118" spans="9:11" x14ac:dyDescent="0.25">
      <c r="I118" s="15"/>
      <c r="K118" s="17">
        <v>0.42152777777777778</v>
      </c>
    </row>
    <row r="119" spans="9:11" x14ac:dyDescent="0.25">
      <c r="I119" s="15"/>
      <c r="K119" s="17">
        <v>0.42222222222222222</v>
      </c>
    </row>
    <row r="120" spans="9:11" x14ac:dyDescent="0.25">
      <c r="I120" s="15"/>
      <c r="K120" s="17">
        <v>0.42291666666666666</v>
      </c>
    </row>
    <row r="121" spans="9:11" x14ac:dyDescent="0.25">
      <c r="I121" s="15"/>
      <c r="K121" s="17">
        <v>0.4236111111111111</v>
      </c>
    </row>
    <row r="122" spans="9:11" x14ac:dyDescent="0.25">
      <c r="I122" s="15"/>
      <c r="K122" s="17">
        <v>0.42430555555555555</v>
      </c>
    </row>
    <row r="123" spans="9:11" x14ac:dyDescent="0.25">
      <c r="I123" s="15"/>
      <c r="K123" s="17">
        <v>0.42499999999999999</v>
      </c>
    </row>
    <row r="124" spans="9:11" x14ac:dyDescent="0.25">
      <c r="I124" s="15"/>
      <c r="K124" s="17">
        <v>0.42569444444444443</v>
      </c>
    </row>
    <row r="125" spans="9:11" x14ac:dyDescent="0.25">
      <c r="I125" s="15"/>
      <c r="K125" s="17">
        <v>0.42638888888888887</v>
      </c>
    </row>
    <row r="126" spans="9:11" x14ac:dyDescent="0.25">
      <c r="I126" s="15"/>
      <c r="K126" s="17">
        <v>0.42708333333333331</v>
      </c>
    </row>
    <row r="127" spans="9:11" x14ac:dyDescent="0.25">
      <c r="I127" s="15"/>
      <c r="K127" s="17">
        <v>0.42777777777777781</v>
      </c>
    </row>
    <row r="128" spans="9:11" x14ac:dyDescent="0.25">
      <c r="I128" s="15"/>
      <c r="K128" s="17">
        <v>0.4284722222222222</v>
      </c>
    </row>
    <row r="129" spans="9:11" x14ac:dyDescent="0.25">
      <c r="I129" s="15"/>
      <c r="K129" s="17">
        <v>0.4291666666666667</v>
      </c>
    </row>
    <row r="130" spans="9:11" x14ac:dyDescent="0.25">
      <c r="I130" s="15"/>
      <c r="K130" s="17">
        <v>0.42986111111111108</v>
      </c>
    </row>
    <row r="131" spans="9:11" x14ac:dyDescent="0.25">
      <c r="I131" s="15"/>
      <c r="K131" s="17">
        <v>0.43055555555555558</v>
      </c>
    </row>
    <row r="132" spans="9:11" x14ac:dyDescent="0.25">
      <c r="I132" s="15"/>
      <c r="K132" s="17">
        <v>0.43124999999999997</v>
      </c>
    </row>
    <row r="133" spans="9:11" x14ac:dyDescent="0.25">
      <c r="I133" s="15"/>
      <c r="K133" s="17">
        <v>0.43194444444444446</v>
      </c>
    </row>
    <row r="134" spans="9:11" x14ac:dyDescent="0.25">
      <c r="I134" s="15"/>
      <c r="K134" s="17">
        <v>0.43263888888888885</v>
      </c>
    </row>
    <row r="135" spans="9:11" x14ac:dyDescent="0.25">
      <c r="I135" s="15"/>
      <c r="K135" s="17">
        <v>0.43333333333333335</v>
      </c>
    </row>
    <row r="136" spans="9:11" x14ac:dyDescent="0.25">
      <c r="I136" s="15"/>
      <c r="K136" s="17">
        <v>0.43402777777777773</v>
      </c>
    </row>
    <row r="137" spans="9:11" x14ac:dyDescent="0.25">
      <c r="I137" s="15"/>
      <c r="K137" s="17">
        <v>0.43472222222222223</v>
      </c>
    </row>
    <row r="138" spans="9:11" x14ac:dyDescent="0.25">
      <c r="I138" s="15"/>
      <c r="K138" s="17">
        <v>0.43541666666666662</v>
      </c>
    </row>
    <row r="139" spans="9:11" x14ac:dyDescent="0.25">
      <c r="I139" s="15"/>
      <c r="K139" s="17">
        <v>0.43611111111111112</v>
      </c>
    </row>
    <row r="140" spans="9:11" x14ac:dyDescent="0.25">
      <c r="I140" s="15"/>
      <c r="K140" s="17">
        <v>0.4368055555555555</v>
      </c>
    </row>
    <row r="141" spans="9:11" x14ac:dyDescent="0.25">
      <c r="I141" s="15"/>
      <c r="K141" s="17">
        <v>0.4375</v>
      </c>
    </row>
    <row r="142" spans="9:11" x14ac:dyDescent="0.25">
      <c r="I142" s="15"/>
      <c r="K142" s="17">
        <v>0.4381944444444445</v>
      </c>
    </row>
    <row r="143" spans="9:11" x14ac:dyDescent="0.25">
      <c r="I143" s="15"/>
      <c r="K143" s="17">
        <v>0.43888888888888888</v>
      </c>
    </row>
    <row r="144" spans="9:11" x14ac:dyDescent="0.25">
      <c r="I144" s="15"/>
      <c r="K144" s="17">
        <v>0.43958333333333338</v>
      </c>
    </row>
    <row r="145" spans="9:11" x14ac:dyDescent="0.25">
      <c r="I145" s="15"/>
      <c r="K145" s="17">
        <v>0.44027777777777777</v>
      </c>
    </row>
    <row r="146" spans="9:11" x14ac:dyDescent="0.25">
      <c r="I146" s="15"/>
      <c r="K146" s="17">
        <v>0.44097222222222227</v>
      </c>
    </row>
    <row r="147" spans="9:11" x14ac:dyDescent="0.25">
      <c r="I147" s="15"/>
      <c r="K147" s="17">
        <v>0.44166666666666665</v>
      </c>
    </row>
    <row r="148" spans="9:11" x14ac:dyDescent="0.25">
      <c r="I148" s="15"/>
      <c r="K148" s="17">
        <v>0.44236111111111115</v>
      </c>
    </row>
    <row r="149" spans="9:11" x14ac:dyDescent="0.25">
      <c r="I149" s="15"/>
      <c r="K149" s="17">
        <v>0.44305555555555554</v>
      </c>
    </row>
    <row r="150" spans="9:11" x14ac:dyDescent="0.25">
      <c r="I150" s="15"/>
      <c r="K150" s="17">
        <v>0.44375000000000003</v>
      </c>
    </row>
    <row r="151" spans="9:11" x14ac:dyDescent="0.25">
      <c r="I151" s="15"/>
      <c r="K151" s="17">
        <v>0.44444444444444442</v>
      </c>
    </row>
    <row r="152" spans="9:11" x14ac:dyDescent="0.25">
      <c r="I152" s="15"/>
      <c r="K152" s="17">
        <v>0.44513888888888892</v>
      </c>
    </row>
    <row r="153" spans="9:11" x14ac:dyDescent="0.25">
      <c r="I153" s="15"/>
      <c r="K153" s="17">
        <v>0.4458333333333333</v>
      </c>
    </row>
    <row r="154" spans="9:11" x14ac:dyDescent="0.25">
      <c r="I154" s="15"/>
      <c r="K154" s="17">
        <v>0.4465277777777778</v>
      </c>
    </row>
    <row r="155" spans="9:11" x14ac:dyDescent="0.25">
      <c r="I155" s="15"/>
      <c r="K155" s="17">
        <v>0.44722222222222219</v>
      </c>
    </row>
    <row r="156" spans="9:11" x14ac:dyDescent="0.25">
      <c r="I156" s="15"/>
      <c r="K156" s="17">
        <v>0.44791666666666669</v>
      </c>
    </row>
    <row r="157" spans="9:11" x14ac:dyDescent="0.25">
      <c r="I157" s="15"/>
      <c r="K157" s="17">
        <v>0.44861111111111113</v>
      </c>
    </row>
    <row r="158" spans="9:11" x14ac:dyDescent="0.25">
      <c r="I158" s="15"/>
      <c r="K158" s="17">
        <v>0.44930555555555557</v>
      </c>
    </row>
    <row r="159" spans="9:11" x14ac:dyDescent="0.25">
      <c r="I159" s="15"/>
      <c r="K159" s="17">
        <v>0.45</v>
      </c>
    </row>
    <row r="160" spans="9:11" x14ac:dyDescent="0.25">
      <c r="I160" s="15"/>
      <c r="K160" s="17">
        <v>0.45069444444444445</v>
      </c>
    </row>
    <row r="161" spans="9:11" x14ac:dyDescent="0.25">
      <c r="I161" s="15"/>
      <c r="K161" s="17">
        <v>0.4513888888888889</v>
      </c>
    </row>
    <row r="162" spans="9:11" x14ac:dyDescent="0.25">
      <c r="I162" s="15"/>
      <c r="K162" s="17">
        <v>0.45208333333333334</v>
      </c>
    </row>
    <row r="163" spans="9:11" x14ac:dyDescent="0.25">
      <c r="I163" s="15"/>
      <c r="K163" s="17">
        <v>0.45277777777777778</v>
      </c>
    </row>
    <row r="164" spans="9:11" x14ac:dyDescent="0.25">
      <c r="I164" s="15"/>
      <c r="K164" s="17">
        <v>0.45347222222222222</v>
      </c>
    </row>
    <row r="165" spans="9:11" x14ac:dyDescent="0.25">
      <c r="I165" s="15"/>
      <c r="K165" s="17">
        <v>0.45416666666666666</v>
      </c>
    </row>
    <row r="166" spans="9:11" x14ac:dyDescent="0.25">
      <c r="I166" s="15"/>
      <c r="K166" s="17">
        <v>0.4548611111111111</v>
      </c>
    </row>
    <row r="167" spans="9:11" x14ac:dyDescent="0.25">
      <c r="I167" s="15"/>
      <c r="K167" s="17">
        <v>0.45555555555555555</v>
      </c>
    </row>
    <row r="168" spans="9:11" x14ac:dyDescent="0.25">
      <c r="I168" s="15"/>
      <c r="K168" s="17">
        <v>0.45624999999999999</v>
      </c>
    </row>
    <row r="169" spans="9:11" x14ac:dyDescent="0.25">
      <c r="I169" s="15"/>
      <c r="K169" s="17">
        <v>0.45694444444444443</v>
      </c>
    </row>
    <row r="170" spans="9:11" x14ac:dyDescent="0.25">
      <c r="I170" s="15"/>
      <c r="K170" s="17">
        <v>0.45763888888888887</v>
      </c>
    </row>
    <row r="171" spans="9:11" x14ac:dyDescent="0.25">
      <c r="I171" s="15"/>
      <c r="K171" s="17">
        <v>0.45833333333333331</v>
      </c>
    </row>
    <row r="172" spans="9:11" x14ac:dyDescent="0.25">
      <c r="I172" s="15"/>
      <c r="K172" s="17">
        <v>0.45902777777777776</v>
      </c>
    </row>
    <row r="173" spans="9:11" x14ac:dyDescent="0.25">
      <c r="I173" s="15"/>
      <c r="K173" s="17">
        <v>0.4597222222222222</v>
      </c>
    </row>
    <row r="174" spans="9:11" x14ac:dyDescent="0.25">
      <c r="I174" s="15"/>
      <c r="K174" s="17">
        <v>0.4604166666666667</v>
      </c>
    </row>
    <row r="175" spans="9:11" x14ac:dyDescent="0.25">
      <c r="I175" s="15"/>
      <c r="K175" s="17">
        <v>0.46111111111111108</v>
      </c>
    </row>
    <row r="176" spans="9:11" x14ac:dyDescent="0.25">
      <c r="I176" s="15"/>
      <c r="K176" s="17">
        <v>0.46180555555555558</v>
      </c>
    </row>
    <row r="177" spans="9:11" x14ac:dyDescent="0.25">
      <c r="I177" s="15"/>
      <c r="K177" s="17">
        <v>0.46249999999999997</v>
      </c>
    </row>
    <row r="178" spans="9:11" x14ac:dyDescent="0.25">
      <c r="I178" s="15"/>
      <c r="K178" s="17">
        <v>0.46319444444444446</v>
      </c>
    </row>
    <row r="179" spans="9:11" x14ac:dyDescent="0.25">
      <c r="I179" s="15"/>
      <c r="K179" s="17">
        <v>0.46388888888888885</v>
      </c>
    </row>
    <row r="180" spans="9:11" x14ac:dyDescent="0.25">
      <c r="I180" s="15"/>
      <c r="K180" s="17">
        <v>0.46458333333333335</v>
      </c>
    </row>
    <row r="181" spans="9:11" x14ac:dyDescent="0.25">
      <c r="I181" s="15"/>
      <c r="K181" s="17">
        <v>0.46527777777777773</v>
      </c>
    </row>
    <row r="182" spans="9:11" x14ac:dyDescent="0.25">
      <c r="I182" s="15"/>
      <c r="K182" s="17">
        <v>0.46597222222222223</v>
      </c>
    </row>
    <row r="183" spans="9:11" x14ac:dyDescent="0.25">
      <c r="I183" s="15"/>
      <c r="K183" s="17">
        <v>0.46666666666666662</v>
      </c>
    </row>
    <row r="184" spans="9:11" x14ac:dyDescent="0.25">
      <c r="I184" s="15"/>
      <c r="K184" s="17">
        <v>0.46736111111111112</v>
      </c>
    </row>
    <row r="185" spans="9:11" x14ac:dyDescent="0.25">
      <c r="I185" s="15"/>
      <c r="K185" s="17">
        <v>0.46805555555555561</v>
      </c>
    </row>
    <row r="186" spans="9:11" x14ac:dyDescent="0.25">
      <c r="I186" s="15"/>
      <c r="K186" s="17">
        <v>0.46875</v>
      </c>
    </row>
    <row r="187" spans="9:11" x14ac:dyDescent="0.25">
      <c r="I187" s="15"/>
      <c r="K187" s="17">
        <v>0.46944444444444439</v>
      </c>
    </row>
    <row r="188" spans="9:11" x14ac:dyDescent="0.25">
      <c r="I188" s="15"/>
      <c r="K188" s="17">
        <v>0.47013888888888888</v>
      </c>
    </row>
    <row r="189" spans="9:11" x14ac:dyDescent="0.25">
      <c r="I189" s="15"/>
      <c r="K189" s="17">
        <v>0.47083333333333338</v>
      </c>
    </row>
    <row r="190" spans="9:11" x14ac:dyDescent="0.25">
      <c r="I190" s="15"/>
      <c r="K190" s="17">
        <v>0.47152777777777777</v>
      </c>
    </row>
    <row r="191" spans="9:11" x14ac:dyDescent="0.25">
      <c r="I191" s="15"/>
      <c r="K191" s="17">
        <v>0.47222222222222227</v>
      </c>
    </row>
    <row r="192" spans="9:11" x14ac:dyDescent="0.25">
      <c r="I192" s="15"/>
      <c r="K192" s="17">
        <v>0.47291666666666665</v>
      </c>
    </row>
    <row r="193" spans="9:11" x14ac:dyDescent="0.25">
      <c r="I193" s="15"/>
      <c r="K193" s="17">
        <v>0.47361111111111115</v>
      </c>
    </row>
    <row r="194" spans="9:11" x14ac:dyDescent="0.25">
      <c r="I194" s="15"/>
      <c r="K194" s="17">
        <v>0.47430555555555554</v>
      </c>
    </row>
    <row r="195" spans="9:11" x14ac:dyDescent="0.25">
      <c r="I195" s="15"/>
      <c r="K195" s="17">
        <v>0.47500000000000003</v>
      </c>
    </row>
    <row r="196" spans="9:11" x14ac:dyDescent="0.25">
      <c r="I196" s="15"/>
      <c r="K196" s="17">
        <v>0.47569444444444442</v>
      </c>
    </row>
    <row r="197" spans="9:11" x14ac:dyDescent="0.25">
      <c r="I197" s="15"/>
      <c r="K197" s="17">
        <v>0.47638888888888892</v>
      </c>
    </row>
    <row r="198" spans="9:11" x14ac:dyDescent="0.25">
      <c r="I198" s="15"/>
      <c r="K198" s="17">
        <v>0.4770833333333333</v>
      </c>
    </row>
    <row r="199" spans="9:11" x14ac:dyDescent="0.25">
      <c r="I199" s="15"/>
      <c r="K199" s="17">
        <v>0.4777777777777778</v>
      </c>
    </row>
    <row r="200" spans="9:11" x14ac:dyDescent="0.25">
      <c r="I200" s="15"/>
      <c r="K200" s="17">
        <v>0.47847222222222224</v>
      </c>
    </row>
    <row r="201" spans="9:11" x14ac:dyDescent="0.25">
      <c r="I201" s="15"/>
      <c r="K201" s="17">
        <v>0.47916666666666669</v>
      </c>
    </row>
    <row r="202" spans="9:11" x14ac:dyDescent="0.25">
      <c r="I202" s="15"/>
      <c r="K202" s="17">
        <v>0.47986111111111107</v>
      </c>
    </row>
    <row r="203" spans="9:11" x14ac:dyDescent="0.25">
      <c r="I203" s="15"/>
      <c r="K203" s="17">
        <v>0.48055555555555557</v>
      </c>
    </row>
    <row r="204" spans="9:11" x14ac:dyDescent="0.25">
      <c r="I204" s="15"/>
      <c r="K204" s="17">
        <v>0.48125000000000001</v>
      </c>
    </row>
    <row r="205" spans="9:11" x14ac:dyDescent="0.25">
      <c r="I205" s="15"/>
      <c r="K205" s="17">
        <v>0.48194444444444445</v>
      </c>
    </row>
    <row r="206" spans="9:11" x14ac:dyDescent="0.25">
      <c r="I206" s="15"/>
      <c r="K206" s="17">
        <v>0.4826388888888889</v>
      </c>
    </row>
    <row r="207" spans="9:11" x14ac:dyDescent="0.25">
      <c r="I207" s="15"/>
      <c r="K207" s="17">
        <v>0.48333333333333334</v>
      </c>
    </row>
    <row r="208" spans="9:11" x14ac:dyDescent="0.25">
      <c r="I208" s="15"/>
      <c r="K208" s="17">
        <v>0.48402777777777778</v>
      </c>
    </row>
    <row r="209" spans="9:11" x14ac:dyDescent="0.25">
      <c r="I209" s="15"/>
      <c r="K209" s="17">
        <v>0.48472222222222222</v>
      </c>
    </row>
    <row r="210" spans="9:11" x14ac:dyDescent="0.25">
      <c r="I210" s="15"/>
      <c r="K210" s="17">
        <v>0.48541666666666666</v>
      </c>
    </row>
    <row r="211" spans="9:11" x14ac:dyDescent="0.25">
      <c r="I211" s="15"/>
      <c r="K211" s="17">
        <v>0.4861111111111111</v>
      </c>
    </row>
    <row r="212" spans="9:11" x14ac:dyDescent="0.25">
      <c r="I212" s="15"/>
      <c r="K212" s="17">
        <v>0.48680555555555555</v>
      </c>
    </row>
    <row r="213" spans="9:11" x14ac:dyDescent="0.25">
      <c r="I213" s="15"/>
      <c r="K213" s="17">
        <v>0.48749999999999999</v>
      </c>
    </row>
    <row r="214" spans="9:11" x14ac:dyDescent="0.25">
      <c r="I214" s="15"/>
      <c r="K214" s="17">
        <v>0.48819444444444443</v>
      </c>
    </row>
    <row r="215" spans="9:11" x14ac:dyDescent="0.25">
      <c r="I215" s="15"/>
      <c r="K215" s="17">
        <v>0.48888888888888893</v>
      </c>
    </row>
    <row r="216" spans="9:11" x14ac:dyDescent="0.25">
      <c r="I216" s="15"/>
      <c r="K216" s="17">
        <v>0.48958333333333331</v>
      </c>
    </row>
    <row r="217" spans="9:11" x14ac:dyDescent="0.25">
      <c r="I217" s="15"/>
      <c r="K217" s="17">
        <v>0.49027777777777776</v>
      </c>
    </row>
    <row r="218" spans="9:11" x14ac:dyDescent="0.25">
      <c r="I218" s="15"/>
      <c r="K218" s="17">
        <v>0.4909722222222222</v>
      </c>
    </row>
    <row r="219" spans="9:11" x14ac:dyDescent="0.25">
      <c r="I219" s="15"/>
      <c r="K219" s="17">
        <v>0.4916666666666667</v>
      </c>
    </row>
    <row r="220" spans="9:11" x14ac:dyDescent="0.25">
      <c r="I220" s="15"/>
      <c r="K220" s="17">
        <v>0.49236111111111108</v>
      </c>
    </row>
    <row r="221" spans="9:11" x14ac:dyDescent="0.25">
      <c r="I221" s="15"/>
      <c r="K221" s="17">
        <v>0.49305555555555558</v>
      </c>
    </row>
    <row r="222" spans="9:11" x14ac:dyDescent="0.25">
      <c r="I222" s="15"/>
      <c r="K222" s="17">
        <v>0.49374999999999997</v>
      </c>
    </row>
    <row r="223" spans="9:11" x14ac:dyDescent="0.25">
      <c r="I223" s="15"/>
      <c r="K223" s="17">
        <v>0.49444444444444446</v>
      </c>
    </row>
    <row r="224" spans="9:11" x14ac:dyDescent="0.25">
      <c r="I224" s="15"/>
      <c r="K224" s="17">
        <v>0.49513888888888885</v>
      </c>
    </row>
    <row r="225" spans="9:11" x14ac:dyDescent="0.25">
      <c r="I225" s="15"/>
      <c r="K225" s="17">
        <v>0.49583333333333335</v>
      </c>
    </row>
    <row r="226" spans="9:11" x14ac:dyDescent="0.25">
      <c r="I226" s="15"/>
      <c r="K226" s="17">
        <v>0.49652777777777773</v>
      </c>
    </row>
    <row r="227" spans="9:11" x14ac:dyDescent="0.25">
      <c r="I227" s="15"/>
      <c r="K227" s="17">
        <v>0.49722222222222223</v>
      </c>
    </row>
    <row r="228" spans="9:11" x14ac:dyDescent="0.25">
      <c r="I228" s="15"/>
      <c r="K228" s="17">
        <v>0.49791666666666662</v>
      </c>
    </row>
    <row r="229" spans="9:11" x14ac:dyDescent="0.25">
      <c r="I229" s="15"/>
      <c r="K229" s="17">
        <v>0.49861111111111112</v>
      </c>
    </row>
    <row r="230" spans="9:11" x14ac:dyDescent="0.25">
      <c r="I230" s="15"/>
      <c r="K230" s="17">
        <v>0.49930555555555561</v>
      </c>
    </row>
    <row r="231" spans="9:11" x14ac:dyDescent="0.25">
      <c r="I231" s="15"/>
      <c r="K231" s="17">
        <v>0.5</v>
      </c>
    </row>
    <row r="232" spans="9:11" x14ac:dyDescent="0.25">
      <c r="I232" s="15"/>
      <c r="K232" s="17">
        <v>0.50069444444444444</v>
      </c>
    </row>
    <row r="233" spans="9:11" x14ac:dyDescent="0.25">
      <c r="I233" s="15"/>
      <c r="K233" s="17">
        <v>0.50138888888888888</v>
      </c>
    </row>
    <row r="234" spans="9:11" x14ac:dyDescent="0.25">
      <c r="I234" s="15"/>
      <c r="K234" s="17">
        <v>0.50208333333333333</v>
      </c>
    </row>
    <row r="235" spans="9:11" x14ac:dyDescent="0.25">
      <c r="I235" s="15"/>
      <c r="K235" s="17">
        <v>0.50277777777777777</v>
      </c>
    </row>
    <row r="236" spans="9:11" x14ac:dyDescent="0.25">
      <c r="I236" s="15"/>
      <c r="K236" s="17">
        <v>0.50347222222222221</v>
      </c>
    </row>
    <row r="237" spans="9:11" x14ac:dyDescent="0.25">
      <c r="I237" s="15"/>
      <c r="K237" s="17">
        <v>0.50416666666666665</v>
      </c>
    </row>
    <row r="238" spans="9:11" x14ac:dyDescent="0.25">
      <c r="I238" s="15"/>
      <c r="K238" s="17">
        <v>0.50486111111111109</v>
      </c>
    </row>
    <row r="239" spans="9:11" x14ac:dyDescent="0.25">
      <c r="I239" s="15"/>
      <c r="K239" s="17">
        <v>0.50555555555555554</v>
      </c>
    </row>
    <row r="240" spans="9:11" x14ac:dyDescent="0.25">
      <c r="I240" s="15"/>
      <c r="K240" s="17">
        <v>0.50624999999999998</v>
      </c>
    </row>
    <row r="241" spans="9:11" x14ac:dyDescent="0.25">
      <c r="I241" s="15"/>
      <c r="K241" s="17">
        <v>0.50694444444444442</v>
      </c>
    </row>
    <row r="242" spans="9:11" x14ac:dyDescent="0.25">
      <c r="I242" s="15"/>
      <c r="K242" s="17">
        <v>0.50763888888888886</v>
      </c>
    </row>
    <row r="243" spans="9:11" x14ac:dyDescent="0.25">
      <c r="I243" s="15"/>
      <c r="K243" s="17">
        <v>0.5083333333333333</v>
      </c>
    </row>
    <row r="244" spans="9:11" x14ac:dyDescent="0.25">
      <c r="I244" s="15"/>
      <c r="K244" s="17">
        <v>0.50902777777777775</v>
      </c>
    </row>
    <row r="245" spans="9:11" x14ac:dyDescent="0.25">
      <c r="I245" s="15"/>
      <c r="K245" s="17">
        <v>0.5097222222222223</v>
      </c>
    </row>
    <row r="246" spans="9:11" x14ac:dyDescent="0.25">
      <c r="I246" s="15"/>
      <c r="K246" s="17">
        <v>0.51041666666666663</v>
      </c>
    </row>
    <row r="247" spans="9:11" x14ac:dyDescent="0.25">
      <c r="I247" s="15"/>
      <c r="K247" s="17">
        <v>0.51111111111111107</v>
      </c>
    </row>
    <row r="248" spans="9:11" x14ac:dyDescent="0.25">
      <c r="I248" s="15"/>
      <c r="K248" s="17">
        <v>0.51180555555555551</v>
      </c>
    </row>
    <row r="249" spans="9:11" x14ac:dyDescent="0.25">
      <c r="I249" s="15"/>
      <c r="K249" s="17">
        <v>0.51250000000000007</v>
      </c>
    </row>
    <row r="250" spans="9:11" x14ac:dyDescent="0.25">
      <c r="I250" s="15"/>
      <c r="K250" s="17">
        <v>0.5131944444444444</v>
      </c>
    </row>
    <row r="251" spans="9:11" x14ac:dyDescent="0.25">
      <c r="I251" s="15"/>
      <c r="K251" s="17">
        <v>0.51388888888888895</v>
      </c>
    </row>
    <row r="252" spans="9:11" x14ac:dyDescent="0.25">
      <c r="I252" s="15"/>
      <c r="K252" s="17">
        <v>0.51458333333333328</v>
      </c>
    </row>
    <row r="253" spans="9:11" x14ac:dyDescent="0.25">
      <c r="I253" s="15"/>
      <c r="K253" s="17">
        <v>0.51527777777777783</v>
      </c>
    </row>
    <row r="254" spans="9:11" x14ac:dyDescent="0.25">
      <c r="I254" s="15"/>
      <c r="K254" s="17">
        <v>0.51597222222222217</v>
      </c>
    </row>
    <row r="255" spans="9:11" x14ac:dyDescent="0.25">
      <c r="I255" s="15"/>
      <c r="K255" s="17">
        <v>0.51666666666666672</v>
      </c>
    </row>
    <row r="256" spans="9:11" x14ac:dyDescent="0.25">
      <c r="I256" s="15"/>
      <c r="K256" s="17">
        <v>0.51736111111111105</v>
      </c>
    </row>
    <row r="257" spans="9:11" x14ac:dyDescent="0.25">
      <c r="I257" s="15"/>
      <c r="K257" s="17">
        <v>0.5180555555555556</v>
      </c>
    </row>
    <row r="258" spans="9:11" x14ac:dyDescent="0.25">
      <c r="I258" s="15"/>
      <c r="K258" s="17">
        <v>0.51874999999999993</v>
      </c>
    </row>
    <row r="259" spans="9:11" x14ac:dyDescent="0.25">
      <c r="I259" s="15"/>
      <c r="K259" s="17">
        <v>0.51944444444444449</v>
      </c>
    </row>
    <row r="260" spans="9:11" x14ac:dyDescent="0.25">
      <c r="I260" s="15"/>
      <c r="K260" s="17">
        <v>0.52013888888888893</v>
      </c>
    </row>
    <row r="261" spans="9:11" x14ac:dyDescent="0.25">
      <c r="I261" s="15"/>
      <c r="K261" s="17">
        <v>0.52083333333333337</v>
      </c>
    </row>
    <row r="262" spans="9:11" x14ac:dyDescent="0.25">
      <c r="I262" s="15"/>
      <c r="K262" s="17">
        <v>0.5215277777777777</v>
      </c>
    </row>
    <row r="263" spans="9:11" x14ac:dyDescent="0.25">
      <c r="I263" s="15"/>
      <c r="K263" s="17">
        <v>0.52222222222222225</v>
      </c>
    </row>
    <row r="264" spans="9:11" x14ac:dyDescent="0.25">
      <c r="I264" s="15"/>
      <c r="K264" s="17">
        <v>0.5229166666666667</v>
      </c>
    </row>
    <row r="265" spans="9:11" x14ac:dyDescent="0.25">
      <c r="I265" s="15"/>
      <c r="K265" s="17">
        <v>0.52361111111111114</v>
      </c>
    </row>
    <row r="266" spans="9:11" x14ac:dyDescent="0.25">
      <c r="I266" s="15"/>
      <c r="K266" s="17">
        <v>0.52430555555555558</v>
      </c>
    </row>
    <row r="267" spans="9:11" x14ac:dyDescent="0.25">
      <c r="I267" s="15"/>
      <c r="K267" s="17">
        <v>0.52500000000000002</v>
      </c>
    </row>
    <row r="268" spans="9:11" x14ac:dyDescent="0.25">
      <c r="I268" s="15"/>
      <c r="K268" s="17">
        <v>0.52569444444444446</v>
      </c>
    </row>
    <row r="269" spans="9:11" x14ac:dyDescent="0.25">
      <c r="I269" s="15"/>
      <c r="K269" s="17">
        <v>0.52638888888888891</v>
      </c>
    </row>
    <row r="270" spans="9:11" x14ac:dyDescent="0.25">
      <c r="I270" s="15"/>
      <c r="K270" s="17">
        <v>0.52708333333333335</v>
      </c>
    </row>
    <row r="271" spans="9:11" x14ac:dyDescent="0.25">
      <c r="I271" s="15"/>
      <c r="K271" s="17">
        <v>0.52777777777777779</v>
      </c>
    </row>
    <row r="272" spans="9:11" x14ac:dyDescent="0.25">
      <c r="I272" s="15"/>
      <c r="K272" s="17">
        <v>0.52847222222222223</v>
      </c>
    </row>
    <row r="273" spans="9:11" x14ac:dyDescent="0.25">
      <c r="I273" s="15"/>
      <c r="K273" s="17">
        <v>0.52916666666666667</v>
      </c>
    </row>
    <row r="274" spans="9:11" x14ac:dyDescent="0.25">
      <c r="I274" s="15"/>
      <c r="K274" s="17">
        <v>0.52986111111111112</v>
      </c>
    </row>
    <row r="275" spans="9:11" x14ac:dyDescent="0.25">
      <c r="I275" s="15"/>
      <c r="K275" s="17">
        <v>0.53055555555555556</v>
      </c>
    </row>
    <row r="276" spans="9:11" x14ac:dyDescent="0.25">
      <c r="I276" s="15"/>
      <c r="K276" s="17">
        <v>0.53125</v>
      </c>
    </row>
    <row r="277" spans="9:11" x14ac:dyDescent="0.25">
      <c r="I277" s="15"/>
      <c r="K277" s="17">
        <v>0.53194444444444444</v>
      </c>
    </row>
    <row r="278" spans="9:11" x14ac:dyDescent="0.25">
      <c r="I278" s="15"/>
      <c r="K278" s="17">
        <v>0.53263888888888888</v>
      </c>
    </row>
    <row r="279" spans="9:11" x14ac:dyDescent="0.25">
      <c r="I279" s="15"/>
      <c r="K279" s="17">
        <v>0.53333333333333333</v>
      </c>
    </row>
    <row r="280" spans="9:11" x14ac:dyDescent="0.25">
      <c r="I280" s="15"/>
      <c r="K280" s="17">
        <v>0.53402777777777777</v>
      </c>
    </row>
    <row r="281" spans="9:11" x14ac:dyDescent="0.25">
      <c r="I281" s="15"/>
      <c r="K281" s="17">
        <v>0.53472222222222221</v>
      </c>
    </row>
    <row r="282" spans="9:11" x14ac:dyDescent="0.25">
      <c r="I282" s="15"/>
      <c r="K282" s="17">
        <v>0.53541666666666665</v>
      </c>
    </row>
    <row r="283" spans="9:11" x14ac:dyDescent="0.25">
      <c r="I283" s="15"/>
      <c r="K283" s="17">
        <v>0.53611111111111109</v>
      </c>
    </row>
    <row r="284" spans="9:11" x14ac:dyDescent="0.25">
      <c r="I284" s="15"/>
      <c r="K284" s="17">
        <v>0.53680555555555554</v>
      </c>
    </row>
    <row r="285" spans="9:11" x14ac:dyDescent="0.25">
      <c r="I285" s="15"/>
      <c r="K285" s="17">
        <v>0.53749999999999998</v>
      </c>
    </row>
    <row r="286" spans="9:11" x14ac:dyDescent="0.25">
      <c r="I286" s="15"/>
      <c r="K286" s="17">
        <v>0.53819444444444442</v>
      </c>
    </row>
    <row r="287" spans="9:11" x14ac:dyDescent="0.25">
      <c r="I287" s="15"/>
      <c r="K287" s="17">
        <v>0.53888888888888886</v>
      </c>
    </row>
    <row r="288" spans="9:11" x14ac:dyDescent="0.25">
      <c r="I288" s="15"/>
      <c r="K288" s="17">
        <v>0.5395833333333333</v>
      </c>
    </row>
    <row r="289" spans="9:11" x14ac:dyDescent="0.25">
      <c r="I289" s="15"/>
      <c r="K289" s="17">
        <v>0.54027777777777775</v>
      </c>
    </row>
    <row r="290" spans="9:11" x14ac:dyDescent="0.25">
      <c r="I290" s="15"/>
      <c r="K290" s="17">
        <v>0.5409722222222223</v>
      </c>
    </row>
    <row r="291" spans="9:11" x14ac:dyDescent="0.25">
      <c r="I291" s="15"/>
      <c r="K291" s="17">
        <v>0.54166666666666663</v>
      </c>
    </row>
    <row r="292" spans="9:11" x14ac:dyDescent="0.25">
      <c r="K292" s="15"/>
    </row>
    <row r="293" spans="9:11" x14ac:dyDescent="0.25">
      <c r="K293" s="15"/>
    </row>
    <row r="294" spans="9:11" x14ac:dyDescent="0.25">
      <c r="K294" s="15"/>
    </row>
  </sheetData>
  <mergeCells count="2">
    <mergeCell ref="A1:F2"/>
    <mergeCell ref="G1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LeandroTorres</dc:creator>
  <cp:lastModifiedBy>LeandroTorres</cp:lastModifiedBy>
  <dcterms:created xsi:type="dcterms:W3CDTF">2023-08-10T23:32:55Z</dcterms:created>
  <dcterms:modified xsi:type="dcterms:W3CDTF">2023-08-11T02:07:54Z</dcterms:modified>
</cp:coreProperties>
</file>