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70094757178\Downloads\"/>
    </mc:Choice>
  </mc:AlternateContent>
  <xr:revisionPtr revIDLastSave="0" documentId="13_ncr:1_{DF39F548-DEA2-4BFD-A2E2-908250072608}" xr6:coauthVersionLast="47" xr6:coauthVersionMax="47" xr10:uidLastSave="{00000000-0000-0000-0000-000000000000}"/>
  <bookViews>
    <workbookView xWindow="-28920" yWindow="-510" windowWidth="29040" windowHeight="15720" xr2:uid="{ECB8D2DD-6F0F-4E1F-964D-B147D14D7327}"/>
  </bookViews>
  <sheets>
    <sheet name="Dados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C2" i="1"/>
  <c r="B4" i="1"/>
  <c r="C4" i="1"/>
  <c r="D4" i="1"/>
  <c r="E4" i="1"/>
  <c r="F4" i="1"/>
  <c r="G4" i="1"/>
  <c r="B5" i="1"/>
  <c r="A5" i="1" s="1"/>
  <c r="C5" i="1"/>
  <c r="D5" i="1"/>
  <c r="E5" i="1"/>
  <c r="F5" i="1"/>
  <c r="G5" i="1"/>
  <c r="B6" i="1"/>
  <c r="A6" i="1" s="1"/>
  <c r="C6" i="1"/>
  <c r="D6" i="1"/>
  <c r="E6" i="1"/>
  <c r="F6" i="1"/>
  <c r="G6" i="1"/>
  <c r="B7" i="1"/>
  <c r="C7" i="1"/>
  <c r="D7" i="1"/>
  <c r="E7" i="1"/>
  <c r="F7" i="1"/>
  <c r="G7" i="1"/>
  <c r="B8" i="1"/>
  <c r="A8" i="1" s="1"/>
  <c r="C8" i="1"/>
  <c r="D8" i="1"/>
  <c r="E8" i="1"/>
  <c r="F8" i="1"/>
  <c r="G8" i="1"/>
  <c r="B9" i="1"/>
  <c r="A9" i="1" s="1"/>
  <c r="C9" i="1"/>
  <c r="D9" i="1"/>
  <c r="E9" i="1"/>
  <c r="F9" i="1"/>
  <c r="G9" i="1"/>
  <c r="B10" i="1"/>
  <c r="A10" i="1" s="1"/>
  <c r="C10" i="1"/>
  <c r="D10" i="1"/>
  <c r="E10" i="1"/>
  <c r="F10" i="1"/>
  <c r="G10" i="1"/>
  <c r="B11" i="1"/>
  <c r="C11" i="1"/>
  <c r="D11" i="1"/>
  <c r="E11" i="1"/>
  <c r="F11" i="1"/>
  <c r="G11" i="1"/>
  <c r="B12" i="1"/>
  <c r="A12" i="1" s="1"/>
  <c r="C12" i="1"/>
  <c r="D12" i="1"/>
  <c r="E12" i="1"/>
  <c r="F12" i="1"/>
  <c r="G12" i="1"/>
  <c r="B13" i="1"/>
  <c r="A13" i="1" s="1"/>
  <c r="C13" i="1"/>
  <c r="D13" i="1"/>
  <c r="E13" i="1"/>
  <c r="F13" i="1"/>
  <c r="G13" i="1"/>
  <c r="B14" i="1"/>
  <c r="A14" i="1" s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A17" i="1" s="1"/>
  <c r="C17" i="1"/>
  <c r="D17" i="1"/>
  <c r="E17" i="1"/>
  <c r="F17" i="1"/>
  <c r="G17" i="1"/>
  <c r="B18" i="1"/>
  <c r="A18" i="1" s="1"/>
  <c r="C18" i="1"/>
  <c r="D18" i="1"/>
  <c r="E18" i="1"/>
  <c r="F18" i="1"/>
  <c r="G18" i="1"/>
  <c r="B19" i="1"/>
  <c r="C19" i="1"/>
  <c r="D19" i="1"/>
  <c r="E19" i="1"/>
  <c r="F19" i="1"/>
  <c r="G19" i="1"/>
  <c r="B20" i="1"/>
  <c r="C20" i="1"/>
  <c r="D20" i="1"/>
  <c r="E20" i="1"/>
  <c r="F20" i="1"/>
  <c r="G20" i="1"/>
  <c r="B21" i="1"/>
  <c r="A21" i="1" s="1"/>
  <c r="C21" i="1"/>
  <c r="D21" i="1"/>
  <c r="E21" i="1"/>
  <c r="F21" i="1"/>
  <c r="G21" i="1"/>
  <c r="B22" i="1"/>
  <c r="A22" i="1" s="1"/>
  <c r="C22" i="1"/>
  <c r="D22" i="1"/>
  <c r="E22" i="1"/>
  <c r="F22" i="1"/>
  <c r="G22" i="1"/>
  <c r="B23" i="1"/>
  <c r="C23" i="1"/>
  <c r="D23" i="1"/>
  <c r="E23" i="1"/>
  <c r="F23" i="1"/>
  <c r="G23" i="1"/>
  <c r="B24" i="1"/>
  <c r="A24" i="1" s="1"/>
  <c r="C24" i="1"/>
  <c r="D24" i="1"/>
  <c r="E24" i="1"/>
  <c r="F24" i="1"/>
  <c r="G24" i="1"/>
  <c r="B25" i="1"/>
  <c r="A25" i="1" s="1"/>
  <c r="C25" i="1"/>
  <c r="D25" i="1"/>
  <c r="E25" i="1"/>
  <c r="F25" i="1"/>
  <c r="G25" i="1"/>
  <c r="B26" i="1"/>
  <c r="A26" i="1" s="1"/>
  <c r="C26" i="1"/>
  <c r="D26" i="1"/>
  <c r="E26" i="1"/>
  <c r="F26" i="1"/>
  <c r="G26" i="1"/>
  <c r="B27" i="1"/>
  <c r="C27" i="1"/>
  <c r="D27" i="1"/>
  <c r="E27" i="1"/>
  <c r="F27" i="1"/>
  <c r="G27" i="1"/>
  <c r="B28" i="1"/>
  <c r="A28" i="1" s="1"/>
  <c r="C28" i="1"/>
  <c r="D28" i="1"/>
  <c r="E28" i="1"/>
  <c r="F28" i="1"/>
  <c r="G28" i="1"/>
  <c r="B29" i="1"/>
  <c r="A29" i="1" s="1"/>
  <c r="C29" i="1"/>
  <c r="D29" i="1"/>
  <c r="E29" i="1"/>
  <c r="F29" i="1"/>
  <c r="G29" i="1"/>
  <c r="B30" i="1"/>
  <c r="A30" i="1" s="1"/>
  <c r="C30" i="1"/>
  <c r="D30" i="1"/>
  <c r="E30" i="1"/>
  <c r="F30" i="1"/>
  <c r="G30" i="1"/>
  <c r="B31" i="1"/>
  <c r="C31" i="1"/>
  <c r="D31" i="1"/>
  <c r="E31" i="1"/>
  <c r="F31" i="1"/>
  <c r="G31" i="1"/>
  <c r="B32" i="1"/>
  <c r="C32" i="1"/>
  <c r="D32" i="1"/>
  <c r="E32" i="1"/>
  <c r="F32" i="1"/>
  <c r="G32" i="1"/>
  <c r="B33" i="1"/>
  <c r="A33" i="1" s="1"/>
  <c r="C33" i="1"/>
  <c r="D33" i="1"/>
  <c r="E33" i="1"/>
  <c r="F33" i="1"/>
  <c r="G33" i="1"/>
  <c r="B34" i="1"/>
  <c r="A34" i="1" s="1"/>
  <c r="C34" i="1"/>
  <c r="D34" i="1"/>
  <c r="E34" i="1"/>
  <c r="F34" i="1"/>
  <c r="G34" i="1"/>
  <c r="B35" i="1"/>
  <c r="C35" i="1"/>
  <c r="D35" i="1"/>
  <c r="E35" i="1"/>
  <c r="F35" i="1"/>
  <c r="G35" i="1"/>
  <c r="B36" i="1"/>
  <c r="A36" i="1" s="1"/>
  <c r="C36" i="1"/>
  <c r="D36" i="1"/>
  <c r="E36" i="1"/>
  <c r="F36" i="1"/>
  <c r="G36" i="1"/>
  <c r="B37" i="1"/>
  <c r="A37" i="1" s="1"/>
  <c r="C37" i="1"/>
  <c r="D37" i="1"/>
  <c r="E37" i="1"/>
  <c r="F37" i="1"/>
  <c r="G37" i="1"/>
  <c r="B38" i="1"/>
  <c r="A38" i="1" s="1"/>
  <c r="C38" i="1"/>
  <c r="D38" i="1"/>
  <c r="E38" i="1"/>
  <c r="F38" i="1"/>
  <c r="G38" i="1"/>
  <c r="B39" i="1"/>
  <c r="C39" i="1"/>
  <c r="D39" i="1"/>
  <c r="E39" i="1"/>
  <c r="F39" i="1"/>
  <c r="G39" i="1"/>
  <c r="B40" i="1"/>
  <c r="A40" i="1" s="1"/>
  <c r="C40" i="1"/>
  <c r="D40" i="1"/>
  <c r="E40" i="1"/>
  <c r="F40" i="1"/>
  <c r="G40" i="1"/>
  <c r="B41" i="1"/>
  <c r="A41" i="1" s="1"/>
  <c r="C41" i="1"/>
  <c r="D41" i="1"/>
  <c r="E41" i="1"/>
  <c r="F41" i="1"/>
  <c r="G41" i="1"/>
  <c r="B42" i="1"/>
  <c r="A42" i="1" s="1"/>
  <c r="C42" i="1"/>
  <c r="D42" i="1"/>
  <c r="E42" i="1"/>
  <c r="F42" i="1"/>
  <c r="G42" i="1"/>
  <c r="B43" i="1"/>
  <c r="A43" i="1" s="1"/>
  <c r="C43" i="1"/>
  <c r="D43" i="1"/>
  <c r="E43" i="1"/>
  <c r="F43" i="1"/>
  <c r="G43" i="1"/>
  <c r="B44" i="1"/>
  <c r="A44" i="1" s="1"/>
  <c r="C44" i="1"/>
  <c r="D44" i="1"/>
  <c r="E44" i="1"/>
  <c r="F44" i="1"/>
  <c r="G44" i="1"/>
  <c r="B45" i="1"/>
  <c r="A45" i="1" s="1"/>
  <c r="C45" i="1"/>
  <c r="D45" i="1"/>
  <c r="E45" i="1"/>
  <c r="F45" i="1"/>
  <c r="G45" i="1"/>
  <c r="B46" i="1"/>
  <c r="A46" i="1" s="1"/>
  <c r="C46" i="1"/>
  <c r="D46" i="1"/>
  <c r="E46" i="1"/>
  <c r="F46" i="1"/>
  <c r="G46" i="1"/>
  <c r="B47" i="1"/>
  <c r="A47" i="1" s="1"/>
  <c r="C47" i="1"/>
  <c r="D47" i="1"/>
  <c r="E47" i="1"/>
  <c r="F47" i="1"/>
  <c r="G47" i="1"/>
  <c r="B48" i="1"/>
  <c r="A48" i="1" s="1"/>
  <c r="C48" i="1"/>
  <c r="D48" i="1"/>
  <c r="E48" i="1"/>
  <c r="F48" i="1"/>
  <c r="G48" i="1"/>
  <c r="B49" i="1"/>
  <c r="A49" i="1" s="1"/>
  <c r="C49" i="1"/>
  <c r="D49" i="1"/>
  <c r="E49" i="1"/>
  <c r="F49" i="1"/>
  <c r="G49" i="1"/>
  <c r="B50" i="1"/>
  <c r="A50" i="1" s="1"/>
  <c r="C50" i="1"/>
  <c r="D50" i="1"/>
  <c r="E50" i="1"/>
  <c r="F50" i="1"/>
  <c r="G50" i="1"/>
  <c r="B51" i="1"/>
  <c r="A51" i="1" s="1"/>
  <c r="C51" i="1"/>
  <c r="D51" i="1"/>
  <c r="E51" i="1"/>
  <c r="F51" i="1"/>
  <c r="G51" i="1"/>
  <c r="B52" i="1"/>
  <c r="A52" i="1" s="1"/>
  <c r="C52" i="1"/>
  <c r="D52" i="1"/>
  <c r="E52" i="1"/>
  <c r="F52" i="1"/>
  <c r="G52" i="1"/>
  <c r="B53" i="1"/>
  <c r="A53" i="1" s="1"/>
  <c r="C53" i="1"/>
  <c r="D53" i="1"/>
  <c r="E53" i="1"/>
  <c r="F53" i="1"/>
  <c r="G53" i="1"/>
  <c r="B54" i="1"/>
  <c r="A54" i="1" s="1"/>
  <c r="C54" i="1"/>
  <c r="D54" i="1"/>
  <c r="E54" i="1"/>
  <c r="F54" i="1"/>
  <c r="G54" i="1"/>
  <c r="B55" i="1"/>
  <c r="A55" i="1" s="1"/>
  <c r="C55" i="1"/>
  <c r="D55" i="1"/>
  <c r="E55" i="1"/>
  <c r="F55" i="1"/>
  <c r="G55" i="1"/>
  <c r="B56" i="1"/>
  <c r="A56" i="1" s="1"/>
  <c r="C56" i="1"/>
  <c r="D56" i="1"/>
  <c r="E56" i="1"/>
  <c r="F56" i="1"/>
  <c r="G56" i="1"/>
  <c r="B57" i="1"/>
  <c r="A57" i="1" s="1"/>
  <c r="C57" i="1"/>
  <c r="D57" i="1"/>
  <c r="E57" i="1"/>
  <c r="F57" i="1"/>
  <c r="G57" i="1"/>
  <c r="B58" i="1"/>
  <c r="A58" i="1" s="1"/>
  <c r="C58" i="1"/>
  <c r="D58" i="1"/>
  <c r="E58" i="1"/>
  <c r="F58" i="1"/>
  <c r="G58" i="1"/>
  <c r="B59" i="1"/>
  <c r="A59" i="1" s="1"/>
  <c r="C59" i="1"/>
  <c r="D59" i="1"/>
  <c r="E59" i="1"/>
  <c r="F59" i="1"/>
  <c r="G59" i="1"/>
  <c r="B60" i="1"/>
  <c r="A60" i="1" s="1"/>
  <c r="C60" i="1"/>
  <c r="D60" i="1"/>
  <c r="E60" i="1"/>
  <c r="F60" i="1"/>
  <c r="G60" i="1"/>
  <c r="B61" i="1"/>
  <c r="A61" i="1" s="1"/>
  <c r="C61" i="1"/>
  <c r="D61" i="1"/>
  <c r="E61" i="1"/>
  <c r="F61" i="1"/>
  <c r="G61" i="1"/>
  <c r="B62" i="1"/>
  <c r="A62" i="1" s="1"/>
  <c r="C62" i="1"/>
  <c r="D62" i="1"/>
  <c r="E62" i="1"/>
  <c r="F62" i="1"/>
  <c r="G62" i="1"/>
  <c r="B63" i="1"/>
  <c r="A63" i="1" s="1"/>
  <c r="C63" i="1"/>
  <c r="D63" i="1"/>
  <c r="E63" i="1"/>
  <c r="F63" i="1"/>
  <c r="G63" i="1"/>
  <c r="B64" i="1"/>
  <c r="A64" i="1" s="1"/>
  <c r="C64" i="1"/>
  <c r="D64" i="1"/>
  <c r="E64" i="1"/>
  <c r="F64" i="1"/>
  <c r="G64" i="1"/>
  <c r="B65" i="1"/>
  <c r="A65" i="1" s="1"/>
  <c r="C65" i="1"/>
  <c r="D65" i="1"/>
  <c r="E65" i="1"/>
  <c r="F65" i="1"/>
  <c r="G65" i="1"/>
  <c r="B66" i="1"/>
  <c r="A66" i="1" s="1"/>
  <c r="C66" i="1"/>
  <c r="D66" i="1"/>
  <c r="E66" i="1"/>
  <c r="F66" i="1"/>
  <c r="G66" i="1"/>
  <c r="B67" i="1"/>
  <c r="A67" i="1" s="1"/>
  <c r="C67" i="1"/>
  <c r="D67" i="1"/>
  <c r="E67" i="1"/>
  <c r="F67" i="1"/>
  <c r="G67" i="1"/>
  <c r="B68" i="1"/>
  <c r="A68" i="1" s="1"/>
  <c r="C68" i="1"/>
  <c r="D68" i="1"/>
  <c r="E68" i="1"/>
  <c r="F68" i="1"/>
  <c r="G68" i="1"/>
  <c r="B69" i="1"/>
  <c r="A69" i="1" s="1"/>
  <c r="C69" i="1"/>
  <c r="D69" i="1"/>
  <c r="E69" i="1"/>
  <c r="F69" i="1"/>
  <c r="G69" i="1"/>
  <c r="B70" i="1"/>
  <c r="A70" i="1" s="1"/>
  <c r="C70" i="1"/>
  <c r="D70" i="1"/>
  <c r="E70" i="1"/>
  <c r="F70" i="1"/>
  <c r="G70" i="1"/>
  <c r="B71" i="1"/>
  <c r="A71" i="1" s="1"/>
  <c r="C71" i="1"/>
  <c r="D71" i="1"/>
  <c r="E71" i="1"/>
  <c r="F71" i="1"/>
  <c r="G71" i="1"/>
  <c r="B72" i="1"/>
  <c r="A72" i="1" s="1"/>
  <c r="C72" i="1"/>
  <c r="D72" i="1"/>
  <c r="E72" i="1"/>
  <c r="F72" i="1"/>
  <c r="G72" i="1"/>
  <c r="B73" i="1"/>
  <c r="A73" i="1" s="1"/>
  <c r="C73" i="1"/>
  <c r="D73" i="1"/>
  <c r="E73" i="1"/>
  <c r="F73" i="1"/>
  <c r="G73" i="1"/>
  <c r="B74" i="1"/>
  <c r="A74" i="1" s="1"/>
  <c r="C74" i="1"/>
  <c r="D74" i="1"/>
  <c r="E74" i="1"/>
  <c r="F74" i="1"/>
  <c r="G74" i="1"/>
  <c r="B75" i="1"/>
  <c r="A75" i="1" s="1"/>
  <c r="C75" i="1"/>
  <c r="D75" i="1"/>
  <c r="E75" i="1"/>
  <c r="F75" i="1"/>
  <c r="G75" i="1"/>
  <c r="B76" i="1"/>
  <c r="A76" i="1" s="1"/>
  <c r="C76" i="1"/>
  <c r="D76" i="1"/>
  <c r="E76" i="1"/>
  <c r="F76" i="1"/>
  <c r="G76" i="1"/>
  <c r="B77" i="1"/>
  <c r="A77" i="1" s="1"/>
  <c r="C77" i="1"/>
  <c r="D77" i="1"/>
  <c r="E77" i="1"/>
  <c r="F77" i="1"/>
  <c r="G77" i="1"/>
  <c r="B78" i="1"/>
  <c r="A78" i="1" s="1"/>
  <c r="C78" i="1"/>
  <c r="D78" i="1"/>
  <c r="E78" i="1"/>
  <c r="F78" i="1"/>
  <c r="G78" i="1"/>
  <c r="B79" i="1"/>
  <c r="A79" i="1" s="1"/>
  <c r="C79" i="1"/>
  <c r="D79" i="1"/>
  <c r="E79" i="1"/>
  <c r="F79" i="1"/>
  <c r="G79" i="1"/>
  <c r="B80" i="1"/>
  <c r="A80" i="1" s="1"/>
  <c r="C80" i="1"/>
  <c r="D80" i="1"/>
  <c r="E80" i="1"/>
  <c r="F80" i="1"/>
  <c r="G80" i="1"/>
  <c r="B81" i="1"/>
  <c r="A81" i="1" s="1"/>
  <c r="C81" i="1"/>
  <c r="D81" i="1"/>
  <c r="E81" i="1"/>
  <c r="F81" i="1"/>
  <c r="G81" i="1"/>
  <c r="B82" i="1"/>
  <c r="A82" i="1" s="1"/>
  <c r="C82" i="1"/>
  <c r="D82" i="1"/>
  <c r="E82" i="1"/>
  <c r="F82" i="1"/>
  <c r="G82" i="1"/>
  <c r="B83" i="1"/>
  <c r="A83" i="1" s="1"/>
  <c r="C83" i="1"/>
  <c r="D83" i="1"/>
  <c r="E83" i="1"/>
  <c r="F83" i="1"/>
  <c r="G83" i="1"/>
  <c r="B84" i="1"/>
  <c r="A84" i="1" s="1"/>
  <c r="C84" i="1"/>
  <c r="D84" i="1"/>
  <c r="E84" i="1"/>
  <c r="F84" i="1"/>
  <c r="G84" i="1"/>
  <c r="B85" i="1"/>
  <c r="A85" i="1" s="1"/>
  <c r="C85" i="1"/>
  <c r="D85" i="1"/>
  <c r="E85" i="1"/>
  <c r="F85" i="1"/>
  <c r="G85" i="1"/>
  <c r="B86" i="1"/>
  <c r="A86" i="1" s="1"/>
  <c r="C86" i="1"/>
  <c r="D86" i="1"/>
  <c r="E86" i="1"/>
  <c r="F86" i="1"/>
  <c r="G86" i="1"/>
  <c r="B87" i="1"/>
  <c r="A87" i="1" s="1"/>
  <c r="C87" i="1"/>
  <c r="D87" i="1"/>
  <c r="E87" i="1"/>
  <c r="F87" i="1"/>
  <c r="G87" i="1"/>
  <c r="B88" i="1"/>
  <c r="A88" i="1" s="1"/>
  <c r="C88" i="1"/>
  <c r="D88" i="1"/>
  <c r="E88" i="1"/>
  <c r="F88" i="1"/>
  <c r="G88" i="1"/>
  <c r="B89" i="1"/>
  <c r="A89" i="1" s="1"/>
  <c r="C89" i="1"/>
  <c r="D89" i="1"/>
  <c r="E89" i="1"/>
  <c r="F89" i="1"/>
  <c r="G89" i="1"/>
  <c r="B90" i="1"/>
  <c r="A90" i="1" s="1"/>
  <c r="C90" i="1"/>
  <c r="D90" i="1"/>
  <c r="E90" i="1"/>
  <c r="F90" i="1"/>
  <c r="G90" i="1"/>
  <c r="B91" i="1"/>
  <c r="A91" i="1" s="1"/>
  <c r="C91" i="1"/>
  <c r="D91" i="1"/>
  <c r="E91" i="1"/>
  <c r="F91" i="1"/>
  <c r="G91" i="1"/>
  <c r="B92" i="1"/>
  <c r="A92" i="1" s="1"/>
  <c r="C92" i="1"/>
  <c r="D92" i="1"/>
  <c r="E92" i="1"/>
  <c r="F92" i="1"/>
  <c r="G92" i="1"/>
  <c r="B93" i="1"/>
  <c r="A93" i="1" s="1"/>
  <c r="C93" i="1"/>
  <c r="D93" i="1"/>
  <c r="E93" i="1"/>
  <c r="F93" i="1"/>
  <c r="G93" i="1"/>
  <c r="B94" i="1"/>
  <c r="A94" i="1" s="1"/>
  <c r="C94" i="1"/>
  <c r="D94" i="1"/>
  <c r="E94" i="1"/>
  <c r="F94" i="1"/>
  <c r="G94" i="1"/>
  <c r="B95" i="1"/>
  <c r="A95" i="1" s="1"/>
  <c r="C95" i="1"/>
  <c r="D95" i="1"/>
  <c r="E95" i="1"/>
  <c r="F95" i="1"/>
  <c r="G95" i="1"/>
  <c r="B96" i="1"/>
  <c r="A96" i="1" s="1"/>
  <c r="C96" i="1"/>
  <c r="D96" i="1"/>
  <c r="E96" i="1"/>
  <c r="F96" i="1"/>
  <c r="G96" i="1"/>
  <c r="B97" i="1"/>
  <c r="A97" i="1" s="1"/>
  <c r="C97" i="1"/>
  <c r="D97" i="1"/>
  <c r="E97" i="1"/>
  <c r="F97" i="1"/>
  <c r="G97" i="1"/>
  <c r="B98" i="1"/>
  <c r="A98" i="1" s="1"/>
  <c r="C98" i="1"/>
  <c r="D98" i="1"/>
  <c r="E98" i="1"/>
  <c r="F98" i="1"/>
  <c r="G98" i="1"/>
  <c r="B99" i="1"/>
  <c r="A99" i="1" s="1"/>
  <c r="C99" i="1"/>
  <c r="D99" i="1"/>
  <c r="E99" i="1"/>
  <c r="F99" i="1"/>
  <c r="G99" i="1"/>
  <c r="B100" i="1"/>
  <c r="A100" i="1" s="1"/>
  <c r="C100" i="1"/>
  <c r="D100" i="1"/>
  <c r="E100" i="1"/>
  <c r="F100" i="1"/>
  <c r="G100" i="1"/>
  <c r="B101" i="1"/>
  <c r="A101" i="1" s="1"/>
  <c r="C101" i="1"/>
  <c r="D101" i="1"/>
  <c r="E101" i="1"/>
  <c r="F101" i="1"/>
  <c r="G101" i="1"/>
  <c r="B102" i="1"/>
  <c r="A102" i="1" s="1"/>
  <c r="C102" i="1"/>
  <c r="D102" i="1"/>
  <c r="E102" i="1"/>
  <c r="F102" i="1"/>
  <c r="G102" i="1"/>
  <c r="B103" i="1"/>
  <c r="A103" i="1" s="1"/>
  <c r="C103" i="1"/>
  <c r="D103" i="1"/>
  <c r="E103" i="1"/>
  <c r="F103" i="1"/>
  <c r="G103" i="1"/>
  <c r="A11" i="1"/>
  <c r="A15" i="1"/>
  <c r="A16" i="1"/>
  <c r="A19" i="1"/>
  <c r="A20" i="1"/>
  <c r="A23" i="1"/>
  <c r="A27" i="1"/>
  <c r="A31" i="1"/>
  <c r="A32" i="1"/>
  <c r="A35" i="1"/>
  <c r="A39" i="1"/>
  <c r="A7" i="1"/>
  <c r="M2" i="1" l="1"/>
  <c r="S3" i="1"/>
  <c r="Y2" i="1"/>
  <c r="M3" i="1"/>
  <c r="R2" i="1"/>
  <c r="AH3" i="1"/>
  <c r="Z3" i="1"/>
  <c r="AN2" i="1"/>
  <c r="AF2" i="1"/>
  <c r="X2" i="1"/>
  <c r="N3" i="1"/>
  <c r="Q2" i="1"/>
  <c r="AG3" i="1"/>
  <c r="Y3" i="1"/>
  <c r="AM2" i="1"/>
  <c r="AE2" i="1"/>
  <c r="W2" i="1"/>
  <c r="N2" i="1"/>
  <c r="P2" i="1"/>
  <c r="AN3" i="1"/>
  <c r="AF3" i="1"/>
  <c r="X3" i="1"/>
  <c r="AL2" i="1"/>
  <c r="AD2" i="1"/>
  <c r="V2" i="1"/>
  <c r="O2" i="1"/>
  <c r="AM3" i="1"/>
  <c r="AE3" i="1"/>
  <c r="W3" i="1"/>
  <c r="AK2" i="1"/>
  <c r="AC2" i="1"/>
  <c r="U2" i="1"/>
  <c r="L2" i="1"/>
  <c r="R3" i="1"/>
  <c r="AL3" i="1"/>
  <c r="AD3" i="1"/>
  <c r="V3" i="1"/>
  <c r="AJ2" i="1"/>
  <c r="AB2" i="1"/>
  <c r="T2" i="1"/>
  <c r="L3" i="1"/>
  <c r="Q3" i="1"/>
  <c r="AK3" i="1"/>
  <c r="AC3" i="1"/>
  <c r="U3" i="1"/>
  <c r="AI2" i="1"/>
  <c r="AA2" i="1"/>
  <c r="S2" i="1"/>
  <c r="P3" i="1"/>
  <c r="AJ3" i="1"/>
  <c r="AB3" i="1"/>
  <c r="T3" i="1"/>
  <c r="AH2" i="1"/>
  <c r="Z2" i="1"/>
  <c r="O3" i="1"/>
  <c r="AI3" i="1"/>
  <c r="AA3" i="1"/>
  <c r="AG2" i="1"/>
  <c r="M4" i="1" l="1"/>
  <c r="Q4" i="1"/>
  <c r="AG4" i="1"/>
  <c r="P9" i="1" s="1"/>
  <c r="S4" i="1"/>
  <c r="AI4" i="1"/>
  <c r="V4" i="1"/>
  <c r="W4" i="1"/>
  <c r="AF4" i="1"/>
  <c r="Q9" i="1" s="1"/>
  <c r="AJ4" i="1"/>
  <c r="R4" i="1"/>
  <c r="P4" i="1"/>
  <c r="Y4" i="1"/>
  <c r="N4" i="1"/>
  <c r="AH4" i="1"/>
  <c r="AK4" i="1"/>
  <c r="Z4" i="1"/>
  <c r="AB4" i="1"/>
  <c r="AM4" i="1"/>
  <c r="X4" i="1"/>
  <c r="T4" i="1"/>
  <c r="O4" i="1"/>
  <c r="U4" i="1"/>
  <c r="AD4" i="1"/>
  <c r="AE4" i="1"/>
  <c r="R9" i="1" s="1"/>
  <c r="AN4" i="1"/>
  <c r="AA4" i="1"/>
  <c r="AC4" i="1"/>
  <c r="AL4" i="1"/>
  <c r="L4" i="1"/>
  <c r="A4" i="1"/>
  <c r="O9" i="1" l="1"/>
  <c r="V9" i="1"/>
  <c r="N9" i="1"/>
  <c r="U9" i="1"/>
  <c r="M9" i="1"/>
  <c r="T9" i="1"/>
  <c r="M10" i="1"/>
  <c r="P10" i="1" s="1"/>
  <c r="T10" i="1" l="1"/>
  <c r="W10" i="1" s="1"/>
</calcChain>
</file>

<file path=xl/sharedStrings.xml><?xml version="1.0" encoding="utf-8"?>
<sst xmlns="http://schemas.openxmlformats.org/spreadsheetml/2006/main" count="51" uniqueCount="41">
  <si>
    <t>HORA FORMATADA</t>
  </si>
  <si>
    <t xml:space="preserve">TOTAL </t>
  </si>
  <si>
    <t>UBS</t>
  </si>
  <si>
    <t>GENIAL</t>
  </si>
  <si>
    <t>GOLDMAN</t>
  </si>
  <si>
    <t>NOVA FUTURA</t>
  </si>
  <si>
    <t>BTG</t>
  </si>
  <si>
    <t>SAFRA</t>
  </si>
  <si>
    <t>GUIDE</t>
  </si>
  <si>
    <t>TULLET</t>
  </si>
  <si>
    <t>CITIGROUP</t>
  </si>
  <si>
    <t>XP</t>
  </si>
  <si>
    <t>CAPITAL</t>
  </si>
  <si>
    <t>NECTON</t>
  </si>
  <si>
    <t>C6</t>
  </si>
  <si>
    <t>IDEAL</t>
  </si>
  <si>
    <t>MERRIL</t>
  </si>
  <si>
    <t>RENASCENCA</t>
  </si>
  <si>
    <t>SANTANDER</t>
  </si>
  <si>
    <t>AGORA</t>
  </si>
  <si>
    <t>MORGAN</t>
  </si>
  <si>
    <t>ATIVA</t>
  </si>
  <si>
    <t>BRADESCO</t>
  </si>
  <si>
    <t>ITAU</t>
  </si>
  <si>
    <t>CREDIT</t>
  </si>
  <si>
    <t>JP MORGAN</t>
  </si>
  <si>
    <t>TERRA</t>
  </si>
  <si>
    <t>CLEAR</t>
  </si>
  <si>
    <t>MODAL</t>
  </si>
  <si>
    <t>TORO</t>
  </si>
  <si>
    <t>AGRESSOES COMPRA</t>
  </si>
  <si>
    <t>Data</t>
  </si>
  <si>
    <t>Compradora</t>
  </si>
  <si>
    <t>Valor</t>
  </si>
  <si>
    <t>Quantidade</t>
  </si>
  <si>
    <t>Vendedora</t>
  </si>
  <si>
    <t>Agressor</t>
  </si>
  <si>
    <t>AGRESSOES VENDA</t>
  </si>
  <si>
    <t>SALDO</t>
  </si>
  <si>
    <t>VENCEDORES</t>
  </si>
  <si>
    <t>PORCENTAGEM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</si>
</sst>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h:mm\ AM/PM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Incosoloata"/>
    </font>
    <font>
      <sz val="10"/>
      <color theme="0"/>
      <name val="Incosoloata"/>
    </font>
    <font>
      <b/>
      <sz val="10"/>
      <color theme="0"/>
      <name val="Incosoloata"/>
    </font>
    <font>
      <sz val="10"/>
      <color rgb="FF000000"/>
      <name val="Inconsolata"/>
    </font>
    <font>
      <sz val="10"/>
      <color rgb="FFFFFFFF"/>
      <name val="Inconsolata"/>
    </font>
    <font>
      <b/>
      <sz val="9"/>
      <color rgb="FF000000"/>
      <name val="Arial"/>
      <family val="2"/>
    </font>
    <font>
      <b/>
      <sz val="10"/>
      <name val="Inconsolata"/>
    </font>
    <font>
      <b/>
      <sz val="10"/>
      <color theme="1"/>
      <name val="Incosoloata"/>
    </font>
    <font>
      <b/>
      <sz val="18"/>
      <color theme="1"/>
      <name val="Incosoloata"/>
    </font>
    <font>
      <b/>
      <sz val="10"/>
      <color rgb="FF000000"/>
      <name val="Inconsolata"/>
    </font>
    <font>
      <b/>
      <sz val="10"/>
      <color theme="1"/>
      <name val="Inconsolata"/>
    </font>
    <font>
      <sz val="20"/>
      <color theme="1"/>
      <name val="Incosoloata"/>
    </font>
  </fonts>
  <fills count="2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7030A0"/>
        <bgColor rgb="FF7030A0"/>
      </patternFill>
    </fill>
    <fill>
      <patternFill patternType="solid">
        <fgColor rgb="FF7F7F7F"/>
        <bgColor rgb="FF7F7F7F"/>
      </patternFill>
    </fill>
    <fill>
      <patternFill patternType="solid">
        <fgColor rgb="FFFFFF00"/>
        <bgColor rgb="FFFFFF00"/>
      </patternFill>
    </fill>
    <fill>
      <patternFill patternType="solid">
        <fgColor rgb="FF000000"/>
        <bgColor rgb="FF000000"/>
      </patternFill>
    </fill>
    <fill>
      <patternFill patternType="solid">
        <fgColor rgb="FF92D050"/>
        <bgColor rgb="FF92D050"/>
      </patternFill>
    </fill>
    <fill>
      <patternFill patternType="solid">
        <fgColor rgb="FFF753EB"/>
        <bgColor rgb="FFF753EB"/>
      </patternFill>
    </fill>
    <fill>
      <patternFill patternType="solid">
        <fgColor rgb="FF52F446"/>
        <bgColor rgb="FF52F446"/>
      </patternFill>
    </fill>
    <fill>
      <patternFill patternType="solid">
        <fgColor rgb="FF6C5200"/>
        <bgColor rgb="FF6C5200"/>
      </patternFill>
    </fill>
    <fill>
      <patternFill patternType="solid">
        <fgColor rgb="FFE7E6E6"/>
        <bgColor rgb="FFE7E6E6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  <fill>
      <patternFill patternType="solid">
        <fgColor rgb="FFFF0000"/>
        <bgColor rgb="FFFF0000"/>
      </patternFill>
    </fill>
    <fill>
      <patternFill patternType="solid">
        <fgColor rgb="FFA5A5A5"/>
        <bgColor rgb="FFA5A5A5"/>
      </patternFill>
    </fill>
    <fill>
      <patternFill patternType="solid">
        <fgColor rgb="FF00B0F0"/>
        <bgColor rgb="FF00B0F0"/>
      </patternFill>
    </fill>
    <fill>
      <patternFill patternType="solid">
        <fgColor rgb="FFFF6D01"/>
        <bgColor rgb="FFFF6D01"/>
      </patternFill>
    </fill>
    <fill>
      <patternFill patternType="solid">
        <fgColor rgb="FF4472C4"/>
        <bgColor rgb="FF4472C4"/>
      </patternFill>
    </fill>
    <fill>
      <patternFill patternType="solid">
        <fgColor rgb="FF7030A0"/>
        <bgColor rgb="FF4472C4"/>
      </patternFill>
    </fill>
    <fill>
      <patternFill patternType="solid">
        <fgColor rgb="FFF2F2F2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BFBFBF"/>
        <bgColor rgb="FF000000"/>
      </patternFill>
    </fill>
    <fill>
      <patternFill patternType="solid">
        <fgColor theme="0"/>
        <bgColor rgb="FF7030A0"/>
      </patternFill>
    </fill>
    <fill>
      <patternFill patternType="solid">
        <fgColor theme="0" tint="-0.149998474074526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8">
    <xf numFmtId="0" fontId="0" fillId="0" borderId="0" xfId="0"/>
    <xf numFmtId="0" fontId="4" fillId="4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164" fontId="0" fillId="5" borderId="7" xfId="0" applyNumberFormat="1" applyFill="1" applyBorder="1" applyAlignment="1">
      <alignment horizontal="center"/>
    </xf>
    <xf numFmtId="0" fontId="2" fillId="2" borderId="6" xfId="0" applyFont="1" applyFill="1" applyBorder="1" applyAlignment="1">
      <alignment horizontal="center" vertical="center"/>
    </xf>
    <xf numFmtId="164" fontId="0" fillId="5" borderId="8" xfId="0" applyNumberFormat="1" applyFill="1" applyBorder="1" applyAlignment="1">
      <alignment horizont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5" fillId="6" borderId="14" xfId="0" applyFont="1" applyFill="1" applyBorder="1" applyAlignment="1">
      <alignment horizontal="center" vertical="center" wrapText="1"/>
    </xf>
    <xf numFmtId="0" fontId="5" fillId="7" borderId="15" xfId="0" applyFont="1" applyFill="1" applyBorder="1" applyAlignment="1">
      <alignment horizontal="center" vertical="center" wrapText="1"/>
    </xf>
    <xf numFmtId="0" fontId="5" fillId="8" borderId="15" xfId="0" applyFont="1" applyFill="1" applyBorder="1" applyAlignment="1">
      <alignment horizontal="center" vertical="center" wrapText="1"/>
    </xf>
    <xf numFmtId="0" fontId="6" fillId="9" borderId="15" xfId="0" applyFont="1" applyFill="1" applyBorder="1" applyAlignment="1">
      <alignment horizontal="center" vertical="center" wrapText="1"/>
    </xf>
    <xf numFmtId="0" fontId="5" fillId="10" borderId="15" xfId="0" applyFont="1" applyFill="1" applyBorder="1" applyAlignment="1">
      <alignment horizontal="center" vertical="center" wrapText="1"/>
    </xf>
    <xf numFmtId="0" fontId="5" fillId="11" borderId="15" xfId="0" applyFont="1" applyFill="1" applyBorder="1" applyAlignment="1">
      <alignment horizontal="center" vertical="center" wrapText="1"/>
    </xf>
    <xf numFmtId="0" fontId="5" fillId="12" borderId="15" xfId="0" applyFont="1" applyFill="1" applyBorder="1" applyAlignment="1">
      <alignment horizontal="center" vertical="center" wrapText="1"/>
    </xf>
    <xf numFmtId="0" fontId="5" fillId="13" borderId="15" xfId="0" applyFont="1" applyFill="1" applyBorder="1" applyAlignment="1">
      <alignment horizontal="center" vertical="center" wrapText="1"/>
    </xf>
    <xf numFmtId="0" fontId="5" fillId="14" borderId="15" xfId="0" applyFont="1" applyFill="1" applyBorder="1" applyAlignment="1">
      <alignment horizontal="center" vertical="center" wrapText="1"/>
    </xf>
    <xf numFmtId="0" fontId="5" fillId="15" borderId="15" xfId="0" applyFont="1" applyFill="1" applyBorder="1" applyAlignment="1">
      <alignment horizontal="center" vertical="center" wrapText="1"/>
    </xf>
    <xf numFmtId="0" fontId="7" fillId="11" borderId="15" xfId="0" applyFont="1" applyFill="1" applyBorder="1" applyAlignment="1">
      <alignment horizontal="center" vertical="center" wrapText="1"/>
    </xf>
    <xf numFmtId="0" fontId="5" fillId="16" borderId="15" xfId="0" applyFont="1" applyFill="1" applyBorder="1" applyAlignment="1">
      <alignment horizontal="center" vertical="center" wrapText="1"/>
    </xf>
    <xf numFmtId="0" fontId="5" fillId="17" borderId="15" xfId="0" applyFont="1" applyFill="1" applyBorder="1" applyAlignment="1">
      <alignment horizontal="center" vertical="center" wrapText="1"/>
    </xf>
    <xf numFmtId="0" fontId="5" fillId="18" borderId="15" xfId="0" applyFont="1" applyFill="1" applyBorder="1" applyAlignment="1">
      <alignment horizontal="center" vertical="center" wrapText="1"/>
    </xf>
    <xf numFmtId="0" fontId="5" fillId="19" borderId="15" xfId="0" applyFont="1" applyFill="1" applyBorder="1" applyAlignment="1">
      <alignment horizontal="center" vertical="center" wrapText="1"/>
    </xf>
    <xf numFmtId="0" fontId="5" fillId="20" borderId="15" xfId="0" applyFont="1" applyFill="1" applyBorder="1" applyAlignment="1">
      <alignment horizontal="center" vertical="center" wrapText="1"/>
    </xf>
    <xf numFmtId="0" fontId="7" fillId="8" borderId="15" xfId="0" applyFont="1" applyFill="1" applyBorder="1" applyAlignment="1">
      <alignment horizontal="center" vertical="center" wrapText="1"/>
    </xf>
    <xf numFmtId="0" fontId="5" fillId="21" borderId="15" xfId="0" applyFont="1" applyFill="1" applyBorder="1" applyAlignment="1">
      <alignment horizontal="center" vertical="center" wrapText="1"/>
    </xf>
    <xf numFmtId="0" fontId="5" fillId="22" borderId="15" xfId="0" applyFont="1" applyFill="1" applyBorder="1" applyAlignment="1">
      <alignment horizontal="center" vertical="center" wrapText="1"/>
    </xf>
    <xf numFmtId="0" fontId="5" fillId="23" borderId="15" xfId="0" applyFont="1" applyFill="1" applyBorder="1" applyAlignment="1">
      <alignment horizontal="center" vertical="center" wrapText="1"/>
    </xf>
    <xf numFmtId="0" fontId="8" fillId="24" borderId="15" xfId="0" applyFont="1" applyFill="1" applyBorder="1" applyAlignment="1">
      <alignment horizontal="center" vertical="center" wrapText="1"/>
    </xf>
    <xf numFmtId="0" fontId="8" fillId="25" borderId="15" xfId="0" applyFont="1" applyFill="1" applyBorder="1" applyAlignment="1">
      <alignment horizontal="center" vertical="center" wrapText="1"/>
    </xf>
    <xf numFmtId="0" fontId="8" fillId="26" borderId="16" xfId="0" applyFont="1" applyFill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0" fontId="5" fillId="16" borderId="20" xfId="0" applyFont="1" applyFill="1" applyBorder="1" applyAlignment="1">
      <alignment horizontal="center" vertical="center" wrapText="1"/>
    </xf>
    <xf numFmtId="0" fontId="5" fillId="21" borderId="20" xfId="0" applyFont="1" applyFill="1" applyBorder="1" applyAlignment="1">
      <alignment horizontal="center" vertical="center" wrapText="1"/>
    </xf>
    <xf numFmtId="0" fontId="5" fillId="18" borderId="20" xfId="0" applyFont="1" applyFill="1" applyBorder="1" applyAlignment="1">
      <alignment horizontal="center" vertical="center" wrapText="1"/>
    </xf>
    <xf numFmtId="0" fontId="11" fillId="6" borderId="20" xfId="0" applyFont="1" applyFill="1" applyBorder="1" applyAlignment="1">
      <alignment horizontal="center" vertical="center" wrapText="1"/>
    </xf>
    <xf numFmtId="9" fontId="5" fillId="27" borderId="18" xfId="1" applyFont="1" applyFill="1" applyBorder="1" applyAlignment="1">
      <alignment horizontal="center" vertical="center" wrapText="1"/>
    </xf>
    <xf numFmtId="9" fontId="10" fillId="2" borderId="0" xfId="1" applyFont="1" applyFill="1" applyBorder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4" fillId="4" borderId="2" xfId="0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9" fillId="5" borderId="2" xfId="0" applyFont="1" applyFill="1" applyBorder="1" applyAlignment="1">
      <alignment horizontal="center" vertical="center"/>
    </xf>
    <xf numFmtId="0" fontId="9" fillId="5" borderId="3" xfId="0" applyFont="1" applyFill="1" applyBorder="1" applyAlignment="1">
      <alignment horizontal="center" vertical="center"/>
    </xf>
    <xf numFmtId="0" fontId="9" fillId="5" borderId="4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5" xfId="1" applyNumberFormat="1" applyFont="1" applyFill="1" applyBorder="1" applyAlignment="1">
      <alignment horizontal="center" vertical="center"/>
    </xf>
    <xf numFmtId="0" fontId="2" fillId="2" borderId="0" xfId="1" applyNumberFormat="1" applyFont="1" applyFill="1" applyAlignment="1">
      <alignment horizontal="center" vertical="center"/>
    </xf>
    <xf numFmtId="0" fontId="2" fillId="2" borderId="6" xfId="1" applyNumberFormat="1" applyFont="1" applyFill="1" applyBorder="1" applyAlignment="1">
      <alignment horizontal="center" vertical="center"/>
    </xf>
    <xf numFmtId="0" fontId="2" fillId="2" borderId="19" xfId="1" applyNumberFormat="1" applyFont="1" applyFill="1" applyBorder="1" applyAlignment="1">
      <alignment horizontal="center" vertical="center"/>
    </xf>
    <xf numFmtId="0" fontId="2" fillId="2" borderId="9" xfId="1" applyNumberFormat="1" applyFont="1" applyFill="1" applyBorder="1" applyAlignment="1">
      <alignment horizontal="center" vertical="center"/>
    </xf>
    <xf numFmtId="0" fontId="2" fillId="2" borderId="10" xfId="1" applyNumberFormat="1" applyFont="1" applyFill="1" applyBorder="1" applyAlignment="1">
      <alignment horizontal="center" vertical="center"/>
    </xf>
    <xf numFmtId="0" fontId="2" fillId="2" borderId="0" xfId="1" applyNumberFormat="1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center" wrapText="1"/>
    </xf>
    <xf numFmtId="0" fontId="5" fillId="16" borderId="1" xfId="0" applyFont="1" applyFill="1" applyBorder="1" applyAlignment="1">
      <alignment horizontal="center" vertical="center" wrapText="1"/>
    </xf>
    <xf numFmtId="0" fontId="5" fillId="21" borderId="1" xfId="0" applyFont="1" applyFill="1" applyBorder="1" applyAlignment="1">
      <alignment horizontal="center" vertical="center" wrapText="1"/>
    </xf>
    <xf numFmtId="0" fontId="2" fillId="2" borderId="2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12" fillId="28" borderId="21" xfId="0" applyFont="1" applyFill="1" applyBorder="1" applyAlignment="1">
      <alignment horizontal="center" vertical="center"/>
    </xf>
    <xf numFmtId="0" fontId="12" fillId="28" borderId="22" xfId="0" applyFont="1" applyFill="1" applyBorder="1" applyAlignment="1">
      <alignment horizontal="center" vertical="center"/>
    </xf>
    <xf numFmtId="0" fontId="12" fillId="28" borderId="23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/>
    </xf>
    <xf numFmtId="0" fontId="13" fillId="2" borderId="0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/>
    </xf>
    <xf numFmtId="0" fontId="13" fillId="2" borderId="19" xfId="0" applyFont="1" applyFill="1" applyBorder="1" applyAlignment="1">
      <alignment horizontal="center" vertical="center"/>
    </xf>
    <xf numFmtId="0" fontId="13" fillId="2" borderId="9" xfId="0" applyFont="1" applyFill="1" applyBorder="1" applyAlignment="1">
      <alignment horizontal="center" vertical="center"/>
    </xf>
    <xf numFmtId="0" fontId="13" fillId="2" borderId="10" xfId="0" applyFont="1" applyFill="1" applyBorder="1" applyAlignment="1">
      <alignment horizontal="center" vertical="center"/>
    </xf>
    <xf numFmtId="9" fontId="13" fillId="2" borderId="2" xfId="1" applyFont="1" applyFill="1" applyBorder="1" applyAlignment="1">
      <alignment horizontal="center" vertical="center"/>
    </xf>
    <xf numFmtId="9" fontId="13" fillId="2" borderId="4" xfId="1" applyFont="1" applyFill="1" applyBorder="1" applyAlignment="1">
      <alignment horizontal="center" vertical="center"/>
    </xf>
    <xf numFmtId="9" fontId="13" fillId="2" borderId="5" xfId="1" applyFont="1" applyFill="1" applyBorder="1" applyAlignment="1">
      <alignment horizontal="center" vertical="center"/>
    </xf>
    <xf numFmtId="9" fontId="13" fillId="2" borderId="6" xfId="1" applyFont="1" applyFill="1" applyBorder="1" applyAlignment="1">
      <alignment horizontal="center" vertical="center"/>
    </xf>
    <xf numFmtId="9" fontId="13" fillId="2" borderId="19" xfId="1" applyFont="1" applyFill="1" applyBorder="1" applyAlignment="1">
      <alignment horizontal="center" vertical="center"/>
    </xf>
    <xf numFmtId="9" fontId="13" fillId="2" borderId="10" xfId="1" applyFont="1" applyFill="1" applyBorder="1" applyAlignment="1">
      <alignment horizontal="center" vertical="center"/>
    </xf>
  </cellXfs>
  <cellStyles count="2">
    <cellStyle name="Normal" xfId="0" builtinId="0"/>
    <cellStyle name="Porcentagem" xfId="1" builtinId="5"/>
  </cellStyles>
  <dxfs count="52"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rtdtrading.rtdserver">
      <tp t="s">
        <v>09:00:59.793</v>
        <stp/>
        <stp>T&amp;T0</stp>
        <stp>DAT</stp>
        <stp>8</stp>
        <tr r="B12" s="1"/>
      </tp>
      <tp t="s">
        <v>09:00:59.793</v>
        <stp/>
        <stp>T&amp;T0</stp>
        <stp>DAT</stp>
        <stp>9</stp>
        <tr r="B13" s="1"/>
      </tp>
      <tp t="s">
        <v>09:00:59.806</v>
        <stp/>
        <stp>T&amp;T0</stp>
        <stp>DAT</stp>
        <stp>6</stp>
        <tr r="B10" s="1"/>
      </tp>
      <tp t="s">
        <v>09:00:59.793</v>
        <stp/>
        <stp>T&amp;T0</stp>
        <stp>DAT</stp>
        <stp>7</stp>
        <tr r="B11" s="1"/>
      </tp>
      <tp t="s">
        <v>09:00:59.974</v>
        <stp/>
        <stp>T&amp;T0</stp>
        <stp>DAT</stp>
        <stp>4</stp>
        <tr r="B8" s="1"/>
      </tp>
      <tp t="s">
        <v>09:00:59.807</v>
        <stp/>
        <stp>T&amp;T0</stp>
        <stp>DAT</stp>
        <stp>5</stp>
        <tr r="B9" s="1"/>
      </tp>
      <tp t="s">
        <v>09:01:00.039</v>
        <stp/>
        <stp>T&amp;T0</stp>
        <stp>DAT</stp>
        <stp>2</stp>
        <tr r="B6" s="1"/>
      </tp>
      <tp t="s">
        <v>09:01:00.013</v>
        <stp/>
        <stp>T&amp;T0</stp>
        <stp>DAT</stp>
        <stp>3</stp>
        <tr r="B7" s="1"/>
      </tp>
      <tp t="s">
        <v>09:01:00.059</v>
        <stp/>
        <stp>T&amp;T0</stp>
        <stp>DAT</stp>
        <stp>0</stp>
        <tr r="B4" s="1"/>
      </tp>
      <tp t="s">
        <v>09:01:00.044</v>
        <stp/>
        <stp>T&amp;T0</stp>
        <stp>DAT</stp>
        <stp>1</stp>
        <tr r="B5" s="1"/>
      </tp>
      <tp t="s">
        <v>-</v>
        <stp/>
        <stp>T&amp;T0</stp>
        <stp>ACP</stp>
        <stp>9</stp>
        <tr r="C13" s="1"/>
      </tp>
      <tp t="s">
        <v>-</v>
        <stp/>
        <stp>T&amp;T0</stp>
        <stp>ACP</stp>
        <stp>8</stp>
        <tr r="C12" s="1"/>
      </tp>
      <tp t="s">
        <v>BTG</v>
        <stp/>
        <stp>T&amp;T0</stp>
        <stp>ACP</stp>
        <stp>3</stp>
        <tr r="C7" s="1"/>
      </tp>
      <tp t="s">
        <v>-</v>
        <stp/>
        <stp>T&amp;T0</stp>
        <stp>ACP</stp>
        <stp>2</stp>
        <tr r="C6" s="1"/>
      </tp>
      <tp t="s">
        <v>Ideal</v>
        <stp/>
        <stp>T&amp;T0</stp>
        <stp>ACP</stp>
        <stp>1</stp>
        <tr r="C5" s="1"/>
      </tp>
      <tp t="s">
        <v>Genial</v>
        <stp/>
        <stp>T&amp;T0</stp>
        <stp>ACP</stp>
        <stp>0</stp>
        <tr r="C4" s="1"/>
      </tp>
      <tp t="s">
        <v>-</v>
        <stp/>
        <stp>T&amp;T0</stp>
        <stp>ACP</stp>
        <stp>7</stp>
        <tr r="C11" s="1"/>
      </tp>
      <tp t="s">
        <v>UBS</v>
        <stp/>
        <stp>T&amp;T0</stp>
        <stp>ACP</stp>
        <stp>6</stp>
        <tr r="C10" s="1"/>
      </tp>
      <tp t="s">
        <v>-</v>
        <stp/>
        <stp>T&amp;T0</stp>
        <stp>ACP</stp>
        <stp>5</stp>
        <tr r="C9" s="1"/>
      </tp>
      <tp t="s">
        <v>-</v>
        <stp/>
        <stp>T&amp;T0</stp>
        <stp>ACP</stp>
        <stp>4</stp>
        <tr r="C8" s="1"/>
      </tp>
      <tp t="s">
        <v>Vendedor</v>
        <stp/>
        <stp>T&amp;T0</stp>
        <stp>AGR</stp>
        <stp>9</stp>
        <tr r="G13" s="1"/>
      </tp>
      <tp t="s">
        <v>Vendedor</v>
        <stp/>
        <stp>T&amp;T0</stp>
        <stp>AGR</stp>
        <stp>8</stp>
        <tr r="G12" s="1"/>
      </tp>
      <tp t="s">
        <v>Comprador</v>
        <stp/>
        <stp>T&amp;T0</stp>
        <stp>AGR</stp>
        <stp>3</stp>
        <tr r="G7" s="1"/>
      </tp>
      <tp t="s">
        <v>Vendedor</v>
        <stp/>
        <stp>T&amp;T0</stp>
        <stp>AGR</stp>
        <stp>2</stp>
        <tr r="G6" s="1"/>
      </tp>
      <tp t="s">
        <v>Comprador</v>
        <stp/>
        <stp>T&amp;T0</stp>
        <stp>AGR</stp>
        <stp>1</stp>
        <tr r="G5" s="1"/>
      </tp>
      <tp t="s">
        <v>Comprador</v>
        <stp/>
        <stp>T&amp;T0</stp>
        <stp>AGR</stp>
        <stp>0</stp>
        <tr r="G4" s="1"/>
      </tp>
      <tp t="s">
        <v>Vendedor</v>
        <stp/>
        <stp>T&amp;T0</stp>
        <stp>AGR</stp>
        <stp>7</stp>
        <tr r="G11" s="1"/>
      </tp>
      <tp t="s">
        <v>Comprador</v>
        <stp/>
        <stp>T&amp;T0</stp>
        <stp>AGR</stp>
        <stp>6</stp>
        <tr r="G10" s="1"/>
      </tp>
      <tp t="s">
        <v>Vendedor</v>
        <stp/>
        <stp>T&amp;T0</stp>
        <stp>AGR</stp>
        <stp>5</stp>
        <tr r="G9" s="1"/>
      </tp>
      <tp t="s">
        <v>Vendedor</v>
        <stp/>
        <stp>T&amp;T0</stp>
        <stp>AGR</stp>
        <stp>4</stp>
        <tr r="G8" s="1"/>
      </tp>
      <tp t="s">
        <v>BTG</v>
        <stp/>
        <stp>T&amp;T0</stp>
        <stp>AVD</stp>
        <stp>9</stp>
        <tr r="F13" s="1"/>
      </tp>
      <tp t="s">
        <v>XP</v>
        <stp/>
        <stp>T&amp;T0</stp>
        <stp>AVD</stp>
        <stp>8</stp>
        <tr r="F12" s="1"/>
      </tp>
      <tp t="s">
        <v>-</v>
        <stp/>
        <stp>T&amp;T0</stp>
        <stp>AVD</stp>
        <stp>3</stp>
        <tr r="F7" s="1"/>
      </tp>
      <tp t="s">
        <v>Nova Futura</v>
        <stp/>
        <stp>T&amp;T0</stp>
        <stp>AVD</stp>
        <stp>2</stp>
        <tr r="F6" s="1"/>
      </tp>
      <tp t="s">
        <v>-</v>
        <stp/>
        <stp>T&amp;T0</stp>
        <stp>AVD</stp>
        <stp>1</stp>
        <tr r="F5" s="1"/>
      </tp>
      <tp t="s">
        <v>-</v>
        <stp/>
        <stp>T&amp;T0</stp>
        <stp>AVD</stp>
        <stp>0</stp>
        <tr r="F4" s="1"/>
      </tp>
      <tp t="s">
        <v>BTG</v>
        <stp/>
        <stp>T&amp;T0</stp>
        <stp>AVD</stp>
        <stp>7</stp>
        <tr r="F11" s="1"/>
      </tp>
      <tp t="s">
        <v>-</v>
        <stp/>
        <stp>T&amp;T0</stp>
        <stp>AVD</stp>
        <stp>6</stp>
        <tr r="F10" s="1"/>
      </tp>
      <tp t="s">
        <v>UBS</v>
        <stp/>
        <stp>T&amp;T0</stp>
        <stp>AVD</stp>
        <stp>5</stp>
        <tr r="F9" s="1"/>
      </tp>
      <tp t="s">
        <v>BTG</v>
        <stp/>
        <stp>T&amp;T0</stp>
        <stp>AVD</stp>
        <stp>4</stp>
        <tr r="F8" s="1"/>
      </tp>
      <tp>
        <v>4957</v>
        <stp/>
        <stp>T&amp;T0</stp>
        <stp>PRE</stp>
        <stp>8</stp>
        <tr r="D12" s="1"/>
      </tp>
      <tp>
        <v>4957</v>
        <stp/>
        <stp>T&amp;T0</stp>
        <stp>PRE</stp>
        <stp>9</stp>
        <tr r="D13" s="1"/>
      </tp>
      <tp>
        <v>4957</v>
        <stp/>
        <stp>T&amp;T0</stp>
        <stp>PRE</stp>
        <stp>2</stp>
        <tr r="D6" s="1"/>
      </tp>
      <tp>
        <v>4958</v>
        <stp/>
        <stp>T&amp;T0</stp>
        <stp>PRE</stp>
        <stp>3</stp>
        <tr r="D7" s="1"/>
      </tp>
      <tp>
        <v>4957.5</v>
        <stp/>
        <stp>T&amp;T0</stp>
        <stp>PRE</stp>
        <stp>0</stp>
        <tr r="D4" s="1"/>
      </tp>
      <tp>
        <v>4957.5</v>
        <stp/>
        <stp>T&amp;T0</stp>
        <stp>PRE</stp>
        <stp>1</stp>
        <tr r="D5" s="1"/>
      </tp>
      <tp>
        <v>4958</v>
        <stp/>
        <stp>T&amp;T0</stp>
        <stp>PRE</stp>
        <stp>6</stp>
        <tr r="D10" s="1"/>
      </tp>
      <tp>
        <v>4957</v>
        <stp/>
        <stp>T&amp;T0</stp>
        <stp>PRE</stp>
        <stp>7</stp>
        <tr r="D11" s="1"/>
      </tp>
      <tp>
        <v>4957.5</v>
        <stp/>
        <stp>T&amp;T0</stp>
        <stp>PRE</stp>
        <stp>4</stp>
        <tr r="D8" s="1"/>
      </tp>
      <tp>
        <v>4958</v>
        <stp/>
        <stp>T&amp;T0</stp>
        <stp>PRE</stp>
        <stp>5</stp>
        <tr r="D9" s="1"/>
      </tp>
      <tp>
        <v>20</v>
        <stp/>
        <stp>T&amp;T0</stp>
        <stp>QUL</stp>
        <stp>9</stp>
        <tr r="E13" s="1"/>
      </tp>
      <tp>
        <v>5</v>
        <stp/>
        <stp>T&amp;T0</stp>
        <stp>QUL</stp>
        <stp>8</stp>
        <tr r="E12" s="1"/>
      </tp>
      <tp>
        <v>28</v>
        <stp/>
        <stp>T&amp;T0</stp>
        <stp>QUL</stp>
        <stp>3</stp>
        <tr r="E7" s="1"/>
      </tp>
      <tp>
        <v>300</v>
        <stp/>
        <stp>T&amp;T0</stp>
        <stp>QUL</stp>
        <stp>2</stp>
        <tr r="E6" s="1"/>
      </tp>
      <tp>
        <v>6</v>
        <stp/>
        <stp>T&amp;T0</stp>
        <stp>QUL</stp>
        <stp>1</stp>
        <tr r="E5" s="1"/>
      </tp>
      <tp>
        <v>5</v>
        <stp/>
        <stp>T&amp;T0</stp>
        <stp>QUL</stp>
        <stp>0</stp>
        <tr r="E4" s="1"/>
      </tp>
      <tp>
        <v>8</v>
        <stp/>
        <stp>T&amp;T0</stp>
        <stp>QUL</stp>
        <stp>7</stp>
        <tr r="E11" s="1"/>
      </tp>
      <tp>
        <v>39</v>
        <stp/>
        <stp>T&amp;T0</stp>
        <stp>QUL</stp>
        <stp>6</stp>
        <tr r="E10" s="1"/>
      </tp>
      <tp>
        <v>17</v>
        <stp/>
        <stp>T&amp;T0</stp>
        <stp>QUL</stp>
        <stp>5</stp>
        <tr r="E9" s="1"/>
      </tp>
      <tp>
        <v>5</v>
        <stp/>
        <stp>T&amp;T0</stp>
        <stp>QUL</stp>
        <stp>4</stp>
        <tr r="E8" s="1"/>
      </tp>
      <tp t="s">
        <v>Ordem Original</v>
        <stp/>
        <stp>T&amp;T0</stp>
        <stp>INFO</stp>
        <stp>TAB</stp>
        <tr r="C2" s="1"/>
      </tp>
      <tp t="s">
        <v>WDOFUT</v>
        <stp/>
        <stp>T&amp;T0</stp>
        <stp>INFO</stp>
        <stp>ATV</stp>
        <tr r="B2" s="1"/>
      </tp>
      <tp>
        <v>91</v>
        <stp/>
        <stp>T&amp;T0</stp>
        <stp>QUL</stp>
        <stp>99</stp>
        <tr r="E103" s="1"/>
      </tp>
      <tp>
        <v>25</v>
        <stp/>
        <stp>T&amp;T0</stp>
        <stp>QUL</stp>
        <stp>98</stp>
        <tr r="E102" s="1"/>
      </tp>
      <tp>
        <v>4961.5</v>
        <stp/>
        <stp>T&amp;T0</stp>
        <stp>PRE</stp>
        <stp>88</stp>
        <tr r="D92" s="1"/>
      </tp>
      <tp>
        <v>4960.5</v>
        <stp/>
        <stp>T&amp;T0</stp>
        <stp>PRE</stp>
        <stp>89</stp>
        <tr r="D93" s="1"/>
      </tp>
      <tp>
        <v>4961.5</v>
        <stp/>
        <stp>T&amp;T0</stp>
        <stp>PRE</stp>
        <stp>86</stp>
        <tr r="D90" s="1"/>
      </tp>
      <tp>
        <v>6</v>
        <stp/>
        <stp>T&amp;T0</stp>
        <stp>QUL</stp>
        <stp>91</stp>
        <tr r="E95" s="1"/>
      </tp>
      <tp>
        <v>4960.5</v>
        <stp/>
        <stp>T&amp;T0</stp>
        <stp>PRE</stp>
        <stp>87</stp>
        <tr r="D91" s="1"/>
      </tp>
      <tp>
        <v>5</v>
        <stp/>
        <stp>T&amp;T0</stp>
        <stp>QUL</stp>
        <stp>90</stp>
        <tr r="E94" s="1"/>
      </tp>
      <tp>
        <v>4961.5</v>
        <stp/>
        <stp>T&amp;T0</stp>
        <stp>PRE</stp>
        <stp>84</stp>
        <tr r="D88" s="1"/>
      </tp>
      <tp>
        <v>50</v>
        <stp/>
        <stp>T&amp;T0</stp>
        <stp>QUL</stp>
        <stp>93</stp>
        <tr r="E97" s="1"/>
      </tp>
      <tp>
        <v>4961.5</v>
        <stp/>
        <stp>T&amp;T0</stp>
        <stp>PRE</stp>
        <stp>85</stp>
        <tr r="D89" s="1"/>
      </tp>
      <tp>
        <v>5</v>
        <stp/>
        <stp>T&amp;T0</stp>
        <stp>QUL</stp>
        <stp>92</stp>
        <tr r="E96" s="1"/>
      </tp>
      <tp>
        <v>4961.5</v>
        <stp/>
        <stp>T&amp;T0</stp>
        <stp>PRE</stp>
        <stp>82</stp>
        <tr r="D86" s="1"/>
      </tp>
      <tp>
        <v>36</v>
        <stp/>
        <stp>T&amp;T0</stp>
        <stp>QUL</stp>
        <stp>95</stp>
        <tr r="E99" s="1"/>
      </tp>
      <tp>
        <v>4961</v>
        <stp/>
        <stp>T&amp;T0</stp>
        <stp>PRE</stp>
        <stp>83</stp>
        <tr r="D87" s="1"/>
      </tp>
      <tp>
        <v>15</v>
        <stp/>
        <stp>T&amp;T0</stp>
        <stp>QUL</stp>
        <stp>94</stp>
        <tr r="E98" s="1"/>
      </tp>
      <tp>
        <v>4961</v>
        <stp/>
        <stp>T&amp;T0</stp>
        <stp>PRE</stp>
        <stp>80</stp>
        <tr r="D84" s="1"/>
      </tp>
      <tp>
        <v>12</v>
        <stp/>
        <stp>T&amp;T0</stp>
        <stp>QUL</stp>
        <stp>97</stp>
        <tr r="E101" s="1"/>
      </tp>
      <tp>
        <v>4959.5</v>
        <stp/>
        <stp>T&amp;T0</stp>
        <stp>PRE</stp>
        <stp>81</stp>
        <tr r="D85" s="1"/>
      </tp>
      <tp>
        <v>8</v>
        <stp/>
        <stp>T&amp;T0</stp>
        <stp>QUL</stp>
        <stp>96</stp>
        <tr r="E100" s="1"/>
      </tp>
      <tp>
        <v>16</v>
        <stp/>
        <stp>T&amp;T0</stp>
        <stp>QUL</stp>
        <stp>89</stp>
        <tr r="E93" s="1"/>
      </tp>
      <tp>
        <v>7</v>
        <stp/>
        <stp>T&amp;T0</stp>
        <stp>QUL</stp>
        <stp>88</stp>
        <tr r="E92" s="1"/>
      </tp>
      <tp>
        <v>4959.5</v>
        <stp/>
        <stp>T&amp;T0</stp>
        <stp>PRE</stp>
        <stp>98</stp>
        <tr r="D102" s="1"/>
      </tp>
      <tp>
        <v>4959.5</v>
        <stp/>
        <stp>T&amp;T0</stp>
        <stp>PRE</stp>
        <stp>99</stp>
        <tr r="D103" s="1"/>
      </tp>
      <tp>
        <v>4960.5</v>
        <stp/>
        <stp>T&amp;T0</stp>
        <stp>PRE</stp>
        <stp>96</stp>
        <tr r="D100" s="1"/>
      </tp>
      <tp>
        <v>200</v>
        <stp/>
        <stp>T&amp;T0</stp>
        <stp>QUL</stp>
        <stp>81</stp>
        <tr r="E85" s="1"/>
      </tp>
      <tp>
        <v>4960.5</v>
        <stp/>
        <stp>T&amp;T0</stp>
        <stp>PRE</stp>
        <stp>97</stp>
        <tr r="D101" s="1"/>
      </tp>
      <tp>
        <v>9</v>
        <stp/>
        <stp>T&amp;T0</stp>
        <stp>QUL</stp>
        <stp>80</stp>
        <tr r="E84" s="1"/>
      </tp>
      <tp>
        <v>4961.5</v>
        <stp/>
        <stp>T&amp;T0</stp>
        <stp>PRE</stp>
        <stp>94</stp>
        <tr r="D98" s="1"/>
      </tp>
      <tp>
        <v>9</v>
        <stp/>
        <stp>T&amp;T0</stp>
        <stp>QUL</stp>
        <stp>83</stp>
        <tr r="E87" s="1"/>
      </tp>
      <tp>
        <v>4961</v>
        <stp/>
        <stp>T&amp;T0</stp>
        <stp>PRE</stp>
        <stp>95</stp>
        <tr r="D99" s="1"/>
      </tp>
      <tp>
        <v>10</v>
        <stp/>
        <stp>T&amp;T0</stp>
        <stp>QUL</stp>
        <stp>82</stp>
        <tr r="E86" s="1"/>
      </tp>
      <tp>
        <v>4961</v>
        <stp/>
        <stp>T&amp;T0</stp>
        <stp>PRE</stp>
        <stp>92</stp>
        <tr r="D96" s="1"/>
      </tp>
      <tp>
        <v>10</v>
        <stp/>
        <stp>T&amp;T0</stp>
        <stp>QUL</stp>
        <stp>85</stp>
        <tr r="E89" s="1"/>
      </tp>
      <tp>
        <v>4961</v>
        <stp/>
        <stp>T&amp;T0</stp>
        <stp>PRE</stp>
        <stp>93</stp>
        <tr r="D97" s="1"/>
      </tp>
      <tp>
        <v>6</v>
        <stp/>
        <stp>T&amp;T0</stp>
        <stp>QUL</stp>
        <stp>84</stp>
        <tr r="E88" s="1"/>
      </tp>
      <tp>
        <v>4960.5</v>
        <stp/>
        <stp>T&amp;T0</stp>
        <stp>PRE</stp>
        <stp>90</stp>
        <tr r="D94" s="1"/>
      </tp>
      <tp>
        <v>10</v>
        <stp/>
        <stp>T&amp;T0</stp>
        <stp>QUL</stp>
        <stp>87</stp>
        <tr r="E91" s="1"/>
      </tp>
      <tp>
        <v>4960.5</v>
        <stp/>
        <stp>T&amp;T0</stp>
        <stp>PRE</stp>
        <stp>91</stp>
        <tr r="D95" s="1"/>
      </tp>
      <tp>
        <v>42</v>
        <stp/>
        <stp>T&amp;T0</stp>
        <stp>QUL</stp>
        <stp>86</stp>
        <tr r="E90" s="1"/>
      </tp>
      <tp>
        <v>28</v>
        <stp/>
        <stp>T&amp;T0</stp>
        <stp>QUL</stp>
        <stp>39</stp>
        <tr r="E43" s="1"/>
      </tp>
      <tp>
        <v>10</v>
        <stp/>
        <stp>T&amp;T0</stp>
        <stp>QUL</stp>
        <stp>38</stp>
        <tr r="E42" s="1"/>
      </tp>
      <tp>
        <v>4959</v>
        <stp/>
        <stp>T&amp;T0</stp>
        <stp>PRE</stp>
        <stp>28</stp>
        <tr r="D32" s="1"/>
      </tp>
      <tp>
        <v>4958.5</v>
        <stp/>
        <stp>T&amp;T0</stp>
        <stp>PRE</stp>
        <stp>29</stp>
        <tr r="D33" s="1"/>
      </tp>
      <tp>
        <v>4957.5</v>
        <stp/>
        <stp>T&amp;T0</stp>
        <stp>PRE</stp>
        <stp>26</stp>
        <tr r="D30" s="1"/>
      </tp>
      <tp>
        <v>5</v>
        <stp/>
        <stp>T&amp;T0</stp>
        <stp>QUL</stp>
        <stp>31</stp>
        <tr r="E35" s="1"/>
      </tp>
      <tp>
        <v>4957.5</v>
        <stp/>
        <stp>T&amp;T0</stp>
        <stp>PRE</stp>
        <stp>27</stp>
        <tr r="D31" s="1"/>
      </tp>
      <tp>
        <v>5</v>
        <stp/>
        <stp>T&amp;T0</stp>
        <stp>QUL</stp>
        <stp>30</stp>
        <tr r="E34" s="1"/>
      </tp>
      <tp>
        <v>4959</v>
        <stp/>
        <stp>T&amp;T0</stp>
        <stp>PRE</stp>
        <stp>24</stp>
        <tr r="D28" s="1"/>
      </tp>
      <tp>
        <v>27</v>
        <stp/>
        <stp>T&amp;T0</stp>
        <stp>QUL</stp>
        <stp>33</stp>
        <tr r="E37" s="1"/>
      </tp>
      <tp>
        <v>4958.5</v>
        <stp/>
        <stp>T&amp;T0</stp>
        <stp>PRE</stp>
        <stp>25</stp>
        <tr r="D29" s="1"/>
      </tp>
      <tp>
        <v>6</v>
        <stp/>
        <stp>T&amp;T0</stp>
        <stp>QUL</stp>
        <stp>32</stp>
        <tr r="E36" s="1"/>
      </tp>
      <tp>
        <v>4958.5</v>
        <stp/>
        <stp>T&amp;T0</stp>
        <stp>PRE</stp>
        <stp>22</stp>
        <tr r="D26" s="1"/>
      </tp>
      <tp>
        <v>10</v>
        <stp/>
        <stp>T&amp;T0</stp>
        <stp>QUL</stp>
        <stp>35</stp>
        <tr r="E39" s="1"/>
      </tp>
      <tp>
        <v>4959</v>
        <stp/>
        <stp>T&amp;T0</stp>
        <stp>PRE</stp>
        <stp>23</stp>
        <tr r="D27" s="1"/>
      </tp>
      <tp>
        <v>5</v>
        <stp/>
        <stp>T&amp;T0</stp>
        <stp>QUL</stp>
        <stp>34</stp>
        <tr r="E38" s="1"/>
      </tp>
      <tp>
        <v>4958.5</v>
        <stp/>
        <stp>T&amp;T0</stp>
        <stp>PRE</stp>
        <stp>20</stp>
        <tr r="D24" s="1"/>
      </tp>
      <tp>
        <v>100</v>
        <stp/>
        <stp>T&amp;T0</stp>
        <stp>QUL</stp>
        <stp>37</stp>
        <tr r="E41" s="1"/>
      </tp>
      <tp>
        <v>4957.5</v>
        <stp/>
        <stp>T&amp;T0</stp>
        <stp>PRE</stp>
        <stp>21</stp>
        <tr r="D25" s="1"/>
      </tp>
      <tp>
        <v>51</v>
        <stp/>
        <stp>T&amp;T0</stp>
        <stp>QUL</stp>
        <stp>36</stp>
        <tr r="E40" s="1"/>
      </tp>
      <tp>
        <v>70</v>
        <stp/>
        <stp>T&amp;T0</stp>
        <stp>QUL</stp>
        <stp>29</stp>
        <tr r="E33" s="1"/>
      </tp>
      <tp>
        <v>10</v>
        <stp/>
        <stp>T&amp;T0</stp>
        <stp>QUL</stp>
        <stp>28</stp>
        <tr r="E32" s="1"/>
      </tp>
      <tp>
        <v>4959</v>
        <stp/>
        <stp>T&amp;T0</stp>
        <stp>PRE</stp>
        <stp>38</stp>
        <tr r="D42" s="1"/>
      </tp>
      <tp>
        <v>4959.5</v>
        <stp/>
        <stp>T&amp;T0</stp>
        <stp>PRE</stp>
        <stp>39</stp>
        <tr r="D43" s="1"/>
      </tp>
      <tp>
        <v>4960</v>
        <stp/>
        <stp>T&amp;T0</stp>
        <stp>PRE</stp>
        <stp>36</stp>
        <tr r="D40" s="1"/>
      </tp>
      <tp>
        <v>81</v>
        <stp/>
        <stp>T&amp;T0</stp>
        <stp>QUL</stp>
        <stp>21</stp>
        <tr r="E25" s="1"/>
      </tp>
      <tp>
        <v>4958.5</v>
        <stp/>
        <stp>T&amp;T0</stp>
        <stp>PRE</stp>
        <stp>37</stp>
        <tr r="D41" s="1"/>
      </tp>
      <tp>
        <v>12</v>
        <stp/>
        <stp>T&amp;T0</stp>
        <stp>QUL</stp>
        <stp>20</stp>
        <tr r="E24" s="1"/>
      </tp>
      <tp>
        <v>4960</v>
        <stp/>
        <stp>T&amp;T0</stp>
        <stp>PRE</stp>
        <stp>34</stp>
        <tr r="D38" s="1"/>
      </tp>
      <tp>
        <v>15</v>
        <stp/>
        <stp>T&amp;T0</stp>
        <stp>QUL</stp>
        <stp>23</stp>
        <tr r="E27" s="1"/>
      </tp>
      <tp>
        <v>4959.5</v>
        <stp/>
        <stp>T&amp;T0</stp>
        <stp>PRE</stp>
        <stp>35</stp>
        <tr r="D39" s="1"/>
      </tp>
      <tp>
        <v>5</v>
        <stp/>
        <stp>T&amp;T0</stp>
        <stp>QUL</stp>
        <stp>22</stp>
        <tr r="E26" s="1"/>
      </tp>
      <tp>
        <v>4959</v>
        <stp/>
        <stp>T&amp;T0</stp>
        <stp>PRE</stp>
        <stp>32</stp>
        <tr r="D36" s="1"/>
      </tp>
      <tp>
        <v>9</v>
        <stp/>
        <stp>T&amp;T0</stp>
        <stp>QUL</stp>
        <stp>25</stp>
        <tr r="E29" s="1"/>
      </tp>
      <tp>
        <v>4959</v>
        <stp/>
        <stp>T&amp;T0</stp>
        <stp>PRE</stp>
        <stp>33</stp>
        <tr r="D37" s="1"/>
      </tp>
      <tp>
        <v>6</v>
        <stp/>
        <stp>T&amp;T0</stp>
        <stp>QUL</stp>
        <stp>24</stp>
        <tr r="E28" s="1"/>
      </tp>
      <tp>
        <v>4959</v>
        <stp/>
        <stp>T&amp;T0</stp>
        <stp>PRE</stp>
        <stp>30</stp>
        <tr r="D34" s="1"/>
      </tp>
      <tp>
        <v>500</v>
        <stp/>
        <stp>T&amp;T0</stp>
        <stp>QUL</stp>
        <stp>27</stp>
        <tr r="E31" s="1"/>
      </tp>
      <tp>
        <v>4959.5</v>
        <stp/>
        <stp>T&amp;T0</stp>
        <stp>PRE</stp>
        <stp>31</stp>
        <tr r="D35" s="1"/>
      </tp>
      <tp>
        <v>11</v>
        <stp/>
        <stp>T&amp;T0</stp>
        <stp>QUL</stp>
        <stp>26</stp>
        <tr r="E30" s="1"/>
      </tp>
      <tp>
        <v>5</v>
        <stp/>
        <stp>T&amp;T0</stp>
        <stp>QUL</stp>
        <stp>19</stp>
        <tr r="E23" s="1"/>
      </tp>
      <tp>
        <v>100</v>
        <stp/>
        <stp>T&amp;T0</stp>
        <stp>QUL</stp>
        <stp>18</stp>
        <tr r="E22" s="1"/>
      </tp>
      <tp>
        <v>5</v>
        <stp/>
        <stp>T&amp;T0</stp>
        <stp>QUL</stp>
        <stp>11</stp>
        <tr r="E15" s="1"/>
      </tp>
      <tp>
        <v>100</v>
        <stp/>
        <stp>T&amp;T0</stp>
        <stp>QUL</stp>
        <stp>10</stp>
        <tr r="E14" s="1"/>
      </tp>
      <tp>
        <v>5</v>
        <stp/>
        <stp>T&amp;T0</stp>
        <stp>QUL</stp>
        <stp>13</stp>
        <tr r="E17" s="1"/>
      </tp>
      <tp>
        <v>15</v>
        <stp/>
        <stp>T&amp;T0</stp>
        <stp>QUL</stp>
        <stp>12</stp>
        <tr r="E16" s="1"/>
      </tp>
      <tp>
        <v>5</v>
        <stp/>
        <stp>T&amp;T0</stp>
        <stp>QUL</stp>
        <stp>15</stp>
        <tr r="E19" s="1"/>
      </tp>
      <tp>
        <v>10</v>
        <stp/>
        <stp>T&amp;T0</stp>
        <stp>QUL</stp>
        <stp>14</stp>
        <tr r="E18" s="1"/>
      </tp>
      <tp>
        <v>19</v>
        <stp/>
        <stp>T&amp;T0</stp>
        <stp>QUL</stp>
        <stp>17</stp>
        <tr r="E21" s="1"/>
      </tp>
      <tp>
        <v>82</v>
        <stp/>
        <stp>T&amp;T0</stp>
        <stp>QUL</stp>
        <stp>16</stp>
        <tr r="E20" s="1"/>
      </tp>
      <tp>
        <v>4957.5</v>
        <stp/>
        <stp>T&amp;T0</stp>
        <stp>PRE</stp>
        <stp>18</stp>
        <tr r="D22" s="1"/>
      </tp>
      <tp>
        <v>4958.5</v>
        <stp/>
        <stp>T&amp;T0</stp>
        <stp>PRE</stp>
        <stp>19</stp>
        <tr r="D23" s="1"/>
      </tp>
      <tp>
        <v>4957.5</v>
        <stp/>
        <stp>T&amp;T0</stp>
        <stp>PRE</stp>
        <stp>16</stp>
        <tr r="D20" s="1"/>
      </tp>
      <tp>
        <v>4958.5</v>
        <stp/>
        <stp>T&amp;T0</stp>
        <stp>PRE</stp>
        <stp>17</stp>
        <tr r="D21" s="1"/>
      </tp>
      <tp>
        <v>4958.5</v>
        <stp/>
        <stp>T&amp;T0</stp>
        <stp>PRE</stp>
        <stp>14</stp>
        <tr r="D18" s="1"/>
      </tp>
      <tp>
        <v>4958</v>
        <stp/>
        <stp>T&amp;T0</stp>
        <stp>PRE</stp>
        <stp>15</stp>
        <tr r="D19" s="1"/>
      </tp>
      <tp>
        <v>4958</v>
        <stp/>
        <stp>T&amp;T0</stp>
        <stp>PRE</stp>
        <stp>12</stp>
        <tr r="D16" s="1"/>
      </tp>
      <tp>
        <v>4958</v>
        <stp/>
        <stp>T&amp;T0</stp>
        <stp>PRE</stp>
        <stp>13</stp>
        <tr r="D17" s="1"/>
      </tp>
      <tp>
        <v>4957</v>
        <stp/>
        <stp>T&amp;T0</stp>
        <stp>PRE</stp>
        <stp>10</stp>
        <tr r="D14" s="1"/>
      </tp>
      <tp>
        <v>4958</v>
        <stp/>
        <stp>T&amp;T0</stp>
        <stp>PRE</stp>
        <stp>11</stp>
        <tr r="D15" s="1"/>
      </tp>
      <tp>
        <v>13</v>
        <stp/>
        <stp>T&amp;T0</stp>
        <stp>QUL</stp>
        <stp>79</stp>
        <tr r="E83" s="1"/>
      </tp>
      <tp>
        <v>21</v>
        <stp/>
        <stp>T&amp;T0</stp>
        <stp>QUL</stp>
        <stp>78</stp>
        <tr r="E82" s="1"/>
      </tp>
      <tp>
        <v>4961</v>
        <stp/>
        <stp>T&amp;T0</stp>
        <stp>PRE</stp>
        <stp>68</stp>
        <tr r="D72" s="1"/>
      </tp>
      <tp>
        <v>4961.5</v>
        <stp/>
        <stp>T&amp;T0</stp>
        <stp>PRE</stp>
        <stp>69</stp>
        <tr r="D73" s="1"/>
      </tp>
      <tp>
        <v>4961</v>
        <stp/>
        <stp>T&amp;T0</stp>
        <stp>PRE</stp>
        <stp>66</stp>
        <tr r="D70" s="1"/>
      </tp>
      <tp>
        <v>12</v>
        <stp/>
        <stp>T&amp;T0</stp>
        <stp>QUL</stp>
        <stp>71</stp>
        <tr r="E75" s="1"/>
      </tp>
      <tp>
        <v>4960.5</v>
        <stp/>
        <stp>T&amp;T0</stp>
        <stp>PRE</stp>
        <stp>67</stp>
        <tr r="D71" s="1"/>
      </tp>
      <tp>
        <v>18</v>
        <stp/>
        <stp>T&amp;T0</stp>
        <stp>QUL</stp>
        <stp>70</stp>
        <tr r="E74" s="1"/>
      </tp>
      <tp>
        <v>4961</v>
        <stp/>
        <stp>T&amp;T0</stp>
        <stp>PRE</stp>
        <stp>64</stp>
        <tr r="D68" s="1"/>
      </tp>
      <tp>
        <v>10</v>
        <stp/>
        <stp>T&amp;T0</stp>
        <stp>QUL</stp>
        <stp>73</stp>
        <tr r="E77" s="1"/>
      </tp>
      <tp>
        <v>4960.5</v>
        <stp/>
        <stp>T&amp;T0</stp>
        <stp>PRE</stp>
        <stp>65</stp>
        <tr r="D69" s="1"/>
      </tp>
      <tp>
        <v>76</v>
        <stp/>
        <stp>T&amp;T0</stp>
        <stp>QUL</stp>
        <stp>72</stp>
        <tr r="E76" s="1"/>
      </tp>
      <tp>
        <v>4961.5</v>
        <stp/>
        <stp>T&amp;T0</stp>
        <stp>PRE</stp>
        <stp>62</stp>
        <tr r="D66" s="1"/>
      </tp>
      <tp>
        <v>7</v>
        <stp/>
        <stp>T&amp;T0</stp>
        <stp>QUL</stp>
        <stp>75</stp>
        <tr r="E79" s="1"/>
      </tp>
      <tp>
        <v>4961</v>
        <stp/>
        <stp>T&amp;T0</stp>
        <stp>PRE</stp>
        <stp>63</stp>
        <tr r="D67" s="1"/>
      </tp>
      <tp>
        <v>15</v>
        <stp/>
        <stp>T&amp;T0</stp>
        <stp>QUL</stp>
        <stp>74</stp>
        <tr r="E78" s="1"/>
      </tp>
      <tp>
        <v>4961</v>
        <stp/>
        <stp>T&amp;T0</stp>
        <stp>PRE</stp>
        <stp>60</stp>
        <tr r="D64" s="1"/>
      </tp>
      <tp>
        <v>5</v>
        <stp/>
        <stp>T&amp;T0</stp>
        <stp>QUL</stp>
        <stp>77</stp>
        <tr r="E81" s="1"/>
      </tp>
      <tp>
        <v>4961.5</v>
        <stp/>
        <stp>T&amp;T0</stp>
        <stp>PRE</stp>
        <stp>61</stp>
        <tr r="D65" s="1"/>
      </tp>
      <tp>
        <v>5</v>
        <stp/>
        <stp>T&amp;T0</stp>
        <stp>QUL</stp>
        <stp>76</stp>
        <tr r="E80" s="1"/>
      </tp>
      <tp>
        <v>7</v>
        <stp/>
        <stp>T&amp;T0</stp>
        <stp>QUL</stp>
        <stp>69</stp>
        <tr r="E73" s="1"/>
      </tp>
      <tp>
        <v>10</v>
        <stp/>
        <stp>T&amp;T0</stp>
        <stp>QUL</stp>
        <stp>68</stp>
        <tr r="E72" s="1"/>
      </tp>
      <tp>
        <v>4961.5</v>
        <stp/>
        <stp>T&amp;T0</stp>
        <stp>PRE</stp>
        <stp>78</stp>
        <tr r="D82" s="1"/>
      </tp>
      <tp>
        <v>4961.5</v>
        <stp/>
        <stp>T&amp;T0</stp>
        <stp>PRE</stp>
        <stp>79</stp>
        <tr r="D83" s="1"/>
      </tp>
      <tp>
        <v>4961</v>
        <stp/>
        <stp>T&amp;T0</stp>
        <stp>PRE</stp>
        <stp>76</stp>
        <tr r="D80" s="1"/>
      </tp>
      <tp>
        <v>5</v>
        <stp/>
        <stp>T&amp;T0</stp>
        <stp>QUL</stp>
        <stp>61</stp>
        <tr r="E65" s="1"/>
      </tp>
      <tp>
        <v>4961</v>
        <stp/>
        <stp>T&amp;T0</stp>
        <stp>PRE</stp>
        <stp>77</stp>
        <tr r="D81" s="1"/>
      </tp>
      <tp>
        <v>5</v>
        <stp/>
        <stp>T&amp;T0</stp>
        <stp>QUL</stp>
        <stp>60</stp>
        <tr r="E64" s="1"/>
      </tp>
      <tp>
        <v>4962</v>
        <stp/>
        <stp>T&amp;T0</stp>
        <stp>PRE</stp>
        <stp>74</stp>
        <tr r="D78" s="1"/>
      </tp>
      <tp>
        <v>7</v>
        <stp/>
        <stp>T&amp;T0</stp>
        <stp>QUL</stp>
        <stp>63</stp>
        <tr r="E67" s="1"/>
      </tp>
      <tp>
        <v>4961.5</v>
        <stp/>
        <stp>T&amp;T0</stp>
        <stp>PRE</stp>
        <stp>75</stp>
        <tr r="D79" s="1"/>
      </tp>
      <tp>
        <v>15</v>
        <stp/>
        <stp>T&amp;T0</stp>
        <stp>QUL</stp>
        <stp>62</stp>
        <tr r="E66" s="1"/>
      </tp>
      <tp>
        <v>4960.5</v>
        <stp/>
        <stp>T&amp;T0</stp>
        <stp>PRE</stp>
        <stp>72</stp>
        <tr r="D76" s="1"/>
      </tp>
      <tp>
        <v>25</v>
        <stp/>
        <stp>T&amp;T0</stp>
        <stp>QUL</stp>
        <stp>65</stp>
        <tr r="E69" s="1"/>
      </tp>
      <tp>
        <v>4961.5</v>
        <stp/>
        <stp>T&amp;T0</stp>
        <stp>PRE</stp>
        <stp>73</stp>
        <tr r="D77" s="1"/>
      </tp>
      <tp>
        <v>15</v>
        <stp/>
        <stp>T&amp;T0</stp>
        <stp>QUL</stp>
        <stp>64</stp>
        <tr r="E68" s="1"/>
      </tp>
      <tp>
        <v>4961.5</v>
        <stp/>
        <stp>T&amp;T0</stp>
        <stp>PRE</stp>
        <stp>70</stp>
        <tr r="D74" s="1"/>
      </tp>
      <tp>
        <v>10</v>
        <stp/>
        <stp>T&amp;T0</stp>
        <stp>QUL</stp>
        <stp>67</stp>
        <tr r="E71" s="1"/>
      </tp>
      <tp>
        <v>4961.5</v>
        <stp/>
        <stp>T&amp;T0</stp>
        <stp>PRE</stp>
        <stp>71</stp>
        <tr r="D75" s="1"/>
      </tp>
      <tp>
        <v>12</v>
        <stp/>
        <stp>T&amp;T0</stp>
        <stp>QUL</stp>
        <stp>66</stp>
        <tr r="E70" s="1"/>
      </tp>
      <tp>
        <v>290</v>
        <stp/>
        <stp>T&amp;T0</stp>
        <stp>QUL</stp>
        <stp>59</stp>
        <tr r="E63" s="1"/>
      </tp>
      <tp>
        <v>40</v>
        <stp/>
        <stp>T&amp;T0</stp>
        <stp>QUL</stp>
        <stp>58</stp>
        <tr r="E62" s="1"/>
      </tp>
      <tp>
        <v>4959.5</v>
        <stp/>
        <stp>T&amp;T0</stp>
        <stp>PRE</stp>
        <stp>48</stp>
        <tr r="D52" s="1"/>
      </tp>
      <tp>
        <v>4959.5</v>
        <stp/>
        <stp>T&amp;T0</stp>
        <stp>PRE</stp>
        <stp>49</stp>
        <tr r="D53" s="1"/>
      </tp>
      <tp>
        <v>4959.5</v>
        <stp/>
        <stp>T&amp;T0</stp>
        <stp>PRE</stp>
        <stp>46</stp>
        <tr r="D50" s="1"/>
      </tp>
      <tp>
        <v>67</v>
        <stp/>
        <stp>T&amp;T0</stp>
        <stp>QUL</stp>
        <stp>51</stp>
        <tr r="E55" s="1"/>
      </tp>
      <tp>
        <v>4959.5</v>
        <stp/>
        <stp>T&amp;T0</stp>
        <stp>PRE</stp>
        <stp>47</stp>
        <tr r="D51" s="1"/>
      </tp>
      <tp>
        <v>32</v>
        <stp/>
        <stp>T&amp;T0</stp>
        <stp>QUL</stp>
        <stp>50</stp>
        <tr r="E54" s="1"/>
      </tp>
      <tp>
        <v>4960.5</v>
        <stp/>
        <stp>T&amp;T0</stp>
        <stp>PRE</stp>
        <stp>44</stp>
        <tr r="D48" s="1"/>
      </tp>
      <tp>
        <v>29</v>
        <stp/>
        <stp>T&amp;T0</stp>
        <stp>QUL</stp>
        <stp>53</stp>
        <tr r="E57" s="1"/>
      </tp>
      <tp>
        <v>4959.5</v>
        <stp/>
        <stp>T&amp;T0</stp>
        <stp>PRE</stp>
        <stp>45</stp>
        <tr r="D49" s="1"/>
      </tp>
      <tp>
        <v>9</v>
        <stp/>
        <stp>T&amp;T0</stp>
        <stp>QUL</stp>
        <stp>52</stp>
        <tr r="E56" s="1"/>
      </tp>
      <tp>
        <v>4958.5</v>
        <stp/>
        <stp>T&amp;T0</stp>
        <stp>PRE</stp>
        <stp>42</stp>
        <tr r="D46" s="1"/>
      </tp>
      <tp>
        <v>5</v>
        <stp/>
        <stp>T&amp;T0</stp>
        <stp>QUL</stp>
        <stp>55</stp>
        <tr r="E59" s="1"/>
      </tp>
      <tp>
        <v>4960.5</v>
        <stp/>
        <stp>T&amp;T0</stp>
        <stp>PRE</stp>
        <stp>43</stp>
        <tr r="D47" s="1"/>
      </tp>
      <tp>
        <v>21</v>
        <stp/>
        <stp>T&amp;T0</stp>
        <stp>QUL</stp>
        <stp>54</stp>
        <tr r="E58" s="1"/>
      </tp>
      <tp>
        <v>4959</v>
        <stp/>
        <stp>T&amp;T0</stp>
        <stp>PRE</stp>
        <stp>40</stp>
        <tr r="D44" s="1"/>
      </tp>
      <tp>
        <v>7</v>
        <stp/>
        <stp>T&amp;T0</stp>
        <stp>QUL</stp>
        <stp>57</stp>
        <tr r="E61" s="1"/>
      </tp>
      <tp>
        <v>4958.5</v>
        <stp/>
        <stp>T&amp;T0</stp>
        <stp>PRE</stp>
        <stp>41</stp>
        <tr r="D45" s="1"/>
      </tp>
      <tp>
        <v>10</v>
        <stp/>
        <stp>T&amp;T0</stp>
        <stp>QUL</stp>
        <stp>56</stp>
        <tr r="E60" s="1"/>
      </tp>
      <tp>
        <v>5</v>
        <stp/>
        <stp>T&amp;T0</stp>
        <stp>QUL</stp>
        <stp>49</stp>
        <tr r="E53" s="1"/>
      </tp>
      <tp>
        <v>18</v>
        <stp/>
        <stp>T&amp;T0</stp>
        <stp>QUL</stp>
        <stp>48</stp>
        <tr r="E52" s="1"/>
      </tp>
      <tp>
        <v>4962</v>
        <stp/>
        <stp>T&amp;T0</stp>
        <stp>PRE</stp>
        <stp>58</stp>
        <tr r="D62" s="1"/>
      </tp>
      <tp>
        <v>4961.5</v>
        <stp/>
        <stp>T&amp;T0</stp>
        <stp>PRE</stp>
        <stp>59</stp>
        <tr r="D63" s="1"/>
      </tp>
      <tp>
        <v>4961</v>
        <stp/>
        <stp>T&amp;T0</stp>
        <stp>PRE</stp>
        <stp>56</stp>
        <tr r="D60" s="1"/>
      </tp>
      <tp>
        <v>10</v>
        <stp/>
        <stp>T&amp;T0</stp>
        <stp>QUL</stp>
        <stp>41</stp>
        <tr r="E45" s="1"/>
      </tp>
      <tp>
        <v>4961</v>
        <stp/>
        <stp>T&amp;T0</stp>
        <stp>PRE</stp>
        <stp>57</stp>
        <tr r="D61" s="1"/>
      </tp>
      <tp>
        <v>8</v>
        <stp/>
        <stp>T&amp;T0</stp>
        <stp>QUL</stp>
        <stp>40</stp>
        <tr r="E44" s="1"/>
      </tp>
      <tp>
        <v>4961</v>
        <stp/>
        <stp>T&amp;T0</stp>
        <stp>PRE</stp>
        <stp>54</stp>
        <tr r="D58" s="1"/>
      </tp>
      <tp>
        <v>5</v>
        <stp/>
        <stp>T&amp;T0</stp>
        <stp>QUL</stp>
        <stp>43</stp>
        <tr r="E47" s="1"/>
      </tp>
      <tp>
        <v>4960.5</v>
        <stp/>
        <stp>T&amp;T0</stp>
        <stp>PRE</stp>
        <stp>55</stp>
        <tr r="D59" s="1"/>
      </tp>
      <tp>
        <v>100</v>
        <stp/>
        <stp>T&amp;T0</stp>
        <stp>QUL</stp>
        <stp>42</stp>
        <tr r="E46" s="1"/>
      </tp>
      <tp>
        <v>4960.5</v>
        <stp/>
        <stp>T&amp;T0</stp>
        <stp>PRE</stp>
        <stp>52</stp>
        <tr r="D56" s="1"/>
      </tp>
      <tp>
        <v>14</v>
        <stp/>
        <stp>T&amp;T0</stp>
        <stp>QUL</stp>
        <stp>45</stp>
        <tr r="E49" s="1"/>
      </tp>
      <tp>
        <v>4961</v>
        <stp/>
        <stp>T&amp;T0</stp>
        <stp>PRE</stp>
        <stp>53</stp>
        <tr r="D57" s="1"/>
      </tp>
      <tp>
        <v>141</v>
        <stp/>
        <stp>T&amp;T0</stp>
        <stp>QUL</stp>
        <stp>44</stp>
        <tr r="E48" s="1"/>
      </tp>
      <tp>
        <v>4960</v>
        <stp/>
        <stp>T&amp;T0</stp>
        <stp>PRE</stp>
        <stp>50</stp>
        <tr r="D54" s="1"/>
      </tp>
      <tp>
        <v>14</v>
        <stp/>
        <stp>T&amp;T0</stp>
        <stp>QUL</stp>
        <stp>47</stp>
        <tr r="E51" s="1"/>
      </tp>
      <tp>
        <v>4960.5</v>
        <stp/>
        <stp>T&amp;T0</stp>
        <stp>PRE</stp>
        <stp>51</stp>
        <tr r="D55" s="1"/>
      </tp>
      <tp>
        <v>5</v>
        <stp/>
        <stp>T&amp;T0</stp>
        <stp>QUL</stp>
        <stp>46</stp>
        <tr r="E50" s="1"/>
      </tp>
      <tp t="s">
        <v>Vendedor</v>
        <stp/>
        <stp>T&amp;T0</stp>
        <stp>AGR</stp>
        <stp>99</stp>
        <tr r="G103" s="1"/>
      </tp>
      <tp t="s">
        <v>Vendedor</v>
        <stp/>
        <stp>T&amp;T0</stp>
        <stp>AGR</stp>
        <stp>98</stp>
        <tr r="G102" s="1"/>
      </tp>
      <tp t="s">
        <v>-</v>
        <stp/>
        <stp>T&amp;T0</stp>
        <stp>ACP</stp>
        <stp>99</stp>
        <tr r="C103" s="1"/>
      </tp>
      <tp t="s">
        <v>-</v>
        <stp/>
        <stp>T&amp;T0</stp>
        <stp>ACP</stp>
        <stp>98</stp>
        <tr r="C102" s="1"/>
      </tp>
      <tp t="s">
        <v>Ideal</v>
        <stp/>
        <stp>T&amp;T0</stp>
        <stp>ACP</stp>
        <stp>97</stp>
        <tr r="C101" s="1"/>
      </tp>
      <tp t="s">
        <v>Vendedor</v>
        <stp/>
        <stp>T&amp;T0</stp>
        <stp>AGR</stp>
        <stp>93</stp>
        <tr r="G97" s="1"/>
      </tp>
      <tp t="s">
        <v>-</v>
        <stp/>
        <stp>T&amp;T0</stp>
        <stp>ACP</stp>
        <stp>96</stp>
        <tr r="C100" s="1"/>
      </tp>
      <tp t="s">
        <v>Comprador</v>
        <stp/>
        <stp>T&amp;T0</stp>
        <stp>AGR</stp>
        <stp>92</stp>
        <tr r="G96" s="1"/>
      </tp>
      <tp t="s">
        <v>UBS</v>
        <stp/>
        <stp>T&amp;T0</stp>
        <stp>ACP</stp>
        <stp>95</stp>
        <tr r="C99" s="1"/>
      </tp>
      <tp t="s">
        <v>Vendedor</v>
        <stp/>
        <stp>T&amp;T0</stp>
        <stp>AGR</stp>
        <stp>91</stp>
        <tr r="G95" s="1"/>
      </tp>
      <tp t="s">
        <v>BTG</v>
        <stp/>
        <stp>T&amp;T0</stp>
        <stp>ACP</stp>
        <stp>94</stp>
        <tr r="C98" s="1"/>
      </tp>
      <tp t="s">
        <v>Vendedor</v>
        <stp/>
        <stp>T&amp;T0</stp>
        <stp>AGR</stp>
        <stp>90</stp>
        <tr r="G94" s="1"/>
      </tp>
      <tp t="s">
        <v>-</v>
        <stp/>
        <stp>T&amp;T0</stp>
        <stp>ACP</stp>
        <stp>93</stp>
        <tr r="C97" s="1"/>
      </tp>
      <tp t="s">
        <v>Comprador</v>
        <stp/>
        <stp>T&amp;T0</stp>
        <stp>AGR</stp>
        <stp>97</stp>
        <tr r="G101" s="1"/>
      </tp>
      <tp t="s">
        <v>Ideal</v>
        <stp/>
        <stp>T&amp;T0</stp>
        <stp>ACP</stp>
        <stp>92</stp>
        <tr r="C96" s="1"/>
      </tp>
      <tp t="s">
        <v>Vendedor</v>
        <stp/>
        <stp>T&amp;T0</stp>
        <stp>AGR</stp>
        <stp>96</stp>
        <tr r="G100" s="1"/>
      </tp>
      <tp t="s">
        <v>-</v>
        <stp/>
        <stp>T&amp;T0</stp>
        <stp>ACP</stp>
        <stp>91</stp>
        <tr r="C95" s="1"/>
      </tp>
      <tp t="s">
        <v>Comprador</v>
        <stp/>
        <stp>T&amp;T0</stp>
        <stp>AGR</stp>
        <stp>95</stp>
        <tr r="G99" s="1"/>
      </tp>
      <tp t="s">
        <v>-</v>
        <stp/>
        <stp>T&amp;T0</stp>
        <stp>ACP</stp>
        <stp>90</stp>
        <tr r="C94" s="1"/>
      </tp>
      <tp t="s">
        <v>Comprador</v>
        <stp/>
        <stp>T&amp;T0</stp>
        <stp>AGR</stp>
        <stp>94</stp>
        <tr r="G98" s="1"/>
      </tp>
      <tp t="s">
        <v>Genial</v>
        <stp/>
        <stp>T&amp;T0</stp>
        <stp>AVD</stp>
        <stp>98</stp>
        <tr r="F102" s="1"/>
      </tp>
      <tp t="s">
        <v>BTG</v>
        <stp/>
        <stp>T&amp;T0</stp>
        <stp>AVD</stp>
        <stp>99</stp>
        <tr r="F103" s="1"/>
      </tp>
      <tp t="s">
        <v>-</v>
        <stp/>
        <stp>T&amp;T0</stp>
        <stp>AVD</stp>
        <stp>92</stp>
        <tr r="F96" s="1"/>
      </tp>
      <tp t="s">
        <v>XP</v>
        <stp/>
        <stp>T&amp;T0</stp>
        <stp>AVD</stp>
        <stp>93</stp>
        <tr r="F97" s="1"/>
      </tp>
      <tp t="s">
        <v>Clear</v>
        <stp/>
        <stp>T&amp;T0</stp>
        <stp>AVD</stp>
        <stp>90</stp>
        <tr r="F94" s="1"/>
      </tp>
      <tp t="s">
        <v>Goldman</v>
        <stp/>
        <stp>T&amp;T0</stp>
        <stp>AVD</stp>
        <stp>91</stp>
        <tr r="F95" s="1"/>
      </tp>
      <tp t="s">
        <v>Genial</v>
        <stp/>
        <stp>T&amp;T0</stp>
        <stp>AVD</stp>
        <stp>96</stp>
        <tr r="F100" s="1"/>
      </tp>
      <tp t="s">
        <v>-</v>
        <stp/>
        <stp>T&amp;T0</stp>
        <stp>AVD</stp>
        <stp>97</stp>
        <tr r="F101" s="1"/>
      </tp>
      <tp t="s">
        <v>-</v>
        <stp/>
        <stp>T&amp;T0</stp>
        <stp>AVD</stp>
        <stp>94</stp>
        <tr r="F98" s="1"/>
      </tp>
      <tp t="s">
        <v>-</v>
        <stp/>
        <stp>T&amp;T0</stp>
        <stp>AVD</stp>
        <stp>95</stp>
        <tr r="F99" s="1"/>
      </tp>
      <tp t="s">
        <v>Vendedor</v>
        <stp/>
        <stp>T&amp;T0</stp>
        <stp>AGR</stp>
        <stp>89</stp>
        <tr r="G93" s="1"/>
      </tp>
      <tp t="s">
        <v>Comprador</v>
        <stp/>
        <stp>T&amp;T0</stp>
        <stp>AGR</stp>
        <stp>88</stp>
        <tr r="G92" s="1"/>
      </tp>
      <tp t="s">
        <v>-</v>
        <stp/>
        <stp>T&amp;T0</stp>
        <stp>ACP</stp>
        <stp>89</stp>
        <tr r="C93" s="1"/>
      </tp>
      <tp t="s">
        <v>BTG</v>
        <stp/>
        <stp>T&amp;T0</stp>
        <stp>ACP</stp>
        <stp>88</stp>
        <tr r="C92" s="1"/>
      </tp>
      <tp t="s">
        <v>-</v>
        <stp/>
        <stp>T&amp;T0</stp>
        <stp>ACP</stp>
        <stp>87</stp>
        <tr r="C91" s="1"/>
      </tp>
      <tp t="s">
        <v>Vendedor</v>
        <stp/>
        <stp>T&amp;T0</stp>
        <stp>AGR</stp>
        <stp>83</stp>
        <tr r="G87" s="1"/>
      </tp>
      <tp t="s">
        <v>Nova Futura</v>
        <stp/>
        <stp>T&amp;T0</stp>
        <stp>ACP</stp>
        <stp>86</stp>
        <tr r="C90" s="1"/>
      </tp>
      <tp t="s">
        <v>Comprador</v>
        <stp/>
        <stp>T&amp;T0</stp>
        <stp>AGR</stp>
        <stp>82</stp>
        <tr r="G86" s="1"/>
      </tp>
      <tp t="s">
        <v>-</v>
        <stp/>
        <stp>T&amp;T0</stp>
        <stp>ACP</stp>
        <stp>85</stp>
        <tr r="C89" s="1"/>
      </tp>
      <tp t="s">
        <v>Vendedor</v>
        <stp/>
        <stp>T&amp;T0</stp>
        <stp>AGR</stp>
        <stp>81</stp>
        <tr r="G85" s="1"/>
      </tp>
      <tp t="s">
        <v>Ideal</v>
        <stp/>
        <stp>T&amp;T0</stp>
        <stp>ACP</stp>
        <stp>84</stp>
        <tr r="C88" s="1"/>
      </tp>
      <tp t="s">
        <v>Comprador</v>
        <stp/>
        <stp>T&amp;T0</stp>
        <stp>AGR</stp>
        <stp>80</stp>
        <tr r="G84" s="1"/>
      </tp>
      <tp t="s">
        <v>-</v>
        <stp/>
        <stp>T&amp;T0</stp>
        <stp>ACP</stp>
        <stp>83</stp>
        <tr r="C87" s="1"/>
      </tp>
      <tp t="s">
        <v>Vendedor</v>
        <stp/>
        <stp>T&amp;T0</stp>
        <stp>AGR</stp>
        <stp>87</stp>
        <tr r="G91" s="1"/>
      </tp>
      <tp t="s">
        <v>Ideal</v>
        <stp/>
        <stp>T&amp;T0</stp>
        <stp>ACP</stp>
        <stp>82</stp>
        <tr r="C86" s="1"/>
      </tp>
      <tp t="s">
        <v>Comprador</v>
        <stp/>
        <stp>T&amp;T0</stp>
        <stp>AGR</stp>
        <stp>86</stp>
        <tr r="G90" s="1"/>
      </tp>
      <tp t="s">
        <v>-</v>
        <stp/>
        <stp>T&amp;T0</stp>
        <stp>ACP</stp>
        <stp>81</stp>
        <tr r="C85" s="1"/>
      </tp>
      <tp t="s">
        <v>Vendedor</v>
        <stp/>
        <stp>T&amp;T0</stp>
        <stp>AGR</stp>
        <stp>85</stp>
        <tr r="G89" s="1"/>
      </tp>
      <tp t="s">
        <v>UBS</v>
        <stp/>
        <stp>T&amp;T0</stp>
        <stp>ACP</stp>
        <stp>80</stp>
        <tr r="C84" s="1"/>
      </tp>
      <tp t="s">
        <v>Comprador</v>
        <stp/>
        <stp>T&amp;T0</stp>
        <stp>AGR</stp>
        <stp>84</stp>
        <tr r="G88" s="1"/>
      </tp>
      <tp t="s">
        <v>-</v>
        <stp/>
        <stp>T&amp;T0</stp>
        <stp>AVD</stp>
        <stp>88</stp>
        <tr r="F92" s="1"/>
      </tp>
      <tp t="s">
        <v>XP</v>
        <stp/>
        <stp>T&amp;T0</stp>
        <stp>AVD</stp>
        <stp>89</stp>
        <tr r="F93" s="1"/>
      </tp>
      <tp t="s">
        <v>-</v>
        <stp/>
        <stp>T&amp;T0</stp>
        <stp>AVD</stp>
        <stp>82</stp>
        <tr r="F86" s="1"/>
      </tp>
      <tp t="s">
        <v>Inter</v>
        <stp/>
        <stp>T&amp;T0</stp>
        <stp>AVD</stp>
        <stp>83</stp>
        <tr r="F87" s="1"/>
      </tp>
      <tp t="s">
        <v>-</v>
        <stp/>
        <stp>T&amp;T0</stp>
        <stp>AVD</stp>
        <stp>80</stp>
        <tr r="F84" s="1"/>
      </tp>
      <tp t="s">
        <v>Itau</v>
        <stp/>
        <stp>T&amp;T0</stp>
        <stp>AVD</stp>
        <stp>81</stp>
        <tr r="F85" s="1"/>
      </tp>
      <tp t="s">
        <v>-</v>
        <stp/>
        <stp>T&amp;T0</stp>
        <stp>AVD</stp>
        <stp>86</stp>
        <tr r="F90" s="1"/>
      </tp>
      <tp t="s">
        <v>Modal</v>
        <stp/>
        <stp>T&amp;T0</stp>
        <stp>AVD</stp>
        <stp>87</stp>
        <tr r="F91" s="1"/>
      </tp>
      <tp t="s">
        <v>-</v>
        <stp/>
        <stp>T&amp;T0</stp>
        <stp>AVD</stp>
        <stp>84</stp>
        <tr r="F88" s="1"/>
      </tp>
      <tp t="s">
        <v>Goldman</v>
        <stp/>
        <stp>T&amp;T0</stp>
        <stp>AVD</stp>
        <stp>85</stp>
        <tr r="F89" s="1"/>
      </tp>
      <tp t="s">
        <v>09:00:55.156</v>
        <stp/>
        <stp>T&amp;T0</stp>
        <stp>DAT</stp>
        <stp>89</stp>
        <tr r="B93" s="1"/>
      </tp>
      <tp t="s">
        <v>09:00:55.164</v>
        <stp/>
        <stp>T&amp;T0</stp>
        <stp>DAT</stp>
        <stp>88</stp>
        <tr r="B92" s="1"/>
      </tp>
      <tp t="s">
        <v>09:00:55.429</v>
        <stp/>
        <stp>T&amp;T0</stp>
        <stp>DAT</stp>
        <stp>85</stp>
        <tr r="B89" s="1"/>
      </tp>
      <tp t="s">
        <v>09:00:55.430</v>
        <stp/>
        <stp>T&amp;T0</stp>
        <stp>DAT</stp>
        <stp>84</stp>
        <tr r="B88" s="1"/>
      </tp>
      <tp t="s">
        <v>09:00:55.238</v>
        <stp/>
        <stp>T&amp;T0</stp>
        <stp>DAT</stp>
        <stp>87</stp>
        <tr r="B91" s="1"/>
      </tp>
      <tp t="s">
        <v>09:00:55.404</v>
        <stp/>
        <stp>T&amp;T0</stp>
        <stp>DAT</stp>
        <stp>86</stp>
        <tr r="B90" s="1"/>
      </tp>
      <tp t="s">
        <v>09:00:55.668</v>
        <stp/>
        <stp>T&amp;T0</stp>
        <stp>DAT</stp>
        <stp>81</stp>
        <tr r="B85" s="1"/>
      </tp>
      <tp t="s">
        <v>09:00:55.673</v>
        <stp/>
        <stp>T&amp;T0</stp>
        <stp>DAT</stp>
        <stp>80</stp>
        <tr r="B84" s="1"/>
      </tp>
      <tp t="s">
        <v>09:00:55.455</v>
        <stp/>
        <stp>T&amp;T0</stp>
        <stp>DAT</stp>
        <stp>83</stp>
        <tr r="B87" s="1"/>
      </tp>
      <tp t="s">
        <v>09:00:55.474</v>
        <stp/>
        <stp>T&amp;T0</stp>
        <stp>DAT</stp>
        <stp>82</stp>
        <tr r="B86" s="1"/>
      </tp>
      <tp t="s">
        <v>09:00:54.442</v>
        <stp/>
        <stp>T&amp;T0</stp>
        <stp>DAT</stp>
        <stp>99</stp>
        <tr r="B103" s="1"/>
      </tp>
      <tp t="s">
        <v>09:00:54.446</v>
        <stp/>
        <stp>T&amp;T0</stp>
        <stp>DAT</stp>
        <stp>98</stp>
        <tr r="B102" s="1"/>
      </tp>
      <tp t="s">
        <v>09:00:54.678</v>
        <stp/>
        <stp>T&amp;T0</stp>
        <stp>DAT</stp>
        <stp>95</stp>
        <tr r="B99" s="1"/>
      </tp>
      <tp t="s">
        <v>09:00:54.891</v>
        <stp/>
        <stp>T&amp;T0</stp>
        <stp>DAT</stp>
        <stp>94</stp>
        <tr r="B98" s="1"/>
      </tp>
      <tp t="s">
        <v>09:00:54.484</v>
        <stp/>
        <stp>T&amp;T0</stp>
        <stp>DAT</stp>
        <stp>97</stp>
        <tr r="B101" s="1"/>
      </tp>
      <tp t="s">
        <v>09:00:54.567</v>
        <stp/>
        <stp>T&amp;T0</stp>
        <stp>DAT</stp>
        <stp>96</stp>
        <tr r="B100" s="1"/>
      </tp>
      <tp t="s">
        <v>09:00:55.039</v>
        <stp/>
        <stp>T&amp;T0</stp>
        <stp>DAT</stp>
        <stp>91</stp>
        <tr r="B95" s="1"/>
      </tp>
      <tp t="s">
        <v>09:00:55.133</v>
        <stp/>
        <stp>T&amp;T0</stp>
        <stp>DAT</stp>
        <stp>90</stp>
        <tr r="B94" s="1"/>
      </tp>
      <tp t="s">
        <v>09:00:54.904</v>
        <stp/>
        <stp>T&amp;T0</stp>
        <stp>DAT</stp>
        <stp>93</stp>
        <tr r="B97" s="1"/>
      </tp>
      <tp t="s">
        <v>09:00:55.029</v>
        <stp/>
        <stp>T&amp;T0</stp>
        <stp>DAT</stp>
        <stp>92</stp>
        <tr r="B96" s="1"/>
      </tp>
      <tp t="s">
        <v>Comprador</v>
        <stp/>
        <stp>T&amp;T0</stp>
        <stp>AGR</stp>
        <stp>39</stp>
        <tr r="G43" s="1"/>
      </tp>
      <tp t="s">
        <v>Vendedor</v>
        <stp/>
        <stp>T&amp;T0</stp>
        <stp>AGR</stp>
        <stp>38</stp>
        <tr r="G42" s="1"/>
      </tp>
      <tp t="s">
        <v>09:00:56.166</v>
        <stp/>
        <stp>T&amp;T0</stp>
        <stp>DAT</stp>
        <stp>69</stp>
        <tr r="B73" s="1"/>
      </tp>
      <tp t="s">
        <v>09:00:56.198</v>
        <stp/>
        <stp>T&amp;T0</stp>
        <stp>DAT</stp>
        <stp>68</stp>
        <tr r="B72" s="1"/>
      </tp>
      <tp t="s">
        <v>UBS</v>
        <stp/>
        <stp>T&amp;T0</stp>
        <stp>ACP</stp>
        <stp>39</stp>
        <tr r="C43" s="1"/>
      </tp>
      <tp t="s">
        <v>-</v>
        <stp/>
        <stp>T&amp;T0</stp>
        <stp>ACP</stp>
        <stp>38</stp>
        <tr r="C42" s="1"/>
      </tp>
      <tp t="s">
        <v>09:00:56.273</v>
        <stp/>
        <stp>T&amp;T0</stp>
        <stp>DAT</stp>
        <stp>65</stp>
        <tr r="B69" s="1"/>
      </tp>
      <tp t="s">
        <v>-</v>
        <stp/>
        <stp>T&amp;T0</stp>
        <stp>ACP</stp>
        <stp>37</stp>
        <tr r="C41" s="1"/>
      </tp>
      <tp t="s">
        <v>Vendedor</v>
        <stp/>
        <stp>T&amp;T0</stp>
        <stp>AGR</stp>
        <stp>33</stp>
        <tr r="G37" s="1"/>
      </tp>
      <tp t="s">
        <v>09:00:56.328</v>
        <stp/>
        <stp>T&amp;T0</stp>
        <stp>DAT</stp>
        <stp>64</stp>
        <tr r="B68" s="1"/>
      </tp>
      <tp t="s">
        <v>XP</v>
        <stp/>
        <stp>T&amp;T0</stp>
        <stp>ACP</stp>
        <stp>36</stp>
        <tr r="C40" s="1"/>
      </tp>
      <tp t="s">
        <v>Vendedor</v>
        <stp/>
        <stp>T&amp;T0</stp>
        <stp>AGR</stp>
        <stp>32</stp>
        <tr r="G36" s="1"/>
      </tp>
      <tp t="s">
        <v>09:00:56.204</v>
        <stp/>
        <stp>T&amp;T0</stp>
        <stp>DAT</stp>
        <stp>67</stp>
        <tr r="B71" s="1"/>
      </tp>
      <tp t="s">
        <v>Ideal</v>
        <stp/>
        <stp>T&amp;T0</stp>
        <stp>ACP</stp>
        <stp>35</stp>
        <tr r="C39" s="1"/>
      </tp>
      <tp t="s">
        <v>Comprador</v>
        <stp/>
        <stp>T&amp;T0</stp>
        <stp>AGR</stp>
        <stp>31</stp>
        <tr r="G35" s="1"/>
      </tp>
      <tp t="s">
        <v>09:00:56.205</v>
        <stp/>
        <stp>T&amp;T0</stp>
        <stp>DAT</stp>
        <stp>66</stp>
        <tr r="B70" s="1"/>
      </tp>
      <tp t="s">
        <v>BTG</v>
        <stp/>
        <stp>T&amp;T0</stp>
        <stp>ACP</stp>
        <stp>34</stp>
        <tr r="C38" s="1"/>
      </tp>
      <tp t="s">
        <v>Vendedor</v>
        <stp/>
        <stp>T&amp;T0</stp>
        <stp>AGR</stp>
        <stp>30</stp>
        <tr r="G34" s="1"/>
      </tp>
      <tp t="s">
        <v>09:00:56.436</v>
        <stp/>
        <stp>T&amp;T0</stp>
        <stp>DAT</stp>
        <stp>61</stp>
        <tr r="B65" s="1"/>
      </tp>
      <tp t="s">
        <v>-</v>
        <stp/>
        <stp>T&amp;T0</stp>
        <stp>ACP</stp>
        <stp>33</stp>
        <tr r="C37" s="1"/>
      </tp>
      <tp t="s">
        <v>Vendedor</v>
        <stp/>
        <stp>T&amp;T0</stp>
        <stp>AGR</stp>
        <stp>37</stp>
        <tr r="G41" s="1"/>
      </tp>
      <tp t="s">
        <v>09:00:56.480</v>
        <stp/>
        <stp>T&amp;T0</stp>
        <stp>DAT</stp>
        <stp>60</stp>
        <tr r="B64" s="1"/>
      </tp>
      <tp t="s">
        <v>-</v>
        <stp/>
        <stp>T&amp;T0</stp>
        <stp>ACP</stp>
        <stp>32</stp>
        <tr r="C36" s="1"/>
      </tp>
      <tp t="s">
        <v>Comprador</v>
        <stp/>
        <stp>T&amp;T0</stp>
        <stp>AGR</stp>
        <stp>36</stp>
        <tr r="G40" s="1"/>
      </tp>
      <tp t="s">
        <v>09:00:56.336</v>
        <stp/>
        <stp>T&amp;T0</stp>
        <stp>DAT</stp>
        <stp>63</stp>
        <tr r="B67" s="1"/>
      </tp>
      <tp t="s">
        <v>UBS</v>
        <stp/>
        <stp>T&amp;T0</stp>
        <stp>ACP</stp>
        <stp>31</stp>
        <tr r="C35" s="1"/>
      </tp>
      <tp t="s">
        <v>Comprador</v>
        <stp/>
        <stp>T&amp;T0</stp>
        <stp>AGR</stp>
        <stp>35</stp>
        <tr r="G39" s="1"/>
      </tp>
      <tp t="s">
        <v>09:00:56.426</v>
        <stp/>
        <stp>T&amp;T0</stp>
        <stp>DAT</stp>
        <stp>62</stp>
        <tr r="B66" s="1"/>
      </tp>
      <tp t="s">
        <v>-</v>
        <stp/>
        <stp>T&amp;T0</stp>
        <stp>ACP</stp>
        <stp>30</stp>
        <tr r="C34" s="1"/>
      </tp>
      <tp t="s">
        <v>Comprador</v>
        <stp/>
        <stp>T&amp;T0</stp>
        <stp>AGR</stp>
        <stp>34</stp>
        <tr r="G38" s="1"/>
      </tp>
      <tp t="s">
        <v>BTG</v>
        <stp/>
        <stp>T&amp;T0</stp>
        <stp>AVD</stp>
        <stp>38</stp>
        <tr r="F42" s="1"/>
      </tp>
      <tp t="s">
        <v>-</v>
        <stp/>
        <stp>T&amp;T0</stp>
        <stp>AVD</stp>
        <stp>39</stp>
        <tr r="F43" s="1"/>
      </tp>
      <tp t="s">
        <v>Modal</v>
        <stp/>
        <stp>T&amp;T0</stp>
        <stp>AVD</stp>
        <stp>32</stp>
        <tr r="F36" s="1"/>
      </tp>
      <tp t="s">
        <v>Clear</v>
        <stp/>
        <stp>T&amp;T0</stp>
        <stp>AVD</stp>
        <stp>33</stp>
        <tr r="F37" s="1"/>
      </tp>
      <tp t="s">
        <v>Inter</v>
        <stp/>
        <stp>T&amp;T0</stp>
        <stp>AVD</stp>
        <stp>30</stp>
        <tr r="F34" s="1"/>
      </tp>
      <tp t="s">
        <v>-</v>
        <stp/>
        <stp>T&amp;T0</stp>
        <stp>AVD</stp>
        <stp>31</stp>
        <tr r="F35" s="1"/>
      </tp>
      <tp t="s">
        <v>-</v>
        <stp/>
        <stp>T&amp;T0</stp>
        <stp>AVD</stp>
        <stp>36</stp>
        <tr r="F40" s="1"/>
      </tp>
      <tp t="s">
        <v>BTG</v>
        <stp/>
        <stp>T&amp;T0</stp>
        <stp>AVD</stp>
        <stp>37</stp>
        <tr r="F41" s="1"/>
      </tp>
      <tp t="s">
        <v>-</v>
        <stp/>
        <stp>T&amp;T0</stp>
        <stp>AVD</stp>
        <stp>34</stp>
        <tr r="F38" s="1"/>
      </tp>
      <tp t="s">
        <v>-</v>
        <stp/>
        <stp>T&amp;T0</stp>
        <stp>AVD</stp>
        <stp>35</stp>
        <tr r="F39" s="1"/>
      </tp>
      <tp t="s">
        <v>Vendedor</v>
        <stp/>
        <stp>T&amp;T0</stp>
        <stp>AGR</stp>
        <stp>29</stp>
        <tr r="G33" s="1"/>
      </tp>
      <tp t="s">
        <v>Vendedor</v>
        <stp/>
        <stp>T&amp;T0</stp>
        <stp>AGR</stp>
        <stp>28</stp>
        <tr r="G32" s="1"/>
      </tp>
      <tp t="s">
        <v>09:00:55.717</v>
        <stp/>
        <stp>T&amp;T0</stp>
        <stp>DAT</stp>
        <stp>79</stp>
        <tr r="B83" s="1"/>
      </tp>
      <tp t="s">
        <v>09:00:55.740</v>
        <stp/>
        <stp>T&amp;T0</stp>
        <stp>DAT</stp>
        <stp>78</stp>
        <tr r="B82" s="1"/>
      </tp>
      <tp t="s">
        <v>-</v>
        <stp/>
        <stp>T&amp;T0</stp>
        <stp>ACP</stp>
        <stp>29</stp>
        <tr r="C33" s="1"/>
      </tp>
      <tp t="s">
        <v>-</v>
        <stp/>
        <stp>T&amp;T0</stp>
        <stp>ACP</stp>
        <stp>28</stp>
        <tr r="C32" s="1"/>
      </tp>
      <tp t="s">
        <v>09:00:55.880</v>
        <stp/>
        <stp>T&amp;T0</stp>
        <stp>DAT</stp>
        <stp>75</stp>
        <tr r="B79" s="1"/>
      </tp>
      <tp t="s">
        <v>-</v>
        <stp/>
        <stp>T&amp;T0</stp>
        <stp>ACP</stp>
        <stp>27</stp>
        <tr r="C31" s="1"/>
      </tp>
      <tp t="s">
        <v>Comprador</v>
        <stp/>
        <stp>T&amp;T0</stp>
        <stp>AGR</stp>
        <stp>23</stp>
        <tr r="G27" s="1"/>
      </tp>
      <tp t="s">
        <v>09:00:55.943</v>
        <stp/>
        <stp>T&amp;T0</stp>
        <stp>DAT</stp>
        <stp>74</stp>
        <tr r="B78" s="1"/>
      </tp>
      <tp t="s">
        <v>-</v>
        <stp/>
        <stp>T&amp;T0</stp>
        <stp>ACP</stp>
        <stp>26</stp>
        <tr r="C30" s="1"/>
      </tp>
      <tp t="s">
        <v>Vendedor</v>
        <stp/>
        <stp>T&amp;T0</stp>
        <stp>AGR</stp>
        <stp>22</stp>
        <tr r="G26" s="1"/>
      </tp>
      <tp t="s">
        <v>09:00:55.780</v>
        <stp/>
        <stp>T&amp;T0</stp>
        <stp>DAT</stp>
        <stp>77</stp>
        <tr r="B81" s="1"/>
      </tp>
      <tp t="s">
        <v>Ideal</v>
        <stp/>
        <stp>T&amp;T0</stp>
        <stp>ACP</stp>
        <stp>25</stp>
        <tr r="C29" s="1"/>
      </tp>
      <tp t="s">
        <v>Vendedor</v>
        <stp/>
        <stp>T&amp;T0</stp>
        <stp>AGR</stp>
        <stp>21</stp>
        <tr r="G25" s="1"/>
      </tp>
      <tp t="s">
        <v>09:00:55.784</v>
        <stp/>
        <stp>T&amp;T0</stp>
        <stp>DAT</stp>
        <stp>76</stp>
        <tr r="B80" s="1"/>
      </tp>
      <tp t="s">
        <v>XP</v>
        <stp/>
        <stp>T&amp;T0</stp>
        <stp>ACP</stp>
        <stp>24</stp>
        <tr r="C28" s="1"/>
      </tp>
      <tp t="s">
        <v>Comprador</v>
        <stp/>
        <stp>T&amp;T0</stp>
        <stp>AGR</stp>
        <stp>20</stp>
        <tr r="G24" s="1"/>
      </tp>
      <tp t="s">
        <v>09:00:56.149</v>
        <stp/>
        <stp>T&amp;T0</stp>
        <stp>DAT</stp>
        <stp>71</stp>
        <tr r="B75" s="1"/>
      </tp>
      <tp t="s">
        <v>BTG</v>
        <stp/>
        <stp>T&amp;T0</stp>
        <stp>ACP</stp>
        <stp>23</stp>
        <tr r="C27" s="1"/>
      </tp>
      <tp t="s">
        <v>Vendedor</v>
        <stp/>
        <stp>T&amp;T0</stp>
        <stp>AGR</stp>
        <stp>27</stp>
        <tr r="G31" s="1"/>
      </tp>
      <tp t="s">
        <v>09:00:56.149</v>
        <stp/>
        <stp>T&amp;T0</stp>
        <stp>DAT</stp>
        <stp>70</stp>
        <tr r="B74" s="1"/>
      </tp>
      <tp t="s">
        <v>-</v>
        <stp/>
        <stp>T&amp;T0</stp>
        <stp>ACP</stp>
        <stp>22</stp>
        <tr r="C26" s="1"/>
      </tp>
      <tp t="s">
        <v>Vendedor</v>
        <stp/>
        <stp>T&amp;T0</stp>
        <stp>AGR</stp>
        <stp>26</stp>
        <tr r="G30" s="1"/>
      </tp>
      <tp t="s">
        <v>09:00:55.962</v>
        <stp/>
        <stp>T&amp;T0</stp>
        <stp>DAT</stp>
        <stp>73</stp>
        <tr r="B77" s="1"/>
      </tp>
      <tp t="s">
        <v>-</v>
        <stp/>
        <stp>T&amp;T0</stp>
        <stp>ACP</stp>
        <stp>21</stp>
        <tr r="C25" s="1"/>
      </tp>
      <tp t="s">
        <v>Comprador</v>
        <stp/>
        <stp>T&amp;T0</stp>
        <stp>AGR</stp>
        <stp>25</stp>
        <tr r="G29" s="1"/>
      </tp>
      <tp t="s">
        <v>09:00:56.146</v>
        <stp/>
        <stp>T&amp;T0</stp>
        <stp>DAT</stp>
        <stp>72</stp>
        <tr r="B76" s="1"/>
      </tp>
      <tp t="s">
        <v>Ideal</v>
        <stp/>
        <stp>T&amp;T0</stp>
        <stp>ACP</stp>
        <stp>20</stp>
        <tr r="C24" s="1"/>
      </tp>
      <tp t="s">
        <v>Comprador</v>
        <stp/>
        <stp>T&amp;T0</stp>
        <stp>AGR</stp>
        <stp>24</stp>
        <tr r="G28" s="1"/>
      </tp>
      <tp t="s">
        <v>XP</v>
        <stp/>
        <stp>T&amp;T0</stp>
        <stp>AVD</stp>
        <stp>28</stp>
        <tr r="F32" s="1"/>
      </tp>
      <tp t="s">
        <v>Terra</v>
        <stp/>
        <stp>T&amp;T0</stp>
        <stp>AVD</stp>
        <stp>29</stp>
        <tr r="F33" s="1"/>
      </tp>
      <tp t="s">
        <v>XP</v>
        <stp/>
        <stp>T&amp;T0</stp>
        <stp>AVD</stp>
        <stp>22</stp>
        <tr r="F26" s="1"/>
      </tp>
      <tp t="s">
        <v>-</v>
        <stp/>
        <stp>T&amp;T0</stp>
        <stp>AVD</stp>
        <stp>23</stp>
        <tr r="F27" s="1"/>
      </tp>
      <tp t="s">
        <v>-</v>
        <stp/>
        <stp>T&amp;T0</stp>
        <stp>AVD</stp>
        <stp>20</stp>
        <tr r="F24" s="1"/>
      </tp>
      <tp t="s">
        <v>Goldman</v>
        <stp/>
        <stp>T&amp;T0</stp>
        <stp>AVD</stp>
        <stp>21</stp>
        <tr r="F25" s="1"/>
      </tp>
      <tp t="s">
        <v>Nova Futura</v>
        <stp/>
        <stp>T&amp;T0</stp>
        <stp>AVD</stp>
        <stp>26</stp>
        <tr r="F30" s="1"/>
      </tp>
      <tp t="s">
        <v>BTG</v>
        <stp/>
        <stp>T&amp;T0</stp>
        <stp>AVD</stp>
        <stp>27</stp>
        <tr r="F31" s="1"/>
      </tp>
      <tp t="s">
        <v>-</v>
        <stp/>
        <stp>T&amp;T0</stp>
        <stp>AVD</stp>
        <stp>24</stp>
        <tr r="F28" s="1"/>
      </tp>
      <tp t="s">
        <v>-</v>
        <stp/>
        <stp>T&amp;T0</stp>
        <stp>AVD</stp>
        <stp>25</stp>
        <tr r="F29" s="1"/>
      </tp>
      <tp t="s">
        <v>Comprador</v>
        <stp/>
        <stp>T&amp;T0</stp>
        <stp>AGR</stp>
        <stp>19</stp>
        <tr r="G23" s="1"/>
      </tp>
      <tp t="s">
        <v>Vendedor</v>
        <stp/>
        <stp>T&amp;T0</stp>
        <stp>AGR</stp>
        <stp>18</stp>
        <tr r="G22" s="1"/>
      </tp>
      <tp t="s">
        <v>09:00:57.562</v>
        <stp/>
        <stp>T&amp;T0</stp>
        <stp>DAT</stp>
        <stp>49</stp>
        <tr r="B53" s="1"/>
      </tp>
      <tp t="s">
        <v>09:00:57.563</v>
        <stp/>
        <stp>T&amp;T0</stp>
        <stp>DAT</stp>
        <stp>48</stp>
        <tr r="B52" s="1"/>
      </tp>
      <tp t="s">
        <v>UBS</v>
        <stp/>
        <stp>T&amp;T0</stp>
        <stp>ACP</stp>
        <stp>19</stp>
        <tr r="C23" s="1"/>
      </tp>
      <tp t="s">
        <v>-</v>
        <stp/>
        <stp>T&amp;T0</stp>
        <stp>ACP</stp>
        <stp>18</stp>
        <tr r="C22" s="1"/>
      </tp>
      <tp t="s">
        <v>09:00:57.707</v>
        <stp/>
        <stp>T&amp;T0</stp>
        <stp>DAT</stp>
        <stp>45</stp>
        <tr r="B49" s="1"/>
      </tp>
      <tp t="s">
        <v>Ideal</v>
        <stp/>
        <stp>T&amp;T0</stp>
        <stp>ACP</stp>
        <stp>17</stp>
        <tr r="C21" s="1"/>
      </tp>
      <tp t="s">
        <v>Vendedor</v>
        <stp/>
        <stp>T&amp;T0</stp>
        <stp>AGR</stp>
        <stp>13</stp>
        <tr r="G17" s="1"/>
      </tp>
      <tp t="s">
        <v>09:00:57.925</v>
        <stp/>
        <stp>T&amp;T0</stp>
        <stp>DAT</stp>
        <stp>44</stp>
        <tr r="B48" s="1"/>
      </tp>
      <tp t="s">
        <v>-</v>
        <stp/>
        <stp>T&amp;T0</stp>
        <stp>ACP</stp>
        <stp>16</stp>
        <tr r="C20" s="1"/>
      </tp>
      <tp t="s">
        <v>Vendedor</v>
        <stp/>
        <stp>T&amp;T0</stp>
        <stp>AGR</stp>
        <stp>12</stp>
        <tr r="G16" s="1"/>
      </tp>
      <tp t="s">
        <v>09:00:57.595</v>
        <stp/>
        <stp>T&amp;T0</stp>
        <stp>DAT</stp>
        <stp>47</stp>
        <tr r="B51" s="1"/>
      </tp>
      <tp t="s">
        <v>-</v>
        <stp/>
        <stp>T&amp;T0</stp>
        <stp>ACP</stp>
        <stp>15</stp>
        <tr r="C19" s="1"/>
      </tp>
      <tp t="s">
        <v>Vendedor</v>
        <stp/>
        <stp>T&amp;T0</stp>
        <stp>AGR</stp>
        <stp>11</stp>
        <tr r="G15" s="1"/>
      </tp>
      <tp t="s">
        <v>09:00:57.608</v>
        <stp/>
        <stp>T&amp;T0</stp>
        <stp>DAT</stp>
        <stp>46</stp>
        <tr r="B50" s="1"/>
      </tp>
      <tp t="s">
        <v>XP</v>
        <stp/>
        <stp>T&amp;T0</stp>
        <stp>ACP</stp>
        <stp>14</stp>
        <tr r="C18" s="1"/>
      </tp>
      <tp t="s">
        <v>Vendedor</v>
        <stp/>
        <stp>T&amp;T0</stp>
        <stp>AGR</stp>
        <stp>10</stp>
        <tr r="G14" s="1"/>
      </tp>
      <tp t="s">
        <v>09:00:58.122</v>
        <stp/>
        <stp>T&amp;T0</stp>
        <stp>DAT</stp>
        <stp>41</stp>
        <tr r="B45" s="1"/>
      </tp>
      <tp t="s">
        <v>-</v>
        <stp/>
        <stp>T&amp;T0</stp>
        <stp>ACP</stp>
        <stp>13</stp>
        <tr r="C17" s="1"/>
      </tp>
      <tp t="s">
        <v>Comprador</v>
        <stp/>
        <stp>T&amp;T0</stp>
        <stp>AGR</stp>
        <stp>17</stp>
        <tr r="G21" s="1"/>
      </tp>
      <tp t="s">
        <v>09:00:58.127</v>
        <stp/>
        <stp>T&amp;T0</stp>
        <stp>DAT</stp>
        <stp>40</stp>
        <tr r="B44" s="1"/>
      </tp>
      <tp t="s">
        <v>-</v>
        <stp/>
        <stp>T&amp;T0</stp>
        <stp>ACP</stp>
        <stp>12</stp>
        <tr r="C16" s="1"/>
      </tp>
      <tp t="s">
        <v>Vendedor</v>
        <stp/>
        <stp>T&amp;T0</stp>
        <stp>AGR</stp>
        <stp>16</stp>
        <tr r="G20" s="1"/>
      </tp>
      <tp t="s">
        <v>09:00:57.948</v>
        <stp/>
        <stp>T&amp;T0</stp>
        <stp>DAT</stp>
        <stp>43</stp>
        <tr r="B47" s="1"/>
      </tp>
      <tp t="s">
        <v>-</v>
        <stp/>
        <stp>T&amp;T0</stp>
        <stp>ACP</stp>
        <stp>11</stp>
        <tr r="C15" s="1"/>
      </tp>
      <tp t="s">
        <v>Vendedor</v>
        <stp/>
        <stp>T&amp;T0</stp>
        <stp>AGR</stp>
        <stp>15</stp>
        <tr r="G19" s="1"/>
      </tp>
      <tp t="s">
        <v>09:00:58.122</v>
        <stp/>
        <stp>T&amp;T0</stp>
        <stp>DAT</stp>
        <stp>42</stp>
        <tr r="B46" s="1"/>
      </tp>
      <tp t="s">
        <v>-</v>
        <stp/>
        <stp>T&amp;T0</stp>
        <stp>ACP</stp>
        <stp>10</stp>
        <tr r="C14" s="1"/>
      </tp>
      <tp t="s">
        <v>Comprador</v>
        <stp/>
        <stp>T&amp;T0</stp>
        <stp>AGR</stp>
        <stp>14</stp>
        <tr r="G18" s="1"/>
      </tp>
      <tp t="s">
        <v>BTG</v>
        <stp/>
        <stp>T&amp;T0</stp>
        <stp>AVD</stp>
        <stp>18</stp>
        <tr r="F22" s="1"/>
      </tp>
      <tp t="s">
        <v>-</v>
        <stp/>
        <stp>T&amp;T0</stp>
        <stp>AVD</stp>
        <stp>19</stp>
        <tr r="F23" s="1"/>
      </tp>
      <tp t="s">
        <v>BGC Liquidez</v>
        <stp/>
        <stp>T&amp;T0</stp>
        <stp>AVD</stp>
        <stp>12</stp>
        <tr r="F16" s="1"/>
      </tp>
      <tp t="s">
        <v>Genial</v>
        <stp/>
        <stp>T&amp;T0</stp>
        <stp>AVD</stp>
        <stp>13</stp>
        <tr r="F17" s="1"/>
      </tp>
      <tp t="s">
        <v>Clear</v>
        <stp/>
        <stp>T&amp;T0</stp>
        <stp>AVD</stp>
        <stp>10</stp>
        <tr r="F14" s="1"/>
      </tp>
      <tp t="s">
        <v>Nova Futura</v>
        <stp/>
        <stp>T&amp;T0</stp>
        <stp>AVD</stp>
        <stp>11</stp>
        <tr r="F15" s="1"/>
      </tp>
      <tp t="s">
        <v>Goldman</v>
        <stp/>
        <stp>T&amp;T0</stp>
        <stp>AVD</stp>
        <stp>16</stp>
        <tr r="F20" s="1"/>
      </tp>
      <tp t="s">
        <v>-</v>
        <stp/>
        <stp>T&amp;T0</stp>
        <stp>AVD</stp>
        <stp>17</stp>
        <tr r="F21" s="1"/>
      </tp>
      <tp t="s">
        <v>-</v>
        <stp/>
        <stp>T&amp;T0</stp>
        <stp>AVD</stp>
        <stp>14</stp>
        <tr r="F18" s="1"/>
      </tp>
      <tp t="s">
        <v>XP</v>
        <stp/>
        <stp>T&amp;T0</stp>
        <stp>AVD</stp>
        <stp>15</stp>
        <tr r="F19" s="1"/>
      </tp>
      <tp t="s">
        <v>09:00:56.737</v>
        <stp/>
        <stp>T&amp;T0</stp>
        <stp>DAT</stp>
        <stp>59</stp>
        <tr r="B63" s="1"/>
      </tp>
      <tp t="s">
        <v>09:00:56.747</v>
        <stp/>
        <stp>T&amp;T0</stp>
        <stp>DAT</stp>
        <stp>58</stp>
        <tr r="B62" s="1"/>
      </tp>
      <tp t="s">
        <v>09:00:57.025</v>
        <stp/>
        <stp>T&amp;T0</stp>
        <stp>DAT</stp>
        <stp>55</stp>
        <tr r="B59" s="1"/>
      </tp>
      <tp t="s">
        <v>09:00:57.320</v>
        <stp/>
        <stp>T&amp;T0</stp>
        <stp>DAT</stp>
        <stp>54</stp>
        <tr r="B58" s="1"/>
      </tp>
      <tp t="s">
        <v>09:00:56.755</v>
        <stp/>
        <stp>T&amp;T0</stp>
        <stp>DAT</stp>
        <stp>57</stp>
        <tr r="B61" s="1"/>
      </tp>
      <tp t="s">
        <v>09:00:56.756</v>
        <stp/>
        <stp>T&amp;T0</stp>
        <stp>DAT</stp>
        <stp>56</stp>
        <tr r="B60" s="1"/>
      </tp>
      <tp t="s">
        <v>09:00:57.483</v>
        <stp/>
        <stp>T&amp;T0</stp>
        <stp>DAT</stp>
        <stp>51</stp>
        <tr r="B55" s="1"/>
      </tp>
      <tp t="s">
        <v>09:00:57.553</v>
        <stp/>
        <stp>T&amp;T0</stp>
        <stp>DAT</stp>
        <stp>50</stp>
        <tr r="B54" s="1"/>
      </tp>
      <tp t="s">
        <v>09:00:57.324</v>
        <stp/>
        <stp>T&amp;T0</stp>
        <stp>DAT</stp>
        <stp>53</stp>
        <tr r="B57" s="1"/>
      </tp>
      <tp t="s">
        <v>09:00:57.355</v>
        <stp/>
        <stp>T&amp;T0</stp>
        <stp>DAT</stp>
        <stp>52</stp>
        <tr r="B56" s="1"/>
      </tp>
      <tp t="s">
        <v>Comprador</v>
        <stp/>
        <stp>T&amp;T0</stp>
        <stp>AGR</stp>
        <stp>79</stp>
        <tr r="G83" s="1"/>
      </tp>
      <tp t="s">
        <v>Comprador</v>
        <stp/>
        <stp>T&amp;T0</stp>
        <stp>AGR</stp>
        <stp>78</stp>
        <tr r="G82" s="1"/>
      </tp>
      <tp t="s">
        <v>09:00:58.718</v>
        <stp/>
        <stp>T&amp;T0</stp>
        <stp>DAT</stp>
        <stp>29</stp>
        <tr r="B33" s="1"/>
      </tp>
      <tp t="s">
        <v>09:00:58.763</v>
        <stp/>
        <stp>T&amp;T0</stp>
        <stp>DAT</stp>
        <stp>28</stp>
        <tr r="B32" s="1"/>
      </tp>
      <tp t="s">
        <v>Ideal</v>
        <stp/>
        <stp>T&amp;T0</stp>
        <stp>ACP</stp>
        <stp>79</stp>
        <tr r="C83" s="1"/>
      </tp>
      <tp t="s">
        <v>Ideal</v>
        <stp/>
        <stp>T&amp;T0</stp>
        <stp>ACP</stp>
        <stp>78</stp>
        <tr r="C82" s="1"/>
      </tp>
      <tp t="s">
        <v>09:00:58.863</v>
        <stp/>
        <stp>T&amp;T0</stp>
        <stp>DAT</stp>
        <stp>25</stp>
        <tr r="B29" s="1"/>
      </tp>
      <tp t="s">
        <v>-</v>
        <stp/>
        <stp>T&amp;T0</stp>
        <stp>ACP</stp>
        <stp>77</stp>
        <tr r="C81" s="1"/>
      </tp>
      <tp t="s">
        <v>Vendedor</v>
        <stp/>
        <stp>T&amp;T0</stp>
        <stp>AGR</stp>
        <stp>73</stp>
        <tr r="G77" s="1"/>
      </tp>
      <tp t="s">
        <v>09:00:58.998</v>
        <stp/>
        <stp>T&amp;T0</stp>
        <stp>DAT</stp>
        <stp>24</stp>
        <tr r="B28" s="1"/>
      </tp>
      <tp t="s">
        <v>-</v>
        <stp/>
        <stp>T&amp;T0</stp>
        <stp>ACP</stp>
        <stp>76</stp>
        <tr r="C80" s="1"/>
      </tp>
      <tp t="s">
        <v>Vendedor</v>
        <stp/>
        <stp>T&amp;T0</stp>
        <stp>AGR</stp>
        <stp>72</stp>
        <tr r="G76" s="1"/>
      </tp>
      <tp t="s">
        <v>09:00:58.855</v>
        <stp/>
        <stp>T&amp;T0</stp>
        <stp>DAT</stp>
        <stp>27</stp>
        <tr r="B31" s="1"/>
      </tp>
      <tp t="s">
        <v>Nova Futura</v>
        <stp/>
        <stp>T&amp;T0</stp>
        <stp>ACP</stp>
        <stp>75</stp>
        <tr r="C79" s="1"/>
      </tp>
      <tp t="s">
        <v>Comprador</v>
        <stp/>
        <stp>T&amp;T0</stp>
        <stp>AGR</stp>
        <stp>71</stp>
        <tr r="G75" s="1"/>
      </tp>
      <tp t="s">
        <v>09:00:58.855</v>
        <stp/>
        <stp>T&amp;T0</stp>
        <stp>DAT</stp>
        <stp>26</stp>
        <tr r="B30" s="1"/>
      </tp>
      <tp t="s">
        <v>BTG</v>
        <stp/>
        <stp>T&amp;T0</stp>
        <stp>ACP</stp>
        <stp>74</stp>
        <tr r="C78" s="1"/>
      </tp>
      <tp t="s">
        <v>Comprador</v>
        <stp/>
        <stp>T&amp;T0</stp>
        <stp>AGR</stp>
        <stp>70</stp>
        <tr r="G74" s="1"/>
      </tp>
      <tp t="s">
        <v>09:00:59.284</v>
        <stp/>
        <stp>T&amp;T0</stp>
        <stp>DAT</stp>
        <stp>21</stp>
        <tr r="B25" s="1"/>
      </tp>
      <tp t="s">
        <v>-</v>
        <stp/>
        <stp>T&amp;T0</stp>
        <stp>ACP</stp>
        <stp>73</stp>
        <tr r="C77" s="1"/>
      </tp>
      <tp t="s">
        <v>Vendedor</v>
        <stp/>
        <stp>T&amp;T0</stp>
        <stp>AGR</stp>
        <stp>77</stp>
        <tr r="G81" s="1"/>
      </tp>
      <tp t="s">
        <v>09:00:59.286</v>
        <stp/>
        <stp>T&amp;T0</stp>
        <stp>DAT</stp>
        <stp>20</stp>
        <tr r="B24" s="1"/>
      </tp>
      <tp t="s">
        <v>-</v>
        <stp/>
        <stp>T&amp;T0</stp>
        <stp>ACP</stp>
        <stp>72</stp>
        <tr r="C76" s="1"/>
      </tp>
      <tp t="s">
        <v>Vendedor</v>
        <stp/>
        <stp>T&amp;T0</stp>
        <stp>AGR</stp>
        <stp>76</stp>
        <tr r="G80" s="1"/>
      </tp>
      <tp t="s">
        <v>09:00:59.013</v>
        <stp/>
        <stp>T&amp;T0</stp>
        <stp>DAT</stp>
        <stp>23</stp>
        <tr r="B27" s="1"/>
      </tp>
      <tp t="s">
        <v>Ideal</v>
        <stp/>
        <stp>T&amp;T0</stp>
        <stp>ACP</stp>
        <stp>71</stp>
        <tr r="C75" s="1"/>
      </tp>
      <tp t="s">
        <v>Comprador</v>
        <stp/>
        <stp>T&amp;T0</stp>
        <stp>AGR</stp>
        <stp>75</stp>
        <tr r="G79" s="1"/>
      </tp>
      <tp t="s">
        <v>09:00:59.187</v>
        <stp/>
        <stp>T&amp;T0</stp>
        <stp>DAT</stp>
        <stp>22</stp>
        <tr r="B26" s="1"/>
      </tp>
      <tp t="s">
        <v>UBS</v>
        <stp/>
        <stp>T&amp;T0</stp>
        <stp>ACP</stp>
        <stp>70</stp>
        <tr r="C74" s="1"/>
      </tp>
      <tp t="s">
        <v>Comprador</v>
        <stp/>
        <stp>T&amp;T0</stp>
        <stp>AGR</stp>
        <stp>74</stp>
        <tr r="G78" s="1"/>
      </tp>
      <tp t="s">
        <v>-</v>
        <stp/>
        <stp>T&amp;T0</stp>
        <stp>AVD</stp>
        <stp>78</stp>
        <tr r="F82" s="1"/>
      </tp>
      <tp t="s">
        <v>-</v>
        <stp/>
        <stp>T&amp;T0</stp>
        <stp>AVD</stp>
        <stp>79</stp>
        <tr r="F83" s="1"/>
      </tp>
      <tp t="s">
        <v>Goldman</v>
        <stp/>
        <stp>T&amp;T0</stp>
        <stp>AVD</stp>
        <stp>72</stp>
        <tr r="F76" s="1"/>
      </tp>
      <tp t="s">
        <v>Modal</v>
        <stp/>
        <stp>T&amp;T0</stp>
        <stp>AVD</stp>
        <stp>73</stp>
        <tr r="F77" s="1"/>
      </tp>
      <tp t="s">
        <v>-</v>
        <stp/>
        <stp>T&amp;T0</stp>
        <stp>AVD</stp>
        <stp>70</stp>
        <tr r="F74" s="1"/>
      </tp>
      <tp t="s">
        <v>-</v>
        <stp/>
        <stp>T&amp;T0</stp>
        <stp>AVD</stp>
        <stp>71</stp>
        <tr r="F75" s="1"/>
      </tp>
      <tp t="s">
        <v>BTG</v>
        <stp/>
        <stp>T&amp;T0</stp>
        <stp>AVD</stp>
        <stp>76</stp>
        <tr r="F80" s="1"/>
      </tp>
      <tp t="s">
        <v>Ativa</v>
        <stp/>
        <stp>T&amp;T0</stp>
        <stp>AVD</stp>
        <stp>77</stp>
        <tr r="F81" s="1"/>
      </tp>
      <tp t="s">
        <v>-</v>
        <stp/>
        <stp>T&amp;T0</stp>
        <stp>AVD</stp>
        <stp>74</stp>
        <tr r="F78" s="1"/>
      </tp>
      <tp t="s">
        <v>-</v>
        <stp/>
        <stp>T&amp;T0</stp>
        <stp>AVD</stp>
        <stp>75</stp>
        <tr r="F79" s="1"/>
      </tp>
      <tp t="s">
        <v>Vendedor</v>
        <stp/>
        <stp>T&amp;T0</stp>
        <stp>AGR</stp>
        <stp>69</stp>
        <tr r="G73" s="1"/>
      </tp>
      <tp t="s">
        <v>Vendedor</v>
        <stp/>
        <stp>T&amp;T0</stp>
        <stp>AGR</stp>
        <stp>68</stp>
        <tr r="G72" s="1"/>
      </tp>
      <tp t="s">
        <v>09:00:58.131</v>
        <stp/>
        <stp>T&amp;T0</stp>
        <stp>DAT</stp>
        <stp>39</stp>
        <tr r="B43" s="1"/>
      </tp>
      <tp t="s">
        <v>09:00:58.162</v>
        <stp/>
        <stp>T&amp;T0</stp>
        <stp>DAT</stp>
        <stp>38</stp>
        <tr r="B42" s="1"/>
      </tp>
      <tp t="s">
        <v>-</v>
        <stp/>
        <stp>T&amp;T0</stp>
        <stp>ACP</stp>
        <stp>69</stp>
        <tr r="C73" s="1"/>
      </tp>
      <tp t="s">
        <v>-</v>
        <stp/>
        <stp>T&amp;T0</stp>
        <stp>ACP</stp>
        <stp>68</stp>
        <tr r="C72" s="1"/>
      </tp>
      <tp t="s">
        <v>09:00:58.330</v>
        <stp/>
        <stp>T&amp;T0</stp>
        <stp>DAT</stp>
        <stp>35</stp>
        <tr r="B39" s="1"/>
      </tp>
      <tp t="s">
        <v>-</v>
        <stp/>
        <stp>T&amp;T0</stp>
        <stp>ACP</stp>
        <stp>67</stp>
        <tr r="C71" s="1"/>
      </tp>
      <tp t="s">
        <v>Comprador</v>
        <stp/>
        <stp>T&amp;T0</stp>
        <stp>AGR</stp>
        <stp>63</stp>
        <tr r="G67" s="1"/>
      </tp>
      <tp t="s">
        <v>09:00:58.486</v>
        <stp/>
        <stp>T&amp;T0</stp>
        <stp>DAT</stp>
        <stp>34</stp>
        <tr r="B38" s="1"/>
      </tp>
      <tp t="s">
        <v>Ideal</v>
        <stp/>
        <stp>T&amp;T0</stp>
        <stp>ACP</stp>
        <stp>66</stp>
        <tr r="C70" s="1"/>
      </tp>
      <tp t="s">
        <v>Comprador</v>
        <stp/>
        <stp>T&amp;T0</stp>
        <stp>AGR</stp>
        <stp>62</stp>
        <tr r="G66" s="1"/>
      </tp>
      <tp t="s">
        <v>09:00:58.289</v>
        <stp/>
        <stp>T&amp;T0</stp>
        <stp>DAT</stp>
        <stp>37</stp>
        <tr r="B41" s="1"/>
      </tp>
      <tp t="s">
        <v>-</v>
        <stp/>
        <stp>T&amp;T0</stp>
        <stp>ACP</stp>
        <stp>65</stp>
        <tr r="C69" s="1"/>
      </tp>
      <tp t="s">
        <v>Comprador</v>
        <stp/>
        <stp>T&amp;T0</stp>
        <stp>AGR</stp>
        <stp>61</stp>
        <tr r="G65" s="1"/>
      </tp>
      <tp t="s">
        <v>09:00:58.309</v>
        <stp/>
        <stp>T&amp;T0</stp>
        <stp>DAT</stp>
        <stp>36</stp>
        <tr r="B40" s="1"/>
      </tp>
      <tp t="s">
        <v>Toro</v>
        <stp/>
        <stp>T&amp;T0</stp>
        <stp>ACP</stp>
        <stp>64</stp>
        <tr r="C68" s="1"/>
      </tp>
      <tp t="s">
        <v>Comprador</v>
        <stp/>
        <stp>T&amp;T0</stp>
        <stp>AGR</stp>
        <stp>60</stp>
        <tr r="G64" s="1"/>
      </tp>
      <tp t="s">
        <v>09:00:58.641</v>
        <stp/>
        <stp>T&amp;T0</stp>
        <stp>DAT</stp>
        <stp>31</stp>
        <tr r="B35" s="1"/>
      </tp>
      <tp t="s">
        <v>BTG</v>
        <stp/>
        <stp>T&amp;T0</stp>
        <stp>ACP</stp>
        <stp>63</stp>
        <tr r="C67" s="1"/>
      </tp>
      <tp t="s">
        <v>Vendedor</v>
        <stp/>
        <stp>T&amp;T0</stp>
        <stp>AGR</stp>
        <stp>67</stp>
        <tr r="G71" s="1"/>
      </tp>
      <tp t="s">
        <v>09:00:58.657</v>
        <stp/>
        <stp>T&amp;T0</stp>
        <stp>DAT</stp>
        <stp>30</stp>
        <tr r="B34" s="1"/>
      </tp>
      <tp t="s">
        <v>BTG</v>
        <stp/>
        <stp>T&amp;T0</stp>
        <stp>ACP</stp>
        <stp>62</stp>
        <tr r="C66" s="1"/>
      </tp>
      <tp t="s">
        <v>Comprador</v>
        <stp/>
        <stp>T&amp;T0</stp>
        <stp>AGR</stp>
        <stp>66</stp>
        <tr r="G70" s="1"/>
      </tp>
      <tp t="s">
        <v>09:00:58.500</v>
        <stp/>
        <stp>T&amp;T0</stp>
        <stp>DAT</stp>
        <stp>33</stp>
        <tr r="B37" s="1"/>
      </tp>
      <tp t="s">
        <v>Genial</v>
        <stp/>
        <stp>T&amp;T0</stp>
        <stp>ACP</stp>
        <stp>61</stp>
        <tr r="C65" s="1"/>
      </tp>
      <tp t="s">
        <v>Vendedor</v>
        <stp/>
        <stp>T&amp;T0</stp>
        <stp>AGR</stp>
        <stp>65</stp>
        <tr r="G69" s="1"/>
      </tp>
      <tp t="s">
        <v>09:00:58.539</v>
        <stp/>
        <stp>T&amp;T0</stp>
        <stp>DAT</stp>
        <stp>32</stp>
        <tr r="B36" s="1"/>
      </tp>
      <tp t="s">
        <v>XP</v>
        <stp/>
        <stp>T&amp;T0</stp>
        <stp>ACP</stp>
        <stp>60</stp>
        <tr r="C64" s="1"/>
      </tp>
      <tp t="s">
        <v>Comprador</v>
        <stp/>
        <stp>T&amp;T0</stp>
        <stp>AGR</stp>
        <stp>64</stp>
        <tr r="G68" s="1"/>
      </tp>
      <tp t="s">
        <v>Ideal</v>
        <stp/>
        <stp>T&amp;T0</stp>
        <stp>AVD</stp>
        <stp>68</stp>
        <tr r="F72" s="1"/>
      </tp>
      <tp t="s">
        <v>Inter</v>
        <stp/>
        <stp>T&amp;T0</stp>
        <stp>AVD</stp>
        <stp>69</stp>
        <tr r="F73" s="1"/>
      </tp>
      <tp t="s">
        <v>-</v>
        <stp/>
        <stp>T&amp;T0</stp>
        <stp>AVD</stp>
        <stp>62</stp>
        <tr r="F66" s="1"/>
      </tp>
      <tp t="s">
        <v>-</v>
        <stp/>
        <stp>T&amp;T0</stp>
        <stp>AVD</stp>
        <stp>63</stp>
        <tr r="F67" s="1"/>
      </tp>
      <tp t="s">
        <v>-</v>
        <stp/>
        <stp>T&amp;T0</stp>
        <stp>AVD</stp>
        <stp>60</stp>
        <tr r="F64" s="1"/>
      </tp>
      <tp t="s">
        <v>-</v>
        <stp/>
        <stp>T&amp;T0</stp>
        <stp>AVD</stp>
        <stp>61</stp>
        <tr r="F65" s="1"/>
      </tp>
      <tp t="s">
        <v>-</v>
        <stp/>
        <stp>T&amp;T0</stp>
        <stp>AVD</stp>
        <stp>66</stp>
        <tr r="F70" s="1"/>
      </tp>
      <tp t="s">
        <v>XP</v>
        <stp/>
        <stp>T&amp;T0</stp>
        <stp>AVD</stp>
        <stp>67</stp>
        <tr r="F71" s="1"/>
      </tp>
      <tp t="s">
        <v>-</v>
        <stp/>
        <stp>T&amp;T0</stp>
        <stp>AVD</stp>
        <stp>64</stp>
        <tr r="F68" s="1"/>
      </tp>
      <tp t="s">
        <v>Clear</v>
        <stp/>
        <stp>T&amp;T0</stp>
        <stp>AVD</stp>
        <stp>65</stp>
        <tr r="F69" s="1"/>
      </tp>
      <tp t="s">
        <v>Comprador</v>
        <stp/>
        <stp>T&amp;T0</stp>
        <stp>AGR</stp>
        <stp>59</stp>
        <tr r="G63" s="1"/>
      </tp>
      <tp t="s">
        <v>Comprador</v>
        <stp/>
        <stp>T&amp;T0</stp>
        <stp>AGR</stp>
        <stp>58</stp>
        <tr r="G62" s="1"/>
      </tp>
      <tp t="s">
        <v>Capital</v>
        <stp/>
        <stp>T&amp;T0</stp>
        <stp>ACP</stp>
        <stp>59</stp>
        <tr r="C63" s="1"/>
      </tp>
      <tp t="s">
        <v>XP</v>
        <stp/>
        <stp>T&amp;T0</stp>
        <stp>ACP</stp>
        <stp>58</stp>
        <tr r="C62" s="1"/>
      </tp>
      <tp t="s">
        <v>-</v>
        <stp/>
        <stp>T&amp;T0</stp>
        <stp>ACP</stp>
        <stp>57</stp>
        <tr r="C61" s="1"/>
      </tp>
      <tp t="s">
        <v>Vendedor</v>
        <stp/>
        <stp>T&amp;T0</stp>
        <stp>AGR</stp>
        <stp>53</stp>
        <tr r="G57" s="1"/>
      </tp>
      <tp t="s">
        <v>-</v>
        <stp/>
        <stp>T&amp;T0</stp>
        <stp>ACP</stp>
        <stp>56</stp>
        <tr r="C60" s="1"/>
      </tp>
      <tp t="s">
        <v>Vendedor</v>
        <stp/>
        <stp>T&amp;T0</stp>
        <stp>AGR</stp>
        <stp>52</stp>
        <tr r="G56" s="1"/>
      </tp>
      <tp t="s">
        <v>-</v>
        <stp/>
        <stp>T&amp;T0</stp>
        <stp>ACP</stp>
        <stp>55</stp>
        <tr r="C59" s="1"/>
      </tp>
      <tp t="s">
        <v>Vendedor</v>
        <stp/>
        <stp>T&amp;T0</stp>
        <stp>AGR</stp>
        <stp>51</stp>
        <tr r="G55" s="1"/>
      </tp>
      <tp t="s">
        <v>UBS</v>
        <stp/>
        <stp>T&amp;T0</stp>
        <stp>ACP</stp>
        <stp>54</stp>
        <tr r="C58" s="1"/>
      </tp>
      <tp t="s">
        <v>Vendedor</v>
        <stp/>
        <stp>T&amp;T0</stp>
        <stp>AGR</stp>
        <stp>50</stp>
        <tr r="G54" s="1"/>
      </tp>
      <tp t="s">
        <v>-</v>
        <stp/>
        <stp>T&amp;T0</stp>
        <stp>ACP</stp>
        <stp>53</stp>
        <tr r="C57" s="1"/>
      </tp>
      <tp t="s">
        <v>Vendedor</v>
        <stp/>
        <stp>T&amp;T0</stp>
        <stp>AGR</stp>
        <stp>57</stp>
        <tr r="G61" s="1"/>
      </tp>
      <tp t="s">
        <v>-</v>
        <stp/>
        <stp>T&amp;T0</stp>
        <stp>ACP</stp>
        <stp>52</stp>
        <tr r="C56" s="1"/>
      </tp>
      <tp t="s">
        <v>Vendedor</v>
        <stp/>
        <stp>T&amp;T0</stp>
        <stp>AGR</stp>
        <stp>56</stp>
        <tr r="G60" s="1"/>
      </tp>
      <tp t="s">
        <v>-</v>
        <stp/>
        <stp>T&amp;T0</stp>
        <stp>ACP</stp>
        <stp>51</stp>
        <tr r="C55" s="1"/>
      </tp>
      <tp t="s">
        <v>Vendedor</v>
        <stp/>
        <stp>T&amp;T0</stp>
        <stp>AGR</stp>
        <stp>55</stp>
        <tr r="G59" s="1"/>
      </tp>
      <tp t="s">
        <v>-</v>
        <stp/>
        <stp>T&amp;T0</stp>
        <stp>ACP</stp>
        <stp>50</stp>
        <tr r="C54" s="1"/>
      </tp>
      <tp t="s">
        <v>Comprador</v>
        <stp/>
        <stp>T&amp;T0</stp>
        <stp>AGR</stp>
        <stp>54</stp>
        <tr r="G58" s="1"/>
      </tp>
      <tp t="s">
        <v>-</v>
        <stp/>
        <stp>T&amp;T0</stp>
        <stp>AVD</stp>
        <stp>58</stp>
        <tr r="F62" s="1"/>
      </tp>
      <tp t="s">
        <v>-</v>
        <stp/>
        <stp>T&amp;T0</stp>
        <stp>AVD</stp>
        <stp>59</stp>
        <tr r="F63" s="1"/>
      </tp>
      <tp t="s">
        <v>Clear</v>
        <stp/>
        <stp>T&amp;T0</stp>
        <stp>AVD</stp>
        <stp>52</stp>
        <tr r="F56" s="1"/>
      </tp>
      <tp t="s">
        <v>UBS</v>
        <stp/>
        <stp>T&amp;T0</stp>
        <stp>AVD</stp>
        <stp>53</stp>
        <tr r="F57" s="1"/>
      </tp>
      <tp t="s">
        <v>UBS</v>
        <stp/>
        <stp>T&amp;T0</stp>
        <stp>AVD</stp>
        <stp>50</stp>
        <tr r="F54" s="1"/>
      </tp>
      <tp t="s">
        <v>Ideal</v>
        <stp/>
        <stp>T&amp;T0</stp>
        <stp>AVD</stp>
        <stp>51</stp>
        <tr r="F55" s="1"/>
      </tp>
      <tp t="s">
        <v>Genial</v>
        <stp/>
        <stp>T&amp;T0</stp>
        <stp>AVD</stp>
        <stp>56</stp>
        <tr r="F60" s="1"/>
      </tp>
      <tp t="s">
        <v>Genial</v>
        <stp/>
        <stp>T&amp;T0</stp>
        <stp>AVD</stp>
        <stp>57</stp>
        <tr r="F61" s="1"/>
      </tp>
      <tp t="s">
        <v>-</v>
        <stp/>
        <stp>T&amp;T0</stp>
        <stp>AVD</stp>
        <stp>54</stp>
        <tr r="F58" s="1"/>
      </tp>
      <tp t="s">
        <v>Inter</v>
        <stp/>
        <stp>T&amp;T0</stp>
        <stp>AVD</stp>
        <stp>55</stp>
        <tr r="F59" s="1"/>
      </tp>
      <tp t="s">
        <v>Vendedor</v>
        <stp/>
        <stp>T&amp;T0</stp>
        <stp>AGR</stp>
        <stp>49</stp>
        <tr r="G53" s="1"/>
      </tp>
      <tp t="s">
        <v>Vendedor</v>
        <stp/>
        <stp>T&amp;T0</stp>
        <stp>AGR</stp>
        <stp>48</stp>
        <tr r="G52" s="1"/>
      </tp>
      <tp t="s">
        <v>09:00:59.287</v>
        <stp/>
        <stp>T&amp;T0</stp>
        <stp>DAT</stp>
        <stp>19</stp>
        <tr r="B23" s="1"/>
      </tp>
      <tp t="s">
        <v>09:00:59.304</v>
        <stp/>
        <stp>T&amp;T0</stp>
        <stp>DAT</stp>
        <stp>18</stp>
        <tr r="B22" s="1"/>
      </tp>
      <tp t="s">
        <v>-</v>
        <stp/>
        <stp>T&amp;T0</stp>
        <stp>ACP</stp>
        <stp>49</stp>
        <tr r="C53" s="1"/>
      </tp>
      <tp t="s">
        <v>-</v>
        <stp/>
        <stp>T&amp;T0</stp>
        <stp>ACP</stp>
        <stp>48</stp>
        <tr r="C52" s="1"/>
      </tp>
      <tp t="s">
        <v>09:00:59.425</v>
        <stp/>
        <stp>T&amp;T0</stp>
        <stp>DAT</stp>
        <stp>15</stp>
        <tr r="B19" s="1"/>
      </tp>
      <tp t="s">
        <v>Clear</v>
        <stp/>
        <stp>T&amp;T0</stp>
        <stp>ACP</stp>
        <stp>47</stp>
        <tr r="C51" s="1"/>
      </tp>
      <tp t="s">
        <v>Comprador</v>
        <stp/>
        <stp>T&amp;T0</stp>
        <stp>AGR</stp>
        <stp>43</stp>
        <tr r="G47" s="1"/>
      </tp>
      <tp t="s">
        <v>09:00:59.425</v>
        <stp/>
        <stp>T&amp;T0</stp>
        <stp>DAT</stp>
        <stp>14</stp>
        <tr r="B18" s="1"/>
      </tp>
      <tp t="s">
        <v>XP</v>
        <stp/>
        <stp>T&amp;T0</stp>
        <stp>ACP</stp>
        <stp>46</stp>
        <tr r="C50" s="1"/>
      </tp>
      <tp t="s">
        <v>Vendedor</v>
        <stp/>
        <stp>T&amp;T0</stp>
        <stp>AGR</stp>
        <stp>42</stp>
        <tr r="G46" s="1"/>
      </tp>
      <tp t="s">
        <v>09:00:59.307</v>
        <stp/>
        <stp>T&amp;T0</stp>
        <stp>DAT</stp>
        <stp>17</stp>
        <tr r="B21" s="1"/>
      </tp>
      <tp t="s">
        <v>XP</v>
        <stp/>
        <stp>T&amp;T0</stp>
        <stp>ACP</stp>
        <stp>45</stp>
        <tr r="C49" s="1"/>
      </tp>
      <tp t="s">
        <v>Vendedor</v>
        <stp/>
        <stp>T&amp;T0</stp>
        <stp>AGR</stp>
        <stp>41</stp>
        <tr r="G45" s="1"/>
      </tp>
      <tp t="s">
        <v>09:00:59.332</v>
        <stp/>
        <stp>T&amp;T0</stp>
        <stp>DAT</stp>
        <stp>16</stp>
        <tr r="B20" s="1"/>
      </tp>
      <tp t="s">
        <v>XP</v>
        <stp/>
        <stp>T&amp;T0</stp>
        <stp>ACP</stp>
        <stp>44</stp>
        <tr r="C48" s="1"/>
      </tp>
      <tp t="s">
        <v>Comprador</v>
        <stp/>
        <stp>T&amp;T0</stp>
        <stp>AGR</stp>
        <stp>40</stp>
        <tr r="G44" s="1"/>
      </tp>
      <tp t="s">
        <v>09:00:59.671</v>
        <stp/>
        <stp>T&amp;T0</stp>
        <stp>DAT</stp>
        <stp>11</stp>
        <tr r="B15" s="1"/>
      </tp>
      <tp t="s">
        <v>BTG</v>
        <stp/>
        <stp>T&amp;T0</stp>
        <stp>ACP</stp>
        <stp>43</stp>
        <tr r="C47" s="1"/>
      </tp>
      <tp t="s">
        <v>Comprador</v>
        <stp/>
        <stp>T&amp;T0</stp>
        <stp>AGR</stp>
        <stp>47</stp>
        <tr r="G51" s="1"/>
      </tp>
      <tp t="s">
        <v>09:00:59.793</v>
        <stp/>
        <stp>T&amp;T0</stp>
        <stp>DAT</stp>
        <stp>10</stp>
        <tr r="B14" s="1"/>
      </tp>
      <tp t="s">
        <v>-</v>
        <stp/>
        <stp>T&amp;T0</stp>
        <stp>ACP</stp>
        <stp>42</stp>
        <tr r="C46" s="1"/>
      </tp>
      <tp t="s">
        <v>Comprador</v>
        <stp/>
        <stp>T&amp;T0</stp>
        <stp>AGR</stp>
        <stp>46</stp>
        <tr r="G50" s="1"/>
      </tp>
      <tp t="s">
        <v>09:00:59.567</v>
        <stp/>
        <stp>T&amp;T0</stp>
        <stp>DAT</stp>
        <stp>13</stp>
        <tr r="B17" s="1"/>
      </tp>
      <tp t="s">
        <v>-</v>
        <stp/>
        <stp>T&amp;T0</stp>
        <stp>ACP</stp>
        <stp>41</stp>
        <tr r="C45" s="1"/>
      </tp>
      <tp t="s">
        <v>Comprador</v>
        <stp/>
        <stp>T&amp;T0</stp>
        <stp>AGR</stp>
        <stp>45</stp>
        <tr r="G49" s="1"/>
      </tp>
      <tp t="s">
        <v>09:00:59.580</v>
        <stp/>
        <stp>T&amp;T0</stp>
        <stp>DAT</stp>
        <stp>12</stp>
        <tr r="B16" s="1"/>
      </tp>
      <tp t="s">
        <v>Genial</v>
        <stp/>
        <stp>T&amp;T0</stp>
        <stp>ACP</stp>
        <stp>40</stp>
        <tr r="C44" s="1"/>
      </tp>
      <tp t="s">
        <v>Comprador</v>
        <stp/>
        <stp>T&amp;T0</stp>
        <stp>AGR</stp>
        <stp>44</stp>
        <tr r="G48" s="1"/>
      </tp>
      <tp t="s">
        <v>UBS</v>
        <stp/>
        <stp>T&amp;T0</stp>
        <stp>AVD</stp>
        <stp>48</stp>
        <tr r="F52" s="1"/>
      </tp>
      <tp t="s">
        <v>Ativa</v>
        <stp/>
        <stp>T&amp;T0</stp>
        <stp>AVD</stp>
        <stp>49</stp>
        <tr r="F53" s="1"/>
      </tp>
      <tp t="s">
        <v>XP</v>
        <stp/>
        <stp>T&amp;T0</stp>
        <stp>AVD</stp>
        <stp>42</stp>
        <tr r="F46" s="1"/>
      </tp>
      <tp t="s">
        <v>-</v>
        <stp/>
        <stp>T&amp;T0</stp>
        <stp>AVD</stp>
        <stp>43</stp>
        <tr r="F47" s="1"/>
      </tp>
      <tp t="s">
        <v>-</v>
        <stp/>
        <stp>T&amp;T0</stp>
        <stp>AVD</stp>
        <stp>40</stp>
        <tr r="F44" s="1"/>
      </tp>
      <tp t="s">
        <v>Nova Futura</v>
        <stp/>
        <stp>T&amp;T0</stp>
        <stp>AVD</stp>
        <stp>41</stp>
        <tr r="F45" s="1"/>
      </tp>
      <tp t="s">
        <v>-</v>
        <stp/>
        <stp>T&amp;T0</stp>
        <stp>AVD</stp>
        <stp>46</stp>
        <tr r="F50" s="1"/>
      </tp>
      <tp t="s">
        <v>-</v>
        <stp/>
        <stp>T&amp;T0</stp>
        <stp>AVD</stp>
        <stp>47</stp>
        <tr r="F51" s="1"/>
      </tp>
      <tp t="s">
        <v>-</v>
        <stp/>
        <stp>T&amp;T0</stp>
        <stp>AVD</stp>
        <stp>44</stp>
        <tr r="F48" s="1"/>
      </tp>
      <tp t="s">
        <v>-</v>
        <stp/>
        <stp>T&amp;T0</stp>
        <stp>AVD</stp>
        <stp>45</stp>
        <tr r="F49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34269-DCF0-4B6F-914F-B87540C6A9A6}">
  <dimension ref="A1:AN103"/>
  <sheetViews>
    <sheetView tabSelected="1" topLeftCell="F1" workbookViewId="0">
      <selection activeCell="W10" sqref="W10:X14"/>
    </sheetView>
  </sheetViews>
  <sheetFormatPr defaultRowHeight="12.75"/>
  <cols>
    <col min="1" max="1" width="14.85546875" style="2" customWidth="1"/>
    <col min="2" max="2" width="11.7109375" style="2" bestFit="1" customWidth="1"/>
    <col min="3" max="3" width="15.140625" style="2" bestFit="1" customWidth="1"/>
    <col min="4" max="4" width="7" style="2" bestFit="1" customWidth="1"/>
    <col min="5" max="5" width="10.42578125" style="2" bestFit="1" customWidth="1"/>
    <col min="6" max="6" width="12.42578125" style="2" bestFit="1" customWidth="1"/>
    <col min="7" max="7" width="10" style="2" bestFit="1" customWidth="1"/>
    <col min="8" max="10" width="9.140625" style="2"/>
    <col min="11" max="11" width="22" style="2" bestFit="1" customWidth="1"/>
    <col min="12" max="12" width="14.5703125" style="2" customWidth="1"/>
    <col min="13" max="13" width="13.140625" style="2" bestFit="1" customWidth="1"/>
    <col min="14" max="16384" width="9.140625" style="2"/>
  </cols>
  <sheetData>
    <row r="1" spans="1:40" ht="15" customHeight="1" thickBot="1">
      <c r="A1" s="48" t="s">
        <v>0</v>
      </c>
      <c r="B1" s="50"/>
      <c r="C1" s="50"/>
      <c r="D1" s="50"/>
      <c r="E1" s="50"/>
      <c r="F1" s="50"/>
      <c r="G1" s="51"/>
      <c r="K1" s="1"/>
      <c r="L1" s="15" t="s">
        <v>1</v>
      </c>
      <c r="M1" s="16" t="s">
        <v>2</v>
      </c>
      <c r="N1" s="17" t="s">
        <v>3</v>
      </c>
      <c r="O1" s="18" t="s">
        <v>4</v>
      </c>
      <c r="P1" s="19" t="s">
        <v>5</v>
      </c>
      <c r="Q1" s="20" t="s">
        <v>6</v>
      </c>
      <c r="R1" s="21" t="s">
        <v>7</v>
      </c>
      <c r="S1" s="22" t="s">
        <v>8</v>
      </c>
      <c r="T1" s="18" t="s">
        <v>9</v>
      </c>
      <c r="U1" s="19" t="s">
        <v>10</v>
      </c>
      <c r="V1" s="23" t="s">
        <v>11</v>
      </c>
      <c r="W1" s="24" t="s">
        <v>12</v>
      </c>
      <c r="X1" s="25" t="s">
        <v>13</v>
      </c>
      <c r="Y1" s="26" t="s">
        <v>14</v>
      </c>
      <c r="Z1" s="27" t="s">
        <v>15</v>
      </c>
      <c r="AA1" s="19" t="s">
        <v>16</v>
      </c>
      <c r="AB1" s="28" t="s">
        <v>17</v>
      </c>
      <c r="AC1" s="29" t="s">
        <v>18</v>
      </c>
      <c r="AD1" s="30" t="s">
        <v>19</v>
      </c>
      <c r="AE1" s="31" t="s">
        <v>20</v>
      </c>
      <c r="AF1" s="32" t="s">
        <v>21</v>
      </c>
      <c r="AG1" s="29" t="s">
        <v>22</v>
      </c>
      <c r="AH1" s="33" t="s">
        <v>23</v>
      </c>
      <c r="AI1" s="21" t="s">
        <v>24</v>
      </c>
      <c r="AJ1" s="34" t="s">
        <v>25</v>
      </c>
      <c r="AK1" s="35" t="s">
        <v>26</v>
      </c>
      <c r="AL1" s="36" t="s">
        <v>27</v>
      </c>
      <c r="AM1" s="37" t="s">
        <v>28</v>
      </c>
      <c r="AN1" s="38" t="s">
        <v>29</v>
      </c>
    </row>
    <row r="2" spans="1:40">
      <c r="A2" s="49"/>
      <c r="B2" s="3" t="str">
        <f>RTD("rtdtrading.rtdserver",, "T&amp;T0", "INFO", "ATV")</f>
        <v>WDOFUT</v>
      </c>
      <c r="C2" s="1" t="str">
        <f>RTD("rtdtrading.rtdserver",, "T&amp;T0", "INFO", "TAB")</f>
        <v>Ordem Original</v>
      </c>
      <c r="D2" s="1"/>
      <c r="E2" s="1"/>
      <c r="F2" s="1"/>
      <c r="G2" s="4"/>
      <c r="K2" s="12" t="s">
        <v>30</v>
      </c>
      <c r="L2" s="39">
        <f>SUMIFS(E4:E104,C4:C104,"&lt;&gt;-")</f>
        <v>1078</v>
      </c>
      <c r="M2" s="14">
        <f>SUMIFS($E4:$E104,$C4:$C104,M1)</f>
        <v>161</v>
      </c>
      <c r="N2" s="14">
        <f>SUMIFS($E4:$E104,$C4:$C104,N1)</f>
        <v>18</v>
      </c>
      <c r="O2" s="14">
        <f>SUMIFS($E4:$E104,$C4:$C104,O1)</f>
        <v>0</v>
      </c>
      <c r="P2" s="14">
        <f>SUMIFS($E4:$E104,$C4:$C104,P1)</f>
        <v>49</v>
      </c>
      <c r="Q2" s="14">
        <f>SUMIFS($E4:$E104,$C4:$C104,Q1)</f>
        <v>112</v>
      </c>
      <c r="R2" s="14">
        <f>SUMIFS($E4:$E104,$C4:$C104,R1)</f>
        <v>0</v>
      </c>
      <c r="S2" s="14">
        <f>SUMIFS($E4:$E104,$C4:$C104,S1)</f>
        <v>0</v>
      </c>
      <c r="T2" s="14">
        <f>SUMIFS($E4:$E104,$C4:$C104,T1)</f>
        <v>0</v>
      </c>
      <c r="U2" s="14">
        <f>SUMIFS($E4:$E104,$C4:$C104,U1)</f>
        <v>0</v>
      </c>
      <c r="V2" s="14">
        <f>SUMIFS($E4:$E104,$C4:$C104,V1)</f>
        <v>272</v>
      </c>
      <c r="W2" s="14">
        <f>SUMIFS($E4:$E104,$C4:$C104,W1)</f>
        <v>290</v>
      </c>
      <c r="X2" s="14">
        <f>SUMIFS($E4:$E104,$C4:$C104,X1)</f>
        <v>0</v>
      </c>
      <c r="Y2" s="14">
        <f>SUMIFS($E4:$E104,$C4:$C104,Y1)</f>
        <v>0</v>
      </c>
      <c r="Z2" s="14">
        <f>SUMIFS($E4:$E104,$C4:$C104,Z1)</f>
        <v>147</v>
      </c>
      <c r="AA2" s="14">
        <f>SUMIFS($E4:$E104,$C4:$C104,AA1)</f>
        <v>0</v>
      </c>
      <c r="AB2" s="14">
        <f>SUMIFS($E4:$E104,$C4:$C104,AB1)</f>
        <v>0</v>
      </c>
      <c r="AC2" s="14">
        <f>SUMIFS($E4:$E104,$C4:$C104,AC1)</f>
        <v>0</v>
      </c>
      <c r="AD2" s="14">
        <f>SUMIFS($E4:$E104,$C4:$C104,AD1)</f>
        <v>0</v>
      </c>
      <c r="AE2" s="14">
        <f>SUMIFS($E4:$E104,$C4:$C104,AE1)</f>
        <v>0</v>
      </c>
      <c r="AF2" s="14">
        <f>SUMIFS($E4:$E104,$C4:$C104,AF1)</f>
        <v>0</v>
      </c>
      <c r="AG2" s="14">
        <f>SUMIFS($E4:$E104,$C4:$C104,AG1)</f>
        <v>0</v>
      </c>
      <c r="AH2" s="14">
        <f>SUMIFS($E4:$E104,$C4:$C104,AH1)</f>
        <v>0</v>
      </c>
      <c r="AI2" s="14">
        <f>SUMIFS($E4:$E104,$C4:$C104,AI1)</f>
        <v>0</v>
      </c>
      <c r="AJ2" s="14">
        <f>SUMIFS($E4:$E104,$C4:$C104,AJ1)</f>
        <v>0</v>
      </c>
      <c r="AK2" s="14">
        <f>SUMIFS($E4:$E104,$C4:$C104,AK1)</f>
        <v>0</v>
      </c>
      <c r="AL2" s="14">
        <f>SUMIFS($E4:$E104,$C4:$C104,AL1)</f>
        <v>14</v>
      </c>
      <c r="AM2" s="14">
        <f>SUMIFS($E4:$E104,$C4:$C104,AM1)</f>
        <v>0</v>
      </c>
      <c r="AN2" s="14">
        <f>SUMIFS($E4:$E104,$C4:$C104,AN1)</f>
        <v>15</v>
      </c>
    </row>
    <row r="3" spans="1:40">
      <c r="A3" s="49"/>
      <c r="B3" s="5" t="s">
        <v>31</v>
      </c>
      <c r="C3" s="5" t="s">
        <v>32</v>
      </c>
      <c r="D3" s="5" t="s">
        <v>33</v>
      </c>
      <c r="E3" s="5" t="s">
        <v>34</v>
      </c>
      <c r="F3" s="5" t="s">
        <v>35</v>
      </c>
      <c r="G3" s="6" t="s">
        <v>36</v>
      </c>
      <c r="K3" s="12" t="s">
        <v>37</v>
      </c>
      <c r="L3" s="39">
        <f>SUMIFS(E4:E104,F4:F104,"&lt;&gt;-")</f>
        <v>2362</v>
      </c>
      <c r="M3" s="13">
        <f>SUMIFS($E4:$E104,$F4:$F104,M1)</f>
        <v>96</v>
      </c>
      <c r="N3" s="13">
        <f>SUMIFS($E4:$E104,$F4:$F104,N1)</f>
        <v>55</v>
      </c>
      <c r="O3" s="13">
        <f>SUMIFS($E4:$E104,$F4:$F104,O1)</f>
        <v>255</v>
      </c>
      <c r="P3" s="13">
        <f>SUMIFS($E4:$E104,$F4:$F104,P1)</f>
        <v>326</v>
      </c>
      <c r="Q3" s="13">
        <f>SUMIFS($E4:$E104,$F4:$F104,Q1)</f>
        <v>839</v>
      </c>
      <c r="R3" s="13">
        <f>SUMIFS($E4:$E104,$F4:$F104,R1)</f>
        <v>0</v>
      </c>
      <c r="S3" s="13">
        <f>SUMIFS($E4:$E104,$F4:$F104,S1)</f>
        <v>0</v>
      </c>
      <c r="T3" s="13">
        <f>SUMIFS($E4:$E104,$F4:$F104,T1)</f>
        <v>0</v>
      </c>
      <c r="U3" s="13">
        <f>SUMIFS($E4:$E104,$F4:$F104,U1)</f>
        <v>0</v>
      </c>
      <c r="V3" s="13">
        <f>SUMIFS($E4:$E104,$F4:$F104,V1)</f>
        <v>201</v>
      </c>
      <c r="W3" s="13">
        <f>SUMIFS($E4:$E104,$F4:$F104,W1)</f>
        <v>0</v>
      </c>
      <c r="X3" s="13">
        <f>SUMIFS($E4:$E104,$F4:$F104,X1)</f>
        <v>0</v>
      </c>
      <c r="Y3" s="13">
        <f>SUMIFS($E4:$E104,$F4:$F104,Y1)</f>
        <v>0</v>
      </c>
      <c r="Z3" s="13">
        <f>SUMIFS($E4:$E104,$F4:$F104,Z1)</f>
        <v>77</v>
      </c>
      <c r="AA3" s="13">
        <f>SUMIFS($E4:$E104,$F4:$F104,AA1)</f>
        <v>0</v>
      </c>
      <c r="AB3" s="13">
        <f>SUMIFS($E4:$E104,$F4:$F104,AB1)</f>
        <v>0</v>
      </c>
      <c r="AC3" s="13">
        <f>SUMIFS($E4:$E104,$F4:$F104,AC1)</f>
        <v>0</v>
      </c>
      <c r="AD3" s="13">
        <f>SUMIFS($E4:$E104,$F4:$F104,AD1)</f>
        <v>0</v>
      </c>
      <c r="AE3" s="13">
        <f>SUMIFS($E4:$E104,$F4:$F104,AE1)</f>
        <v>0</v>
      </c>
      <c r="AF3" s="13">
        <f>SUMIFS($E4:$E104,$F4:$F104,AF1)</f>
        <v>10</v>
      </c>
      <c r="AG3" s="13">
        <f>SUMIFS($E4:$E104,$F4:$F104,AG1)</f>
        <v>0</v>
      </c>
      <c r="AH3" s="13">
        <f>SUMIFS($E4:$E104,$F4:$F104,AH1)</f>
        <v>200</v>
      </c>
      <c r="AI3" s="13">
        <f>SUMIFS($E4:$E104,$F4:$F104,AI1)</f>
        <v>0</v>
      </c>
      <c r="AJ3" s="13">
        <f>SUMIFS($E4:$E104,$F4:$F104,AJ1)</f>
        <v>0</v>
      </c>
      <c r="AK3" s="13">
        <f>SUMIFS($E4:$E104,$F4:$F104,AK1)</f>
        <v>70</v>
      </c>
      <c r="AL3" s="13">
        <f>SUMIFS($E4:$E104,$F4:$F104,AL1)</f>
        <v>166</v>
      </c>
      <c r="AM3" s="13">
        <f>SUMIFS($E4:$E104,$F4:$F104,AM1)</f>
        <v>26</v>
      </c>
      <c r="AN3" s="13">
        <f>SUMIFS($E4:$E104,$F4:$F104,AN1)</f>
        <v>0</v>
      </c>
    </row>
    <row r="4" spans="1:40" ht="15.75" thickBot="1">
      <c r="A4" s="7">
        <f>TIME(
LEFT(TEXT(B4,"HH:MM"),2),
RIGHT(TEXT(B4,"HH:MM"),2),
RIGHT(TEXT(B4,"HH:MM:SS"),2)
)</f>
        <v>0.41665509259259265</v>
      </c>
      <c r="B4" s="2" t="str">
        <f>RTD("rtdtrading.rtdserver",, "T&amp;T0", "DAT", 0)</f>
        <v>09:01:00.059</v>
      </c>
      <c r="C4" s="2" t="str">
        <f>RTD("rtdtrading.rtdserver",, "T&amp;T0", "ACP", 0)</f>
        <v>Genial</v>
      </c>
      <c r="D4" s="2">
        <f>RTD("rtdtrading.rtdserver",, "T&amp;T0", "PRE", 0)</f>
        <v>4957.5</v>
      </c>
      <c r="E4" s="2">
        <f>RTD("rtdtrading.rtdserver",, "T&amp;T0", "QUL", 0)</f>
        <v>5</v>
      </c>
      <c r="F4" s="2" t="str">
        <f>RTD("rtdtrading.rtdserver",, "T&amp;T0", "AVD", 0)</f>
        <v>-</v>
      </c>
      <c r="G4" s="8" t="str">
        <f>RTD("rtdtrading.rtdserver",, "T&amp;T0", "AGR", 0)</f>
        <v>Comprador</v>
      </c>
      <c r="K4" s="12" t="s">
        <v>38</v>
      </c>
      <c r="L4" s="40">
        <f>L2-L3</f>
        <v>-1284</v>
      </c>
      <c r="M4" s="13">
        <f>M2-M3</f>
        <v>65</v>
      </c>
      <c r="N4" s="13">
        <f>N2-N3</f>
        <v>-37</v>
      </c>
      <c r="O4" s="13">
        <f t="shared" ref="O4:S4" si="0">O2-O3</f>
        <v>-255</v>
      </c>
      <c r="P4" s="13">
        <f t="shared" si="0"/>
        <v>-277</v>
      </c>
      <c r="Q4" s="13">
        <f t="shared" si="0"/>
        <v>-727</v>
      </c>
      <c r="R4" s="13">
        <f t="shared" si="0"/>
        <v>0</v>
      </c>
      <c r="S4" s="13">
        <f t="shared" si="0"/>
        <v>0</v>
      </c>
      <c r="T4" s="13">
        <f t="shared" ref="T4" si="1">T2-T3</f>
        <v>0</v>
      </c>
      <c r="U4" s="13">
        <f t="shared" ref="U4" si="2">U2-U3</f>
        <v>0</v>
      </c>
      <c r="V4" s="13">
        <f t="shared" ref="V4" si="3">V2-V3</f>
        <v>71</v>
      </c>
      <c r="W4" s="13">
        <f t="shared" ref="W4:X4" si="4">W2-W3</f>
        <v>290</v>
      </c>
      <c r="X4" s="13">
        <f t="shared" si="4"/>
        <v>0</v>
      </c>
      <c r="Y4" s="13">
        <f t="shared" ref="Y4" si="5">Y2-Y3</f>
        <v>0</v>
      </c>
      <c r="Z4" s="13">
        <f t="shared" ref="Z4" si="6">Z2-Z3</f>
        <v>70</v>
      </c>
      <c r="AA4" s="13">
        <f t="shared" ref="AA4" si="7">AA2-AA3</f>
        <v>0</v>
      </c>
      <c r="AB4" s="13">
        <f t="shared" ref="AB4:AC4" si="8">AB2-AB3</f>
        <v>0</v>
      </c>
      <c r="AC4" s="13">
        <f t="shared" si="8"/>
        <v>0</v>
      </c>
      <c r="AD4" s="13">
        <f t="shared" ref="AD4" si="9">AD2-AD3</f>
        <v>0</v>
      </c>
      <c r="AE4" s="13">
        <f t="shared" ref="AE4" si="10">AE2-AE3</f>
        <v>0</v>
      </c>
      <c r="AF4" s="13">
        <f t="shared" ref="AF4" si="11">AF2-AF3</f>
        <v>-10</v>
      </c>
      <c r="AG4" s="13">
        <f t="shared" ref="AG4:AH4" si="12">AG2-AG3</f>
        <v>0</v>
      </c>
      <c r="AH4" s="13">
        <f t="shared" si="12"/>
        <v>-200</v>
      </c>
      <c r="AI4" s="13">
        <f t="shared" ref="AI4" si="13">AI2-AI3</f>
        <v>0</v>
      </c>
      <c r="AJ4" s="13">
        <f t="shared" ref="AJ4" si="14">AJ2-AJ3</f>
        <v>0</v>
      </c>
      <c r="AK4" s="13">
        <f t="shared" ref="AK4" si="15">AK2-AK3</f>
        <v>-70</v>
      </c>
      <c r="AL4" s="13">
        <f t="shared" ref="AL4:AM4" si="16">AL2-AL3</f>
        <v>-152</v>
      </c>
      <c r="AM4" s="13">
        <f t="shared" si="16"/>
        <v>-26</v>
      </c>
      <c r="AN4" s="13">
        <f t="shared" ref="AN4" si="17">AN2-AN3</f>
        <v>15</v>
      </c>
    </row>
    <row r="5" spans="1:40" ht="15">
      <c r="A5" s="7">
        <f t="shared" ref="A5:A68" si="18">TIME(
LEFT(TEXT(B5,"HH:MM"),2),
RIGHT(TEXT(B5,"HH:MM"),2),
RIGHT(TEXT(B5,"HH:MM:SS"),2)
)</f>
        <v>0.40606481481481477</v>
      </c>
      <c r="B5" s="2" t="str">
        <f>RTD("rtdtrading.rtdserver",, "T&amp;T0", "DAT", 1)</f>
        <v>09:01:00.044</v>
      </c>
      <c r="C5" s="2" t="str">
        <f>RTD("rtdtrading.rtdserver",, "T&amp;T0", "ACP", 1)</f>
        <v>Ideal</v>
      </c>
      <c r="D5" s="2">
        <f>RTD("rtdtrading.rtdserver",, "T&amp;T0", "PRE", 1)</f>
        <v>4957.5</v>
      </c>
      <c r="E5" s="2">
        <f>RTD("rtdtrading.rtdserver",, "T&amp;T0", "QUL", 1)</f>
        <v>6</v>
      </c>
      <c r="F5" s="2" t="str">
        <f>RTD("rtdtrading.rtdserver",, "T&amp;T0", "AVD", 1)</f>
        <v>-</v>
      </c>
      <c r="G5" s="8" t="str">
        <f>RTD("rtdtrading.rtdserver",, "T&amp;T0", "AGR", 1)</f>
        <v>Comprador</v>
      </c>
    </row>
    <row r="6" spans="1:40" ht="15.75" thickBot="1">
      <c r="A6" s="7">
        <f t="shared" si="18"/>
        <v>0.4025347222222222</v>
      </c>
      <c r="B6" s="2" t="str">
        <f>RTD("rtdtrading.rtdserver",, "T&amp;T0", "DAT", 2)</f>
        <v>09:01:00.039</v>
      </c>
      <c r="C6" s="2" t="str">
        <f>RTD("rtdtrading.rtdserver",, "T&amp;T0", "ACP", 2)</f>
        <v>-</v>
      </c>
      <c r="D6" s="2">
        <f>RTD("rtdtrading.rtdserver",, "T&amp;T0", "PRE", 2)</f>
        <v>4957</v>
      </c>
      <c r="E6" s="2">
        <f>RTD("rtdtrading.rtdserver",, "T&amp;T0", "QUL", 2)</f>
        <v>300</v>
      </c>
      <c r="F6" s="2" t="str">
        <f>RTD("rtdtrading.rtdserver",, "T&amp;T0", "AVD", 2)</f>
        <v>Nova Futura</v>
      </c>
      <c r="G6" s="8" t="str">
        <f>RTD("rtdtrading.rtdserver",, "T&amp;T0", "AGR", 2)</f>
        <v>Vendedor</v>
      </c>
    </row>
    <row r="7" spans="1:40" ht="15.75" thickBot="1">
      <c r="A7" s="7">
        <f t="shared" si="18"/>
        <v>0.38417824074074075</v>
      </c>
      <c r="B7" s="2" t="str">
        <f>RTD("rtdtrading.rtdserver",, "T&amp;T0", "DAT", 3)</f>
        <v>09:01:00.013</v>
      </c>
      <c r="C7" s="2" t="str">
        <f>RTD("rtdtrading.rtdserver",, "T&amp;T0", "ACP", 3)</f>
        <v>BTG</v>
      </c>
      <c r="D7" s="2">
        <f>RTD("rtdtrading.rtdserver",, "T&amp;T0", "PRE", 3)</f>
        <v>4958</v>
      </c>
      <c r="E7" s="2">
        <f>RTD("rtdtrading.rtdserver",, "T&amp;T0", "QUL", 3)</f>
        <v>28</v>
      </c>
      <c r="F7" s="2" t="str">
        <f>RTD("rtdtrading.rtdserver",, "T&amp;T0", "AVD", 3)</f>
        <v>-</v>
      </c>
      <c r="G7" s="8" t="str">
        <f>RTD("rtdtrading.rtdserver",, "T&amp;T0", "AGR", 3)</f>
        <v>Comprador</v>
      </c>
      <c r="M7" s="52" t="s">
        <v>39</v>
      </c>
      <c r="N7" s="53"/>
      <c r="O7" s="53"/>
      <c r="P7" s="53"/>
      <c r="Q7" s="53"/>
      <c r="R7" s="54"/>
      <c r="T7" s="70" t="s">
        <v>39</v>
      </c>
      <c r="U7" s="71"/>
      <c r="V7" s="71"/>
      <c r="W7" s="71"/>
      <c r="X7" s="72"/>
    </row>
    <row r="8" spans="1:40" ht="15.75" thickBot="1">
      <c r="A8" s="7">
        <f t="shared" si="18"/>
        <v>0.42724537037037041</v>
      </c>
      <c r="B8" s="2" t="str">
        <f>RTD("rtdtrading.rtdserver",, "T&amp;T0", "DAT", 4)</f>
        <v>09:00:59.974</v>
      </c>
      <c r="C8" s="2" t="str">
        <f>RTD("rtdtrading.rtdserver",, "T&amp;T0", "ACP", 4)</f>
        <v>-</v>
      </c>
      <c r="D8" s="2">
        <f>RTD("rtdtrading.rtdserver",, "T&amp;T0", "PRE", 4)</f>
        <v>4957.5</v>
      </c>
      <c r="E8" s="2">
        <f>RTD("rtdtrading.rtdserver",, "T&amp;T0", "QUL", 4)</f>
        <v>5</v>
      </c>
      <c r="F8" s="2" t="str">
        <f>RTD("rtdtrading.rtdserver",, "T&amp;T0", "AVD", 4)</f>
        <v>BTG</v>
      </c>
      <c r="G8" s="8" t="str">
        <f>RTD("rtdtrading.rtdserver",, "T&amp;T0", "AGR", 4)</f>
        <v>Vendedor</v>
      </c>
      <c r="M8" s="44" t="s">
        <v>2</v>
      </c>
      <c r="N8" s="41" t="s">
        <v>15</v>
      </c>
      <c r="O8" s="42" t="s">
        <v>23</v>
      </c>
      <c r="P8" s="43" t="s">
        <v>22</v>
      </c>
      <c r="Q8" s="32" t="s">
        <v>21</v>
      </c>
      <c r="R8" s="31" t="s">
        <v>20</v>
      </c>
      <c r="T8" s="64" t="s">
        <v>2</v>
      </c>
      <c r="U8" s="65" t="s">
        <v>15</v>
      </c>
      <c r="V8" s="66" t="s">
        <v>23</v>
      </c>
      <c r="W8" s="68" t="s">
        <v>40</v>
      </c>
      <c r="X8" s="69"/>
    </row>
    <row r="9" spans="1:40" ht="15.75" thickBot="1">
      <c r="A9" s="7">
        <f t="shared" si="18"/>
        <v>0.37994212962962964</v>
      </c>
      <c r="B9" s="2" t="str">
        <f>RTD("rtdtrading.rtdserver",, "T&amp;T0", "DAT", 5)</f>
        <v>09:00:59.807</v>
      </c>
      <c r="C9" s="2" t="str">
        <f>RTD("rtdtrading.rtdserver",, "T&amp;T0", "ACP", 5)</f>
        <v>-</v>
      </c>
      <c r="D9" s="2">
        <f>RTD("rtdtrading.rtdserver",, "T&amp;T0", "PRE", 5)</f>
        <v>4958</v>
      </c>
      <c r="E9" s="2">
        <f>RTD("rtdtrading.rtdserver",, "T&amp;T0", "QUL", 5)</f>
        <v>17</v>
      </c>
      <c r="F9" s="2" t="str">
        <f>RTD("rtdtrading.rtdserver",, "T&amp;T0", "AVD", 5)</f>
        <v>UBS</v>
      </c>
      <c r="G9" s="8" t="str">
        <f>RTD("rtdtrading.rtdserver",, "T&amp;T0", "AGR", 5)</f>
        <v>Vendedor</v>
      </c>
      <c r="M9" s="45">
        <f>IF(HLOOKUP(M8,$M$1:$AN$4,4,FALSE)&gt;0,HLOOKUP(M8,$M$1:$AN$4,4,FALSE)/$L$2,HLOOKUP(M8,$M$1:$AN$4,4,FALSE)/$L$3)</f>
        <v>6.0296846011131729E-2</v>
      </c>
      <c r="N9" s="45">
        <f>IF(HLOOKUP(N8,$M$1:$AN$4,4,FALSE)&gt;0,HLOOKUP(N8,$M$1:$AN$4,4,FALSE)/$L$2,HLOOKUP(N8,$M$1:$AN$4,4,FALSE)/$L$3)</f>
        <v>6.4935064935064929E-2</v>
      </c>
      <c r="O9" s="45">
        <f>IF(HLOOKUP(O8,$M$1:$AN$4,4,FALSE)&gt;0,HLOOKUP(O8,$M$1:$AN$4,4,FALSE)/$L$2,HLOOKUP(O8,$M$1:$AN$4,4,FALSE)/$L$3)</f>
        <v>-8.4674005080440304E-2</v>
      </c>
      <c r="P9" s="45">
        <f t="shared" ref="P9:Q9" si="19">IF(HLOOKUP(P8,$M$1:$AN$4,4,FALSE)&gt;0,HLOOKUP(P8,$M$1:$AN$4,4,FALSE)/$L$2,HLOOKUP(P8,$M$1:$AN$4,4,FALSE)/$L$3)</f>
        <v>0</v>
      </c>
      <c r="Q9" s="45">
        <f t="shared" si="19"/>
        <v>-4.2337002540220152E-3</v>
      </c>
      <c r="R9" s="45">
        <f>IF(HLOOKUP(R8,$M$1:$AN$4,4,FALSE)&gt;0,HLOOKUP(R8,$M$1:$AN$4,4,FALSE)/$L$2,HLOOKUP(R8,$M$1:$AN$4,4,FALSE)/$L$3)</f>
        <v>0</v>
      </c>
      <c r="T9" s="67">
        <f>HLOOKUP(T8,$M$1:$AN$4,4,)</f>
        <v>65</v>
      </c>
      <c r="U9" s="67">
        <f t="shared" ref="U9:V9" si="20">HLOOKUP(U8,$M$1:$AN$4,4,)</f>
        <v>70</v>
      </c>
      <c r="V9" s="67">
        <f t="shared" si="20"/>
        <v>-200</v>
      </c>
      <c r="W9" s="55"/>
      <c r="X9" s="56"/>
    </row>
    <row r="10" spans="1:40" ht="15">
      <c r="A10" s="7">
        <f t="shared" si="18"/>
        <v>0.37923611111111111</v>
      </c>
      <c r="B10" s="2" t="str">
        <f>RTD("rtdtrading.rtdserver",, "T&amp;T0", "DAT", 6)</f>
        <v>09:00:59.806</v>
      </c>
      <c r="C10" s="2" t="str">
        <f>RTD("rtdtrading.rtdserver",, "T&amp;T0", "ACP", 6)</f>
        <v>UBS</v>
      </c>
      <c r="D10" s="2">
        <f>RTD("rtdtrading.rtdserver",, "T&amp;T0", "PRE", 6)</f>
        <v>4958</v>
      </c>
      <c r="E10" s="2">
        <f>RTD("rtdtrading.rtdserver",, "T&amp;T0", "QUL", 6)</f>
        <v>39</v>
      </c>
      <c r="F10" s="2" t="str">
        <f>RTD("rtdtrading.rtdserver",, "T&amp;T0", "AVD", 6)</f>
        <v>-</v>
      </c>
      <c r="G10" s="8" t="str">
        <f>RTD("rtdtrading.rtdserver",, "T&amp;T0", "AGR", 6)</f>
        <v>Comprador</v>
      </c>
      <c r="M10" s="57">
        <f xml:space="preserve">
HLOOKUP(M8,M1:AN4,4,)+
IFERROR(HLOOKUP(N8,M1:AN4,4,),0)+
IFERROR(HLOOKUP(O8,M1:AN4,4,),0)+
IFERROR(HLOOKUP(P8,M1:AN4,4,),0)+
IFERROR(HLOOKUP(Q8,M1:AN4,4,),0)+
IFERROR(HLOOKUP(R8,M1:AN4,4,),0)</f>
        <v>-75</v>
      </c>
      <c r="N10" s="58"/>
      <c r="O10" s="59"/>
      <c r="P10" s="57">
        <f>IF(M10&gt;0,M10/L2,M10/L3)</f>
        <v>-3.1752751905165112E-2</v>
      </c>
      <c r="Q10" s="63"/>
      <c r="R10" s="59"/>
      <c r="T10" s="73">
        <f>SUM(T9:V9)</f>
        <v>-65</v>
      </c>
      <c r="U10" s="74"/>
      <c r="V10" s="75"/>
      <c r="W10" s="82">
        <f>IF(T10&gt;0,
T10/L2,
T10/L3
)</f>
        <v>-2.75190516511431E-2</v>
      </c>
      <c r="X10" s="83"/>
    </row>
    <row r="11" spans="1:40" ht="15">
      <c r="A11" s="7">
        <f t="shared" si="18"/>
        <v>0.44065972222222222</v>
      </c>
      <c r="B11" s="2" t="str">
        <f>RTD("rtdtrading.rtdserver",, "T&amp;T0", "DAT", 7)</f>
        <v>09:00:59.793</v>
      </c>
      <c r="C11" s="2" t="str">
        <f>RTD("rtdtrading.rtdserver",, "T&amp;T0", "ACP", 7)</f>
        <v>-</v>
      </c>
      <c r="D11" s="2">
        <f>RTD("rtdtrading.rtdserver",, "T&amp;T0", "PRE", 7)</f>
        <v>4957</v>
      </c>
      <c r="E11" s="2">
        <f>RTD("rtdtrading.rtdserver",, "T&amp;T0", "QUL", 7)</f>
        <v>8</v>
      </c>
      <c r="F11" s="2" t="str">
        <f>RTD("rtdtrading.rtdserver",, "T&amp;T0", "AVD", 7)</f>
        <v>BTG</v>
      </c>
      <c r="G11" s="8" t="str">
        <f>RTD("rtdtrading.rtdserver",, "T&amp;T0", "AGR", 7)</f>
        <v>Vendedor</v>
      </c>
      <c r="M11" s="57"/>
      <c r="N11" s="58"/>
      <c r="O11" s="59"/>
      <c r="P11" s="57"/>
      <c r="Q11" s="63"/>
      <c r="R11" s="59"/>
      <c r="T11" s="76"/>
      <c r="U11" s="77"/>
      <c r="V11" s="78"/>
      <c r="W11" s="84"/>
      <c r="X11" s="85"/>
    </row>
    <row r="12" spans="1:40" ht="15">
      <c r="A12" s="7">
        <f t="shared" si="18"/>
        <v>0.44065972222222222</v>
      </c>
      <c r="B12" s="2" t="str">
        <f>RTD("rtdtrading.rtdserver",, "T&amp;T0", "DAT", 8)</f>
        <v>09:00:59.793</v>
      </c>
      <c r="C12" s="2" t="str">
        <f>RTD("rtdtrading.rtdserver",, "T&amp;T0", "ACP", 8)</f>
        <v>-</v>
      </c>
      <c r="D12" s="2">
        <f>RTD("rtdtrading.rtdserver",, "T&amp;T0", "PRE", 8)</f>
        <v>4957</v>
      </c>
      <c r="E12" s="2">
        <f>RTD("rtdtrading.rtdserver",, "T&amp;T0", "QUL", 8)</f>
        <v>5</v>
      </c>
      <c r="F12" s="2" t="str">
        <f>RTD("rtdtrading.rtdserver",, "T&amp;T0", "AVD", 8)</f>
        <v>XP</v>
      </c>
      <c r="G12" s="8" t="str">
        <f>RTD("rtdtrading.rtdserver",, "T&amp;T0", "AGR", 8)</f>
        <v>Vendedor</v>
      </c>
      <c r="M12" s="57"/>
      <c r="N12" s="58"/>
      <c r="O12" s="59"/>
      <c r="P12" s="57"/>
      <c r="Q12" s="63"/>
      <c r="R12" s="59"/>
      <c r="T12" s="76"/>
      <c r="U12" s="77"/>
      <c r="V12" s="78"/>
      <c r="W12" s="84"/>
      <c r="X12" s="85"/>
    </row>
    <row r="13" spans="1:40" ht="15">
      <c r="A13" s="7">
        <f t="shared" si="18"/>
        <v>0.44065972222222222</v>
      </c>
      <c r="B13" s="2" t="str">
        <f>RTD("rtdtrading.rtdserver",, "T&amp;T0", "DAT", 9)</f>
        <v>09:00:59.793</v>
      </c>
      <c r="C13" s="2" t="str">
        <f>RTD("rtdtrading.rtdserver",, "T&amp;T0", "ACP", 9)</f>
        <v>-</v>
      </c>
      <c r="D13" s="2">
        <f>RTD("rtdtrading.rtdserver",, "T&amp;T0", "PRE", 9)</f>
        <v>4957</v>
      </c>
      <c r="E13" s="2">
        <f>RTD("rtdtrading.rtdserver",, "T&amp;T0", "QUL", 9)</f>
        <v>20</v>
      </c>
      <c r="F13" s="2" t="str">
        <f>RTD("rtdtrading.rtdserver",, "T&amp;T0", "AVD", 9)</f>
        <v>BTG</v>
      </c>
      <c r="G13" s="8" t="str">
        <f>RTD("rtdtrading.rtdserver",, "T&amp;T0", "AGR", 9)</f>
        <v>Vendedor</v>
      </c>
      <c r="M13" s="57"/>
      <c r="N13" s="58"/>
      <c r="O13" s="59"/>
      <c r="P13" s="57"/>
      <c r="Q13" s="63"/>
      <c r="R13" s="59"/>
      <c r="T13" s="76"/>
      <c r="U13" s="77"/>
      <c r="V13" s="78"/>
      <c r="W13" s="84"/>
      <c r="X13" s="85"/>
    </row>
    <row r="14" spans="1:40" ht="15.75" thickBot="1">
      <c r="A14" s="7">
        <f t="shared" si="18"/>
        <v>0.44065972222222222</v>
      </c>
      <c r="B14" s="2" t="str">
        <f>RTD("rtdtrading.rtdserver",, "T&amp;T0", "DAT", 10)</f>
        <v>09:00:59.793</v>
      </c>
      <c r="C14" s="2" t="str">
        <f>RTD("rtdtrading.rtdserver",, "T&amp;T0", "ACP", 10)</f>
        <v>-</v>
      </c>
      <c r="D14" s="2">
        <f>RTD("rtdtrading.rtdserver",, "T&amp;T0", "PRE", 10)</f>
        <v>4957</v>
      </c>
      <c r="E14" s="2">
        <f>RTD("rtdtrading.rtdserver",, "T&amp;T0", "QUL", 10)</f>
        <v>100</v>
      </c>
      <c r="F14" s="2" t="str">
        <f>RTD("rtdtrading.rtdserver",, "T&amp;T0", "AVD", 10)</f>
        <v>Clear</v>
      </c>
      <c r="G14" s="8" t="str">
        <f>RTD("rtdtrading.rtdserver",, "T&amp;T0", "AGR", 10)</f>
        <v>Vendedor</v>
      </c>
      <c r="M14" s="60"/>
      <c r="N14" s="61"/>
      <c r="O14" s="62"/>
      <c r="P14" s="60"/>
      <c r="Q14" s="61"/>
      <c r="R14" s="62"/>
      <c r="T14" s="79"/>
      <c r="U14" s="80"/>
      <c r="V14" s="81"/>
      <c r="W14" s="86"/>
      <c r="X14" s="87"/>
    </row>
    <row r="15" spans="1:40" ht="15">
      <c r="A15" s="7">
        <f t="shared" si="18"/>
        <v>0.42512731481481486</v>
      </c>
      <c r="B15" s="2" t="str">
        <f>RTD("rtdtrading.rtdserver",, "T&amp;T0", "DAT", 11)</f>
        <v>09:00:59.671</v>
      </c>
      <c r="C15" s="2" t="str">
        <f>RTD("rtdtrading.rtdserver",, "T&amp;T0", "ACP", 11)</f>
        <v>-</v>
      </c>
      <c r="D15" s="2">
        <f>RTD("rtdtrading.rtdserver",, "T&amp;T0", "PRE", 11)</f>
        <v>4958</v>
      </c>
      <c r="E15" s="2">
        <f>RTD("rtdtrading.rtdserver",, "T&amp;T0", "QUL", 11)</f>
        <v>5</v>
      </c>
      <c r="F15" s="2" t="str">
        <f>RTD("rtdtrading.rtdserver",, "T&amp;T0", "AVD", 11)</f>
        <v>Nova Futura</v>
      </c>
      <c r="G15" s="8" t="str">
        <f>RTD("rtdtrading.rtdserver",, "T&amp;T0", "AGR", 11)</f>
        <v>Vendedor</v>
      </c>
    </row>
    <row r="16" spans="1:40" ht="15">
      <c r="A16" s="7">
        <f t="shared" si="18"/>
        <v>0.43148148148148152</v>
      </c>
      <c r="B16" s="2" t="str">
        <f>RTD("rtdtrading.rtdserver",, "T&amp;T0", "DAT", 12)</f>
        <v>09:00:59.580</v>
      </c>
      <c r="C16" s="2" t="str">
        <f>RTD("rtdtrading.rtdserver",, "T&amp;T0", "ACP", 12)</f>
        <v>-</v>
      </c>
      <c r="D16" s="2">
        <f>RTD("rtdtrading.rtdserver",, "T&amp;T0", "PRE", 12)</f>
        <v>4958</v>
      </c>
      <c r="E16" s="2">
        <f>RTD("rtdtrading.rtdserver",, "T&amp;T0", "QUL", 12)</f>
        <v>15</v>
      </c>
      <c r="F16" s="2" t="str">
        <f>RTD("rtdtrading.rtdserver",, "T&amp;T0", "AVD", 12)</f>
        <v>BGC Liquidez</v>
      </c>
      <c r="G16" s="8" t="str">
        <f>RTD("rtdtrading.rtdserver",, "T&amp;T0", "AGR", 12)</f>
        <v>Vendedor</v>
      </c>
    </row>
    <row r="17" spans="1:18" ht="15">
      <c r="A17" s="7">
        <f t="shared" si="18"/>
        <v>0.42230324074074072</v>
      </c>
      <c r="B17" s="2" t="str">
        <f>RTD("rtdtrading.rtdserver",, "T&amp;T0", "DAT", 13)</f>
        <v>09:00:59.567</v>
      </c>
      <c r="C17" s="2" t="str">
        <f>RTD("rtdtrading.rtdserver",, "T&amp;T0", "ACP", 13)</f>
        <v>-</v>
      </c>
      <c r="D17" s="2">
        <f>RTD("rtdtrading.rtdserver",, "T&amp;T0", "PRE", 13)</f>
        <v>4958</v>
      </c>
      <c r="E17" s="2">
        <f>RTD("rtdtrading.rtdserver",, "T&amp;T0", "QUL", 13)</f>
        <v>5</v>
      </c>
      <c r="F17" s="2" t="str">
        <f>RTD("rtdtrading.rtdserver",, "T&amp;T0", "AVD", 13)</f>
        <v>Genial</v>
      </c>
      <c r="G17" s="8" t="str">
        <f>RTD("rtdtrading.rtdserver",, "T&amp;T0", "AGR", 13)</f>
        <v>Vendedor</v>
      </c>
    </row>
    <row r="18" spans="1:18" ht="15">
      <c r="A18" s="7">
        <f t="shared" si="18"/>
        <v>0.39265046296296297</v>
      </c>
      <c r="B18" s="2" t="str">
        <f>RTD("rtdtrading.rtdserver",, "T&amp;T0", "DAT", 14)</f>
        <v>09:00:59.425</v>
      </c>
      <c r="C18" s="2" t="str">
        <f>RTD("rtdtrading.rtdserver",, "T&amp;T0", "ACP", 14)</f>
        <v>XP</v>
      </c>
      <c r="D18" s="2">
        <f>RTD("rtdtrading.rtdserver",, "T&amp;T0", "PRE", 14)</f>
        <v>4958.5</v>
      </c>
      <c r="E18" s="2">
        <f>RTD("rtdtrading.rtdserver",, "T&amp;T0", "QUL", 14)</f>
        <v>10</v>
      </c>
      <c r="F18" s="2" t="str">
        <f>RTD("rtdtrading.rtdserver",, "T&amp;T0", "AVD", 14)</f>
        <v>-</v>
      </c>
      <c r="G18" s="8" t="str">
        <f>RTD("rtdtrading.rtdserver",, "T&amp;T0", "AGR", 14)</f>
        <v>Comprador</v>
      </c>
    </row>
    <row r="19" spans="1:18" ht="15">
      <c r="A19" s="7">
        <f t="shared" si="18"/>
        <v>0.39265046296296297</v>
      </c>
      <c r="B19" s="2" t="str">
        <f>RTD("rtdtrading.rtdserver",, "T&amp;T0", "DAT", 15)</f>
        <v>09:00:59.425</v>
      </c>
      <c r="C19" s="2" t="str">
        <f>RTD("rtdtrading.rtdserver",, "T&amp;T0", "ACP", 15)</f>
        <v>-</v>
      </c>
      <c r="D19" s="2">
        <f>RTD("rtdtrading.rtdserver",, "T&amp;T0", "PRE", 15)</f>
        <v>4958</v>
      </c>
      <c r="E19" s="2">
        <f>RTD("rtdtrading.rtdserver",, "T&amp;T0", "QUL", 15)</f>
        <v>5</v>
      </c>
      <c r="F19" s="2" t="str">
        <f>RTD("rtdtrading.rtdserver",, "T&amp;T0", "AVD", 15)</f>
        <v>XP</v>
      </c>
      <c r="G19" s="8" t="str">
        <f>RTD("rtdtrading.rtdserver",, "T&amp;T0", "AGR", 15)</f>
        <v>Vendedor</v>
      </c>
    </row>
    <row r="20" spans="1:18" ht="15" customHeight="1">
      <c r="A20" s="7">
        <f t="shared" si="18"/>
        <v>0.39759259259259255</v>
      </c>
      <c r="B20" s="2" t="str">
        <f>RTD("rtdtrading.rtdserver",, "T&amp;T0", "DAT", 16)</f>
        <v>09:00:59.332</v>
      </c>
      <c r="C20" s="2" t="str">
        <f>RTD("rtdtrading.rtdserver",, "T&amp;T0", "ACP", 16)</f>
        <v>-</v>
      </c>
      <c r="D20" s="2">
        <f>RTD("rtdtrading.rtdserver",, "T&amp;T0", "PRE", 16)</f>
        <v>4957.5</v>
      </c>
      <c r="E20" s="2">
        <f>RTD("rtdtrading.rtdserver",, "T&amp;T0", "QUL", 16)</f>
        <v>82</v>
      </c>
      <c r="F20" s="2" t="str">
        <f>RTD("rtdtrading.rtdserver",, "T&amp;T0", "AVD", 16)</f>
        <v>Goldman</v>
      </c>
      <c r="G20" s="8" t="str">
        <f>RTD("rtdtrading.rtdserver",, "T&amp;T0", "AGR", 16)</f>
        <v>Vendedor</v>
      </c>
      <c r="K20" s="47"/>
      <c r="L20" s="47"/>
    </row>
    <row r="21" spans="1:18" ht="15" customHeight="1">
      <c r="A21" s="7">
        <f t="shared" si="18"/>
        <v>0.37994212962962964</v>
      </c>
      <c r="B21" s="2" t="str">
        <f>RTD("rtdtrading.rtdserver",, "T&amp;T0", "DAT", 17)</f>
        <v>09:00:59.307</v>
      </c>
      <c r="C21" s="2" t="str">
        <f>RTD("rtdtrading.rtdserver",, "T&amp;T0", "ACP", 17)</f>
        <v>Ideal</v>
      </c>
      <c r="D21" s="2">
        <f>RTD("rtdtrading.rtdserver",, "T&amp;T0", "PRE", 17)</f>
        <v>4958.5</v>
      </c>
      <c r="E21" s="2">
        <f>RTD("rtdtrading.rtdserver",, "T&amp;T0", "QUL", 17)</f>
        <v>19</v>
      </c>
      <c r="F21" s="2" t="str">
        <f>RTD("rtdtrading.rtdserver",, "T&amp;T0", "AVD", 17)</f>
        <v>-</v>
      </c>
      <c r="G21" s="8" t="str">
        <f>RTD("rtdtrading.rtdserver",, "T&amp;T0", "AGR", 17)</f>
        <v>Comprador</v>
      </c>
      <c r="K21" s="47"/>
      <c r="L21" s="47"/>
    </row>
    <row r="22" spans="1:18" ht="15" customHeight="1">
      <c r="A22" s="7">
        <f t="shared" si="18"/>
        <v>0.37782407407407409</v>
      </c>
      <c r="B22" s="2" t="str">
        <f>RTD("rtdtrading.rtdserver",, "T&amp;T0", "DAT", 18)</f>
        <v>09:00:59.304</v>
      </c>
      <c r="C22" s="2" t="str">
        <f>RTD("rtdtrading.rtdserver",, "T&amp;T0", "ACP", 18)</f>
        <v>-</v>
      </c>
      <c r="D22" s="2">
        <f>RTD("rtdtrading.rtdserver",, "T&amp;T0", "PRE", 18)</f>
        <v>4957.5</v>
      </c>
      <c r="E22" s="2">
        <f>RTD("rtdtrading.rtdserver",, "T&amp;T0", "QUL", 18)</f>
        <v>100</v>
      </c>
      <c r="F22" s="2" t="str">
        <f>RTD("rtdtrading.rtdserver",, "T&amp;T0", "AVD", 18)</f>
        <v>BTG</v>
      </c>
      <c r="G22" s="8" t="str">
        <f>RTD("rtdtrading.rtdserver",, "T&amp;T0", "AGR", 18)</f>
        <v>Vendedor</v>
      </c>
      <c r="K22" s="47"/>
      <c r="L22" s="47"/>
    </row>
    <row r="23" spans="1:18" ht="15" customHeight="1">
      <c r="A23" s="7">
        <f t="shared" si="18"/>
        <v>0.43642361111111111</v>
      </c>
      <c r="B23" s="2" t="str">
        <f>RTD("rtdtrading.rtdserver",, "T&amp;T0", "DAT", 19)</f>
        <v>09:00:59.287</v>
      </c>
      <c r="C23" s="2" t="str">
        <f>RTD("rtdtrading.rtdserver",, "T&amp;T0", "ACP", 19)</f>
        <v>UBS</v>
      </c>
      <c r="D23" s="2">
        <f>RTD("rtdtrading.rtdserver",, "T&amp;T0", "PRE", 19)</f>
        <v>4958.5</v>
      </c>
      <c r="E23" s="2">
        <f>RTD("rtdtrading.rtdserver",, "T&amp;T0", "QUL", 19)</f>
        <v>5</v>
      </c>
      <c r="F23" s="2" t="str">
        <f>RTD("rtdtrading.rtdserver",, "T&amp;T0", "AVD", 19)</f>
        <v>-</v>
      </c>
      <c r="G23" s="8" t="str">
        <f>RTD("rtdtrading.rtdserver",, "T&amp;T0", "AGR", 19)</f>
        <v>Comprador</v>
      </c>
      <c r="K23" s="47"/>
      <c r="L23" s="47"/>
      <c r="M23" s="47"/>
      <c r="N23" s="47"/>
      <c r="O23" s="46"/>
      <c r="P23" s="46"/>
      <c r="Q23" s="46"/>
      <c r="R23" s="46"/>
    </row>
    <row r="24" spans="1:18" ht="15" customHeight="1">
      <c r="A24" s="7">
        <f t="shared" si="18"/>
        <v>0.43571759259259263</v>
      </c>
      <c r="B24" s="2" t="str">
        <f>RTD("rtdtrading.rtdserver",, "T&amp;T0", "DAT", 20)</f>
        <v>09:00:59.286</v>
      </c>
      <c r="C24" s="2" t="str">
        <f>RTD("rtdtrading.rtdserver",, "T&amp;T0", "ACP", 20)</f>
        <v>Ideal</v>
      </c>
      <c r="D24" s="2">
        <f>RTD("rtdtrading.rtdserver",, "T&amp;T0", "PRE", 20)</f>
        <v>4958.5</v>
      </c>
      <c r="E24" s="2">
        <f>RTD("rtdtrading.rtdserver",, "T&amp;T0", "QUL", 20)</f>
        <v>12</v>
      </c>
      <c r="F24" s="2" t="str">
        <f>RTD("rtdtrading.rtdserver",, "T&amp;T0", "AVD", 20)</f>
        <v>-</v>
      </c>
      <c r="G24" s="8" t="str">
        <f>RTD("rtdtrading.rtdserver",, "T&amp;T0", "AGR", 20)</f>
        <v>Comprador</v>
      </c>
      <c r="K24" s="47"/>
      <c r="L24" s="47"/>
      <c r="M24" s="47"/>
      <c r="N24" s="47"/>
      <c r="O24" s="46"/>
      <c r="P24" s="46"/>
      <c r="Q24" s="46"/>
      <c r="R24" s="46"/>
    </row>
    <row r="25" spans="1:18" ht="15" customHeight="1">
      <c r="A25" s="7">
        <f t="shared" si="18"/>
        <v>0.43430555555555556</v>
      </c>
      <c r="B25" s="2" t="str">
        <f>RTD("rtdtrading.rtdserver",, "T&amp;T0", "DAT", 21)</f>
        <v>09:00:59.284</v>
      </c>
      <c r="C25" s="2" t="str">
        <f>RTD("rtdtrading.rtdserver",, "T&amp;T0", "ACP", 21)</f>
        <v>-</v>
      </c>
      <c r="D25" s="2">
        <f>RTD("rtdtrading.rtdserver",, "T&amp;T0", "PRE", 21)</f>
        <v>4957.5</v>
      </c>
      <c r="E25" s="2">
        <f>RTD("rtdtrading.rtdserver",, "T&amp;T0", "QUL", 21)</f>
        <v>81</v>
      </c>
      <c r="F25" s="2" t="str">
        <f>RTD("rtdtrading.rtdserver",, "T&amp;T0", "AVD", 21)</f>
        <v>Goldman</v>
      </c>
      <c r="G25" s="8" t="str">
        <f>RTD("rtdtrading.rtdserver",, "T&amp;T0", "AGR", 21)</f>
        <v>Vendedor</v>
      </c>
      <c r="K25" s="47"/>
      <c r="L25" s="47"/>
      <c r="M25" s="47"/>
      <c r="N25" s="47"/>
      <c r="O25" s="46"/>
      <c r="P25" s="46"/>
      <c r="Q25" s="46"/>
      <c r="R25" s="46"/>
    </row>
    <row r="26" spans="1:18" ht="15" customHeight="1">
      <c r="A26" s="7">
        <f t="shared" si="18"/>
        <v>0.43642361111111111</v>
      </c>
      <c r="B26" s="2" t="str">
        <f>RTD("rtdtrading.rtdserver",, "T&amp;T0", "DAT", 22)</f>
        <v>09:00:59.187</v>
      </c>
      <c r="C26" s="2" t="str">
        <f>RTD("rtdtrading.rtdserver",, "T&amp;T0", "ACP", 22)</f>
        <v>-</v>
      </c>
      <c r="D26" s="2">
        <f>RTD("rtdtrading.rtdserver",, "T&amp;T0", "PRE", 22)</f>
        <v>4958.5</v>
      </c>
      <c r="E26" s="2">
        <f>RTD("rtdtrading.rtdserver",, "T&amp;T0", "QUL", 22)</f>
        <v>5</v>
      </c>
      <c r="F26" s="2" t="str">
        <f>RTD("rtdtrading.rtdserver",, "T&amp;T0", "AVD", 22)</f>
        <v>XP</v>
      </c>
      <c r="G26" s="8" t="str">
        <f>RTD("rtdtrading.rtdserver",, "T&amp;T0", "AGR", 22)</f>
        <v>Vendedor</v>
      </c>
      <c r="K26" s="47"/>
      <c r="L26" s="47"/>
      <c r="M26" s="47"/>
      <c r="N26" s="47"/>
      <c r="O26" s="46"/>
      <c r="P26" s="46"/>
      <c r="Q26" s="46"/>
      <c r="R26" s="46"/>
    </row>
    <row r="27" spans="1:18" ht="15">
      <c r="A27" s="7">
        <f t="shared" si="18"/>
        <v>0.38417824074074075</v>
      </c>
      <c r="B27" s="2" t="str">
        <f>RTD("rtdtrading.rtdserver",, "T&amp;T0", "DAT", 23)</f>
        <v>09:00:59.013</v>
      </c>
      <c r="C27" s="2" t="str">
        <f>RTD("rtdtrading.rtdserver",, "T&amp;T0", "ACP", 23)</f>
        <v>BTG</v>
      </c>
      <c r="D27" s="2">
        <f>RTD("rtdtrading.rtdserver",, "T&amp;T0", "PRE", 23)</f>
        <v>4959</v>
      </c>
      <c r="E27" s="2">
        <f>RTD("rtdtrading.rtdserver",, "T&amp;T0", "QUL", 23)</f>
        <v>15</v>
      </c>
      <c r="F27" s="2" t="str">
        <f>RTD("rtdtrading.rtdserver",, "T&amp;T0", "AVD", 23)</f>
        <v>-</v>
      </c>
      <c r="G27" s="8" t="str">
        <f>RTD("rtdtrading.rtdserver",, "T&amp;T0", "AGR", 23)</f>
        <v>Comprador</v>
      </c>
    </row>
    <row r="28" spans="1:18" ht="15">
      <c r="A28" s="7">
        <f t="shared" si="18"/>
        <v>0.44418981481481484</v>
      </c>
      <c r="B28" s="2" t="str">
        <f>RTD("rtdtrading.rtdserver",, "T&amp;T0", "DAT", 24)</f>
        <v>09:00:58.998</v>
      </c>
      <c r="C28" s="2" t="str">
        <f>RTD("rtdtrading.rtdserver",, "T&amp;T0", "ACP", 24)</f>
        <v>XP</v>
      </c>
      <c r="D28" s="2">
        <f>RTD("rtdtrading.rtdserver",, "T&amp;T0", "PRE", 24)</f>
        <v>4959</v>
      </c>
      <c r="E28" s="2">
        <f>RTD("rtdtrading.rtdserver",, "T&amp;T0", "QUL", 24)</f>
        <v>6</v>
      </c>
      <c r="F28" s="2" t="str">
        <f>RTD("rtdtrading.rtdserver",, "T&amp;T0", "AVD", 24)</f>
        <v>-</v>
      </c>
      <c r="G28" s="8" t="str">
        <f>RTD("rtdtrading.rtdserver",, "T&amp;T0", "AGR", 24)</f>
        <v>Comprador</v>
      </c>
    </row>
    <row r="29" spans="1:18" ht="15">
      <c r="A29" s="7">
        <f t="shared" si="18"/>
        <v>0.41947916666666663</v>
      </c>
      <c r="B29" s="2" t="str">
        <f>RTD("rtdtrading.rtdserver",, "T&amp;T0", "DAT", 25)</f>
        <v>09:00:58.863</v>
      </c>
      <c r="C29" s="2" t="str">
        <f>RTD("rtdtrading.rtdserver",, "T&amp;T0", "ACP", 25)</f>
        <v>Ideal</v>
      </c>
      <c r="D29" s="2">
        <f>RTD("rtdtrading.rtdserver",, "T&amp;T0", "PRE", 25)</f>
        <v>4958.5</v>
      </c>
      <c r="E29" s="2">
        <f>RTD("rtdtrading.rtdserver",, "T&amp;T0", "QUL", 25)</f>
        <v>9</v>
      </c>
      <c r="F29" s="2" t="str">
        <f>RTD("rtdtrading.rtdserver",, "T&amp;T0", "AVD", 25)</f>
        <v>-</v>
      </c>
      <c r="G29" s="8" t="str">
        <f>RTD("rtdtrading.rtdserver",, "T&amp;T0", "AGR", 25)</f>
        <v>Comprador</v>
      </c>
    </row>
    <row r="30" spans="1:18" ht="15">
      <c r="A30" s="7">
        <f t="shared" si="18"/>
        <v>0.4138310185185185</v>
      </c>
      <c r="B30" s="2" t="str">
        <f>RTD("rtdtrading.rtdserver",, "T&amp;T0", "DAT", 26)</f>
        <v>09:00:58.855</v>
      </c>
      <c r="C30" s="2" t="str">
        <f>RTD("rtdtrading.rtdserver",, "T&amp;T0", "ACP", 26)</f>
        <v>-</v>
      </c>
      <c r="D30" s="2">
        <f>RTD("rtdtrading.rtdserver",, "T&amp;T0", "PRE", 26)</f>
        <v>4957.5</v>
      </c>
      <c r="E30" s="2">
        <f>RTD("rtdtrading.rtdserver",, "T&amp;T0", "QUL", 26)</f>
        <v>11</v>
      </c>
      <c r="F30" s="2" t="str">
        <f>RTD("rtdtrading.rtdserver",, "T&amp;T0", "AVD", 26)</f>
        <v>Nova Futura</v>
      </c>
      <c r="G30" s="8" t="str">
        <f>RTD("rtdtrading.rtdserver",, "T&amp;T0", "AGR", 26)</f>
        <v>Vendedor</v>
      </c>
    </row>
    <row r="31" spans="1:18" ht="15">
      <c r="A31" s="7">
        <f t="shared" si="18"/>
        <v>0.4138310185185185</v>
      </c>
      <c r="B31" s="2" t="str">
        <f>RTD("rtdtrading.rtdserver",, "T&amp;T0", "DAT", 27)</f>
        <v>09:00:58.855</v>
      </c>
      <c r="C31" s="2" t="str">
        <f>RTD("rtdtrading.rtdserver",, "T&amp;T0", "ACP", 27)</f>
        <v>-</v>
      </c>
      <c r="D31" s="2">
        <f>RTD("rtdtrading.rtdserver",, "T&amp;T0", "PRE", 27)</f>
        <v>4957.5</v>
      </c>
      <c r="E31" s="2">
        <f>RTD("rtdtrading.rtdserver",, "T&amp;T0", "QUL", 27)</f>
        <v>500</v>
      </c>
      <c r="F31" s="2" t="str">
        <f>RTD("rtdtrading.rtdserver",, "T&amp;T0", "AVD", 27)</f>
        <v>BTG</v>
      </c>
      <c r="G31" s="8" t="str">
        <f>RTD("rtdtrading.rtdserver",, "T&amp;T0", "AGR", 27)</f>
        <v>Vendedor</v>
      </c>
    </row>
    <row r="32" spans="1:18" ht="15">
      <c r="A32" s="7">
        <f t="shared" si="18"/>
        <v>0.41947916666666663</v>
      </c>
      <c r="B32" s="2" t="str">
        <f>RTD("rtdtrading.rtdserver",, "T&amp;T0", "DAT", 28)</f>
        <v>09:00:58.763</v>
      </c>
      <c r="C32" s="2" t="str">
        <f>RTD("rtdtrading.rtdserver",, "T&amp;T0", "ACP", 28)</f>
        <v>-</v>
      </c>
      <c r="D32" s="2">
        <f>RTD("rtdtrading.rtdserver",, "T&amp;T0", "PRE", 28)</f>
        <v>4959</v>
      </c>
      <c r="E32" s="2">
        <f>RTD("rtdtrading.rtdserver",, "T&amp;T0", "QUL", 28)</f>
        <v>10</v>
      </c>
      <c r="F32" s="2" t="str">
        <f>RTD("rtdtrading.rtdserver",, "T&amp;T0", "AVD", 28)</f>
        <v>XP</v>
      </c>
      <c r="G32" s="8" t="str">
        <f>RTD("rtdtrading.rtdserver",, "T&amp;T0", "AGR", 28)</f>
        <v>Vendedor</v>
      </c>
    </row>
    <row r="33" spans="1:7" ht="15">
      <c r="A33" s="7">
        <f t="shared" si="18"/>
        <v>0.38770833333333332</v>
      </c>
      <c r="B33" s="2" t="str">
        <f>RTD("rtdtrading.rtdserver",, "T&amp;T0", "DAT", 29)</f>
        <v>09:00:58.718</v>
      </c>
      <c r="C33" s="2" t="str">
        <f>RTD("rtdtrading.rtdserver",, "T&amp;T0", "ACP", 29)</f>
        <v>-</v>
      </c>
      <c r="D33" s="2">
        <f>RTD("rtdtrading.rtdserver",, "T&amp;T0", "PRE", 29)</f>
        <v>4958.5</v>
      </c>
      <c r="E33" s="2">
        <f>RTD("rtdtrading.rtdserver",, "T&amp;T0", "QUL", 29)</f>
        <v>70</v>
      </c>
      <c r="F33" s="2" t="str">
        <f>RTD("rtdtrading.rtdserver",, "T&amp;T0", "AVD", 29)</f>
        <v>Terra</v>
      </c>
      <c r="G33" s="8" t="str">
        <f>RTD("rtdtrading.rtdserver",, "T&amp;T0", "AGR", 29)</f>
        <v>Vendedor</v>
      </c>
    </row>
    <row r="34" spans="1:7" ht="15">
      <c r="A34" s="7">
        <f t="shared" si="18"/>
        <v>0.41524305555555557</v>
      </c>
      <c r="B34" s="2" t="str">
        <f>RTD("rtdtrading.rtdserver",, "T&amp;T0", "DAT", 30)</f>
        <v>09:00:58.657</v>
      </c>
      <c r="C34" s="2" t="str">
        <f>RTD("rtdtrading.rtdserver",, "T&amp;T0", "ACP", 30)</f>
        <v>-</v>
      </c>
      <c r="D34" s="2">
        <f>RTD("rtdtrading.rtdserver",, "T&amp;T0", "PRE", 30)</f>
        <v>4959</v>
      </c>
      <c r="E34" s="2">
        <f>RTD("rtdtrading.rtdserver",, "T&amp;T0", "QUL", 30)</f>
        <v>5</v>
      </c>
      <c r="F34" s="2" t="str">
        <f>RTD("rtdtrading.rtdserver",, "T&amp;T0", "AVD", 30)</f>
        <v>Inter</v>
      </c>
      <c r="G34" s="8" t="str">
        <f>RTD("rtdtrading.rtdserver",, "T&amp;T0", "AGR", 30)</f>
        <v>Vendedor</v>
      </c>
    </row>
    <row r="35" spans="1:7" ht="15">
      <c r="A35" s="7">
        <f t="shared" si="18"/>
        <v>0.40394675925925921</v>
      </c>
      <c r="B35" s="2" t="str">
        <f>RTD("rtdtrading.rtdserver",, "T&amp;T0", "DAT", 31)</f>
        <v>09:00:58.641</v>
      </c>
      <c r="C35" s="2" t="str">
        <f>RTD("rtdtrading.rtdserver",, "T&amp;T0", "ACP", 31)</f>
        <v>UBS</v>
      </c>
      <c r="D35" s="2">
        <f>RTD("rtdtrading.rtdserver",, "T&amp;T0", "PRE", 31)</f>
        <v>4959.5</v>
      </c>
      <c r="E35" s="2">
        <f>RTD("rtdtrading.rtdserver",, "T&amp;T0", "QUL", 31)</f>
        <v>5</v>
      </c>
      <c r="F35" s="2" t="str">
        <f>RTD("rtdtrading.rtdserver",, "T&amp;T0", "AVD", 31)</f>
        <v>-</v>
      </c>
      <c r="G35" s="8" t="str">
        <f>RTD("rtdtrading.rtdserver",, "T&amp;T0", "AGR", 31)</f>
        <v>Comprador</v>
      </c>
    </row>
    <row r="36" spans="1:7" ht="15">
      <c r="A36" s="7">
        <f t="shared" si="18"/>
        <v>0.4025347222222222</v>
      </c>
      <c r="B36" s="2" t="str">
        <f>RTD("rtdtrading.rtdserver",, "T&amp;T0", "DAT", 32)</f>
        <v>09:00:58.539</v>
      </c>
      <c r="C36" s="2" t="str">
        <f>RTD("rtdtrading.rtdserver",, "T&amp;T0", "ACP", 32)</f>
        <v>-</v>
      </c>
      <c r="D36" s="2">
        <f>RTD("rtdtrading.rtdserver",, "T&amp;T0", "PRE", 32)</f>
        <v>4959</v>
      </c>
      <c r="E36" s="2">
        <f>RTD("rtdtrading.rtdserver",, "T&amp;T0", "QUL", 32)</f>
        <v>6</v>
      </c>
      <c r="F36" s="2" t="str">
        <f>RTD("rtdtrading.rtdserver",, "T&amp;T0", "AVD", 32)</f>
        <v>Modal</v>
      </c>
      <c r="G36" s="8" t="str">
        <f>RTD("rtdtrading.rtdserver",, "T&amp;T0", "AGR", 32)</f>
        <v>Vendedor</v>
      </c>
    </row>
    <row r="37" spans="1:7" ht="15">
      <c r="A37" s="7">
        <f t="shared" si="18"/>
        <v>0.375</v>
      </c>
      <c r="B37" s="2" t="str">
        <f>RTD("rtdtrading.rtdserver",, "T&amp;T0", "DAT", 33)</f>
        <v>09:00:58.500</v>
      </c>
      <c r="C37" s="2" t="str">
        <f>RTD("rtdtrading.rtdserver",, "T&amp;T0", "ACP", 33)</f>
        <v>-</v>
      </c>
      <c r="D37" s="2">
        <f>RTD("rtdtrading.rtdserver",, "T&amp;T0", "PRE", 33)</f>
        <v>4959</v>
      </c>
      <c r="E37" s="2">
        <f>RTD("rtdtrading.rtdserver",, "T&amp;T0", "QUL", 33)</f>
        <v>27</v>
      </c>
      <c r="F37" s="2" t="str">
        <f>RTD("rtdtrading.rtdserver",, "T&amp;T0", "AVD", 33)</f>
        <v>Clear</v>
      </c>
      <c r="G37" s="8" t="str">
        <f>RTD("rtdtrading.rtdserver",, "T&amp;T0", "AGR", 33)</f>
        <v>Vendedor</v>
      </c>
    </row>
    <row r="38" spans="1:7" ht="15">
      <c r="A38" s="7">
        <f t="shared" si="18"/>
        <v>0.43571759259259263</v>
      </c>
      <c r="B38" s="2" t="str">
        <f>RTD("rtdtrading.rtdserver",, "T&amp;T0", "DAT", 34)</f>
        <v>09:00:58.486</v>
      </c>
      <c r="C38" s="2" t="str">
        <f>RTD("rtdtrading.rtdserver",, "T&amp;T0", "ACP", 34)</f>
        <v>BTG</v>
      </c>
      <c r="D38" s="2">
        <f>RTD("rtdtrading.rtdserver",, "T&amp;T0", "PRE", 34)</f>
        <v>4960</v>
      </c>
      <c r="E38" s="2">
        <f>RTD("rtdtrading.rtdserver",, "T&amp;T0", "QUL", 34)</f>
        <v>5</v>
      </c>
      <c r="F38" s="2" t="str">
        <f>RTD("rtdtrading.rtdserver",, "T&amp;T0", "AVD", 34)</f>
        <v>-</v>
      </c>
      <c r="G38" s="8" t="str">
        <f>RTD("rtdtrading.rtdserver",, "T&amp;T0", "AGR", 34)</f>
        <v>Comprador</v>
      </c>
    </row>
    <row r="39" spans="1:7" ht="15">
      <c r="A39" s="7">
        <f t="shared" si="18"/>
        <v>0.39618055555555554</v>
      </c>
      <c r="B39" s="2" t="str">
        <f>RTD("rtdtrading.rtdserver",, "T&amp;T0", "DAT", 35)</f>
        <v>09:00:58.330</v>
      </c>
      <c r="C39" s="2" t="str">
        <f>RTD("rtdtrading.rtdserver",, "T&amp;T0", "ACP", 35)</f>
        <v>Ideal</v>
      </c>
      <c r="D39" s="2">
        <f>RTD("rtdtrading.rtdserver",, "T&amp;T0", "PRE", 35)</f>
        <v>4959.5</v>
      </c>
      <c r="E39" s="2">
        <f>RTD("rtdtrading.rtdserver",, "T&amp;T0", "QUL", 35)</f>
        <v>10</v>
      </c>
      <c r="F39" s="2" t="str">
        <f>RTD("rtdtrading.rtdserver",, "T&amp;T0", "AVD", 35)</f>
        <v>-</v>
      </c>
      <c r="G39" s="8" t="str">
        <f>RTD("rtdtrading.rtdserver",, "T&amp;T0", "AGR", 35)</f>
        <v>Comprador</v>
      </c>
    </row>
    <row r="40" spans="1:7" ht="15">
      <c r="A40" s="7">
        <f t="shared" si="18"/>
        <v>0.38135416666666666</v>
      </c>
      <c r="B40" s="2" t="str">
        <f>RTD("rtdtrading.rtdserver",, "T&amp;T0", "DAT", 36)</f>
        <v>09:00:58.309</v>
      </c>
      <c r="C40" s="2" t="str">
        <f>RTD("rtdtrading.rtdserver",, "T&amp;T0", "ACP", 36)</f>
        <v>XP</v>
      </c>
      <c r="D40" s="2">
        <f>RTD("rtdtrading.rtdserver",, "T&amp;T0", "PRE", 36)</f>
        <v>4960</v>
      </c>
      <c r="E40" s="2">
        <f>RTD("rtdtrading.rtdserver",, "T&amp;T0", "QUL", 36)</f>
        <v>51</v>
      </c>
      <c r="F40" s="2" t="str">
        <f>RTD("rtdtrading.rtdserver",, "T&amp;T0", "AVD", 36)</f>
        <v>-</v>
      </c>
      <c r="G40" s="8" t="str">
        <f>RTD("rtdtrading.rtdserver",, "T&amp;T0", "AGR", 36)</f>
        <v>Comprador</v>
      </c>
    </row>
    <row r="41" spans="1:7" ht="15">
      <c r="A41" s="7">
        <f t="shared" si="18"/>
        <v>0.43783564814814818</v>
      </c>
      <c r="B41" s="2" t="str">
        <f>RTD("rtdtrading.rtdserver",, "T&amp;T0", "DAT", 37)</f>
        <v>09:00:58.289</v>
      </c>
      <c r="C41" s="2" t="str">
        <f>RTD("rtdtrading.rtdserver",, "T&amp;T0", "ACP", 37)</f>
        <v>-</v>
      </c>
      <c r="D41" s="2">
        <f>RTD("rtdtrading.rtdserver",, "T&amp;T0", "PRE", 37)</f>
        <v>4958.5</v>
      </c>
      <c r="E41" s="2">
        <f>RTD("rtdtrading.rtdserver",, "T&amp;T0", "QUL", 37)</f>
        <v>100</v>
      </c>
      <c r="F41" s="2" t="str">
        <f>RTD("rtdtrading.rtdserver",, "T&amp;T0", "AVD", 37)</f>
        <v>BTG</v>
      </c>
      <c r="G41" s="8" t="str">
        <f>RTD("rtdtrading.rtdserver",, "T&amp;T0", "AGR", 37)</f>
        <v>Vendedor</v>
      </c>
    </row>
    <row r="42" spans="1:7" ht="15">
      <c r="A42" s="7">
        <f t="shared" si="18"/>
        <v>0.41877314814814809</v>
      </c>
      <c r="B42" s="2" t="str">
        <f>RTD("rtdtrading.rtdserver",, "T&amp;T0", "DAT", 38)</f>
        <v>09:00:58.162</v>
      </c>
      <c r="C42" s="2" t="str">
        <f>RTD("rtdtrading.rtdserver",, "T&amp;T0", "ACP", 38)</f>
        <v>-</v>
      </c>
      <c r="D42" s="2">
        <f>RTD("rtdtrading.rtdserver",, "T&amp;T0", "PRE", 38)</f>
        <v>4959</v>
      </c>
      <c r="E42" s="2">
        <f>RTD("rtdtrading.rtdserver",, "T&amp;T0", "QUL", 38)</f>
        <v>10</v>
      </c>
      <c r="F42" s="2" t="str">
        <f>RTD("rtdtrading.rtdserver",, "T&amp;T0", "AVD", 38)</f>
        <v>BTG</v>
      </c>
      <c r="G42" s="8" t="str">
        <f>RTD("rtdtrading.rtdserver",, "T&amp;T0", "AGR", 38)</f>
        <v>Vendedor</v>
      </c>
    </row>
    <row r="43" spans="1:7" ht="15">
      <c r="A43" s="7">
        <f t="shared" si="18"/>
        <v>0.39688657407407407</v>
      </c>
      <c r="B43" s="2" t="str">
        <f>RTD("rtdtrading.rtdserver",, "T&amp;T0", "DAT", 39)</f>
        <v>09:00:58.131</v>
      </c>
      <c r="C43" s="2" t="str">
        <f>RTD("rtdtrading.rtdserver",, "T&amp;T0", "ACP", 39)</f>
        <v>UBS</v>
      </c>
      <c r="D43" s="2">
        <f>RTD("rtdtrading.rtdserver",, "T&amp;T0", "PRE", 39)</f>
        <v>4959.5</v>
      </c>
      <c r="E43" s="2">
        <f>RTD("rtdtrading.rtdserver",, "T&amp;T0", "QUL", 39)</f>
        <v>28</v>
      </c>
      <c r="F43" s="2" t="str">
        <f>RTD("rtdtrading.rtdserver",, "T&amp;T0", "AVD", 39)</f>
        <v>-</v>
      </c>
      <c r="G43" s="8" t="str">
        <f>RTD("rtdtrading.rtdserver",, "T&amp;T0", "AGR", 39)</f>
        <v>Comprador</v>
      </c>
    </row>
    <row r="44" spans="1:7" ht="15">
      <c r="A44" s="7">
        <f t="shared" si="18"/>
        <v>0.39406249999999998</v>
      </c>
      <c r="B44" s="2" t="str">
        <f>RTD("rtdtrading.rtdserver",, "T&amp;T0", "DAT", 40)</f>
        <v>09:00:58.127</v>
      </c>
      <c r="C44" s="2" t="str">
        <f>RTD("rtdtrading.rtdserver",, "T&amp;T0", "ACP", 40)</f>
        <v>Genial</v>
      </c>
      <c r="D44" s="2">
        <f>RTD("rtdtrading.rtdserver",, "T&amp;T0", "PRE", 40)</f>
        <v>4959</v>
      </c>
      <c r="E44" s="2">
        <f>RTD("rtdtrading.rtdserver",, "T&amp;T0", "QUL", 40)</f>
        <v>8</v>
      </c>
      <c r="F44" s="2" t="str">
        <f>RTD("rtdtrading.rtdserver",, "T&amp;T0", "AVD", 40)</f>
        <v>-</v>
      </c>
      <c r="G44" s="8" t="str">
        <f>RTD("rtdtrading.rtdserver",, "T&amp;T0", "AGR", 40)</f>
        <v>Comprador</v>
      </c>
    </row>
    <row r="45" spans="1:7" ht="15">
      <c r="A45" s="7">
        <f t="shared" si="18"/>
        <v>0.39053240740740741</v>
      </c>
      <c r="B45" s="2" t="str">
        <f>RTD("rtdtrading.rtdserver",, "T&amp;T0", "DAT", 41)</f>
        <v>09:00:58.122</v>
      </c>
      <c r="C45" s="2" t="str">
        <f>RTD("rtdtrading.rtdserver",, "T&amp;T0", "ACP", 41)</f>
        <v>-</v>
      </c>
      <c r="D45" s="2">
        <f>RTD("rtdtrading.rtdserver",, "T&amp;T0", "PRE", 41)</f>
        <v>4958.5</v>
      </c>
      <c r="E45" s="2">
        <f>RTD("rtdtrading.rtdserver",, "T&amp;T0", "QUL", 41)</f>
        <v>10</v>
      </c>
      <c r="F45" s="2" t="str">
        <f>RTD("rtdtrading.rtdserver",, "T&amp;T0", "AVD", 41)</f>
        <v>Nova Futura</v>
      </c>
      <c r="G45" s="8" t="str">
        <f>RTD("rtdtrading.rtdserver",, "T&amp;T0", "AGR", 41)</f>
        <v>Vendedor</v>
      </c>
    </row>
    <row r="46" spans="1:7" ht="15">
      <c r="A46" s="7">
        <f t="shared" si="18"/>
        <v>0.39053240740740741</v>
      </c>
      <c r="B46" s="2" t="str">
        <f>RTD("rtdtrading.rtdserver",, "T&amp;T0", "DAT", 42)</f>
        <v>09:00:58.122</v>
      </c>
      <c r="C46" s="2" t="str">
        <f>RTD("rtdtrading.rtdserver",, "T&amp;T0", "ACP", 42)</f>
        <v>-</v>
      </c>
      <c r="D46" s="2">
        <f>RTD("rtdtrading.rtdserver",, "T&amp;T0", "PRE", 42)</f>
        <v>4958.5</v>
      </c>
      <c r="E46" s="2">
        <f>RTD("rtdtrading.rtdserver",, "T&amp;T0", "QUL", 42)</f>
        <v>100</v>
      </c>
      <c r="F46" s="2" t="str">
        <f>RTD("rtdtrading.rtdserver",, "T&amp;T0", "AVD", 42)</f>
        <v>XP</v>
      </c>
      <c r="G46" s="8" t="str">
        <f>RTD("rtdtrading.rtdserver",, "T&amp;T0", "AGR", 42)</f>
        <v>Vendedor</v>
      </c>
    </row>
    <row r="47" spans="1:7" ht="15">
      <c r="A47" s="7">
        <f t="shared" si="18"/>
        <v>0.40888888888888886</v>
      </c>
      <c r="B47" s="2" t="str">
        <f>RTD("rtdtrading.rtdserver",, "T&amp;T0", "DAT", 43)</f>
        <v>09:00:57.948</v>
      </c>
      <c r="C47" s="2" t="str">
        <f>RTD("rtdtrading.rtdserver",, "T&amp;T0", "ACP", 43)</f>
        <v>BTG</v>
      </c>
      <c r="D47" s="2">
        <f>RTD("rtdtrading.rtdserver",, "T&amp;T0", "PRE", 43)</f>
        <v>4960.5</v>
      </c>
      <c r="E47" s="2">
        <f>RTD("rtdtrading.rtdserver",, "T&amp;T0", "QUL", 43)</f>
        <v>5</v>
      </c>
      <c r="F47" s="2" t="str">
        <f>RTD("rtdtrading.rtdserver",, "T&amp;T0", "AVD", 43)</f>
        <v>-</v>
      </c>
      <c r="G47" s="8" t="str">
        <f>RTD("rtdtrading.rtdserver",, "T&amp;T0", "AGR", 43)</f>
        <v>Comprador</v>
      </c>
    </row>
    <row r="48" spans="1:7" ht="15">
      <c r="A48" s="7">
        <f t="shared" si="18"/>
        <v>0.39265046296296297</v>
      </c>
      <c r="B48" s="2" t="str">
        <f>RTD("rtdtrading.rtdserver",, "T&amp;T0", "DAT", 44)</f>
        <v>09:00:57.925</v>
      </c>
      <c r="C48" s="2" t="str">
        <f>RTD("rtdtrading.rtdserver",, "T&amp;T0", "ACP", 44)</f>
        <v>XP</v>
      </c>
      <c r="D48" s="2">
        <f>RTD("rtdtrading.rtdserver",, "T&amp;T0", "PRE", 44)</f>
        <v>4960.5</v>
      </c>
      <c r="E48" s="2">
        <f>RTD("rtdtrading.rtdserver",, "T&amp;T0", "QUL", 44)</f>
        <v>141</v>
      </c>
      <c r="F48" s="2" t="str">
        <f>RTD("rtdtrading.rtdserver",, "T&amp;T0", "AVD", 44)</f>
        <v>-</v>
      </c>
      <c r="G48" s="8" t="str">
        <f>RTD("rtdtrading.rtdserver",, "T&amp;T0", "AGR", 44)</f>
        <v>Comprador</v>
      </c>
    </row>
    <row r="49" spans="1:7" ht="15">
      <c r="A49" s="7">
        <f t="shared" si="18"/>
        <v>0.37994212962962964</v>
      </c>
      <c r="B49" s="2" t="str">
        <f>RTD("rtdtrading.rtdserver",, "T&amp;T0", "DAT", 45)</f>
        <v>09:00:57.707</v>
      </c>
      <c r="C49" s="2" t="str">
        <f>RTD("rtdtrading.rtdserver",, "T&amp;T0", "ACP", 45)</f>
        <v>XP</v>
      </c>
      <c r="D49" s="2">
        <f>RTD("rtdtrading.rtdserver",, "T&amp;T0", "PRE", 45)</f>
        <v>4959.5</v>
      </c>
      <c r="E49" s="2">
        <f>RTD("rtdtrading.rtdserver",, "T&amp;T0", "QUL", 45)</f>
        <v>14</v>
      </c>
      <c r="F49" s="2" t="str">
        <f>RTD("rtdtrading.rtdserver",, "T&amp;T0", "AVD", 45)</f>
        <v>-</v>
      </c>
      <c r="G49" s="8" t="str">
        <f>RTD("rtdtrading.rtdserver",, "T&amp;T0", "AGR", 45)</f>
        <v>Comprador</v>
      </c>
    </row>
    <row r="50" spans="1:7" ht="15">
      <c r="A50" s="7">
        <f t="shared" si="18"/>
        <v>0.38064814814814812</v>
      </c>
      <c r="B50" s="2" t="str">
        <f>RTD("rtdtrading.rtdserver",, "T&amp;T0", "DAT", 46)</f>
        <v>09:00:57.608</v>
      </c>
      <c r="C50" s="2" t="str">
        <f>RTD("rtdtrading.rtdserver",, "T&amp;T0", "ACP", 46)</f>
        <v>XP</v>
      </c>
      <c r="D50" s="2">
        <f>RTD("rtdtrading.rtdserver",, "T&amp;T0", "PRE", 46)</f>
        <v>4959.5</v>
      </c>
      <c r="E50" s="2">
        <f>RTD("rtdtrading.rtdserver",, "T&amp;T0", "QUL", 46)</f>
        <v>5</v>
      </c>
      <c r="F50" s="2" t="str">
        <f>RTD("rtdtrading.rtdserver",, "T&amp;T0", "AVD", 46)</f>
        <v>-</v>
      </c>
      <c r="G50" s="8" t="str">
        <f>RTD("rtdtrading.rtdserver",, "T&amp;T0", "AGR", 46)</f>
        <v>Comprador</v>
      </c>
    </row>
    <row r="51" spans="1:7" ht="15">
      <c r="A51" s="7">
        <f t="shared" si="18"/>
        <v>0.44207175925925929</v>
      </c>
      <c r="B51" s="2" t="str">
        <f>RTD("rtdtrading.rtdserver",, "T&amp;T0", "DAT", 47)</f>
        <v>09:00:57.595</v>
      </c>
      <c r="C51" s="2" t="str">
        <f>RTD("rtdtrading.rtdserver",, "T&amp;T0", "ACP", 47)</f>
        <v>Clear</v>
      </c>
      <c r="D51" s="2">
        <f>RTD("rtdtrading.rtdserver",, "T&amp;T0", "PRE", 47)</f>
        <v>4959.5</v>
      </c>
      <c r="E51" s="2">
        <f>RTD("rtdtrading.rtdserver",, "T&amp;T0", "QUL", 47)</f>
        <v>14</v>
      </c>
      <c r="F51" s="2" t="str">
        <f>RTD("rtdtrading.rtdserver",, "T&amp;T0", "AVD", 47)</f>
        <v>-</v>
      </c>
      <c r="G51" s="8" t="str">
        <f>RTD("rtdtrading.rtdserver",, "T&amp;T0", "AGR", 47)</f>
        <v>Comprador</v>
      </c>
    </row>
    <row r="52" spans="1:7" ht="15">
      <c r="A52" s="7">
        <f t="shared" si="18"/>
        <v>0.41947916666666663</v>
      </c>
      <c r="B52" s="2" t="str">
        <f>RTD("rtdtrading.rtdserver",, "T&amp;T0", "DAT", 48)</f>
        <v>09:00:57.563</v>
      </c>
      <c r="C52" s="2" t="str">
        <f>RTD("rtdtrading.rtdserver",, "T&amp;T0", "ACP", 48)</f>
        <v>-</v>
      </c>
      <c r="D52" s="2">
        <f>RTD("rtdtrading.rtdserver",, "T&amp;T0", "PRE", 48)</f>
        <v>4959.5</v>
      </c>
      <c r="E52" s="2">
        <f>RTD("rtdtrading.rtdserver",, "T&amp;T0", "QUL", 48)</f>
        <v>18</v>
      </c>
      <c r="F52" s="2" t="str">
        <f>RTD("rtdtrading.rtdserver",, "T&amp;T0", "AVD", 48)</f>
        <v>UBS</v>
      </c>
      <c r="G52" s="8" t="str">
        <f>RTD("rtdtrading.rtdserver",, "T&amp;T0", "AGR", 48)</f>
        <v>Vendedor</v>
      </c>
    </row>
    <row r="53" spans="1:7" ht="15">
      <c r="A53" s="7">
        <f t="shared" si="18"/>
        <v>0.41877314814814809</v>
      </c>
      <c r="B53" s="2" t="str">
        <f>RTD("rtdtrading.rtdserver",, "T&amp;T0", "DAT", 49)</f>
        <v>09:00:57.562</v>
      </c>
      <c r="C53" s="2" t="str">
        <f>RTD("rtdtrading.rtdserver",, "T&amp;T0", "ACP", 49)</f>
        <v>-</v>
      </c>
      <c r="D53" s="2">
        <f>RTD("rtdtrading.rtdserver",, "T&amp;T0", "PRE", 49)</f>
        <v>4959.5</v>
      </c>
      <c r="E53" s="2">
        <f>RTD("rtdtrading.rtdserver",, "T&amp;T0", "QUL", 49)</f>
        <v>5</v>
      </c>
      <c r="F53" s="2" t="str">
        <f>RTD("rtdtrading.rtdserver",, "T&amp;T0", "AVD", 49)</f>
        <v>Ativa</v>
      </c>
      <c r="G53" s="8" t="str">
        <f>RTD("rtdtrading.rtdserver",, "T&amp;T0", "AGR", 49)</f>
        <v>Vendedor</v>
      </c>
    </row>
    <row r="54" spans="1:7" ht="15">
      <c r="A54" s="7">
        <f t="shared" si="18"/>
        <v>0.41241898148148143</v>
      </c>
      <c r="B54" s="2" t="str">
        <f>RTD("rtdtrading.rtdserver",, "T&amp;T0", "DAT", 50)</f>
        <v>09:00:57.553</v>
      </c>
      <c r="C54" s="2" t="str">
        <f>RTD("rtdtrading.rtdserver",, "T&amp;T0", "ACP", 50)</f>
        <v>-</v>
      </c>
      <c r="D54" s="2">
        <f>RTD("rtdtrading.rtdserver",, "T&amp;T0", "PRE", 50)</f>
        <v>4960</v>
      </c>
      <c r="E54" s="2">
        <f>RTD("rtdtrading.rtdserver",, "T&amp;T0", "QUL", 50)</f>
        <v>32</v>
      </c>
      <c r="F54" s="2" t="str">
        <f>RTD("rtdtrading.rtdserver",, "T&amp;T0", "AVD", 50)</f>
        <v>UBS</v>
      </c>
      <c r="G54" s="8" t="str">
        <f>RTD("rtdtrading.rtdserver",, "T&amp;T0", "AGR", 50)</f>
        <v>Vendedor</v>
      </c>
    </row>
    <row r="55" spans="1:7" ht="15">
      <c r="A55" s="7">
        <f t="shared" si="18"/>
        <v>0.43359953703703707</v>
      </c>
      <c r="B55" s="2" t="str">
        <f>RTD("rtdtrading.rtdserver",, "T&amp;T0", "DAT", 51)</f>
        <v>09:00:57.483</v>
      </c>
      <c r="C55" s="2" t="str">
        <f>RTD("rtdtrading.rtdserver",, "T&amp;T0", "ACP", 51)</f>
        <v>-</v>
      </c>
      <c r="D55" s="2">
        <f>RTD("rtdtrading.rtdserver",, "T&amp;T0", "PRE", 51)</f>
        <v>4960.5</v>
      </c>
      <c r="E55" s="2">
        <f>RTD("rtdtrading.rtdserver",, "T&amp;T0", "QUL", 51)</f>
        <v>67</v>
      </c>
      <c r="F55" s="2" t="str">
        <f>RTD("rtdtrading.rtdserver",, "T&amp;T0", "AVD", 51)</f>
        <v>Ideal</v>
      </c>
      <c r="G55" s="8" t="str">
        <f>RTD("rtdtrading.rtdserver",, "T&amp;T0", "AGR", 51)</f>
        <v>Vendedor</v>
      </c>
    </row>
    <row r="56" spans="1:7" ht="15">
      <c r="A56" s="7">
        <f t="shared" si="18"/>
        <v>0.4138310185185185</v>
      </c>
      <c r="B56" s="2" t="str">
        <f>RTD("rtdtrading.rtdserver",, "T&amp;T0", "DAT", 52)</f>
        <v>09:00:57.355</v>
      </c>
      <c r="C56" s="2" t="str">
        <f>RTD("rtdtrading.rtdserver",, "T&amp;T0", "ACP", 52)</f>
        <v>-</v>
      </c>
      <c r="D56" s="2">
        <f>RTD("rtdtrading.rtdserver",, "T&amp;T0", "PRE", 52)</f>
        <v>4960.5</v>
      </c>
      <c r="E56" s="2">
        <f>RTD("rtdtrading.rtdserver",, "T&amp;T0", "QUL", 52)</f>
        <v>9</v>
      </c>
      <c r="F56" s="2" t="str">
        <f>RTD("rtdtrading.rtdserver",, "T&amp;T0", "AVD", 52)</f>
        <v>Clear</v>
      </c>
      <c r="G56" s="8" t="str">
        <f>RTD("rtdtrading.rtdserver",, "T&amp;T0", "AGR", 52)</f>
        <v>Vendedor</v>
      </c>
    </row>
    <row r="57" spans="1:7" ht="15">
      <c r="A57" s="7">
        <f t="shared" si="18"/>
        <v>0.39194444444444443</v>
      </c>
      <c r="B57" s="2" t="str">
        <f>RTD("rtdtrading.rtdserver",, "T&amp;T0", "DAT", 53)</f>
        <v>09:00:57.324</v>
      </c>
      <c r="C57" s="2" t="str">
        <f>RTD("rtdtrading.rtdserver",, "T&amp;T0", "ACP", 53)</f>
        <v>-</v>
      </c>
      <c r="D57" s="2">
        <f>RTD("rtdtrading.rtdserver",, "T&amp;T0", "PRE", 53)</f>
        <v>4961</v>
      </c>
      <c r="E57" s="2">
        <f>RTD("rtdtrading.rtdserver",, "T&amp;T0", "QUL", 53)</f>
        <v>29</v>
      </c>
      <c r="F57" s="2" t="str">
        <f>RTD("rtdtrading.rtdserver",, "T&amp;T0", "AVD", 53)</f>
        <v>UBS</v>
      </c>
      <c r="G57" s="8" t="str">
        <f>RTD("rtdtrading.rtdserver",, "T&amp;T0", "AGR", 53)</f>
        <v>Vendedor</v>
      </c>
    </row>
    <row r="58" spans="1:7" ht="15">
      <c r="A58" s="7">
        <f t="shared" si="18"/>
        <v>0.38912037037037034</v>
      </c>
      <c r="B58" s="2" t="str">
        <f>RTD("rtdtrading.rtdserver",, "T&amp;T0", "DAT", 54)</f>
        <v>09:00:57.320</v>
      </c>
      <c r="C58" s="2" t="str">
        <f>RTD("rtdtrading.rtdserver",, "T&amp;T0", "ACP", 54)</f>
        <v>UBS</v>
      </c>
      <c r="D58" s="2">
        <f>RTD("rtdtrading.rtdserver",, "T&amp;T0", "PRE", 54)</f>
        <v>4961</v>
      </c>
      <c r="E58" s="2">
        <f>RTD("rtdtrading.rtdserver",, "T&amp;T0", "QUL", 54)</f>
        <v>21</v>
      </c>
      <c r="F58" s="2" t="str">
        <f>RTD("rtdtrading.rtdserver",, "T&amp;T0", "AVD", 54)</f>
        <v>-</v>
      </c>
      <c r="G58" s="8" t="str">
        <f>RTD("rtdtrading.rtdserver",, "T&amp;T0", "AGR", 54)</f>
        <v>Comprador</v>
      </c>
    </row>
    <row r="59" spans="1:7" ht="15">
      <c r="A59" s="7">
        <f t="shared" si="18"/>
        <v>0.39265046296296297</v>
      </c>
      <c r="B59" s="2" t="str">
        <f>RTD("rtdtrading.rtdserver",, "T&amp;T0", "DAT", 55)</f>
        <v>09:00:57.025</v>
      </c>
      <c r="C59" s="2" t="str">
        <f>RTD("rtdtrading.rtdserver",, "T&amp;T0", "ACP", 55)</f>
        <v>-</v>
      </c>
      <c r="D59" s="2">
        <f>RTD("rtdtrading.rtdserver",, "T&amp;T0", "PRE", 55)</f>
        <v>4960.5</v>
      </c>
      <c r="E59" s="2">
        <f>RTD("rtdtrading.rtdserver",, "T&amp;T0", "QUL", 55)</f>
        <v>5</v>
      </c>
      <c r="F59" s="2" t="str">
        <f>RTD("rtdtrading.rtdserver",, "T&amp;T0", "AVD", 55)</f>
        <v>Inter</v>
      </c>
      <c r="G59" s="8" t="str">
        <f>RTD("rtdtrading.rtdserver",, "T&amp;T0", "AGR", 55)</f>
        <v>Vendedor</v>
      </c>
    </row>
    <row r="60" spans="1:7" ht="15">
      <c r="A60" s="7">
        <f t="shared" si="18"/>
        <v>0.41453703703703698</v>
      </c>
      <c r="B60" s="2" t="str">
        <f>RTD("rtdtrading.rtdserver",, "T&amp;T0", "DAT", 56)</f>
        <v>09:00:56.756</v>
      </c>
      <c r="C60" s="2" t="str">
        <f>RTD("rtdtrading.rtdserver",, "T&amp;T0", "ACP", 56)</f>
        <v>-</v>
      </c>
      <c r="D60" s="2">
        <f>RTD("rtdtrading.rtdserver",, "T&amp;T0", "PRE", 56)</f>
        <v>4961</v>
      </c>
      <c r="E60" s="2">
        <f>RTD("rtdtrading.rtdserver",, "T&amp;T0", "QUL", 56)</f>
        <v>10</v>
      </c>
      <c r="F60" s="2" t="str">
        <f>RTD("rtdtrading.rtdserver",, "T&amp;T0", "AVD", 56)</f>
        <v>Genial</v>
      </c>
      <c r="G60" s="8" t="str">
        <f>RTD("rtdtrading.rtdserver",, "T&amp;T0", "AGR", 56)</f>
        <v>Vendedor</v>
      </c>
    </row>
    <row r="61" spans="1:7" ht="15">
      <c r="A61" s="7">
        <f t="shared" si="18"/>
        <v>0.4138310185185185</v>
      </c>
      <c r="B61" s="2" t="str">
        <f>RTD("rtdtrading.rtdserver",, "T&amp;T0", "DAT", 57)</f>
        <v>09:00:56.755</v>
      </c>
      <c r="C61" s="2" t="str">
        <f>RTD("rtdtrading.rtdserver",, "T&amp;T0", "ACP", 57)</f>
        <v>-</v>
      </c>
      <c r="D61" s="2">
        <f>RTD("rtdtrading.rtdserver",, "T&amp;T0", "PRE", 57)</f>
        <v>4961</v>
      </c>
      <c r="E61" s="2">
        <f>RTD("rtdtrading.rtdserver",, "T&amp;T0", "QUL", 57)</f>
        <v>7</v>
      </c>
      <c r="F61" s="2" t="str">
        <f>RTD("rtdtrading.rtdserver",, "T&amp;T0", "AVD", 57)</f>
        <v>Genial</v>
      </c>
      <c r="G61" s="8" t="str">
        <f>RTD("rtdtrading.rtdserver",, "T&amp;T0", "AGR", 57)</f>
        <v>Vendedor</v>
      </c>
    </row>
    <row r="62" spans="1:7" ht="15">
      <c r="A62" s="7">
        <f t="shared" si="18"/>
        <v>0.40818287037037032</v>
      </c>
      <c r="B62" s="2" t="str">
        <f>RTD("rtdtrading.rtdserver",, "T&amp;T0", "DAT", 58)</f>
        <v>09:00:56.747</v>
      </c>
      <c r="C62" s="2" t="str">
        <f>RTD("rtdtrading.rtdserver",, "T&amp;T0", "ACP", 58)</f>
        <v>XP</v>
      </c>
      <c r="D62" s="2">
        <f>RTD("rtdtrading.rtdserver",, "T&amp;T0", "PRE", 58)</f>
        <v>4962</v>
      </c>
      <c r="E62" s="2">
        <f>RTD("rtdtrading.rtdserver",, "T&amp;T0", "QUL", 58)</f>
        <v>40</v>
      </c>
      <c r="F62" s="2" t="str">
        <f>RTD("rtdtrading.rtdserver",, "T&amp;T0", "AVD", 58)</f>
        <v>-</v>
      </c>
      <c r="G62" s="8" t="str">
        <f>RTD("rtdtrading.rtdserver",, "T&amp;T0", "AGR", 58)</f>
        <v>Comprador</v>
      </c>
    </row>
    <row r="63" spans="1:7" ht="15">
      <c r="A63" s="7">
        <f t="shared" si="18"/>
        <v>0.40112268518518518</v>
      </c>
      <c r="B63" s="2" t="str">
        <f>RTD("rtdtrading.rtdserver",, "T&amp;T0", "DAT", 59)</f>
        <v>09:00:56.737</v>
      </c>
      <c r="C63" s="2" t="str">
        <f>RTD("rtdtrading.rtdserver",, "T&amp;T0", "ACP", 59)</f>
        <v>Capital</v>
      </c>
      <c r="D63" s="2">
        <f>RTD("rtdtrading.rtdserver",, "T&amp;T0", "PRE", 59)</f>
        <v>4961.5</v>
      </c>
      <c r="E63" s="2">
        <f>RTD("rtdtrading.rtdserver",, "T&amp;T0", "QUL", 59)</f>
        <v>290</v>
      </c>
      <c r="F63" s="2" t="str">
        <f>RTD("rtdtrading.rtdserver",, "T&amp;T0", "AVD", 59)</f>
        <v>-</v>
      </c>
      <c r="G63" s="8" t="str">
        <f>RTD("rtdtrading.rtdserver",, "T&amp;T0", "AGR", 59)</f>
        <v>Comprador</v>
      </c>
    </row>
    <row r="64" spans="1:7" ht="15">
      <c r="A64" s="7">
        <f t="shared" si="18"/>
        <v>0.43148148148148152</v>
      </c>
      <c r="B64" s="2" t="str">
        <f>RTD("rtdtrading.rtdserver",, "T&amp;T0", "DAT", 60)</f>
        <v>09:00:56.480</v>
      </c>
      <c r="C64" s="2" t="str">
        <f>RTD("rtdtrading.rtdserver",, "T&amp;T0", "ACP", 60)</f>
        <v>XP</v>
      </c>
      <c r="D64" s="2">
        <f>RTD("rtdtrading.rtdserver",, "T&amp;T0", "PRE", 60)</f>
        <v>4961</v>
      </c>
      <c r="E64" s="2">
        <f>RTD("rtdtrading.rtdserver",, "T&amp;T0", "QUL", 60)</f>
        <v>5</v>
      </c>
      <c r="F64" s="2" t="str">
        <f>RTD("rtdtrading.rtdserver",, "T&amp;T0", "AVD", 60)</f>
        <v>-</v>
      </c>
      <c r="G64" s="8" t="str">
        <f>RTD("rtdtrading.rtdserver",, "T&amp;T0", "AGR", 60)</f>
        <v>Comprador</v>
      </c>
    </row>
    <row r="65" spans="1:7" ht="15">
      <c r="A65" s="7">
        <f t="shared" si="18"/>
        <v>0.40041666666666664</v>
      </c>
      <c r="B65" s="2" t="str">
        <f>RTD("rtdtrading.rtdserver",, "T&amp;T0", "DAT", 61)</f>
        <v>09:00:56.436</v>
      </c>
      <c r="C65" s="2" t="str">
        <f>RTD("rtdtrading.rtdserver",, "T&amp;T0", "ACP", 61)</f>
        <v>Genial</v>
      </c>
      <c r="D65" s="2">
        <f>RTD("rtdtrading.rtdserver",, "T&amp;T0", "PRE", 61)</f>
        <v>4961.5</v>
      </c>
      <c r="E65" s="2">
        <f>RTD("rtdtrading.rtdserver",, "T&amp;T0", "QUL", 61)</f>
        <v>5</v>
      </c>
      <c r="F65" s="2" t="str">
        <f>RTD("rtdtrading.rtdserver",, "T&amp;T0", "AVD", 61)</f>
        <v>-</v>
      </c>
      <c r="G65" s="8" t="str">
        <f>RTD("rtdtrading.rtdserver",, "T&amp;T0", "AGR", 61)</f>
        <v>Comprador</v>
      </c>
    </row>
    <row r="66" spans="1:7" ht="15">
      <c r="A66" s="7">
        <f t="shared" si="18"/>
        <v>0.39335648148148145</v>
      </c>
      <c r="B66" s="2" t="str">
        <f>RTD("rtdtrading.rtdserver",, "T&amp;T0", "DAT", 62)</f>
        <v>09:00:56.426</v>
      </c>
      <c r="C66" s="2" t="str">
        <f>RTD("rtdtrading.rtdserver",, "T&amp;T0", "ACP", 62)</f>
        <v>BTG</v>
      </c>
      <c r="D66" s="2">
        <f>RTD("rtdtrading.rtdserver",, "T&amp;T0", "PRE", 62)</f>
        <v>4961.5</v>
      </c>
      <c r="E66" s="2">
        <f>RTD("rtdtrading.rtdserver",, "T&amp;T0", "QUL", 62)</f>
        <v>15</v>
      </c>
      <c r="F66" s="2" t="str">
        <f>RTD("rtdtrading.rtdserver",, "T&amp;T0", "AVD", 62)</f>
        <v>-</v>
      </c>
      <c r="G66" s="8" t="str">
        <f>RTD("rtdtrading.rtdserver",, "T&amp;T0", "AGR", 62)</f>
        <v>Comprador</v>
      </c>
    </row>
    <row r="67" spans="1:7" ht="15">
      <c r="A67" s="7">
        <f t="shared" si="18"/>
        <v>0.40041666666666664</v>
      </c>
      <c r="B67" s="2" t="str">
        <f>RTD("rtdtrading.rtdserver",, "T&amp;T0", "DAT", 63)</f>
        <v>09:00:56.336</v>
      </c>
      <c r="C67" s="2" t="str">
        <f>RTD("rtdtrading.rtdserver",, "T&amp;T0", "ACP", 63)</f>
        <v>BTG</v>
      </c>
      <c r="D67" s="2">
        <f>RTD("rtdtrading.rtdserver",, "T&amp;T0", "PRE", 63)</f>
        <v>4961</v>
      </c>
      <c r="E67" s="2">
        <f>RTD("rtdtrading.rtdserver",, "T&amp;T0", "QUL", 63)</f>
        <v>7</v>
      </c>
      <c r="F67" s="2" t="str">
        <f>RTD("rtdtrading.rtdserver",, "T&amp;T0", "AVD", 63)</f>
        <v>-</v>
      </c>
      <c r="G67" s="8" t="str">
        <f>RTD("rtdtrading.rtdserver",, "T&amp;T0", "AGR", 63)</f>
        <v>Comprador</v>
      </c>
    </row>
    <row r="68" spans="1:7" ht="15">
      <c r="A68" s="7">
        <f t="shared" si="18"/>
        <v>0.39476851851851852</v>
      </c>
      <c r="B68" s="2" t="str">
        <f>RTD("rtdtrading.rtdserver",, "T&amp;T0", "DAT", 64)</f>
        <v>09:00:56.328</v>
      </c>
      <c r="C68" s="2" t="str">
        <f>RTD("rtdtrading.rtdserver",, "T&amp;T0", "ACP", 64)</f>
        <v>Toro</v>
      </c>
      <c r="D68" s="2">
        <f>RTD("rtdtrading.rtdserver",, "T&amp;T0", "PRE", 64)</f>
        <v>4961</v>
      </c>
      <c r="E68" s="2">
        <f>RTD("rtdtrading.rtdserver",, "T&amp;T0", "QUL", 64)</f>
        <v>15</v>
      </c>
      <c r="F68" s="2" t="str">
        <f>RTD("rtdtrading.rtdserver",, "T&amp;T0", "AVD", 64)</f>
        <v>-</v>
      </c>
      <c r="G68" s="8" t="str">
        <f>RTD("rtdtrading.rtdserver",, "T&amp;T0", "AGR", 64)</f>
        <v>Comprador</v>
      </c>
    </row>
    <row r="69" spans="1:7" ht="15">
      <c r="A69" s="7">
        <f t="shared" ref="A69:A103" si="21">TIME(
LEFT(TEXT(B69,"HH:MM"),2),
RIGHT(TEXT(B69,"HH:MM"),2),
RIGHT(TEXT(B69,"HH:MM:SS"),2)
)</f>
        <v>0.42653935185185188</v>
      </c>
      <c r="B69" s="2" t="str">
        <f>RTD("rtdtrading.rtdserver",, "T&amp;T0", "DAT", 65)</f>
        <v>09:00:56.273</v>
      </c>
      <c r="C69" s="2" t="str">
        <f>RTD("rtdtrading.rtdserver",, "T&amp;T0", "ACP", 65)</f>
        <v>-</v>
      </c>
      <c r="D69" s="2">
        <f>RTD("rtdtrading.rtdserver",, "T&amp;T0", "PRE", 65)</f>
        <v>4960.5</v>
      </c>
      <c r="E69" s="2">
        <f>RTD("rtdtrading.rtdserver",, "T&amp;T0", "QUL", 65)</f>
        <v>25</v>
      </c>
      <c r="F69" s="2" t="str">
        <f>RTD("rtdtrading.rtdserver",, "T&amp;T0", "AVD", 65)</f>
        <v>Clear</v>
      </c>
      <c r="G69" s="8" t="str">
        <f>RTD("rtdtrading.rtdserver",, "T&amp;T0", "AGR", 65)</f>
        <v>Vendedor</v>
      </c>
    </row>
    <row r="70" spans="1:7" ht="15">
      <c r="A70" s="7">
        <f t="shared" si="21"/>
        <v>0.37853009259259257</v>
      </c>
      <c r="B70" s="2" t="str">
        <f>RTD("rtdtrading.rtdserver",, "T&amp;T0", "DAT", 66)</f>
        <v>09:00:56.205</v>
      </c>
      <c r="C70" s="2" t="str">
        <f>RTD("rtdtrading.rtdserver",, "T&amp;T0", "ACP", 66)</f>
        <v>Ideal</v>
      </c>
      <c r="D70" s="2">
        <f>RTD("rtdtrading.rtdserver",, "T&amp;T0", "PRE", 66)</f>
        <v>4961</v>
      </c>
      <c r="E70" s="2">
        <f>RTD("rtdtrading.rtdserver",, "T&amp;T0", "QUL", 66)</f>
        <v>12</v>
      </c>
      <c r="F70" s="2" t="str">
        <f>RTD("rtdtrading.rtdserver",, "T&amp;T0", "AVD", 66)</f>
        <v>-</v>
      </c>
      <c r="G70" s="8" t="str">
        <f>RTD("rtdtrading.rtdserver",, "T&amp;T0", "AGR", 66)</f>
        <v>Comprador</v>
      </c>
    </row>
    <row r="71" spans="1:7" ht="15">
      <c r="A71" s="7">
        <f t="shared" si="21"/>
        <v>0.37782407407407409</v>
      </c>
      <c r="B71" s="2" t="str">
        <f>RTD("rtdtrading.rtdserver",, "T&amp;T0", "DAT", 67)</f>
        <v>09:00:56.204</v>
      </c>
      <c r="C71" s="2" t="str">
        <f>RTD("rtdtrading.rtdserver",, "T&amp;T0", "ACP", 67)</f>
        <v>-</v>
      </c>
      <c r="D71" s="2">
        <f>RTD("rtdtrading.rtdserver",, "T&amp;T0", "PRE", 67)</f>
        <v>4960.5</v>
      </c>
      <c r="E71" s="2">
        <f>RTD("rtdtrading.rtdserver",, "T&amp;T0", "QUL", 67)</f>
        <v>10</v>
      </c>
      <c r="F71" s="2" t="str">
        <f>RTD("rtdtrading.rtdserver",, "T&amp;T0", "AVD", 67)</f>
        <v>XP</v>
      </c>
      <c r="G71" s="8" t="str">
        <f>RTD("rtdtrading.rtdserver",, "T&amp;T0", "AGR", 67)</f>
        <v>Vendedor</v>
      </c>
    </row>
    <row r="72" spans="1:7" ht="15">
      <c r="A72" s="7">
        <f t="shared" si="21"/>
        <v>0.44418981481481484</v>
      </c>
      <c r="B72" s="2" t="str">
        <f>RTD("rtdtrading.rtdserver",, "T&amp;T0", "DAT", 68)</f>
        <v>09:00:56.198</v>
      </c>
      <c r="C72" s="2" t="str">
        <f>RTD("rtdtrading.rtdserver",, "T&amp;T0", "ACP", 68)</f>
        <v>-</v>
      </c>
      <c r="D72" s="2">
        <f>RTD("rtdtrading.rtdserver",, "T&amp;T0", "PRE", 68)</f>
        <v>4961</v>
      </c>
      <c r="E72" s="2">
        <f>RTD("rtdtrading.rtdserver",, "T&amp;T0", "QUL", 68)</f>
        <v>10</v>
      </c>
      <c r="F72" s="2" t="str">
        <f>RTD("rtdtrading.rtdserver",, "T&amp;T0", "AVD", 68)</f>
        <v>Ideal</v>
      </c>
      <c r="G72" s="8" t="str">
        <f>RTD("rtdtrading.rtdserver",, "T&amp;T0", "AGR", 68)</f>
        <v>Vendedor</v>
      </c>
    </row>
    <row r="73" spans="1:7" ht="15">
      <c r="A73" s="7">
        <f t="shared" si="21"/>
        <v>0.42159722222222218</v>
      </c>
      <c r="B73" s="2" t="str">
        <f>RTD("rtdtrading.rtdserver",, "T&amp;T0", "DAT", 69)</f>
        <v>09:00:56.166</v>
      </c>
      <c r="C73" s="2" t="str">
        <f>RTD("rtdtrading.rtdserver",, "T&amp;T0", "ACP", 69)</f>
        <v>-</v>
      </c>
      <c r="D73" s="2">
        <f>RTD("rtdtrading.rtdserver",, "T&amp;T0", "PRE", 69)</f>
        <v>4961.5</v>
      </c>
      <c r="E73" s="2">
        <f>RTD("rtdtrading.rtdserver",, "T&amp;T0", "QUL", 69)</f>
        <v>7</v>
      </c>
      <c r="F73" s="2" t="str">
        <f>RTD("rtdtrading.rtdserver",, "T&amp;T0", "AVD", 69)</f>
        <v>Inter</v>
      </c>
      <c r="G73" s="8" t="str">
        <f>RTD("rtdtrading.rtdserver",, "T&amp;T0", "AGR", 69)</f>
        <v>Vendedor</v>
      </c>
    </row>
    <row r="74" spans="1:7" ht="15">
      <c r="A74" s="7">
        <f t="shared" si="21"/>
        <v>0.40959490740740739</v>
      </c>
      <c r="B74" s="2" t="str">
        <f>RTD("rtdtrading.rtdserver",, "T&amp;T0", "DAT", 70)</f>
        <v>09:00:56.149</v>
      </c>
      <c r="C74" s="2" t="str">
        <f>RTD("rtdtrading.rtdserver",, "T&amp;T0", "ACP", 70)</f>
        <v>UBS</v>
      </c>
      <c r="D74" s="2">
        <f>RTD("rtdtrading.rtdserver",, "T&amp;T0", "PRE", 70)</f>
        <v>4961.5</v>
      </c>
      <c r="E74" s="2">
        <f>RTD("rtdtrading.rtdserver",, "T&amp;T0", "QUL", 70)</f>
        <v>18</v>
      </c>
      <c r="F74" s="2" t="str">
        <f>RTD("rtdtrading.rtdserver",, "T&amp;T0", "AVD", 70)</f>
        <v>-</v>
      </c>
      <c r="G74" s="8" t="str">
        <f>RTD("rtdtrading.rtdserver",, "T&amp;T0", "AGR", 70)</f>
        <v>Comprador</v>
      </c>
    </row>
    <row r="75" spans="1:7" ht="15">
      <c r="A75" s="7">
        <f t="shared" si="21"/>
        <v>0.40959490740740739</v>
      </c>
      <c r="B75" s="2" t="str">
        <f>RTD("rtdtrading.rtdserver",, "T&amp;T0", "DAT", 71)</f>
        <v>09:00:56.149</v>
      </c>
      <c r="C75" s="2" t="str">
        <f>RTD("rtdtrading.rtdserver",, "T&amp;T0", "ACP", 71)</f>
        <v>Ideal</v>
      </c>
      <c r="D75" s="2">
        <f>RTD("rtdtrading.rtdserver",, "T&amp;T0", "PRE", 71)</f>
        <v>4961.5</v>
      </c>
      <c r="E75" s="2">
        <f>RTD("rtdtrading.rtdserver",, "T&amp;T0", "QUL", 71)</f>
        <v>12</v>
      </c>
      <c r="F75" s="2" t="str">
        <f>RTD("rtdtrading.rtdserver",, "T&amp;T0", "AVD", 71)</f>
        <v>-</v>
      </c>
      <c r="G75" s="8" t="str">
        <f>RTD("rtdtrading.rtdserver",, "T&amp;T0", "AGR", 71)</f>
        <v>Comprador</v>
      </c>
    </row>
    <row r="76" spans="1:7" ht="15">
      <c r="A76" s="7">
        <f t="shared" si="21"/>
        <v>0.40747685185185184</v>
      </c>
      <c r="B76" s="2" t="str">
        <f>RTD("rtdtrading.rtdserver",, "T&amp;T0", "DAT", 72)</f>
        <v>09:00:56.146</v>
      </c>
      <c r="C76" s="2" t="str">
        <f>RTD("rtdtrading.rtdserver",, "T&amp;T0", "ACP", 72)</f>
        <v>-</v>
      </c>
      <c r="D76" s="2">
        <f>RTD("rtdtrading.rtdserver",, "T&amp;T0", "PRE", 72)</f>
        <v>4960.5</v>
      </c>
      <c r="E76" s="2">
        <f>RTD("rtdtrading.rtdserver",, "T&amp;T0", "QUL", 72)</f>
        <v>76</v>
      </c>
      <c r="F76" s="2" t="str">
        <f>RTD("rtdtrading.rtdserver",, "T&amp;T0", "AVD", 72)</f>
        <v>Goldman</v>
      </c>
      <c r="G76" s="8" t="str">
        <f>RTD("rtdtrading.rtdserver",, "T&amp;T0", "AGR", 72)</f>
        <v>Vendedor</v>
      </c>
    </row>
    <row r="77" spans="1:7" ht="15">
      <c r="A77" s="7">
        <f t="shared" si="21"/>
        <v>0.41877314814814809</v>
      </c>
      <c r="B77" s="2" t="str">
        <f>RTD("rtdtrading.rtdserver",, "T&amp;T0", "DAT", 73)</f>
        <v>09:00:55.962</v>
      </c>
      <c r="C77" s="2" t="str">
        <f>RTD("rtdtrading.rtdserver",, "T&amp;T0", "ACP", 73)</f>
        <v>-</v>
      </c>
      <c r="D77" s="2">
        <f>RTD("rtdtrading.rtdserver",, "T&amp;T0", "PRE", 73)</f>
        <v>4961.5</v>
      </c>
      <c r="E77" s="2">
        <f>RTD("rtdtrading.rtdserver",, "T&amp;T0", "QUL", 73)</f>
        <v>10</v>
      </c>
      <c r="F77" s="2" t="str">
        <f>RTD("rtdtrading.rtdserver",, "T&amp;T0", "AVD", 73)</f>
        <v>Modal</v>
      </c>
      <c r="G77" s="8" t="str">
        <f>RTD("rtdtrading.rtdserver",, "T&amp;T0", "AGR", 73)</f>
        <v>Vendedor</v>
      </c>
    </row>
    <row r="78" spans="1:7" ht="15">
      <c r="A78" s="7">
        <f t="shared" si="21"/>
        <v>0.40535879629629629</v>
      </c>
      <c r="B78" s="2" t="str">
        <f>RTD("rtdtrading.rtdserver",, "T&amp;T0", "DAT", 74)</f>
        <v>09:00:55.943</v>
      </c>
      <c r="C78" s="2" t="str">
        <f>RTD("rtdtrading.rtdserver",, "T&amp;T0", "ACP", 74)</f>
        <v>BTG</v>
      </c>
      <c r="D78" s="2">
        <f>RTD("rtdtrading.rtdserver",, "T&amp;T0", "PRE", 74)</f>
        <v>4962</v>
      </c>
      <c r="E78" s="2">
        <f>RTD("rtdtrading.rtdserver",, "T&amp;T0", "QUL", 74)</f>
        <v>15</v>
      </c>
      <c r="F78" s="2" t="str">
        <f>RTD("rtdtrading.rtdserver",, "T&amp;T0", "AVD", 74)</f>
        <v>-</v>
      </c>
      <c r="G78" s="8" t="str">
        <f>RTD("rtdtrading.rtdserver",, "T&amp;T0", "AGR", 74)</f>
        <v>Comprador</v>
      </c>
    </row>
    <row r="79" spans="1:7" ht="15">
      <c r="A79" s="7">
        <f t="shared" si="21"/>
        <v>0.43148148148148152</v>
      </c>
      <c r="B79" s="2" t="str">
        <f>RTD("rtdtrading.rtdserver",, "T&amp;T0", "DAT", 75)</f>
        <v>09:00:55.880</v>
      </c>
      <c r="C79" s="2" t="str">
        <f>RTD("rtdtrading.rtdserver",, "T&amp;T0", "ACP", 75)</f>
        <v>Nova Futura</v>
      </c>
      <c r="D79" s="2">
        <f>RTD("rtdtrading.rtdserver",, "T&amp;T0", "PRE", 75)</f>
        <v>4961.5</v>
      </c>
      <c r="E79" s="2">
        <f>RTD("rtdtrading.rtdserver",, "T&amp;T0", "QUL", 75)</f>
        <v>7</v>
      </c>
      <c r="F79" s="2" t="str">
        <f>RTD("rtdtrading.rtdserver",, "T&amp;T0", "AVD", 75)</f>
        <v>-</v>
      </c>
      <c r="G79" s="8" t="str">
        <f>RTD("rtdtrading.rtdserver",, "T&amp;T0", "AGR", 75)</f>
        <v>Comprador</v>
      </c>
    </row>
    <row r="80" spans="1:7" ht="15">
      <c r="A80" s="7">
        <f t="shared" si="21"/>
        <v>0.43430555555555556</v>
      </c>
      <c r="B80" s="2" t="str">
        <f>RTD("rtdtrading.rtdserver",, "T&amp;T0", "DAT", 76)</f>
        <v>09:00:55.784</v>
      </c>
      <c r="C80" s="2" t="str">
        <f>RTD("rtdtrading.rtdserver",, "T&amp;T0", "ACP", 76)</f>
        <v>-</v>
      </c>
      <c r="D80" s="2">
        <f>RTD("rtdtrading.rtdserver",, "T&amp;T0", "PRE", 76)</f>
        <v>4961</v>
      </c>
      <c r="E80" s="2">
        <f>RTD("rtdtrading.rtdserver",, "T&amp;T0", "QUL", 76)</f>
        <v>5</v>
      </c>
      <c r="F80" s="2" t="str">
        <f>RTD("rtdtrading.rtdserver",, "T&amp;T0", "AVD", 76)</f>
        <v>BTG</v>
      </c>
      <c r="G80" s="8" t="str">
        <f>RTD("rtdtrading.rtdserver",, "T&amp;T0", "AGR", 76)</f>
        <v>Vendedor</v>
      </c>
    </row>
    <row r="81" spans="1:7" ht="15">
      <c r="A81" s="7">
        <f t="shared" si="21"/>
        <v>0.43148148148148152</v>
      </c>
      <c r="B81" s="2" t="str">
        <f>RTD("rtdtrading.rtdserver",, "T&amp;T0", "DAT", 77)</f>
        <v>09:00:55.780</v>
      </c>
      <c r="C81" s="2" t="str">
        <f>RTD("rtdtrading.rtdserver",, "T&amp;T0", "ACP", 77)</f>
        <v>-</v>
      </c>
      <c r="D81" s="2">
        <f>RTD("rtdtrading.rtdserver",, "T&amp;T0", "PRE", 77)</f>
        <v>4961</v>
      </c>
      <c r="E81" s="2">
        <f>RTD("rtdtrading.rtdserver",, "T&amp;T0", "QUL", 77)</f>
        <v>5</v>
      </c>
      <c r="F81" s="2" t="str">
        <f>RTD("rtdtrading.rtdserver",, "T&amp;T0", "AVD", 77)</f>
        <v>Ativa</v>
      </c>
      <c r="G81" s="8" t="str">
        <f>RTD("rtdtrading.rtdserver",, "T&amp;T0", "AGR", 77)</f>
        <v>Vendedor</v>
      </c>
    </row>
    <row r="82" spans="1:7" ht="15">
      <c r="A82" s="7">
        <f t="shared" si="21"/>
        <v>0.40324074074074073</v>
      </c>
      <c r="B82" s="2" t="str">
        <f>RTD("rtdtrading.rtdserver",, "T&amp;T0", "DAT", 78)</f>
        <v>09:00:55.740</v>
      </c>
      <c r="C82" s="2" t="str">
        <f>RTD("rtdtrading.rtdserver",, "T&amp;T0", "ACP", 78)</f>
        <v>Ideal</v>
      </c>
      <c r="D82" s="2">
        <f>RTD("rtdtrading.rtdserver",, "T&amp;T0", "PRE", 78)</f>
        <v>4961.5</v>
      </c>
      <c r="E82" s="2">
        <f>RTD("rtdtrading.rtdserver",, "T&amp;T0", "QUL", 78)</f>
        <v>21</v>
      </c>
      <c r="F82" s="2" t="str">
        <f>RTD("rtdtrading.rtdserver",, "T&amp;T0", "AVD", 78)</f>
        <v>-</v>
      </c>
      <c r="G82" s="8" t="str">
        <f>RTD("rtdtrading.rtdserver",, "T&amp;T0", "AGR", 78)</f>
        <v>Comprador</v>
      </c>
    </row>
    <row r="83" spans="1:7" ht="15">
      <c r="A83" s="7">
        <f t="shared" si="21"/>
        <v>0.38700231481481479</v>
      </c>
      <c r="B83" s="2" t="str">
        <f>RTD("rtdtrading.rtdserver",, "T&amp;T0", "DAT", 79)</f>
        <v>09:00:55.717</v>
      </c>
      <c r="C83" s="2" t="str">
        <f>RTD("rtdtrading.rtdserver",, "T&amp;T0", "ACP", 79)</f>
        <v>Ideal</v>
      </c>
      <c r="D83" s="2">
        <f>RTD("rtdtrading.rtdserver",, "T&amp;T0", "PRE", 79)</f>
        <v>4961.5</v>
      </c>
      <c r="E83" s="2">
        <f>RTD("rtdtrading.rtdserver",, "T&amp;T0", "QUL", 79)</f>
        <v>13</v>
      </c>
      <c r="F83" s="2" t="str">
        <f>RTD("rtdtrading.rtdserver",, "T&amp;T0", "AVD", 79)</f>
        <v>-</v>
      </c>
      <c r="G83" s="8" t="str">
        <f>RTD("rtdtrading.rtdserver",, "T&amp;T0", "AGR", 79)</f>
        <v>Comprador</v>
      </c>
    </row>
    <row r="84" spans="1:7" ht="15">
      <c r="A84" s="7">
        <f t="shared" si="21"/>
        <v>0.42653935185185188</v>
      </c>
      <c r="B84" s="2" t="str">
        <f>RTD("rtdtrading.rtdserver",, "T&amp;T0", "DAT", 80)</f>
        <v>09:00:55.673</v>
      </c>
      <c r="C84" s="2" t="str">
        <f>RTD("rtdtrading.rtdserver",, "T&amp;T0", "ACP", 80)</f>
        <v>UBS</v>
      </c>
      <c r="D84" s="2">
        <f>RTD("rtdtrading.rtdserver",, "T&amp;T0", "PRE", 80)</f>
        <v>4961</v>
      </c>
      <c r="E84" s="2">
        <f>RTD("rtdtrading.rtdserver",, "T&amp;T0", "QUL", 80)</f>
        <v>9</v>
      </c>
      <c r="F84" s="2" t="str">
        <f>RTD("rtdtrading.rtdserver",, "T&amp;T0", "AVD", 80)</f>
        <v>-</v>
      </c>
      <c r="G84" s="8" t="str">
        <f>RTD("rtdtrading.rtdserver",, "T&amp;T0", "AGR", 80)</f>
        <v>Comprador</v>
      </c>
    </row>
    <row r="85" spans="1:7" ht="15">
      <c r="A85" s="7">
        <f t="shared" si="21"/>
        <v>0.42300925925925931</v>
      </c>
      <c r="B85" s="2" t="str">
        <f>RTD("rtdtrading.rtdserver",, "T&amp;T0", "DAT", 81)</f>
        <v>09:00:55.668</v>
      </c>
      <c r="C85" s="2" t="str">
        <f>RTD("rtdtrading.rtdserver",, "T&amp;T0", "ACP", 81)</f>
        <v>-</v>
      </c>
      <c r="D85" s="2">
        <f>RTD("rtdtrading.rtdserver",, "T&amp;T0", "PRE", 81)</f>
        <v>4959.5</v>
      </c>
      <c r="E85" s="2">
        <f>RTD("rtdtrading.rtdserver",, "T&amp;T0", "QUL", 81)</f>
        <v>200</v>
      </c>
      <c r="F85" s="2" t="str">
        <f>RTD("rtdtrading.rtdserver",, "T&amp;T0", "AVD", 81)</f>
        <v>Itau</v>
      </c>
      <c r="G85" s="8" t="str">
        <f>RTD("rtdtrading.rtdserver",, "T&amp;T0", "AGR", 81)</f>
        <v>Vendedor</v>
      </c>
    </row>
    <row r="86" spans="1:7" ht="15">
      <c r="A86" s="7">
        <f t="shared" si="21"/>
        <v>0.42724537037037041</v>
      </c>
      <c r="B86" s="2" t="str">
        <f>RTD("rtdtrading.rtdserver",, "T&amp;T0", "DAT", 82)</f>
        <v>09:00:55.474</v>
      </c>
      <c r="C86" s="2" t="str">
        <f>RTD("rtdtrading.rtdserver",, "T&amp;T0", "ACP", 82)</f>
        <v>Ideal</v>
      </c>
      <c r="D86" s="2">
        <f>RTD("rtdtrading.rtdserver",, "T&amp;T0", "PRE", 82)</f>
        <v>4961.5</v>
      </c>
      <c r="E86" s="2">
        <f>RTD("rtdtrading.rtdserver",, "T&amp;T0", "QUL", 82)</f>
        <v>10</v>
      </c>
      <c r="F86" s="2" t="str">
        <f>RTD("rtdtrading.rtdserver",, "T&amp;T0", "AVD", 82)</f>
        <v>-</v>
      </c>
      <c r="G86" s="8" t="str">
        <f>RTD("rtdtrading.rtdserver",, "T&amp;T0", "AGR", 82)</f>
        <v>Comprador</v>
      </c>
    </row>
    <row r="87" spans="1:7" ht="15">
      <c r="A87" s="7">
        <f t="shared" si="21"/>
        <v>0.4138310185185185</v>
      </c>
      <c r="B87" s="2" t="str">
        <f>RTD("rtdtrading.rtdserver",, "T&amp;T0", "DAT", 83)</f>
        <v>09:00:55.455</v>
      </c>
      <c r="C87" s="2" t="str">
        <f>RTD("rtdtrading.rtdserver",, "T&amp;T0", "ACP", 83)</f>
        <v>-</v>
      </c>
      <c r="D87" s="2">
        <f>RTD("rtdtrading.rtdserver",, "T&amp;T0", "PRE", 83)</f>
        <v>4961</v>
      </c>
      <c r="E87" s="2">
        <f>RTD("rtdtrading.rtdserver",, "T&amp;T0", "QUL", 83)</f>
        <v>9</v>
      </c>
      <c r="F87" s="2" t="str">
        <f>RTD("rtdtrading.rtdserver",, "T&amp;T0", "AVD", 83)</f>
        <v>Inter</v>
      </c>
      <c r="G87" s="8" t="str">
        <f>RTD("rtdtrading.rtdserver",, "T&amp;T0", "AGR", 83)</f>
        <v>Vendedor</v>
      </c>
    </row>
    <row r="88" spans="1:7" ht="15">
      <c r="A88" s="7">
        <f t="shared" si="21"/>
        <v>0.39618055555555554</v>
      </c>
      <c r="B88" s="2" t="str">
        <f>RTD("rtdtrading.rtdserver",, "T&amp;T0", "DAT", 84)</f>
        <v>09:00:55.430</v>
      </c>
      <c r="C88" s="2" t="str">
        <f>RTD("rtdtrading.rtdserver",, "T&amp;T0", "ACP", 84)</f>
        <v>Ideal</v>
      </c>
      <c r="D88" s="2">
        <f>RTD("rtdtrading.rtdserver",, "T&amp;T0", "PRE", 84)</f>
        <v>4961.5</v>
      </c>
      <c r="E88" s="2">
        <f>RTD("rtdtrading.rtdserver",, "T&amp;T0", "QUL", 84)</f>
        <v>6</v>
      </c>
      <c r="F88" s="2" t="str">
        <f>RTD("rtdtrading.rtdserver",, "T&amp;T0", "AVD", 84)</f>
        <v>-</v>
      </c>
      <c r="G88" s="8" t="str">
        <f>RTD("rtdtrading.rtdserver",, "T&amp;T0", "AGR", 84)</f>
        <v>Comprador</v>
      </c>
    </row>
    <row r="89" spans="1:7" ht="15">
      <c r="A89" s="7">
        <f t="shared" si="21"/>
        <v>0.395474537037037</v>
      </c>
      <c r="B89" s="2" t="str">
        <f>RTD("rtdtrading.rtdserver",, "T&amp;T0", "DAT", 85)</f>
        <v>09:00:55.429</v>
      </c>
      <c r="C89" s="2" t="str">
        <f>RTD("rtdtrading.rtdserver",, "T&amp;T0", "ACP", 85)</f>
        <v>-</v>
      </c>
      <c r="D89" s="2">
        <f>RTD("rtdtrading.rtdserver",, "T&amp;T0", "PRE", 85)</f>
        <v>4961.5</v>
      </c>
      <c r="E89" s="2">
        <f>RTD("rtdtrading.rtdserver",, "T&amp;T0", "QUL", 85)</f>
        <v>10</v>
      </c>
      <c r="F89" s="2" t="str">
        <f>RTD("rtdtrading.rtdserver",, "T&amp;T0", "AVD", 85)</f>
        <v>Goldman</v>
      </c>
      <c r="G89" s="8" t="str">
        <f>RTD("rtdtrading.rtdserver",, "T&amp;T0", "AGR", 85)</f>
        <v>Vendedor</v>
      </c>
    </row>
    <row r="90" spans="1:7" ht="15">
      <c r="A90" s="7">
        <f t="shared" si="21"/>
        <v>0.37782407407407409</v>
      </c>
      <c r="B90" s="2" t="str">
        <f>RTD("rtdtrading.rtdserver",, "T&amp;T0", "DAT", 86)</f>
        <v>09:00:55.404</v>
      </c>
      <c r="C90" s="2" t="str">
        <f>RTD("rtdtrading.rtdserver",, "T&amp;T0", "ACP", 86)</f>
        <v>Nova Futura</v>
      </c>
      <c r="D90" s="2">
        <f>RTD("rtdtrading.rtdserver",, "T&amp;T0", "PRE", 86)</f>
        <v>4961.5</v>
      </c>
      <c r="E90" s="2">
        <f>RTD("rtdtrading.rtdserver",, "T&amp;T0", "QUL", 86)</f>
        <v>42</v>
      </c>
      <c r="F90" s="2" t="str">
        <f>RTD("rtdtrading.rtdserver",, "T&amp;T0", "AVD", 86)</f>
        <v>-</v>
      </c>
      <c r="G90" s="8" t="str">
        <f>RTD("rtdtrading.rtdserver",, "T&amp;T0", "AGR", 86)</f>
        <v>Comprador</v>
      </c>
    </row>
    <row r="91" spans="1:7" ht="15">
      <c r="A91" s="7">
        <f t="shared" si="21"/>
        <v>0.40182870370370366</v>
      </c>
      <c r="B91" s="2" t="str">
        <f>RTD("rtdtrading.rtdserver",, "T&amp;T0", "DAT", 87)</f>
        <v>09:00:55.238</v>
      </c>
      <c r="C91" s="2" t="str">
        <f>RTD("rtdtrading.rtdserver",, "T&amp;T0", "ACP", 87)</f>
        <v>-</v>
      </c>
      <c r="D91" s="2">
        <f>RTD("rtdtrading.rtdserver",, "T&amp;T0", "PRE", 87)</f>
        <v>4960.5</v>
      </c>
      <c r="E91" s="2">
        <f>RTD("rtdtrading.rtdserver",, "T&amp;T0", "QUL", 87)</f>
        <v>10</v>
      </c>
      <c r="F91" s="2" t="str">
        <f>RTD("rtdtrading.rtdserver",, "T&amp;T0", "AVD", 87)</f>
        <v>Modal</v>
      </c>
      <c r="G91" s="8" t="str">
        <f>RTD("rtdtrading.rtdserver",, "T&amp;T0", "AGR", 87)</f>
        <v>Vendedor</v>
      </c>
    </row>
    <row r="92" spans="1:7" ht="15">
      <c r="A92" s="7">
        <f t="shared" si="21"/>
        <v>0.42018518518518516</v>
      </c>
      <c r="B92" s="2" t="str">
        <f>RTD("rtdtrading.rtdserver",, "T&amp;T0", "DAT", 88)</f>
        <v>09:00:55.164</v>
      </c>
      <c r="C92" s="2" t="str">
        <f>RTD("rtdtrading.rtdserver",, "T&amp;T0", "ACP", 88)</f>
        <v>BTG</v>
      </c>
      <c r="D92" s="2">
        <f>RTD("rtdtrading.rtdserver",, "T&amp;T0", "PRE", 88)</f>
        <v>4961.5</v>
      </c>
      <c r="E92" s="2">
        <f>RTD("rtdtrading.rtdserver",, "T&amp;T0", "QUL", 88)</f>
        <v>7</v>
      </c>
      <c r="F92" s="2" t="str">
        <f>RTD("rtdtrading.rtdserver",, "T&amp;T0", "AVD", 88)</f>
        <v>-</v>
      </c>
      <c r="G92" s="8" t="str">
        <f>RTD("rtdtrading.rtdserver",, "T&amp;T0", "AGR", 88)</f>
        <v>Comprador</v>
      </c>
    </row>
    <row r="93" spans="1:7" ht="15">
      <c r="A93" s="7">
        <f t="shared" si="21"/>
        <v>0.41453703703703698</v>
      </c>
      <c r="B93" s="2" t="str">
        <f>RTD("rtdtrading.rtdserver",, "T&amp;T0", "DAT", 89)</f>
        <v>09:00:55.156</v>
      </c>
      <c r="C93" s="2" t="str">
        <f>RTD("rtdtrading.rtdserver",, "T&amp;T0", "ACP", 89)</f>
        <v>-</v>
      </c>
      <c r="D93" s="2">
        <f>RTD("rtdtrading.rtdserver",, "T&amp;T0", "PRE", 89)</f>
        <v>4960.5</v>
      </c>
      <c r="E93" s="2">
        <f>RTD("rtdtrading.rtdserver",, "T&amp;T0", "QUL", 89)</f>
        <v>16</v>
      </c>
      <c r="F93" s="2" t="str">
        <f>RTD("rtdtrading.rtdserver",, "T&amp;T0", "AVD", 89)</f>
        <v>XP</v>
      </c>
      <c r="G93" s="8" t="str">
        <f>RTD("rtdtrading.rtdserver",, "T&amp;T0", "AGR", 89)</f>
        <v>Vendedor</v>
      </c>
    </row>
    <row r="94" spans="1:7" ht="15">
      <c r="A94" s="7">
        <f t="shared" si="21"/>
        <v>0.39829861111111109</v>
      </c>
      <c r="B94" s="2" t="str">
        <f>RTD("rtdtrading.rtdserver",, "T&amp;T0", "DAT", 90)</f>
        <v>09:00:55.133</v>
      </c>
      <c r="C94" s="2" t="str">
        <f>RTD("rtdtrading.rtdserver",, "T&amp;T0", "ACP", 90)</f>
        <v>-</v>
      </c>
      <c r="D94" s="2">
        <f>RTD("rtdtrading.rtdserver",, "T&amp;T0", "PRE", 90)</f>
        <v>4960.5</v>
      </c>
      <c r="E94" s="2">
        <f>RTD("rtdtrading.rtdserver",, "T&amp;T0", "QUL", 90)</f>
        <v>5</v>
      </c>
      <c r="F94" s="2" t="str">
        <f>RTD("rtdtrading.rtdserver",, "T&amp;T0", "AVD", 90)</f>
        <v>Clear</v>
      </c>
      <c r="G94" s="8" t="str">
        <f>RTD("rtdtrading.rtdserver",, "T&amp;T0", "AGR", 90)</f>
        <v>Vendedor</v>
      </c>
    </row>
    <row r="95" spans="1:7" ht="15">
      <c r="A95" s="7">
        <f t="shared" si="21"/>
        <v>0.4025347222222222</v>
      </c>
      <c r="B95" s="2" t="str">
        <f>RTD("rtdtrading.rtdserver",, "T&amp;T0", "DAT", 91)</f>
        <v>09:00:55.039</v>
      </c>
      <c r="C95" s="2" t="str">
        <f>RTD("rtdtrading.rtdserver",, "T&amp;T0", "ACP", 91)</f>
        <v>-</v>
      </c>
      <c r="D95" s="2">
        <f>RTD("rtdtrading.rtdserver",, "T&amp;T0", "PRE", 91)</f>
        <v>4960.5</v>
      </c>
      <c r="E95" s="2">
        <f>RTD("rtdtrading.rtdserver",, "T&amp;T0", "QUL", 91)</f>
        <v>6</v>
      </c>
      <c r="F95" s="2" t="str">
        <f>RTD("rtdtrading.rtdserver",, "T&amp;T0", "AVD", 91)</f>
        <v>Goldman</v>
      </c>
      <c r="G95" s="8" t="str">
        <f>RTD("rtdtrading.rtdserver",, "T&amp;T0", "AGR", 91)</f>
        <v>Vendedor</v>
      </c>
    </row>
    <row r="96" spans="1:7" ht="15">
      <c r="A96" s="7">
        <f t="shared" si="21"/>
        <v>0.395474537037037</v>
      </c>
      <c r="B96" s="2" t="str">
        <f>RTD("rtdtrading.rtdserver",, "T&amp;T0", "DAT", 92)</f>
        <v>09:00:55.029</v>
      </c>
      <c r="C96" s="2" t="str">
        <f>RTD("rtdtrading.rtdserver",, "T&amp;T0", "ACP", 92)</f>
        <v>Ideal</v>
      </c>
      <c r="D96" s="2">
        <f>RTD("rtdtrading.rtdserver",, "T&amp;T0", "PRE", 92)</f>
        <v>4961</v>
      </c>
      <c r="E96" s="2">
        <f>RTD("rtdtrading.rtdserver",, "T&amp;T0", "QUL", 92)</f>
        <v>5</v>
      </c>
      <c r="F96" s="2" t="str">
        <f>RTD("rtdtrading.rtdserver",, "T&amp;T0", "AVD", 92)</f>
        <v>-</v>
      </c>
      <c r="G96" s="8" t="str">
        <f>RTD("rtdtrading.rtdserver",, "T&amp;T0", "AGR", 92)</f>
        <v>Comprador</v>
      </c>
    </row>
    <row r="97" spans="1:7" ht="15">
      <c r="A97" s="7">
        <f t="shared" si="21"/>
        <v>0.37782407407407409</v>
      </c>
      <c r="B97" s="2" t="str">
        <f>RTD("rtdtrading.rtdserver",, "T&amp;T0", "DAT", 93)</f>
        <v>09:00:54.904</v>
      </c>
      <c r="C97" s="2" t="str">
        <f>RTD("rtdtrading.rtdserver",, "T&amp;T0", "ACP", 93)</f>
        <v>-</v>
      </c>
      <c r="D97" s="2">
        <f>RTD("rtdtrading.rtdserver",, "T&amp;T0", "PRE", 93)</f>
        <v>4961</v>
      </c>
      <c r="E97" s="2">
        <f>RTD("rtdtrading.rtdserver",, "T&amp;T0", "QUL", 93)</f>
        <v>50</v>
      </c>
      <c r="F97" s="2" t="str">
        <f>RTD("rtdtrading.rtdserver",, "T&amp;T0", "AVD", 93)</f>
        <v>XP</v>
      </c>
      <c r="G97" s="8" t="str">
        <f>RTD("rtdtrading.rtdserver",, "T&amp;T0", "AGR", 93)</f>
        <v>Vendedor</v>
      </c>
    </row>
    <row r="98" spans="1:7" ht="15">
      <c r="A98" s="7">
        <f t="shared" si="21"/>
        <v>0.4392476851851852</v>
      </c>
      <c r="B98" s="2" t="str">
        <f>RTD("rtdtrading.rtdserver",, "T&amp;T0", "DAT", 94)</f>
        <v>09:00:54.891</v>
      </c>
      <c r="C98" s="2" t="str">
        <f>RTD("rtdtrading.rtdserver",, "T&amp;T0", "ACP", 94)</f>
        <v>BTG</v>
      </c>
      <c r="D98" s="2">
        <f>RTD("rtdtrading.rtdserver",, "T&amp;T0", "PRE", 94)</f>
        <v>4961.5</v>
      </c>
      <c r="E98" s="2">
        <f>RTD("rtdtrading.rtdserver",, "T&amp;T0", "QUL", 94)</f>
        <v>15</v>
      </c>
      <c r="F98" s="2" t="str">
        <f>RTD("rtdtrading.rtdserver",, "T&amp;T0", "AVD", 94)</f>
        <v>-</v>
      </c>
      <c r="G98" s="8" t="str">
        <f>RTD("rtdtrading.rtdserver",, "T&amp;T0", "AGR", 94)</f>
        <v>Comprador</v>
      </c>
    </row>
    <row r="99" spans="1:7" ht="15">
      <c r="A99" s="7">
        <f t="shared" si="21"/>
        <v>0.43006944444444445</v>
      </c>
      <c r="B99" s="2" t="str">
        <f>RTD("rtdtrading.rtdserver",, "T&amp;T0", "DAT", 95)</f>
        <v>09:00:54.678</v>
      </c>
      <c r="C99" s="2" t="str">
        <f>RTD("rtdtrading.rtdserver",, "T&amp;T0", "ACP", 95)</f>
        <v>UBS</v>
      </c>
      <c r="D99" s="2">
        <f>RTD("rtdtrading.rtdserver",, "T&amp;T0", "PRE", 95)</f>
        <v>4961</v>
      </c>
      <c r="E99" s="2">
        <f>RTD("rtdtrading.rtdserver",, "T&amp;T0", "QUL", 95)</f>
        <v>36</v>
      </c>
      <c r="F99" s="2" t="str">
        <f>RTD("rtdtrading.rtdserver",, "T&amp;T0", "AVD", 95)</f>
        <v>-</v>
      </c>
      <c r="G99" s="8" t="str">
        <f>RTD("rtdtrading.rtdserver",, "T&amp;T0", "AGR", 95)</f>
        <v>Comprador</v>
      </c>
    </row>
    <row r="100" spans="1:7" ht="15">
      <c r="A100" s="7">
        <f t="shared" si="21"/>
        <v>0.42230324074074072</v>
      </c>
      <c r="B100" s="2" t="str">
        <f>RTD("rtdtrading.rtdserver",, "T&amp;T0", "DAT", 96)</f>
        <v>09:00:54.567</v>
      </c>
      <c r="C100" s="2" t="str">
        <f>RTD("rtdtrading.rtdserver",, "T&amp;T0", "ACP", 96)</f>
        <v>-</v>
      </c>
      <c r="D100" s="2">
        <f>RTD("rtdtrading.rtdserver",, "T&amp;T0", "PRE", 96)</f>
        <v>4960.5</v>
      </c>
      <c r="E100" s="2">
        <f>RTD("rtdtrading.rtdserver",, "T&amp;T0", "QUL", 96)</f>
        <v>8</v>
      </c>
      <c r="F100" s="2" t="str">
        <f>RTD("rtdtrading.rtdserver",, "T&amp;T0", "AVD", 96)</f>
        <v>Genial</v>
      </c>
      <c r="G100" s="8" t="str">
        <f>RTD("rtdtrading.rtdserver",, "T&amp;T0", "AGR", 96)</f>
        <v>Vendedor</v>
      </c>
    </row>
    <row r="101" spans="1:7" ht="15">
      <c r="A101" s="7">
        <f t="shared" si="21"/>
        <v>0.43430555555555556</v>
      </c>
      <c r="B101" s="2" t="str">
        <f>RTD("rtdtrading.rtdserver",, "T&amp;T0", "DAT", 97)</f>
        <v>09:00:54.484</v>
      </c>
      <c r="C101" s="2" t="str">
        <f>RTD("rtdtrading.rtdserver",, "T&amp;T0", "ACP", 97)</f>
        <v>Ideal</v>
      </c>
      <c r="D101" s="2">
        <f>RTD("rtdtrading.rtdserver",, "T&amp;T0", "PRE", 97)</f>
        <v>4960.5</v>
      </c>
      <c r="E101" s="2">
        <f>RTD("rtdtrading.rtdserver",, "T&amp;T0", "QUL", 97)</f>
        <v>12</v>
      </c>
      <c r="F101" s="2" t="str">
        <f>RTD("rtdtrading.rtdserver",, "T&amp;T0", "AVD", 97)</f>
        <v>-</v>
      </c>
      <c r="G101" s="8" t="str">
        <f>RTD("rtdtrading.rtdserver",, "T&amp;T0", "AGR", 97)</f>
        <v>Comprador</v>
      </c>
    </row>
    <row r="102" spans="1:7" ht="15">
      <c r="A102" s="7">
        <f t="shared" si="21"/>
        <v>0.40747685185185184</v>
      </c>
      <c r="B102" s="2" t="str">
        <f>RTD("rtdtrading.rtdserver",, "T&amp;T0", "DAT", 98)</f>
        <v>09:00:54.446</v>
      </c>
      <c r="C102" s="2" t="str">
        <f>RTD("rtdtrading.rtdserver",, "T&amp;T0", "ACP", 98)</f>
        <v>-</v>
      </c>
      <c r="D102" s="2">
        <f>RTD("rtdtrading.rtdserver",, "T&amp;T0", "PRE", 98)</f>
        <v>4959.5</v>
      </c>
      <c r="E102" s="2">
        <f>RTD("rtdtrading.rtdserver",, "T&amp;T0", "QUL", 98)</f>
        <v>25</v>
      </c>
      <c r="F102" s="2" t="str">
        <f>RTD("rtdtrading.rtdserver",, "T&amp;T0", "AVD", 98)</f>
        <v>Genial</v>
      </c>
      <c r="G102" s="8" t="str">
        <f>RTD("rtdtrading.rtdserver",, "T&amp;T0", "AGR", 98)</f>
        <v>Vendedor</v>
      </c>
    </row>
    <row r="103" spans="1:7" ht="15.75" thickBot="1">
      <c r="A103" s="9">
        <f t="shared" si="21"/>
        <v>0.40465277777777775</v>
      </c>
      <c r="B103" s="10" t="str">
        <f>RTD("rtdtrading.rtdserver",, "T&amp;T0", "DAT", 99)</f>
        <v>09:00:54.442</v>
      </c>
      <c r="C103" s="10" t="str">
        <f>RTD("rtdtrading.rtdserver",, "T&amp;T0", "ACP", 99)</f>
        <v>-</v>
      </c>
      <c r="D103" s="10">
        <f>RTD("rtdtrading.rtdserver",, "T&amp;T0", "PRE", 99)</f>
        <v>4959.5</v>
      </c>
      <c r="E103" s="10">
        <f>RTD("rtdtrading.rtdserver",, "T&amp;T0", "QUL", 99)</f>
        <v>91</v>
      </c>
      <c r="F103" s="10" t="str">
        <f>RTD("rtdtrading.rtdserver",, "T&amp;T0", "AVD", 99)</f>
        <v>BTG</v>
      </c>
      <c r="G103" s="11" t="str">
        <f>RTD("rtdtrading.rtdserver",, "T&amp;T0", "AGR", 99)</f>
        <v>Vendedor</v>
      </c>
    </row>
  </sheetData>
  <mergeCells count="9">
    <mergeCell ref="W10:X14"/>
    <mergeCell ref="T10:V14"/>
    <mergeCell ref="T7:X7"/>
    <mergeCell ref="W8:X9"/>
    <mergeCell ref="A1:A3"/>
    <mergeCell ref="B1:G1"/>
    <mergeCell ref="M7:R7"/>
    <mergeCell ref="M10:O14"/>
    <mergeCell ref="P10:R14"/>
  </mergeCells>
  <conditionalFormatting sqref="K23:R26 K20:L22 M12:R14">
    <cfRule type="cellIs" dxfId="14" priority="8" operator="lessThan">
      <formula>0</formula>
    </cfRule>
    <cfRule type="cellIs" dxfId="13" priority="9" operator="greaterThan">
      <formula>0</formula>
    </cfRule>
  </conditionalFormatting>
  <conditionalFormatting sqref="M9:R14">
    <cfRule type="cellIs" dxfId="12" priority="6" operator="lessThan">
      <formula>0</formula>
    </cfRule>
    <cfRule type="cellIs" dxfId="11" priority="7" operator="greaterThan">
      <formula>0</formula>
    </cfRule>
  </conditionalFormatting>
  <conditionalFormatting sqref="T10:V14">
    <cfRule type="cellIs" dxfId="10" priority="5" operator="greaterThan">
      <formula>0</formula>
    </cfRule>
    <cfRule type="cellIs" dxfId="9" priority="4" operator="lessThan">
      <formula>0</formula>
    </cfRule>
  </conditionalFormatting>
  <conditionalFormatting sqref="W10:X14">
    <cfRule type="cellIs" dxfId="0" priority="2" operator="lessThan">
      <formula>-0.1</formula>
    </cfRule>
    <cfRule type="cellIs" dxfId="1" priority="1" operator="greaterThan">
      <formula>0.1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Dados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3061867</dc:creator>
  <cp:keywords/>
  <dc:description/>
  <cp:lastModifiedBy>Leandro</cp:lastModifiedBy>
  <cp:revision/>
  <dcterms:created xsi:type="dcterms:W3CDTF">2023-08-30T22:17:57Z</dcterms:created>
  <dcterms:modified xsi:type="dcterms:W3CDTF">2023-09-19T19:49:27Z</dcterms:modified>
  <cp:category/>
  <cp:contentStatus/>
</cp:coreProperties>
</file>