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rian.h/Documents/Arbeitsprobe/Exel-Modelle/"/>
    </mc:Choice>
  </mc:AlternateContent>
  <xr:revisionPtr revIDLastSave="0" documentId="13_ncr:2001_{02F757CA-D5BA-9446-BA41-C16F8646BCBD}" xr6:coauthVersionLast="47" xr6:coauthVersionMax="47" xr10:uidLastSave="{00000000-0000-0000-0000-000000000000}"/>
  <bookViews>
    <workbookView xWindow="0" yWindow="760" windowWidth="38400" windowHeight="24100" activeTab="3" xr2:uid="{B20B0F22-2D39-0B44-B121-B32FA811EC1F}"/>
  </bookViews>
  <sheets>
    <sheet name="Hensoldt AG" sheetId="6" r:id="rId1"/>
    <sheet name="Inputs" sheetId="1" r:id="rId2"/>
    <sheet name="IS" sheetId="2" r:id="rId3"/>
    <sheet name="IS Neu" sheetId="15" r:id="rId4"/>
    <sheet name="BS" sheetId="4" r:id="rId5"/>
    <sheet name="BS Neu" sheetId="13" r:id="rId6"/>
    <sheet name="CF" sheetId="5" r:id="rId7"/>
    <sheet name="CF Neu " sheetId="14" r:id="rId8"/>
    <sheet name="Revenue &amp; Expenses" sheetId="11" r:id="rId9"/>
    <sheet name="FA-Forecast" sheetId="7" r:id="rId10"/>
    <sheet name="WC &amp; other Assets " sheetId="8" r:id="rId11"/>
    <sheet name="Debt &amp; Cash" sheetId="9" r:id="rId12"/>
    <sheet name="DCF Valuation " sheetId="10" r:id="rId13"/>
    <sheet name="Competitors KPI's" sheetId="12" r:id="rId14"/>
  </sheet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5" l="1"/>
  <c r="E22" i="15"/>
  <c r="E13" i="15"/>
  <c r="F13" i="15"/>
  <c r="G13" i="15"/>
  <c r="H13" i="15"/>
  <c r="I13" i="15"/>
  <c r="D13" i="15"/>
  <c r="D29" i="15"/>
  <c r="D27" i="15"/>
  <c r="D26" i="15"/>
  <c r="D22" i="15"/>
  <c r="D21" i="15"/>
  <c r="D20" i="15"/>
  <c r="D18" i="15"/>
  <c r="D17" i="15"/>
  <c r="D16" i="15"/>
  <c r="D15" i="15"/>
  <c r="E12" i="15"/>
  <c r="E14" i="15" s="1"/>
  <c r="F12" i="15"/>
  <c r="F14" i="15" s="1"/>
  <c r="G12" i="15"/>
  <c r="G14" i="15" s="1"/>
  <c r="G19" i="15" s="1"/>
  <c r="G23" i="15" s="1"/>
  <c r="H12" i="15"/>
  <c r="I12" i="15"/>
  <c r="E15" i="15"/>
  <c r="F15" i="15"/>
  <c r="G15" i="15"/>
  <c r="H15" i="15"/>
  <c r="I15" i="15"/>
  <c r="E16" i="15"/>
  <c r="F16" i="15"/>
  <c r="G16" i="15"/>
  <c r="H16" i="15"/>
  <c r="I16" i="15"/>
  <c r="E17" i="15"/>
  <c r="F17" i="15"/>
  <c r="G17" i="15"/>
  <c r="H17" i="15"/>
  <c r="I17" i="15"/>
  <c r="E18" i="15"/>
  <c r="F18" i="15"/>
  <c r="G18" i="15"/>
  <c r="H18" i="15"/>
  <c r="I18" i="15"/>
  <c r="E20" i="15"/>
  <c r="F20" i="15"/>
  <c r="G20" i="15"/>
  <c r="H20" i="15"/>
  <c r="I20" i="15"/>
  <c r="E21" i="15"/>
  <c r="F21" i="15"/>
  <c r="G21" i="15"/>
  <c r="H21" i="15"/>
  <c r="I21" i="15"/>
  <c r="F22" i="15"/>
  <c r="G22" i="15"/>
  <c r="H22" i="15"/>
  <c r="I22" i="15"/>
  <c r="E24" i="15"/>
  <c r="F24" i="15"/>
  <c r="G24" i="15"/>
  <c r="H24" i="15"/>
  <c r="I24" i="15"/>
  <c r="E26" i="15"/>
  <c r="F26" i="15"/>
  <c r="G26" i="15"/>
  <c r="H26" i="15"/>
  <c r="I26" i="15"/>
  <c r="E27" i="15"/>
  <c r="F27" i="15"/>
  <c r="G27" i="15"/>
  <c r="H27" i="15"/>
  <c r="I27" i="15"/>
  <c r="E29" i="15"/>
  <c r="F29" i="15"/>
  <c r="G29" i="15"/>
  <c r="H29" i="15"/>
  <c r="I29" i="15"/>
  <c r="D12" i="15"/>
  <c r="N7" i="15"/>
  <c r="M7" i="15"/>
  <c r="L7" i="15"/>
  <c r="K7" i="15"/>
  <c r="J7" i="15"/>
  <c r="I7" i="15"/>
  <c r="H7" i="15"/>
  <c r="G7" i="15"/>
  <c r="F7" i="15"/>
  <c r="E7" i="15"/>
  <c r="D7" i="15"/>
  <c r="N6" i="15"/>
  <c r="M6" i="15"/>
  <c r="L6" i="15"/>
  <c r="K6" i="15"/>
  <c r="J6" i="15"/>
  <c r="I6" i="15"/>
  <c r="H6" i="15"/>
  <c r="G6" i="15"/>
  <c r="F6" i="15"/>
  <c r="E6" i="15"/>
  <c r="D6" i="15"/>
  <c r="N4" i="15"/>
  <c r="M4" i="15"/>
  <c r="L4" i="15"/>
  <c r="K4" i="15"/>
  <c r="J4" i="15"/>
  <c r="I4" i="15"/>
  <c r="H4" i="15"/>
  <c r="G4" i="15"/>
  <c r="F4" i="15"/>
  <c r="E4" i="15"/>
  <c r="D4" i="15"/>
  <c r="A1" i="15"/>
  <c r="H38" i="14"/>
  <c r="I38" i="14"/>
  <c r="J38" i="14"/>
  <c r="K38" i="14"/>
  <c r="L38" i="14"/>
  <c r="G38" i="14"/>
  <c r="H37" i="14"/>
  <c r="I37" i="14"/>
  <c r="J37" i="14"/>
  <c r="K37" i="14"/>
  <c r="L37" i="14"/>
  <c r="G37" i="14"/>
  <c r="H23" i="14"/>
  <c r="H26" i="14" s="1"/>
  <c r="I23" i="14"/>
  <c r="J23" i="14"/>
  <c r="K23" i="14"/>
  <c r="L23" i="14"/>
  <c r="L26" i="14" s="1"/>
  <c r="H24" i="14"/>
  <c r="I24" i="14"/>
  <c r="J24" i="14"/>
  <c r="J26" i="14" s="1"/>
  <c r="K24" i="14"/>
  <c r="K26" i="14" s="1"/>
  <c r="L24" i="14"/>
  <c r="H25" i="14"/>
  <c r="I25" i="14"/>
  <c r="J25" i="14"/>
  <c r="K25" i="14"/>
  <c r="L25" i="14"/>
  <c r="I26" i="14"/>
  <c r="H20" i="14"/>
  <c r="I20" i="14"/>
  <c r="J20" i="14"/>
  <c r="K20" i="14"/>
  <c r="L20" i="14"/>
  <c r="G20" i="14"/>
  <c r="H15" i="14"/>
  <c r="I15" i="14"/>
  <c r="J15" i="14"/>
  <c r="K15" i="14"/>
  <c r="L15" i="14"/>
  <c r="H16" i="14"/>
  <c r="I16" i="14"/>
  <c r="J16" i="14"/>
  <c r="K16" i="14"/>
  <c r="L16" i="14"/>
  <c r="H17" i="14"/>
  <c r="I17" i="14"/>
  <c r="J17" i="14"/>
  <c r="K17" i="14"/>
  <c r="L17" i="14"/>
  <c r="H18" i="14"/>
  <c r="I18" i="14"/>
  <c r="J18" i="14"/>
  <c r="K18" i="14"/>
  <c r="L18" i="14"/>
  <c r="H19" i="14"/>
  <c r="I19" i="14"/>
  <c r="J19" i="14"/>
  <c r="K19" i="14"/>
  <c r="L19" i="14"/>
  <c r="G19" i="14"/>
  <c r="G18" i="14"/>
  <c r="G17" i="14"/>
  <c r="G16" i="14"/>
  <c r="G26" i="14"/>
  <c r="G25" i="14"/>
  <c r="G24" i="14"/>
  <c r="G23" i="14"/>
  <c r="H34" i="14"/>
  <c r="I34" i="14"/>
  <c r="J34" i="14"/>
  <c r="K34" i="14"/>
  <c r="L34" i="14"/>
  <c r="H29" i="14"/>
  <c r="I29" i="14"/>
  <c r="J29" i="14"/>
  <c r="K29" i="14"/>
  <c r="L29" i="14"/>
  <c r="H30" i="14"/>
  <c r="I30" i="14"/>
  <c r="J30" i="14"/>
  <c r="K30" i="14"/>
  <c r="L30" i="14"/>
  <c r="H31" i="14"/>
  <c r="I31" i="14"/>
  <c r="J31" i="14"/>
  <c r="K31" i="14"/>
  <c r="L31" i="14"/>
  <c r="H32" i="14"/>
  <c r="I32" i="14"/>
  <c r="J32" i="14"/>
  <c r="K32" i="14"/>
  <c r="L32" i="14"/>
  <c r="H33" i="14"/>
  <c r="I33" i="14"/>
  <c r="J33" i="14"/>
  <c r="K33" i="14"/>
  <c r="L33" i="14"/>
  <c r="G33" i="14"/>
  <c r="G32" i="14"/>
  <c r="G31" i="14"/>
  <c r="G30" i="14"/>
  <c r="G29" i="14"/>
  <c r="G15" i="14"/>
  <c r="H66" i="14"/>
  <c r="Q7" i="14"/>
  <c r="P7" i="14"/>
  <c r="O7" i="14"/>
  <c r="N7" i="14"/>
  <c r="M7" i="14"/>
  <c r="L7" i="14"/>
  <c r="K7" i="14"/>
  <c r="J7" i="14"/>
  <c r="I7" i="14"/>
  <c r="H7" i="14"/>
  <c r="G7" i="14"/>
  <c r="Q6" i="14"/>
  <c r="P6" i="14"/>
  <c r="O6" i="14"/>
  <c r="N6" i="14"/>
  <c r="M6" i="14"/>
  <c r="L6" i="14"/>
  <c r="K6" i="14"/>
  <c r="J6" i="14"/>
  <c r="I6" i="14"/>
  <c r="H6" i="14"/>
  <c r="G6" i="14"/>
  <c r="Q4" i="14"/>
  <c r="P4" i="14"/>
  <c r="O4" i="14"/>
  <c r="N4" i="14"/>
  <c r="M4" i="14"/>
  <c r="L4" i="14"/>
  <c r="K4" i="14"/>
  <c r="J4" i="14"/>
  <c r="I4" i="14"/>
  <c r="H4" i="14"/>
  <c r="G4" i="14"/>
  <c r="A1" i="14"/>
  <c r="D38" i="13"/>
  <c r="D58" i="13" s="1"/>
  <c r="D56" i="13"/>
  <c r="E49" i="13"/>
  <c r="F49" i="13"/>
  <c r="G49" i="13"/>
  <c r="H49" i="13"/>
  <c r="I49" i="13"/>
  <c r="E50" i="13"/>
  <c r="E54" i="13" s="1"/>
  <c r="F50" i="13"/>
  <c r="F54" i="13" s="1"/>
  <c r="G50" i="13"/>
  <c r="G54" i="13" s="1"/>
  <c r="H50" i="13"/>
  <c r="I50" i="13"/>
  <c r="E51" i="13"/>
  <c r="F51" i="13"/>
  <c r="G51" i="13"/>
  <c r="H51" i="13"/>
  <c r="H54" i="13" s="1"/>
  <c r="I51" i="13"/>
  <c r="I54" i="13" s="1"/>
  <c r="E52" i="13"/>
  <c r="F52" i="13"/>
  <c r="G52" i="13"/>
  <c r="H52" i="13"/>
  <c r="I52" i="13"/>
  <c r="E53" i="13"/>
  <c r="F53" i="13"/>
  <c r="G53" i="13"/>
  <c r="H53" i="13"/>
  <c r="I53" i="13"/>
  <c r="D54" i="13"/>
  <c r="D53" i="13"/>
  <c r="D52" i="13"/>
  <c r="D51" i="13"/>
  <c r="D50" i="13"/>
  <c r="D49" i="13"/>
  <c r="D46" i="13"/>
  <c r="E42" i="13"/>
  <c r="F42" i="13"/>
  <c r="G42" i="13"/>
  <c r="H42" i="13"/>
  <c r="I42" i="13"/>
  <c r="E43" i="13"/>
  <c r="F43" i="13"/>
  <c r="G43" i="13"/>
  <c r="H43" i="13"/>
  <c r="I43" i="13"/>
  <c r="E44" i="13"/>
  <c r="F44" i="13"/>
  <c r="G44" i="13"/>
  <c r="H44" i="13"/>
  <c r="I44" i="13"/>
  <c r="E45" i="13"/>
  <c r="F45" i="13"/>
  <c r="G45" i="13"/>
  <c r="H45" i="13"/>
  <c r="I45" i="13"/>
  <c r="D45" i="13"/>
  <c r="D44" i="13"/>
  <c r="D43" i="13"/>
  <c r="D42" i="13"/>
  <c r="E37" i="13"/>
  <c r="E36" i="13"/>
  <c r="F36" i="13"/>
  <c r="G36" i="13"/>
  <c r="H36" i="13"/>
  <c r="I36" i="13"/>
  <c r="F37" i="13"/>
  <c r="G37" i="13"/>
  <c r="H37" i="13"/>
  <c r="I37" i="13"/>
  <c r="D37" i="13"/>
  <c r="D36" i="13"/>
  <c r="E35" i="13"/>
  <c r="F35" i="13"/>
  <c r="G35" i="13"/>
  <c r="H35" i="13"/>
  <c r="I35" i="13"/>
  <c r="D35" i="13"/>
  <c r="E34" i="13"/>
  <c r="F34" i="13"/>
  <c r="G34" i="13"/>
  <c r="H34" i="13"/>
  <c r="I34" i="13"/>
  <c r="D34" i="13"/>
  <c r="E33" i="13"/>
  <c r="F33" i="13"/>
  <c r="G33" i="13"/>
  <c r="H33" i="13"/>
  <c r="I33" i="13"/>
  <c r="D33" i="13"/>
  <c r="E26" i="13"/>
  <c r="F26" i="13"/>
  <c r="G26" i="13"/>
  <c r="H26" i="13"/>
  <c r="I26" i="13"/>
  <c r="D26" i="13"/>
  <c r="E25" i="13"/>
  <c r="F25" i="13"/>
  <c r="G25" i="13"/>
  <c r="H25" i="13"/>
  <c r="I25" i="13"/>
  <c r="D25" i="13"/>
  <c r="E24" i="13"/>
  <c r="F24" i="13"/>
  <c r="G24" i="13"/>
  <c r="H24" i="13"/>
  <c r="I24" i="13"/>
  <c r="D24" i="13"/>
  <c r="E23" i="13"/>
  <c r="F23" i="13"/>
  <c r="G23" i="13"/>
  <c r="H23" i="13"/>
  <c r="I23" i="13"/>
  <c r="D23" i="13"/>
  <c r="E22" i="13"/>
  <c r="F22" i="13"/>
  <c r="G22" i="13"/>
  <c r="H22" i="13"/>
  <c r="I22" i="13"/>
  <c r="D22" i="13"/>
  <c r="E16" i="13"/>
  <c r="F16" i="13"/>
  <c r="G16" i="13"/>
  <c r="H16" i="13"/>
  <c r="I16" i="13"/>
  <c r="E17" i="13"/>
  <c r="F17" i="13"/>
  <c r="G17" i="13"/>
  <c r="H17" i="13"/>
  <c r="I17" i="13"/>
  <c r="E18" i="13"/>
  <c r="F18" i="13"/>
  <c r="G18" i="13"/>
  <c r="H18" i="13"/>
  <c r="I18" i="13"/>
  <c r="D18" i="13"/>
  <c r="D17" i="13"/>
  <c r="D16" i="13"/>
  <c r="D15" i="13"/>
  <c r="E15" i="13"/>
  <c r="F15" i="13"/>
  <c r="G15" i="13"/>
  <c r="H15" i="13"/>
  <c r="I15" i="13"/>
  <c r="E14" i="13"/>
  <c r="F14" i="13"/>
  <c r="G14" i="13"/>
  <c r="H14" i="13"/>
  <c r="I14" i="13"/>
  <c r="D14" i="13"/>
  <c r="N7" i="13"/>
  <c r="M7" i="13"/>
  <c r="L7" i="13"/>
  <c r="K7" i="13"/>
  <c r="J7" i="13"/>
  <c r="I7" i="13"/>
  <c r="H7" i="13"/>
  <c r="G7" i="13"/>
  <c r="F7" i="13"/>
  <c r="E7" i="13"/>
  <c r="D7" i="13"/>
  <c r="N6" i="13"/>
  <c r="M6" i="13"/>
  <c r="L6" i="13"/>
  <c r="K6" i="13"/>
  <c r="J6" i="13"/>
  <c r="I6" i="13"/>
  <c r="H6" i="13"/>
  <c r="G6" i="13"/>
  <c r="F6" i="13"/>
  <c r="E6" i="13"/>
  <c r="D6" i="13"/>
  <c r="N4" i="13"/>
  <c r="M4" i="13"/>
  <c r="L4" i="13"/>
  <c r="K4" i="13"/>
  <c r="J4" i="13"/>
  <c r="I4" i="13"/>
  <c r="H4" i="13"/>
  <c r="G4" i="13"/>
  <c r="F4" i="13"/>
  <c r="E4" i="13"/>
  <c r="D4" i="13"/>
  <c r="A1" i="13"/>
  <c r="M74" i="7"/>
  <c r="H70" i="7"/>
  <c r="I70" i="7"/>
  <c r="J70" i="7"/>
  <c r="K70" i="7"/>
  <c r="L70" i="7"/>
  <c r="G70" i="7"/>
  <c r="H68" i="7"/>
  <c r="I68" i="7"/>
  <c r="J68" i="7"/>
  <c r="K68" i="7"/>
  <c r="L68" i="7"/>
  <c r="G68" i="7"/>
  <c r="M45" i="7"/>
  <c r="F12" i="9"/>
  <c r="E49" i="9"/>
  <c r="G69" i="7"/>
  <c r="N73" i="7"/>
  <c r="N74" i="7" s="1"/>
  <c r="O73" i="7"/>
  <c r="O74" i="7" s="1"/>
  <c r="P73" i="7"/>
  <c r="P74" i="7" s="1"/>
  <c r="Q73" i="7"/>
  <c r="Q74" i="7" s="1"/>
  <c r="M73" i="7"/>
  <c r="M84" i="7" s="1"/>
  <c r="N64" i="7"/>
  <c r="O64" i="7"/>
  <c r="P64" i="7"/>
  <c r="Q64" i="7"/>
  <c r="M64" i="7"/>
  <c r="N30" i="5"/>
  <c r="O30" i="5"/>
  <c r="P30" i="5"/>
  <c r="Q30" i="5"/>
  <c r="N20" i="5"/>
  <c r="O20" i="5"/>
  <c r="P20" i="5"/>
  <c r="Q20" i="5"/>
  <c r="M20" i="5"/>
  <c r="N16" i="5"/>
  <c r="O16" i="5"/>
  <c r="P16" i="5"/>
  <c r="Q16" i="5"/>
  <c r="M16" i="5"/>
  <c r="K30" i="4"/>
  <c r="L30" i="4"/>
  <c r="M30" i="4"/>
  <c r="N30" i="4"/>
  <c r="J30" i="4"/>
  <c r="K17" i="4"/>
  <c r="L17" i="4"/>
  <c r="M17" i="4"/>
  <c r="N17" i="4"/>
  <c r="J17" i="4"/>
  <c r="N77" i="11"/>
  <c r="O77" i="11"/>
  <c r="P77" i="11"/>
  <c r="Q77" i="11"/>
  <c r="M47" i="9"/>
  <c r="N47" i="9"/>
  <c r="O47" i="9"/>
  <c r="L47" i="9"/>
  <c r="K47" i="9"/>
  <c r="N16" i="11"/>
  <c r="O16" i="11"/>
  <c r="P16" i="11"/>
  <c r="Q16" i="11"/>
  <c r="N18" i="11"/>
  <c r="O18" i="11"/>
  <c r="P18" i="11"/>
  <c r="Q18" i="11"/>
  <c r="M18" i="11"/>
  <c r="M16" i="11"/>
  <c r="M52" i="11"/>
  <c r="M51" i="11"/>
  <c r="M49" i="11"/>
  <c r="N47" i="11"/>
  <c r="O47" i="11"/>
  <c r="P47" i="11"/>
  <c r="Q47" i="11"/>
  <c r="M47" i="11"/>
  <c r="K18" i="2"/>
  <c r="L18" i="2"/>
  <c r="M18" i="2"/>
  <c r="N18" i="2"/>
  <c r="J18" i="2"/>
  <c r="I16" i="2"/>
  <c r="I26" i="4"/>
  <c r="J12" i="9" s="1"/>
  <c r="N70" i="8"/>
  <c r="O70" i="8"/>
  <c r="P70" i="8"/>
  <c r="Q70" i="8"/>
  <c r="M70" i="8"/>
  <c r="N59" i="8"/>
  <c r="O59" i="8"/>
  <c r="P59" i="8"/>
  <c r="Q59" i="8"/>
  <c r="M59" i="8"/>
  <c r="N54" i="8"/>
  <c r="O54" i="8"/>
  <c r="P54" i="8"/>
  <c r="Q54" i="8"/>
  <c r="M54" i="8"/>
  <c r="D14" i="15" l="1"/>
  <c r="D19" i="15" s="1"/>
  <c r="D23" i="15" s="1"/>
  <c r="H14" i="15"/>
  <c r="H19" i="15" s="1"/>
  <c r="H23" i="15" s="1"/>
  <c r="F19" i="15"/>
  <c r="F23" i="15" s="1"/>
  <c r="E19" i="15"/>
  <c r="E23" i="15" s="1"/>
  <c r="I14" i="15"/>
  <c r="I19" i="15" s="1"/>
  <c r="I23" i="15" s="1"/>
  <c r="G34" i="14"/>
  <c r="G38" i="13"/>
  <c r="H38" i="13"/>
  <c r="E38" i="13"/>
  <c r="I38" i="13"/>
  <c r="F38" i="13"/>
  <c r="F46" i="13"/>
  <c r="F56" i="13" s="1"/>
  <c r="E46" i="13"/>
  <c r="E56" i="13" s="1"/>
  <c r="G46" i="13"/>
  <c r="G56" i="13" s="1"/>
  <c r="I46" i="13"/>
  <c r="I56" i="13" s="1"/>
  <c r="H46" i="13"/>
  <c r="H56" i="13" s="1"/>
  <c r="G19" i="13"/>
  <c r="I27" i="13"/>
  <c r="F27" i="13"/>
  <c r="H27" i="13"/>
  <c r="E19" i="13"/>
  <c r="F19" i="13"/>
  <c r="F29" i="13" s="1"/>
  <c r="D27" i="13"/>
  <c r="E27" i="13"/>
  <c r="E29" i="13" s="1"/>
  <c r="D19" i="13"/>
  <c r="I19" i="13"/>
  <c r="I29" i="13" s="1"/>
  <c r="H19" i="13"/>
  <c r="G27" i="13"/>
  <c r="G29" i="13" s="1"/>
  <c r="M77" i="11"/>
  <c r="G58" i="13" l="1"/>
  <c r="H58" i="13"/>
  <c r="F58" i="13"/>
  <c r="E58" i="13"/>
  <c r="I58" i="13"/>
  <c r="H29" i="13"/>
  <c r="D29" i="13"/>
  <c r="A1" i="10" l="1"/>
  <c r="L44" i="9" l="1"/>
  <c r="L85" i="9" s="1"/>
  <c r="M44" i="9"/>
  <c r="M85" i="9" s="1"/>
  <c r="N44" i="9"/>
  <c r="N85" i="9" s="1"/>
  <c r="O44" i="9"/>
  <c r="O85" i="9" s="1"/>
  <c r="K44" i="9"/>
  <c r="K85" i="9" s="1"/>
  <c r="F30" i="9"/>
  <c r="G30" i="9"/>
  <c r="H30" i="9"/>
  <c r="I30" i="9"/>
  <c r="J30" i="9"/>
  <c r="K63" i="9"/>
  <c r="K19" i="9" s="1"/>
  <c r="L63" i="9"/>
  <c r="L19" i="9" s="1"/>
  <c r="L59" i="9"/>
  <c r="M59" i="9"/>
  <c r="N59" i="9"/>
  <c r="O59" i="9"/>
  <c r="K59" i="9"/>
  <c r="J25" i="9"/>
  <c r="K71" i="9"/>
  <c r="L71" i="9" s="1"/>
  <c r="M71" i="9" s="1"/>
  <c r="N71" i="9" s="1"/>
  <c r="O71" i="9" s="1"/>
  <c r="K70" i="9"/>
  <c r="L70" i="9" s="1"/>
  <c r="L68" i="9" s="1"/>
  <c r="L20" i="9" s="1"/>
  <c r="L22" i="9" s="1"/>
  <c r="L18" i="9" s="1"/>
  <c r="M63" i="9"/>
  <c r="M19" i="9" s="1"/>
  <c r="N63" i="9"/>
  <c r="N19" i="9" s="1"/>
  <c r="O63" i="9"/>
  <c r="O19" i="9" s="1"/>
  <c r="K53" i="9"/>
  <c r="L53" i="9"/>
  <c r="M53" i="9"/>
  <c r="N53" i="9"/>
  <c r="O53" i="9"/>
  <c r="F47" i="9"/>
  <c r="G47" i="9"/>
  <c r="H47" i="9"/>
  <c r="I47" i="9"/>
  <c r="J47" i="9"/>
  <c r="G25" i="9"/>
  <c r="H25" i="9"/>
  <c r="I25" i="9"/>
  <c r="F25" i="9"/>
  <c r="G19" i="9"/>
  <c r="H19" i="9"/>
  <c r="I19" i="9"/>
  <c r="J19" i="9"/>
  <c r="F19" i="9"/>
  <c r="I21" i="2"/>
  <c r="A1" i="9"/>
  <c r="N26" i="8"/>
  <c r="O26" i="8"/>
  <c r="P26" i="8"/>
  <c r="Q26" i="8"/>
  <c r="M26" i="8"/>
  <c r="H25" i="8"/>
  <c r="I25" i="8"/>
  <c r="J25" i="8"/>
  <c r="K25" i="8"/>
  <c r="L25" i="8"/>
  <c r="G25" i="8"/>
  <c r="M15" i="8"/>
  <c r="N20" i="8"/>
  <c r="O20" i="8"/>
  <c r="P20" i="8"/>
  <c r="Q20" i="8"/>
  <c r="M20" i="8"/>
  <c r="N33" i="8"/>
  <c r="O33" i="8" s="1"/>
  <c r="P33" i="8" s="1"/>
  <c r="Q33" i="8" s="1"/>
  <c r="Q15" i="8" s="1"/>
  <c r="G14" i="8"/>
  <c r="H14" i="8"/>
  <c r="I14" i="8"/>
  <c r="J14" i="8"/>
  <c r="K14" i="8"/>
  <c r="L14" i="8"/>
  <c r="G13" i="8"/>
  <c r="G51" i="8" s="1"/>
  <c r="H13" i="8"/>
  <c r="H51" i="8" s="1"/>
  <c r="I13" i="8"/>
  <c r="I51" i="8" s="1"/>
  <c r="J13" i="8"/>
  <c r="J51" i="8" s="1"/>
  <c r="K13" i="8"/>
  <c r="K51" i="8" s="1"/>
  <c r="L13" i="8"/>
  <c r="L51" i="8" s="1"/>
  <c r="G24" i="8" l="1"/>
  <c r="G26" i="8" s="1"/>
  <c r="G80" i="8"/>
  <c r="J24" i="8"/>
  <c r="J26" i="8" s="1"/>
  <c r="J80" i="8"/>
  <c r="L24" i="8"/>
  <c r="L80" i="8"/>
  <c r="K24" i="8"/>
  <c r="K26" i="8" s="1"/>
  <c r="K80" i="8"/>
  <c r="I24" i="8"/>
  <c r="I26" i="8" s="1"/>
  <c r="I80" i="8"/>
  <c r="H24" i="8"/>
  <c r="H26" i="8" s="1"/>
  <c r="H80" i="8"/>
  <c r="Q28" i="8"/>
  <c r="L26" i="8"/>
  <c r="M28" i="8"/>
  <c r="L90" i="9"/>
  <c r="M95" i="9"/>
  <c r="M90" i="9"/>
  <c r="K95" i="9"/>
  <c r="K90" i="9"/>
  <c r="O95" i="9"/>
  <c r="N95" i="9"/>
  <c r="O90" i="9"/>
  <c r="L95" i="9"/>
  <c r="N90" i="9"/>
  <c r="K68" i="9"/>
  <c r="K20" i="9" s="1"/>
  <c r="M70" i="9"/>
  <c r="N15" i="8"/>
  <c r="N28" i="8" s="1"/>
  <c r="O15" i="8"/>
  <c r="O28" i="8" s="1"/>
  <c r="L15" i="8"/>
  <c r="K15" i="8"/>
  <c r="J15" i="8"/>
  <c r="P15" i="8"/>
  <c r="P28" i="8" s="1"/>
  <c r="I15" i="8"/>
  <c r="H15" i="8"/>
  <c r="G15" i="8"/>
  <c r="L28" i="8" l="1"/>
  <c r="G28" i="8"/>
  <c r="H28" i="8"/>
  <c r="K28" i="8"/>
  <c r="N70" i="9"/>
  <c r="M68" i="9"/>
  <c r="I28" i="8"/>
  <c r="J28" i="8"/>
  <c r="M20" i="9" l="1"/>
  <c r="O70" i="9"/>
  <c r="O68" i="9" s="1"/>
  <c r="N68" i="9"/>
  <c r="O20" i="9" l="1"/>
  <c r="O22" i="9" s="1"/>
  <c r="N20" i="9"/>
  <c r="N22" i="9" s="1"/>
  <c r="N18" i="9" l="1"/>
  <c r="O18" i="9"/>
  <c r="E29" i="7" l="1"/>
  <c r="E31" i="7"/>
  <c r="E45" i="7"/>
  <c r="O46" i="7" s="1"/>
  <c r="E47" i="7"/>
  <c r="P48" i="7" s="1"/>
  <c r="N48" i="7"/>
  <c r="P30" i="7"/>
  <c r="M23" i="7"/>
  <c r="N23" i="7" s="1"/>
  <c r="O23" i="7" s="1"/>
  <c r="P23" i="7" s="1"/>
  <c r="Q23" i="7" s="1"/>
  <c r="M16" i="7"/>
  <c r="E21" i="7"/>
  <c r="O22" i="7" s="1"/>
  <c r="E13" i="7"/>
  <c r="N16" i="7"/>
  <c r="O16" i="7"/>
  <c r="P16" i="7"/>
  <c r="Q16" i="7"/>
  <c r="N14" i="7"/>
  <c r="O14" i="7"/>
  <c r="P14" i="7"/>
  <c r="Q14" i="7"/>
  <c r="M14" i="7"/>
  <c r="K69" i="7"/>
  <c r="J69" i="7"/>
  <c r="L69" i="7"/>
  <c r="I69" i="7"/>
  <c r="H69" i="7"/>
  <c r="H58" i="7"/>
  <c r="I58" i="7"/>
  <c r="J58" i="7"/>
  <c r="K58" i="7"/>
  <c r="L58" i="7"/>
  <c r="G58" i="7"/>
  <c r="H49" i="7"/>
  <c r="I49" i="7"/>
  <c r="J49" i="7"/>
  <c r="K49" i="7"/>
  <c r="L49" i="7"/>
  <c r="M44" i="7" s="1"/>
  <c r="G49" i="7"/>
  <c r="H34" i="7"/>
  <c r="I34" i="7"/>
  <c r="J34" i="7"/>
  <c r="K34" i="7"/>
  <c r="L34" i="7"/>
  <c r="M28" i="7" s="1"/>
  <c r="G34" i="7"/>
  <c r="H24" i="7"/>
  <c r="I24" i="7"/>
  <c r="J24" i="7"/>
  <c r="K24" i="7"/>
  <c r="L24" i="7"/>
  <c r="M20" i="7" s="1"/>
  <c r="G24" i="7"/>
  <c r="G17" i="7"/>
  <c r="H17" i="7"/>
  <c r="I17" i="7"/>
  <c r="J17" i="7"/>
  <c r="K17" i="7"/>
  <c r="L17" i="7"/>
  <c r="M12" i="7" s="1"/>
  <c r="N32" i="7" l="1"/>
  <c r="O32" i="7"/>
  <c r="M32" i="7"/>
  <c r="P32" i="7"/>
  <c r="Q32" i="7"/>
  <c r="N30" i="7"/>
  <c r="M30" i="7"/>
  <c r="O48" i="7"/>
  <c r="E56" i="7"/>
  <c r="Q48" i="7"/>
  <c r="M48" i="7"/>
  <c r="Q30" i="7"/>
  <c r="O30" i="7"/>
  <c r="Q46" i="7"/>
  <c r="E55" i="7"/>
  <c r="P46" i="7"/>
  <c r="M46" i="7"/>
  <c r="N46" i="7"/>
  <c r="M22" i="7"/>
  <c r="Q22" i="7"/>
  <c r="N22" i="7"/>
  <c r="P22" i="7"/>
  <c r="M15" i="7"/>
  <c r="J25" i="7"/>
  <c r="J53" i="7" s="1"/>
  <c r="I25" i="7"/>
  <c r="I53" i="7" s="1"/>
  <c r="G25" i="7"/>
  <c r="G53" i="7" s="1"/>
  <c r="L25" i="7"/>
  <c r="L53" i="7" s="1"/>
  <c r="K25" i="7"/>
  <c r="K53" i="7" s="1"/>
  <c r="H25" i="7"/>
  <c r="H53" i="7" s="1"/>
  <c r="A1" i="7" l="1"/>
  <c r="M40" i="7"/>
  <c r="N49" i="11"/>
  <c r="O49" i="11"/>
  <c r="P49" i="11"/>
  <c r="Q49" i="11"/>
  <c r="N51" i="11"/>
  <c r="O51" i="11"/>
  <c r="P51" i="11"/>
  <c r="Q51" i="11"/>
  <c r="N52" i="11"/>
  <c r="O52" i="11"/>
  <c r="P52" i="11"/>
  <c r="Q52" i="11"/>
  <c r="O19" i="11"/>
  <c r="P19" i="11"/>
  <c r="Q19" i="11"/>
  <c r="N19" i="11"/>
  <c r="M54" i="11" l="1"/>
  <c r="Q54" i="11"/>
  <c r="P54" i="11"/>
  <c r="O54" i="11"/>
  <c r="N54" i="11"/>
  <c r="M19" i="11" l="1"/>
  <c r="M17" i="11"/>
  <c r="N22" i="11" s="1"/>
  <c r="G21" i="11"/>
  <c r="T43" i="11"/>
  <c r="U43" i="11"/>
  <c r="V43" i="11"/>
  <c r="W43" i="11"/>
  <c r="X43" i="11"/>
  <c r="Y43" i="11"/>
  <c r="G19" i="11"/>
  <c r="H19" i="11"/>
  <c r="H17" i="11"/>
  <c r="H18" i="11" s="1"/>
  <c r="H22" i="11" s="1"/>
  <c r="I17" i="11"/>
  <c r="I16" i="11" s="1"/>
  <c r="J17" i="11"/>
  <c r="J16" i="11" s="1"/>
  <c r="K17" i="11"/>
  <c r="K16" i="11" s="1"/>
  <c r="L17" i="11"/>
  <c r="L16" i="11" s="1"/>
  <c r="V45" i="11"/>
  <c r="W45" i="11"/>
  <c r="X45" i="11"/>
  <c r="Y45" i="11"/>
  <c r="U45" i="11"/>
  <c r="V44" i="11"/>
  <c r="W44" i="11"/>
  <c r="X44" i="11"/>
  <c r="Y44" i="11"/>
  <c r="U44" i="11"/>
  <c r="E16" i="2"/>
  <c r="F16" i="2"/>
  <c r="G16" i="2"/>
  <c r="H16" i="2"/>
  <c r="D16" i="2"/>
  <c r="F18" i="2"/>
  <c r="I80" i="11" s="1"/>
  <c r="G18" i="2"/>
  <c r="J80" i="11" s="1"/>
  <c r="H18" i="2"/>
  <c r="K80" i="11" s="1"/>
  <c r="H19" i="2"/>
  <c r="I19" i="2"/>
  <c r="H21" i="2"/>
  <c r="G21" i="2"/>
  <c r="F21" i="2"/>
  <c r="E21" i="2"/>
  <c r="I14" i="2"/>
  <c r="I18" i="2"/>
  <c r="L80" i="11" s="1"/>
  <c r="I13" i="2"/>
  <c r="H14" i="2"/>
  <c r="H13" i="2"/>
  <c r="G14" i="2"/>
  <c r="G19" i="2"/>
  <c r="G13" i="2"/>
  <c r="F19" i="2"/>
  <c r="F14" i="2"/>
  <c r="F13" i="2"/>
  <c r="E14" i="2"/>
  <c r="E13" i="2"/>
  <c r="E19" i="2"/>
  <c r="E18" i="2"/>
  <c r="H80" i="11" s="1"/>
  <c r="D18" i="2"/>
  <c r="G80" i="11" s="1"/>
  <c r="D19" i="2"/>
  <c r="D21" i="2"/>
  <c r="D14" i="2"/>
  <c r="D13" i="2"/>
  <c r="E11" i="2"/>
  <c r="U50" i="11" s="1"/>
  <c r="F11" i="2"/>
  <c r="V50" i="11" s="1"/>
  <c r="G11" i="2"/>
  <c r="W50" i="11" s="1"/>
  <c r="H11" i="2"/>
  <c r="X50" i="11" s="1"/>
  <c r="I11" i="2"/>
  <c r="Y50" i="11" s="1"/>
  <c r="D11" i="2"/>
  <c r="T50" i="11" s="1"/>
  <c r="E10" i="2"/>
  <c r="F10" i="2"/>
  <c r="G10" i="2"/>
  <c r="H10" i="2"/>
  <c r="I10" i="2"/>
  <c r="D10" i="2"/>
  <c r="W54" i="11" l="1"/>
  <c r="K79" i="8"/>
  <c r="K18" i="8"/>
  <c r="K59" i="7"/>
  <c r="K60" i="7" s="1"/>
  <c r="X49" i="11"/>
  <c r="X53" i="11" s="1"/>
  <c r="V54" i="11"/>
  <c r="G79" i="8"/>
  <c r="G18" i="8"/>
  <c r="G59" i="7"/>
  <c r="G60" i="7" s="1"/>
  <c r="T49" i="11"/>
  <c r="T53" i="11" s="1"/>
  <c r="X54" i="11"/>
  <c r="X51" i="11"/>
  <c r="W56" i="11"/>
  <c r="L79" i="8"/>
  <c r="L18" i="8"/>
  <c r="L59" i="7"/>
  <c r="L60" i="7" s="1"/>
  <c r="Y49" i="11"/>
  <c r="Y53" i="11" s="1"/>
  <c r="W55" i="11"/>
  <c r="J79" i="8"/>
  <c r="J18" i="8"/>
  <c r="J59" i="7"/>
  <c r="J60" i="7" s="1"/>
  <c r="W49" i="11"/>
  <c r="W53" i="11" s="1"/>
  <c r="U54" i="11"/>
  <c r="I79" i="8"/>
  <c r="I18" i="8"/>
  <c r="I59" i="7"/>
  <c r="I60" i="7" s="1"/>
  <c r="V49" i="11"/>
  <c r="V53" i="11" s="1"/>
  <c r="H79" i="8"/>
  <c r="H18" i="8"/>
  <c r="H59" i="7"/>
  <c r="H60" i="7" s="1"/>
  <c r="U49" i="11"/>
  <c r="U53" i="11" s="1"/>
  <c r="T55" i="11"/>
  <c r="V55" i="11"/>
  <c r="T54" i="11"/>
  <c r="T51" i="11"/>
  <c r="Y54" i="11"/>
  <c r="Y51" i="11"/>
  <c r="Y55" i="11"/>
  <c r="G17" i="2"/>
  <c r="G20" i="2" s="1"/>
  <c r="G22" i="2" s="1"/>
  <c r="H9" i="9" s="1"/>
  <c r="Y56" i="11"/>
  <c r="G15" i="2"/>
  <c r="H50" i="9" s="1"/>
  <c r="K10" i="2"/>
  <c r="N20" i="11"/>
  <c r="N9" i="7"/>
  <c r="N46" i="11"/>
  <c r="K11" i="2" s="1"/>
  <c r="K12" i="2" s="1"/>
  <c r="M22" i="11"/>
  <c r="J10" i="2" s="1"/>
  <c r="M18" i="8" s="1"/>
  <c r="M50" i="8" s="1"/>
  <c r="M58" i="8" s="1"/>
  <c r="J14" i="4" s="1"/>
  <c r="N50" i="11"/>
  <c r="K13" i="2" s="1"/>
  <c r="N48" i="11"/>
  <c r="K14" i="2" s="1"/>
  <c r="L21" i="11"/>
  <c r="I21" i="11"/>
  <c r="H21" i="11"/>
  <c r="K21" i="11"/>
  <c r="J21" i="11"/>
  <c r="I18" i="11"/>
  <c r="I22" i="11" s="1"/>
  <c r="L18" i="11"/>
  <c r="L22" i="11" s="1"/>
  <c r="K18" i="11"/>
  <c r="K22" i="11" s="1"/>
  <c r="J18" i="11"/>
  <c r="J22" i="11" s="1"/>
  <c r="H16" i="11"/>
  <c r="F12" i="2"/>
  <c r="F17" i="2" s="1"/>
  <c r="F20" i="2" s="1"/>
  <c r="F22" i="2" s="1"/>
  <c r="G9" i="9" s="1"/>
  <c r="E12" i="2"/>
  <c r="E17" i="2" s="1"/>
  <c r="E20" i="2" s="1"/>
  <c r="E22" i="2" s="1"/>
  <c r="F9" i="9" s="1"/>
  <c r="H12" i="2"/>
  <c r="H17" i="2" s="1"/>
  <c r="D12" i="2"/>
  <c r="D17" i="2" s="1"/>
  <c r="D20" i="2" s="1"/>
  <c r="D22" i="2" s="1"/>
  <c r="E9" i="9" s="1"/>
  <c r="I12" i="2"/>
  <c r="I17" i="2" s="1"/>
  <c r="G12" i="2"/>
  <c r="H20" i="2" l="1"/>
  <c r="H15" i="2"/>
  <c r="I50" i="9" s="1"/>
  <c r="V51" i="11"/>
  <c r="V56" i="11"/>
  <c r="J19" i="8"/>
  <c r="J50" i="8"/>
  <c r="U56" i="11"/>
  <c r="H50" i="8"/>
  <c r="H19" i="8"/>
  <c r="U51" i="11"/>
  <c r="G23" i="2"/>
  <c r="X55" i="11"/>
  <c r="G19" i="8"/>
  <c r="G50" i="8"/>
  <c r="W51" i="11"/>
  <c r="I50" i="8"/>
  <c r="I19" i="8"/>
  <c r="X56" i="11"/>
  <c r="K19" i="8"/>
  <c r="K50" i="8"/>
  <c r="T56" i="11"/>
  <c r="U55" i="11"/>
  <c r="L19" i="8"/>
  <c r="L50" i="8"/>
  <c r="D23" i="2"/>
  <c r="M15" i="5"/>
  <c r="E15" i="2"/>
  <c r="F50" i="9" s="1"/>
  <c r="D15" i="2"/>
  <c r="E50" i="9" s="1"/>
  <c r="I20" i="2"/>
  <c r="I15" i="2"/>
  <c r="J50" i="9" s="1"/>
  <c r="F23" i="2"/>
  <c r="F15" i="2"/>
  <c r="G50" i="9" s="1"/>
  <c r="E23" i="2"/>
  <c r="M50" i="11"/>
  <c r="J13" i="2" s="1"/>
  <c r="K15" i="2"/>
  <c r="M53" i="8"/>
  <c r="J19" i="4" s="1"/>
  <c r="M19" i="8"/>
  <c r="J18" i="4" s="1"/>
  <c r="M79" i="8"/>
  <c r="N13" i="8"/>
  <c r="N18" i="8"/>
  <c r="N50" i="8" s="1"/>
  <c r="N58" i="8" s="1"/>
  <c r="K14" i="4" s="1"/>
  <c r="N15" i="5" s="1"/>
  <c r="M9" i="7"/>
  <c r="M46" i="11"/>
  <c r="J11" i="2" s="1"/>
  <c r="J12" i="2" s="1"/>
  <c r="M48" i="11"/>
  <c r="J14" i="2" s="1"/>
  <c r="M20" i="11"/>
  <c r="M21" i="11" s="1"/>
  <c r="N15" i="11" s="1"/>
  <c r="N17" i="11" s="1"/>
  <c r="N21" i="11" s="1"/>
  <c r="N65" i="7"/>
  <c r="N13" i="7"/>
  <c r="K16" i="2"/>
  <c r="N21" i="7"/>
  <c r="A1" i="12"/>
  <c r="D36" i="4"/>
  <c r="E36" i="4"/>
  <c r="F36" i="4"/>
  <c r="G36" i="4"/>
  <c r="H36" i="4"/>
  <c r="I36" i="4"/>
  <c r="I35" i="4"/>
  <c r="H35" i="4"/>
  <c r="H37" i="4" s="1"/>
  <c r="G35" i="4"/>
  <c r="G37" i="4" s="1"/>
  <c r="F35" i="4"/>
  <c r="E35" i="4"/>
  <c r="E37" i="4" s="1"/>
  <c r="D35" i="4"/>
  <c r="D31" i="4"/>
  <c r="G63" i="8" s="1"/>
  <c r="E31" i="4"/>
  <c r="H63" i="8" s="1"/>
  <c r="F31" i="4"/>
  <c r="I63" i="8" s="1"/>
  <c r="G31" i="4"/>
  <c r="J63" i="8" s="1"/>
  <c r="H31" i="4"/>
  <c r="K63" i="8" s="1"/>
  <c r="I31" i="4"/>
  <c r="L63" i="8" s="1"/>
  <c r="I30" i="4"/>
  <c r="H30" i="4"/>
  <c r="G30" i="4"/>
  <c r="F30" i="4"/>
  <c r="E30" i="4"/>
  <c r="D30" i="4"/>
  <c r="D26" i="4"/>
  <c r="D27" i="4"/>
  <c r="G69" i="8" s="1"/>
  <c r="E27" i="4"/>
  <c r="H69" i="8" s="1"/>
  <c r="F27" i="4"/>
  <c r="I69" i="8" s="1"/>
  <c r="G27" i="4"/>
  <c r="J69" i="8" s="1"/>
  <c r="H27" i="4"/>
  <c r="K69" i="8" s="1"/>
  <c r="I27" i="4"/>
  <c r="L69" i="8" s="1"/>
  <c r="H26" i="4"/>
  <c r="I12" i="9" s="1"/>
  <c r="G26" i="4"/>
  <c r="H12" i="9" s="1"/>
  <c r="F26" i="4"/>
  <c r="G12" i="9" s="1"/>
  <c r="E26" i="4"/>
  <c r="I22" i="4"/>
  <c r="J34" i="9" s="1"/>
  <c r="K30" i="9" s="1"/>
  <c r="H22" i="4"/>
  <c r="I34" i="9" s="1"/>
  <c r="G22" i="4"/>
  <c r="H34" i="9" s="1"/>
  <c r="F22" i="4"/>
  <c r="G34" i="9" s="1"/>
  <c r="E22" i="4"/>
  <c r="F34" i="9" s="1"/>
  <c r="D22" i="4"/>
  <c r="E34" i="9" s="1"/>
  <c r="D18" i="4"/>
  <c r="E18" i="4"/>
  <c r="F18" i="4"/>
  <c r="G18" i="4"/>
  <c r="H18" i="4"/>
  <c r="I18" i="4"/>
  <c r="D19" i="4"/>
  <c r="G53" i="8" s="1"/>
  <c r="E19" i="4"/>
  <c r="H53" i="8" s="1"/>
  <c r="F19" i="4"/>
  <c r="I53" i="8" s="1"/>
  <c r="G19" i="4"/>
  <c r="J53" i="8" s="1"/>
  <c r="H19" i="4"/>
  <c r="K53" i="8" s="1"/>
  <c r="I19" i="4"/>
  <c r="L53" i="8" s="1"/>
  <c r="I17" i="4"/>
  <c r="H17" i="4"/>
  <c r="G17" i="4"/>
  <c r="F17" i="4"/>
  <c r="E17" i="4"/>
  <c r="D17" i="4"/>
  <c r="I13" i="4"/>
  <c r="I14" i="4"/>
  <c r="L58" i="8" s="1"/>
  <c r="I12" i="4"/>
  <c r="H13" i="4"/>
  <c r="H14" i="4"/>
  <c r="K58" i="8" s="1"/>
  <c r="H12" i="4"/>
  <c r="G13" i="4"/>
  <c r="G14" i="4"/>
  <c r="J58" i="8" s="1"/>
  <c r="G12" i="4"/>
  <c r="F13" i="4"/>
  <c r="F14" i="4"/>
  <c r="I58" i="8" s="1"/>
  <c r="F12" i="4"/>
  <c r="E13" i="4"/>
  <c r="E14" i="4"/>
  <c r="H58" i="8" s="1"/>
  <c r="E12" i="4"/>
  <c r="D13" i="4"/>
  <c r="D14" i="4"/>
  <c r="G58" i="8" s="1"/>
  <c r="D12" i="4"/>
  <c r="H22" i="2" l="1"/>
  <c r="I9" i="9" s="1"/>
  <c r="H23" i="2"/>
  <c r="M17" i="5"/>
  <c r="J20" i="4"/>
  <c r="I23" i="2"/>
  <c r="I22" i="2"/>
  <c r="J9" i="9" s="1"/>
  <c r="N18" i="5"/>
  <c r="M18" i="5"/>
  <c r="E51" i="9"/>
  <c r="M65" i="7"/>
  <c r="J15" i="2"/>
  <c r="K50" i="9" s="1"/>
  <c r="K17" i="2"/>
  <c r="N84" i="7"/>
  <c r="N13" i="5" s="1"/>
  <c r="L50" i="9"/>
  <c r="L57" i="9"/>
  <c r="D37" i="4"/>
  <c r="I28" i="4"/>
  <c r="G81" i="8"/>
  <c r="G54" i="8"/>
  <c r="H28" i="4"/>
  <c r="E32" i="4"/>
  <c r="I64" i="8"/>
  <c r="I85" i="8"/>
  <c r="I37" i="4"/>
  <c r="J64" i="8"/>
  <c r="J85" i="8"/>
  <c r="I83" i="8"/>
  <c r="I59" i="8"/>
  <c r="L70" i="8"/>
  <c r="L87" i="8"/>
  <c r="G64" i="8"/>
  <c r="G85" i="8"/>
  <c r="H83" i="8"/>
  <c r="H59" i="8"/>
  <c r="H81" i="8"/>
  <c r="H54" i="8"/>
  <c r="G70" i="8"/>
  <c r="G87" i="8"/>
  <c r="K83" i="8"/>
  <c r="K59" i="8"/>
  <c r="H64" i="8"/>
  <c r="H85" i="8"/>
  <c r="L83" i="8"/>
  <c r="L59" i="8"/>
  <c r="L81" i="8"/>
  <c r="L54" i="8"/>
  <c r="K70" i="8"/>
  <c r="K87" i="8"/>
  <c r="G83" i="8"/>
  <c r="G59" i="8"/>
  <c r="K81" i="8"/>
  <c r="K54" i="8"/>
  <c r="I70" i="8"/>
  <c r="I87" i="8"/>
  <c r="L64" i="8"/>
  <c r="L85" i="8"/>
  <c r="F37" i="4"/>
  <c r="J70" i="8"/>
  <c r="J87" i="8"/>
  <c r="J83" i="8"/>
  <c r="J59" i="8"/>
  <c r="J81" i="8"/>
  <c r="J54" i="8"/>
  <c r="E28" i="4"/>
  <c r="E33" i="4" s="1"/>
  <c r="E39" i="4" s="1"/>
  <c r="I81" i="8"/>
  <c r="I54" i="8"/>
  <c r="H70" i="8"/>
  <c r="H87" i="8"/>
  <c r="D28" i="4"/>
  <c r="K64" i="8"/>
  <c r="K85" i="8"/>
  <c r="G28" i="4"/>
  <c r="F28" i="4"/>
  <c r="N53" i="8"/>
  <c r="K19" i="4" s="1"/>
  <c r="N80" i="8"/>
  <c r="N51" i="8"/>
  <c r="N69" i="8" s="1"/>
  <c r="K27" i="4" s="1"/>
  <c r="N19" i="8"/>
  <c r="K18" i="4" s="1"/>
  <c r="N79" i="8"/>
  <c r="O22" i="11"/>
  <c r="O46" i="11" s="1"/>
  <c r="L11" i="2" s="1"/>
  <c r="O15" i="11"/>
  <c r="O17" i="11" s="1"/>
  <c r="P22" i="11" s="1"/>
  <c r="M13" i="8"/>
  <c r="N24" i="8"/>
  <c r="N25" i="8" s="1"/>
  <c r="N14" i="8"/>
  <c r="D15" i="4"/>
  <c r="H32" i="4"/>
  <c r="H33" i="4" s="1"/>
  <c r="H39" i="4" s="1"/>
  <c r="I32" i="4"/>
  <c r="D32" i="4"/>
  <c r="F32" i="4"/>
  <c r="M53" i="11"/>
  <c r="N45" i="7"/>
  <c r="N37" i="7" s="1"/>
  <c r="N25" i="5" s="1"/>
  <c r="N29" i="7"/>
  <c r="N36" i="7" s="1"/>
  <c r="N26" i="5" s="1"/>
  <c r="N31" i="7"/>
  <c r="N47" i="7"/>
  <c r="J16" i="2"/>
  <c r="J17" i="2" s="1"/>
  <c r="M13" i="7"/>
  <c r="M21" i="7"/>
  <c r="M24" i="7" s="1"/>
  <c r="N20" i="7" s="1"/>
  <c r="N24" i="7" s="1"/>
  <c r="O20" i="7" s="1"/>
  <c r="N53" i="11"/>
  <c r="E15" i="4"/>
  <c r="G20" i="4"/>
  <c r="I20" i="4"/>
  <c r="G32" i="4"/>
  <c r="H20" i="4"/>
  <c r="E20" i="4"/>
  <c r="D20" i="4"/>
  <c r="F20" i="4"/>
  <c r="I15" i="4"/>
  <c r="H15" i="4"/>
  <c r="G15" i="4"/>
  <c r="G24" i="4" s="1"/>
  <c r="F15" i="4"/>
  <c r="E4" i="2"/>
  <c r="A1" i="11"/>
  <c r="K20" i="4" l="1"/>
  <c r="K28" i="4"/>
  <c r="M61" i="8"/>
  <c r="N17" i="5"/>
  <c r="N27" i="5"/>
  <c r="M17" i="7"/>
  <c r="I33" i="4"/>
  <c r="I39" i="4" s="1"/>
  <c r="P9" i="7"/>
  <c r="M10" i="2"/>
  <c r="P18" i="8" s="1"/>
  <c r="P50" i="8" s="1"/>
  <c r="P58" i="8" s="1"/>
  <c r="M14" i="4" s="1"/>
  <c r="O9" i="7"/>
  <c r="L10" i="2"/>
  <c r="O20" i="11"/>
  <c r="O21" i="11" s="1"/>
  <c r="P15" i="11" s="1"/>
  <c r="P17" i="11" s="1"/>
  <c r="Q22" i="11" s="1"/>
  <c r="O50" i="11"/>
  <c r="L13" i="2" s="1"/>
  <c r="O48" i="11"/>
  <c r="L14" i="2" s="1"/>
  <c r="M13" i="5"/>
  <c r="K57" i="9"/>
  <c r="G33" i="4"/>
  <c r="G39" i="4" s="1"/>
  <c r="E24" i="4"/>
  <c r="F33" i="4"/>
  <c r="F39" i="4"/>
  <c r="D24" i="4"/>
  <c r="N81" i="8"/>
  <c r="M56" i="8"/>
  <c r="N56" i="8" s="1"/>
  <c r="O56" i="8" s="1"/>
  <c r="M66" i="8"/>
  <c r="M65" i="8"/>
  <c r="N65" i="8" s="1"/>
  <c r="O65" i="8" s="1"/>
  <c r="P65" i="8" s="1"/>
  <c r="Q65" i="8" s="1"/>
  <c r="D33" i="4"/>
  <c r="D39" i="4" s="1"/>
  <c r="M72" i="8"/>
  <c r="M80" i="8"/>
  <c r="M81" i="8" s="1"/>
  <c r="M51" i="8"/>
  <c r="M69" i="8" s="1"/>
  <c r="J27" i="4" s="1"/>
  <c r="N22" i="5" s="1"/>
  <c r="O13" i="8"/>
  <c r="M24" i="8"/>
  <c r="M25" i="8" s="1"/>
  <c r="M14" i="8"/>
  <c r="E40" i="4"/>
  <c r="G40" i="4"/>
  <c r="H24" i="4"/>
  <c r="H40" i="4" s="1"/>
  <c r="I24" i="4"/>
  <c r="F24" i="4"/>
  <c r="M37" i="7"/>
  <c r="M25" i="5" s="1"/>
  <c r="M29" i="7"/>
  <c r="M36" i="7" s="1"/>
  <c r="M26" i="5" s="1"/>
  <c r="N12" i="7"/>
  <c r="N15" i="7" s="1"/>
  <c r="N17" i="7" s="1"/>
  <c r="M25" i="7"/>
  <c r="M47" i="7"/>
  <c r="M31" i="7"/>
  <c r="P20" i="11"/>
  <c r="P48" i="11"/>
  <c r="M14" i="2" s="1"/>
  <c r="P50" i="11"/>
  <c r="M13" i="2" s="1"/>
  <c r="P46" i="11"/>
  <c r="M11" i="2" s="1"/>
  <c r="Q7" i="11"/>
  <c r="P7" i="11"/>
  <c r="O7" i="11"/>
  <c r="N7" i="11"/>
  <c r="M7" i="11"/>
  <c r="L7" i="11"/>
  <c r="K7" i="11"/>
  <c r="J7" i="11"/>
  <c r="I7" i="11"/>
  <c r="H7" i="11"/>
  <c r="G7" i="11"/>
  <c r="Q6" i="11"/>
  <c r="P6" i="11"/>
  <c r="O6" i="11"/>
  <c r="N6" i="11"/>
  <c r="M6" i="11"/>
  <c r="L6" i="11"/>
  <c r="K6" i="11"/>
  <c r="J6" i="11"/>
  <c r="I6" i="11"/>
  <c r="H6" i="11"/>
  <c r="G6" i="11"/>
  <c r="Q4" i="11"/>
  <c r="P4" i="11"/>
  <c r="O4" i="11"/>
  <c r="N4" i="11"/>
  <c r="M4" i="11"/>
  <c r="L4" i="11"/>
  <c r="K4" i="11"/>
  <c r="J4" i="11"/>
  <c r="I4" i="11"/>
  <c r="H4" i="11"/>
  <c r="G4" i="11"/>
  <c r="H55" i="5"/>
  <c r="M22" i="5" l="1"/>
  <c r="J28" i="4"/>
  <c r="P65" i="7"/>
  <c r="M16" i="2"/>
  <c r="O21" i="7"/>
  <c r="O24" i="7" s="1"/>
  <c r="P20" i="7" s="1"/>
  <c r="O31" i="7"/>
  <c r="M27" i="5"/>
  <c r="P21" i="7"/>
  <c r="P24" i="7" s="1"/>
  <c r="Q20" i="7" s="1"/>
  <c r="P13" i="7"/>
  <c r="O13" i="7"/>
  <c r="O53" i="11"/>
  <c r="M34" i="7"/>
  <c r="M41" i="7" s="1"/>
  <c r="J13" i="4" s="1"/>
  <c r="Q9" i="7"/>
  <c r="N10" i="2"/>
  <c r="Q18" i="8" s="1"/>
  <c r="Q50" i="8" s="1"/>
  <c r="Q58" i="8" s="1"/>
  <c r="N14" i="4" s="1"/>
  <c r="Q15" i="5" s="1"/>
  <c r="L12" i="2"/>
  <c r="L15" i="2" s="1"/>
  <c r="O18" i="8"/>
  <c r="M12" i="2"/>
  <c r="M15" i="2" s="1"/>
  <c r="O65" i="7"/>
  <c r="F40" i="4"/>
  <c r="I40" i="4"/>
  <c r="D40" i="4"/>
  <c r="N72" i="8"/>
  <c r="N61" i="8"/>
  <c r="N66" i="8"/>
  <c r="M64" i="8"/>
  <c r="M63" i="8" s="1"/>
  <c r="J31" i="4" s="1"/>
  <c r="P56" i="8"/>
  <c r="Q56" i="8" s="1"/>
  <c r="P53" i="8"/>
  <c r="M19" i="4" s="1"/>
  <c r="O80" i="8"/>
  <c r="O81" i="8" s="1"/>
  <c r="O51" i="8"/>
  <c r="O69" i="8" s="1"/>
  <c r="L27" i="4" s="1"/>
  <c r="P19" i="8"/>
  <c r="M18" i="4" s="1"/>
  <c r="P79" i="8"/>
  <c r="P13" i="8"/>
  <c r="O24" i="8"/>
  <c r="O25" i="8" s="1"/>
  <c r="O14" i="8"/>
  <c r="P31" i="7"/>
  <c r="P29" i="7"/>
  <c r="P36" i="7" s="1"/>
  <c r="P26" i="5" s="1"/>
  <c r="P45" i="7"/>
  <c r="M49" i="7"/>
  <c r="M51" i="7" s="1"/>
  <c r="J12" i="4" s="1"/>
  <c r="O12" i="7"/>
  <c r="O15" i="7" s="1"/>
  <c r="N25" i="7"/>
  <c r="Q20" i="11"/>
  <c r="Q48" i="11"/>
  <c r="N14" i="2" s="1"/>
  <c r="Q46" i="11"/>
  <c r="N11" i="2" s="1"/>
  <c r="Q50" i="11"/>
  <c r="N13" i="2" s="1"/>
  <c r="P21" i="11"/>
  <c r="Q15" i="11" s="1"/>
  <c r="Q17" i="11" s="1"/>
  <c r="Q7" i="10"/>
  <c r="P7" i="10"/>
  <c r="O7" i="10"/>
  <c r="N7" i="10"/>
  <c r="M7" i="10"/>
  <c r="L7" i="10"/>
  <c r="K7" i="10"/>
  <c r="J7" i="10"/>
  <c r="I7" i="10"/>
  <c r="H7" i="10"/>
  <c r="G7" i="10"/>
  <c r="Q6" i="10"/>
  <c r="P6" i="10"/>
  <c r="O6" i="10"/>
  <c r="N6" i="10"/>
  <c r="M6" i="10"/>
  <c r="L6" i="10"/>
  <c r="K6" i="10"/>
  <c r="J6" i="10"/>
  <c r="I6" i="10"/>
  <c r="H6" i="10"/>
  <c r="G6" i="10"/>
  <c r="Q4" i="10"/>
  <c r="P4" i="10"/>
  <c r="O4" i="10"/>
  <c r="N4" i="10"/>
  <c r="M4" i="10"/>
  <c r="L4" i="10"/>
  <c r="K4" i="10"/>
  <c r="J4" i="10"/>
  <c r="I4" i="10"/>
  <c r="H4" i="10"/>
  <c r="G4" i="10"/>
  <c r="O7" i="9"/>
  <c r="N7" i="9"/>
  <c r="M7" i="9"/>
  <c r="L7" i="9"/>
  <c r="K7" i="9"/>
  <c r="J7" i="9"/>
  <c r="I7" i="9"/>
  <c r="H7" i="9"/>
  <c r="G7" i="9"/>
  <c r="F7" i="9"/>
  <c r="E7" i="9"/>
  <c r="O6" i="9"/>
  <c r="N6" i="9"/>
  <c r="M6" i="9"/>
  <c r="L6" i="9"/>
  <c r="K6" i="9"/>
  <c r="J6" i="9"/>
  <c r="I6" i="9"/>
  <c r="H6" i="9"/>
  <c r="G6" i="9"/>
  <c r="F6" i="9"/>
  <c r="E6" i="9"/>
  <c r="O4" i="9"/>
  <c r="N4" i="9"/>
  <c r="M4" i="9"/>
  <c r="L4" i="9"/>
  <c r="K4" i="9"/>
  <c r="J4" i="9"/>
  <c r="I4" i="9"/>
  <c r="H4" i="9"/>
  <c r="G4" i="9"/>
  <c r="F4" i="9"/>
  <c r="E4" i="9"/>
  <c r="Q7" i="8"/>
  <c r="P7" i="8"/>
  <c r="O7" i="8"/>
  <c r="N7" i="8"/>
  <c r="M7" i="8"/>
  <c r="L7" i="8"/>
  <c r="K7" i="8"/>
  <c r="J7" i="8"/>
  <c r="I7" i="8"/>
  <c r="H7" i="8"/>
  <c r="G7" i="8"/>
  <c r="Q6" i="8"/>
  <c r="P6" i="8"/>
  <c r="O6" i="8"/>
  <c r="N6" i="8"/>
  <c r="M6" i="8"/>
  <c r="L6" i="8"/>
  <c r="K6" i="8"/>
  <c r="J6" i="8"/>
  <c r="I6" i="8"/>
  <c r="H6" i="8"/>
  <c r="G6" i="8"/>
  <c r="Q4" i="8"/>
  <c r="P4" i="8"/>
  <c r="O4" i="8"/>
  <c r="N4" i="8"/>
  <c r="M4" i="8"/>
  <c r="L4" i="8"/>
  <c r="K4" i="8"/>
  <c r="J4" i="8"/>
  <c r="I4" i="8"/>
  <c r="H4" i="8"/>
  <c r="G4" i="8"/>
  <c r="A1" i="8"/>
  <c r="Q7" i="7"/>
  <c r="P7" i="7"/>
  <c r="O7" i="7"/>
  <c r="N7" i="7"/>
  <c r="M7" i="7"/>
  <c r="L7" i="7"/>
  <c r="K7" i="7"/>
  <c r="J7" i="7"/>
  <c r="I7" i="7"/>
  <c r="H7" i="7"/>
  <c r="G7" i="7"/>
  <c r="Q6" i="7"/>
  <c r="P6" i="7"/>
  <c r="O6" i="7"/>
  <c r="N6" i="7"/>
  <c r="M6" i="7"/>
  <c r="L6" i="7"/>
  <c r="K6" i="7"/>
  <c r="J6" i="7"/>
  <c r="I6" i="7"/>
  <c r="H6" i="7"/>
  <c r="G6" i="7"/>
  <c r="Q4" i="7"/>
  <c r="P4" i="7"/>
  <c r="O4" i="7"/>
  <c r="N4" i="7"/>
  <c r="M4" i="7"/>
  <c r="L4" i="7"/>
  <c r="K4" i="7"/>
  <c r="J4" i="7"/>
  <c r="I4" i="7"/>
  <c r="H4" i="7"/>
  <c r="G4" i="7"/>
  <c r="G4" i="5"/>
  <c r="G6" i="5"/>
  <c r="G7" i="5"/>
  <c r="D4" i="4"/>
  <c r="D6" i="4"/>
  <c r="D7" i="4"/>
  <c r="D4" i="2"/>
  <c r="D7" i="2"/>
  <c r="D6" i="2"/>
  <c r="A1" i="5"/>
  <c r="A1" i="4"/>
  <c r="Q7" i="5"/>
  <c r="P7" i="5"/>
  <c r="O7" i="5"/>
  <c r="N7" i="5"/>
  <c r="M7" i="5"/>
  <c r="L7" i="5"/>
  <c r="K7" i="5"/>
  <c r="J7" i="5"/>
  <c r="I7" i="5"/>
  <c r="H7" i="5"/>
  <c r="Q6" i="5"/>
  <c r="P6" i="5"/>
  <c r="O6" i="5"/>
  <c r="N6" i="5"/>
  <c r="M6" i="5"/>
  <c r="L6" i="5"/>
  <c r="K6" i="5"/>
  <c r="J6" i="5"/>
  <c r="I6" i="5"/>
  <c r="H6" i="5"/>
  <c r="Q4" i="5"/>
  <c r="P4" i="5"/>
  <c r="O4" i="5"/>
  <c r="N4" i="5"/>
  <c r="M4" i="5"/>
  <c r="L4" i="5"/>
  <c r="K4" i="5"/>
  <c r="J4" i="5"/>
  <c r="I4" i="5"/>
  <c r="H4" i="5"/>
  <c r="N7" i="4"/>
  <c r="M7" i="4"/>
  <c r="L7" i="4"/>
  <c r="K7" i="4"/>
  <c r="J7" i="4"/>
  <c r="I7" i="4"/>
  <c r="H7" i="4"/>
  <c r="G7" i="4"/>
  <c r="F7" i="4"/>
  <c r="E7" i="4"/>
  <c r="N6" i="4"/>
  <c r="M6" i="4"/>
  <c r="L6" i="4"/>
  <c r="K6" i="4"/>
  <c r="J6" i="4"/>
  <c r="I6" i="4"/>
  <c r="H6" i="4"/>
  <c r="G6" i="4"/>
  <c r="F6" i="4"/>
  <c r="E6" i="4"/>
  <c r="N4" i="4"/>
  <c r="M4" i="4"/>
  <c r="L4" i="4"/>
  <c r="K4" i="4"/>
  <c r="J4" i="4"/>
  <c r="I4" i="4"/>
  <c r="H4" i="4"/>
  <c r="G4" i="4"/>
  <c r="F4" i="4"/>
  <c r="E4" i="4"/>
  <c r="J4" i="2"/>
  <c r="K4" i="2"/>
  <c r="L4" i="2"/>
  <c r="M4" i="2"/>
  <c r="N4" i="2"/>
  <c r="F4" i="2"/>
  <c r="G4" i="2"/>
  <c r="H4" i="2"/>
  <c r="I4" i="2"/>
  <c r="F7" i="2"/>
  <c r="G7" i="2"/>
  <c r="H7" i="2"/>
  <c r="I7" i="2"/>
  <c r="J7" i="2"/>
  <c r="K7" i="2"/>
  <c r="L7" i="2"/>
  <c r="M7" i="2"/>
  <c r="N7" i="2"/>
  <c r="E7" i="2"/>
  <c r="F6" i="2"/>
  <c r="G6" i="2"/>
  <c r="H6" i="2"/>
  <c r="I6" i="2"/>
  <c r="J6" i="2"/>
  <c r="K6" i="2"/>
  <c r="L6" i="2"/>
  <c r="M6" i="2"/>
  <c r="N6" i="2"/>
  <c r="E6" i="2"/>
  <c r="A1" i="2"/>
  <c r="B1" i="1"/>
  <c r="M17" i="2" l="1"/>
  <c r="M20" i="4"/>
  <c r="O22" i="5"/>
  <c r="L28" i="4"/>
  <c r="J32" i="4"/>
  <c r="J33" i="4" s="1"/>
  <c r="M21" i="5"/>
  <c r="P47" i="7"/>
  <c r="P84" i="7"/>
  <c r="P13" i="5" s="1"/>
  <c r="Q13" i="7"/>
  <c r="J15" i="4"/>
  <c r="P37" i="7"/>
  <c r="P25" i="5" s="1"/>
  <c r="P27" i="5" s="1"/>
  <c r="N28" i="7"/>
  <c r="N34" i="7" s="1"/>
  <c r="O28" i="7" s="1"/>
  <c r="O17" i="7"/>
  <c r="P12" i="7" s="1"/>
  <c r="P15" i="7" s="1"/>
  <c r="P17" i="7" s="1"/>
  <c r="O84" i="7"/>
  <c r="O13" i="5" s="1"/>
  <c r="M50" i="9"/>
  <c r="M57" i="9"/>
  <c r="Q21" i="7"/>
  <c r="Q24" i="7" s="1"/>
  <c r="L16" i="2"/>
  <c r="L17" i="2" s="1"/>
  <c r="O47" i="7"/>
  <c r="N16" i="2"/>
  <c r="Q65" i="7"/>
  <c r="O50" i="8"/>
  <c r="O19" i="8"/>
  <c r="L18" i="4" s="1"/>
  <c r="O79" i="8"/>
  <c r="O29" i="7"/>
  <c r="O36" i="7" s="1"/>
  <c r="O26" i="5" s="1"/>
  <c r="O45" i="7"/>
  <c r="O37" i="7" s="1"/>
  <c r="O25" i="5" s="1"/>
  <c r="O27" i="5" s="1"/>
  <c r="N12" i="2"/>
  <c r="N15" i="2" s="1"/>
  <c r="N44" i="7"/>
  <c r="N49" i="7" s="1"/>
  <c r="N57" i="9"/>
  <c r="N50" i="9"/>
  <c r="N64" i="8"/>
  <c r="N63" i="8" s="1"/>
  <c r="K31" i="4" s="1"/>
  <c r="O66" i="8"/>
  <c r="O72" i="8"/>
  <c r="P72" i="8" s="1"/>
  <c r="O61" i="8"/>
  <c r="P61" i="8" s="1"/>
  <c r="Q53" i="8"/>
  <c r="N19" i="4" s="1"/>
  <c r="Q18" i="5" s="1"/>
  <c r="P80" i="8"/>
  <c r="P81" i="8" s="1"/>
  <c r="P51" i="8"/>
  <c r="P69" i="8" s="1"/>
  <c r="M27" i="4" s="1"/>
  <c r="Q19" i="8"/>
  <c r="N18" i="4" s="1"/>
  <c r="N20" i="4" s="1"/>
  <c r="Q79" i="8"/>
  <c r="Q13" i="8"/>
  <c r="P24" i="8"/>
  <c r="P25" i="8" s="1"/>
  <c r="P14" i="8"/>
  <c r="Q21" i="11"/>
  <c r="M53" i="7"/>
  <c r="Q53" i="11"/>
  <c r="P53" i="11"/>
  <c r="P17" i="5" l="1"/>
  <c r="O17" i="5"/>
  <c r="M28" i="4"/>
  <c r="P22" i="5"/>
  <c r="N21" i="5"/>
  <c r="K32" i="4"/>
  <c r="K33" i="4" s="1"/>
  <c r="Q17" i="5"/>
  <c r="N41" i="7"/>
  <c r="K13" i="4" s="1"/>
  <c r="Q45" i="7"/>
  <c r="Q37" i="7" s="1"/>
  <c r="Q25" i="5" s="1"/>
  <c r="O44" i="7"/>
  <c r="O49" i="7" s="1"/>
  <c r="N51" i="7"/>
  <c r="K12" i="4" s="1"/>
  <c r="K15" i="4" s="1"/>
  <c r="Q61" i="8"/>
  <c r="O25" i="7"/>
  <c r="O34" i="7"/>
  <c r="O41" i="7" s="1"/>
  <c r="L13" i="4" s="1"/>
  <c r="N17" i="2"/>
  <c r="Q47" i="7"/>
  <c r="Q84" i="7"/>
  <c r="Q13" i="5" s="1"/>
  <c r="Q31" i="7"/>
  <c r="Q29" i="7"/>
  <c r="Q36" i="7" s="1"/>
  <c r="Q26" i="5" s="1"/>
  <c r="N53" i="7"/>
  <c r="O58" i="8"/>
  <c r="L14" i="4" s="1"/>
  <c r="O53" i="8"/>
  <c r="L19" i="4" s="1"/>
  <c r="O50" i="9"/>
  <c r="O57" i="9"/>
  <c r="O64" i="8"/>
  <c r="O63" i="8" s="1"/>
  <c r="L31" i="4" s="1"/>
  <c r="P66" i="8"/>
  <c r="Q72" i="8"/>
  <c r="Q80" i="8"/>
  <c r="Q81" i="8" s="1"/>
  <c r="Q51" i="8"/>
  <c r="Q69" i="8" s="1"/>
  <c r="N27" i="4" s="1"/>
  <c r="Q24" i="8"/>
  <c r="Q25" i="8" s="1"/>
  <c r="Q14" i="8"/>
  <c r="Q12" i="7"/>
  <c r="Q15" i="7" s="1"/>
  <c r="Q17" i="7" s="1"/>
  <c r="Q25" i="7" s="1"/>
  <c r="P25" i="7"/>
  <c r="N28" i="4" l="1"/>
  <c r="Q22" i="5"/>
  <c r="P15" i="5"/>
  <c r="O15" i="5"/>
  <c r="P18" i="5"/>
  <c r="O18" i="5"/>
  <c r="O21" i="5"/>
  <c r="L32" i="4"/>
  <c r="L33" i="4" s="1"/>
  <c r="L20" i="4"/>
  <c r="Q27" i="5"/>
  <c r="P44" i="7"/>
  <c r="P49" i="7" s="1"/>
  <c r="P51" i="7" s="1"/>
  <c r="M12" i="4" s="1"/>
  <c r="O51" i="7"/>
  <c r="L12" i="4" s="1"/>
  <c r="L15" i="4" s="1"/>
  <c r="P28" i="7"/>
  <c r="P34" i="7" s="1"/>
  <c r="P41" i="7" s="1"/>
  <c r="M13" i="4" s="1"/>
  <c r="O53" i="7"/>
  <c r="Q66" i="8"/>
  <c r="Q64" i="8" s="1"/>
  <c r="Q63" i="8" s="1"/>
  <c r="N31" i="4" s="1"/>
  <c r="P64" i="8"/>
  <c r="P63" i="8" s="1"/>
  <c r="M31" i="4" s="1"/>
  <c r="P21" i="5" l="1"/>
  <c r="M32" i="4"/>
  <c r="M33" i="4" s="1"/>
  <c r="Q21" i="5"/>
  <c r="N32" i="4"/>
  <c r="N33" i="4" s="1"/>
  <c r="M15" i="4"/>
  <c r="Q44" i="7"/>
  <c r="Q49" i="7" s="1"/>
  <c r="Q51" i="7" s="1"/>
  <c r="N12" i="4" s="1"/>
  <c r="Q28" i="7"/>
  <c r="Q34" i="7" s="1"/>
  <c r="Q41" i="7" s="1"/>
  <c r="N13" i="4" s="1"/>
  <c r="P53" i="7"/>
  <c r="N15" i="4" l="1"/>
  <c r="Q53" i="7"/>
  <c r="F14" i="9"/>
  <c r="G14" i="9"/>
  <c r="G49" i="9" s="1"/>
  <c r="G51" i="9" s="1"/>
  <c r="H14" i="9"/>
  <c r="H49" i="9" s="1"/>
  <c r="H51" i="9" s="1"/>
  <c r="I14" i="9"/>
  <c r="I49" i="9" s="1"/>
  <c r="I51" i="9" s="1"/>
  <c r="J14" i="9"/>
  <c r="F49" i="9" l="1"/>
  <c r="F51" i="9" s="1"/>
  <c r="J49" i="9"/>
  <c r="J51" i="9" s="1"/>
  <c r="K12" i="9"/>
  <c r="K25" i="9" s="1"/>
  <c r="M22" i="9" l="1"/>
  <c r="M18" i="9" l="1"/>
  <c r="K18" i="9" l="1"/>
  <c r="K22" i="9"/>
  <c r="M30" i="5" s="1"/>
  <c r="K13" i="9"/>
  <c r="M29" i="5" s="1"/>
  <c r="M31" i="5" s="1"/>
  <c r="L13" i="9"/>
  <c r="N29" i="5" s="1"/>
  <c r="N31" i="5" s="1"/>
  <c r="M13" i="9"/>
  <c r="O29" i="5" s="1"/>
  <c r="O31" i="5" s="1"/>
  <c r="N13" i="9"/>
  <c r="P29" i="5" s="1"/>
  <c r="P31" i="5" s="1"/>
  <c r="O13" i="9"/>
  <c r="Q29" i="5" s="1"/>
  <c r="Q31" i="5" s="1"/>
  <c r="K14" i="9"/>
  <c r="K91" i="9"/>
  <c r="L12" i="9" l="1"/>
  <c r="K96" i="9"/>
  <c r="K27" i="9" s="1"/>
  <c r="K26" i="9" s="1"/>
  <c r="K86" i="9"/>
  <c r="L25" i="9" l="1"/>
  <c r="L14" i="9"/>
  <c r="L86" i="9" l="1"/>
  <c r="L96" i="9"/>
  <c r="L27" i="9" s="1"/>
  <c r="L26" i="9" s="1"/>
  <c r="M12" i="9"/>
  <c r="L91" i="9"/>
  <c r="M25" i="9" l="1"/>
  <c r="M14" i="9"/>
  <c r="M91" i="9" l="1"/>
  <c r="M86" i="9"/>
  <c r="M96" i="9"/>
  <c r="M27" i="9" s="1"/>
  <c r="M26" i="9" s="1"/>
  <c r="N12" i="9"/>
  <c r="N14" i="9" l="1"/>
  <c r="N25" i="9"/>
  <c r="N91" i="9" l="1"/>
  <c r="O12" i="9"/>
  <c r="N86" i="9"/>
  <c r="N96" i="9"/>
  <c r="N27" i="9" s="1"/>
  <c r="N26" i="9" s="1"/>
  <c r="O14" i="9" l="1"/>
  <c r="O25" i="9"/>
  <c r="O91" i="9" l="1"/>
  <c r="O86" i="9"/>
  <c r="O96" i="9"/>
  <c r="O27" i="9" s="1"/>
  <c r="O26" i="9" s="1"/>
  <c r="J22" i="4"/>
  <c r="K22" i="4"/>
  <c r="L22" i="4"/>
  <c r="M22" i="4"/>
  <c r="N22" i="4"/>
  <c r="J24" i="4"/>
  <c r="K24" i="4"/>
  <c r="L24" i="4"/>
  <c r="M24" i="4"/>
  <c r="N24" i="4"/>
  <c r="J36" i="4"/>
  <c r="K36" i="4"/>
  <c r="L36" i="4"/>
  <c r="M36" i="4"/>
  <c r="N36" i="4"/>
  <c r="J37" i="4"/>
  <c r="K37" i="4"/>
  <c r="L37" i="4"/>
  <c r="M37" i="4"/>
  <c r="N37" i="4"/>
  <c r="J39" i="4"/>
  <c r="K39" i="4"/>
  <c r="L39" i="4"/>
  <c r="M39" i="4"/>
  <c r="N39" i="4"/>
  <c r="J40" i="4"/>
  <c r="K40" i="4"/>
  <c r="L40" i="4"/>
  <c r="M40" i="4"/>
  <c r="N40" i="4"/>
  <c r="M12" i="5"/>
  <c r="N12" i="5"/>
  <c r="O12" i="5"/>
  <c r="P12" i="5"/>
  <c r="Q12" i="5"/>
  <c r="M23" i="5"/>
  <c r="N23" i="5"/>
  <c r="O23" i="5"/>
  <c r="P23" i="5"/>
  <c r="Q23" i="5"/>
  <c r="M33" i="5"/>
  <c r="N33" i="5"/>
  <c r="O33" i="5"/>
  <c r="P33" i="5"/>
  <c r="Q33" i="5"/>
  <c r="K9" i="9"/>
  <c r="L9" i="9"/>
  <c r="M9" i="9"/>
  <c r="N9" i="9"/>
  <c r="O9" i="9"/>
  <c r="K17" i="9"/>
  <c r="L17" i="9"/>
  <c r="M17" i="9"/>
  <c r="N17" i="9"/>
  <c r="O17" i="9"/>
  <c r="K21" i="9"/>
  <c r="L21" i="9"/>
  <c r="M21" i="9"/>
  <c r="N21" i="9"/>
  <c r="O21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4" i="9"/>
  <c r="L34" i="9"/>
  <c r="M34" i="9"/>
  <c r="N34" i="9"/>
  <c r="O34" i="9"/>
  <c r="K36" i="9"/>
  <c r="L36" i="9"/>
  <c r="M36" i="9"/>
  <c r="N36" i="9"/>
  <c r="O36" i="9"/>
  <c r="K49" i="9"/>
  <c r="L49" i="9"/>
  <c r="M49" i="9"/>
  <c r="N49" i="9"/>
  <c r="O49" i="9"/>
  <c r="K51" i="9"/>
  <c r="L51" i="9"/>
  <c r="M51" i="9"/>
  <c r="N51" i="9"/>
  <c r="O51" i="9"/>
  <c r="K54" i="9"/>
  <c r="L54" i="9"/>
  <c r="M54" i="9"/>
  <c r="N54" i="9"/>
  <c r="O54" i="9"/>
  <c r="K56" i="9"/>
  <c r="L56" i="9"/>
  <c r="M56" i="9"/>
  <c r="N56" i="9"/>
  <c r="O56" i="9"/>
  <c r="K58" i="9"/>
  <c r="L58" i="9"/>
  <c r="M58" i="9"/>
  <c r="N58" i="9"/>
  <c r="O58" i="9"/>
  <c r="K60" i="9"/>
  <c r="L60" i="9"/>
  <c r="M60" i="9"/>
  <c r="N60" i="9"/>
  <c r="O60" i="9"/>
  <c r="K74" i="9"/>
  <c r="L74" i="9"/>
  <c r="M74" i="9"/>
  <c r="N74" i="9"/>
  <c r="O74" i="9"/>
  <c r="K75" i="9"/>
  <c r="L75" i="9"/>
  <c r="M75" i="9"/>
  <c r="N75" i="9"/>
  <c r="O75" i="9"/>
  <c r="K78" i="9"/>
  <c r="L78" i="9"/>
  <c r="M78" i="9"/>
  <c r="N78" i="9"/>
  <c r="O78" i="9"/>
  <c r="K79" i="9"/>
  <c r="L79" i="9"/>
  <c r="M79" i="9"/>
  <c r="N79" i="9"/>
  <c r="O79" i="9"/>
  <c r="K80" i="9"/>
  <c r="L80" i="9"/>
  <c r="M80" i="9"/>
  <c r="N80" i="9"/>
  <c r="O80" i="9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</calcChain>
</file>

<file path=xl/sharedStrings.xml><?xml version="1.0" encoding="utf-8"?>
<sst xmlns="http://schemas.openxmlformats.org/spreadsheetml/2006/main" count="1050" uniqueCount="593">
  <si>
    <t>Company related inputs</t>
  </si>
  <si>
    <t xml:space="preserve">Company Name </t>
  </si>
  <si>
    <t>Company short Name</t>
  </si>
  <si>
    <t>Latest financial year end</t>
  </si>
  <si>
    <t>Currency</t>
  </si>
  <si>
    <t>Units</t>
  </si>
  <si>
    <t>millions</t>
  </si>
  <si>
    <t>Hensoldt AG</t>
  </si>
  <si>
    <t>Euro</t>
  </si>
  <si>
    <t>Financial year end</t>
  </si>
  <si>
    <t>Time-line counter</t>
  </si>
  <si>
    <t>Currency and units</t>
  </si>
  <si>
    <t>Time-Stamp</t>
  </si>
  <si>
    <t>Reported Income Statement</t>
  </si>
  <si>
    <t>Revenue</t>
  </si>
  <si>
    <t>Cost of sales</t>
  </si>
  <si>
    <t>Gross profit</t>
  </si>
  <si>
    <t>Selling and distribution expenses</t>
  </si>
  <si>
    <t>General administrative expenses</t>
  </si>
  <si>
    <t>Research and development costs</t>
  </si>
  <si>
    <t>Other operating income</t>
  </si>
  <si>
    <t>Other operating expenses</t>
  </si>
  <si>
    <t>Interest income</t>
  </si>
  <si>
    <t>Interest expense</t>
  </si>
  <si>
    <t>Finance result</t>
  </si>
  <si>
    <t>Income taxes</t>
  </si>
  <si>
    <t>Earnings before income taxes (EBT)</t>
  </si>
  <si>
    <t>thereof attributable to non-controlling interests</t>
  </si>
  <si>
    <t>Earnings per share</t>
  </si>
  <si>
    <t>Basic and diluted earnings per share (EUR)</t>
  </si>
  <si>
    <t>Share of profit / loss from investments accounted for using the equity method</t>
  </si>
  <si>
    <t>Other income / expense from investments</t>
  </si>
  <si>
    <t>Earnings before financial result and income taxes (EBIT)</t>
  </si>
  <si>
    <t>thereof attributable to the owners of HENSOLDT AG</t>
  </si>
  <si>
    <t>Other finance income / cost</t>
  </si>
  <si>
    <t>Group profit / loss</t>
  </si>
  <si>
    <t>2024-2019</t>
  </si>
  <si>
    <t xml:space="preserve">Hensoldt AG Equity Research Report </t>
  </si>
  <si>
    <t xml:space="preserve">Non-current Assets </t>
  </si>
  <si>
    <t>Goodwill</t>
  </si>
  <si>
    <t>Intangible assets</t>
  </si>
  <si>
    <t>PPE</t>
  </si>
  <si>
    <t>Right of Use assets</t>
  </si>
  <si>
    <t>Investments accounted for using equity method</t>
  </si>
  <si>
    <t>Other investments and non-current other financial investments</t>
  </si>
  <si>
    <t>Non-current other financial assets</t>
  </si>
  <si>
    <t>Non-current other financial investments</t>
  </si>
  <si>
    <t>inventories</t>
  </si>
  <si>
    <t>contract assets</t>
  </si>
  <si>
    <t>trade recievables</t>
  </si>
  <si>
    <t>other current financial assets</t>
  </si>
  <si>
    <t>Current other assets</t>
  </si>
  <si>
    <t>income tax recievables</t>
  </si>
  <si>
    <t xml:space="preserve">Cash and Cash Equivalents </t>
  </si>
  <si>
    <t xml:space="preserve">Total Assets </t>
  </si>
  <si>
    <t>Share Capital</t>
  </si>
  <si>
    <t>other reserve</t>
  </si>
  <si>
    <t>Capital reserve</t>
  </si>
  <si>
    <t>retained earnings</t>
  </si>
  <si>
    <t>Equity held by shareholders of Hensoldt AG</t>
  </si>
  <si>
    <t>Non-Controlling interests</t>
  </si>
  <si>
    <t>Equity</t>
  </si>
  <si>
    <t>Non-current liabilities</t>
  </si>
  <si>
    <t>non-current provisions</t>
  </si>
  <si>
    <t>non-current financing liabilities</t>
  </si>
  <si>
    <t>non-current contract liabilities</t>
  </si>
  <si>
    <t>non-current lease liabilities</t>
  </si>
  <si>
    <t>non-current other financial liabilities</t>
  </si>
  <si>
    <t>non-current other liabilities</t>
  </si>
  <si>
    <t>deffered income</t>
  </si>
  <si>
    <t>deferred tax liabilities</t>
  </si>
  <si>
    <t>current provisions</t>
  </si>
  <si>
    <t>current financing liabilities</t>
  </si>
  <si>
    <t>current contract liabilities</t>
  </si>
  <si>
    <t>current lease liabilities</t>
  </si>
  <si>
    <t>trade payables</t>
  </si>
  <si>
    <t>current other financial liabilites</t>
  </si>
  <si>
    <t>current other liabilities</t>
  </si>
  <si>
    <t>tax liabilities</t>
  </si>
  <si>
    <t>Deferred tax assets</t>
  </si>
  <si>
    <t>Non-current other assets</t>
  </si>
  <si>
    <t>Current assets</t>
  </si>
  <si>
    <t>Current liabilities</t>
  </si>
  <si>
    <t xml:space="preserve">Total equity and liabilities </t>
  </si>
  <si>
    <t>Equities and Liabilities</t>
  </si>
  <si>
    <t>Assets</t>
  </si>
  <si>
    <t xml:space="preserve">Reported balance Sheet </t>
  </si>
  <si>
    <t xml:space="preserve">Standardised Balance sheet </t>
  </si>
  <si>
    <t>Standardised Income Statement</t>
  </si>
  <si>
    <t>Reported Cash Flow Statement</t>
  </si>
  <si>
    <t>Standardised Cash Flow Statement</t>
  </si>
  <si>
    <t>Change in</t>
  </si>
  <si>
    <t xml:space="preserve">Group profit / loss </t>
  </si>
  <si>
    <t xml:space="preserve">Depreciation, amortisation and impairments of non-current assets </t>
  </si>
  <si>
    <t xml:space="preserve">Impairments (+) / reversals of impairments (-) of inventories, trade receivables and contract assets </t>
  </si>
  <si>
    <t xml:space="preserve">Profit / loss from disposals of non-current assets </t>
  </si>
  <si>
    <t xml:space="preserve">Share of profits in investments accounted for using the equity method </t>
  </si>
  <si>
    <t xml:space="preserve">Financial expenses (net) </t>
  </si>
  <si>
    <t xml:space="preserve">Other non-cash expense / income </t>
  </si>
  <si>
    <t xml:space="preserve">Provisions </t>
  </si>
  <si>
    <t xml:space="preserve">Inventories </t>
  </si>
  <si>
    <t xml:space="preserve">Contract balances </t>
  </si>
  <si>
    <t xml:space="preserve">Trade receivables </t>
  </si>
  <si>
    <t xml:space="preserve">Trade payables </t>
  </si>
  <si>
    <t>Other assets and liabilities</t>
  </si>
  <si>
    <t xml:space="preserve">Interest paid </t>
  </si>
  <si>
    <t xml:space="preserve">Interest received </t>
  </si>
  <si>
    <t xml:space="preserve">Income tax expense (+) / income (-) </t>
  </si>
  <si>
    <t xml:space="preserve">Income tax payments (-) / refunds (+) </t>
  </si>
  <si>
    <t xml:space="preserve">Cash flows from operating activities </t>
  </si>
  <si>
    <t xml:space="preserve">Acquisition / addition of intangible assets and property, plant and equipment </t>
  </si>
  <si>
    <t xml:space="preserve">Proceeds from sale of intangible assets and property, plant and equipment </t>
  </si>
  <si>
    <t xml:space="preserve">Payments for investments in non-consolidated affiliates, joint ventures, associates, other investments and other non-current financial assets </t>
  </si>
  <si>
    <t>Proceeds from disposals of non-consolidated affiliates, joint ventures, associates, other investments and non-current financial assets</t>
  </si>
  <si>
    <t xml:space="preserve">Acquisition of subsidiaries net of cash acquired </t>
  </si>
  <si>
    <t xml:space="preserve">Other </t>
  </si>
  <si>
    <t xml:space="preserve">Cash flows from investing activities </t>
  </si>
  <si>
    <t>Cash and cash equivalents</t>
  </si>
  <si>
    <t xml:space="preserve">Proceeds from financing liabilities to banks </t>
  </si>
  <si>
    <t xml:space="preserve">Transaction costs paid on loans and borrowings </t>
  </si>
  <si>
    <t xml:space="preserve">Change in other financing liabilities </t>
  </si>
  <si>
    <t xml:space="preserve">Payment of lease liabilities </t>
  </si>
  <si>
    <t xml:space="preserve">Dividend payments </t>
  </si>
  <si>
    <t xml:space="preserve">Dividends on non-controlling interests </t>
  </si>
  <si>
    <t xml:space="preserve">Issue of shares </t>
  </si>
  <si>
    <t xml:space="preserve">Transaction costs paid on issue of equity </t>
  </si>
  <si>
    <t xml:space="preserve">Cash flows from financing activities </t>
  </si>
  <si>
    <t xml:space="preserve">Effects of changes in exchange rates on cash and cash equivalents </t>
  </si>
  <si>
    <t xml:space="preserve">Net changes in cash and cash equivalents </t>
  </si>
  <si>
    <t xml:space="preserve">Cash and cash equivalents on 1 January </t>
  </si>
  <si>
    <t xml:space="preserve">Cash and cash equivalents on 31 December </t>
  </si>
  <si>
    <t>HAG</t>
  </si>
  <si>
    <t>Step 1</t>
  </si>
  <si>
    <t xml:space="preserve">Download the historical Data </t>
  </si>
  <si>
    <t>Step 2</t>
  </si>
  <si>
    <t xml:space="preserve">Input basic company related inputs </t>
  </si>
  <si>
    <t>Step 3</t>
  </si>
  <si>
    <t>Input historical financial statements</t>
  </si>
  <si>
    <t>Step 3A</t>
  </si>
  <si>
    <t>Input historical Income statement</t>
  </si>
  <si>
    <t>Done</t>
  </si>
  <si>
    <t>Step 3B</t>
  </si>
  <si>
    <t xml:space="preserve">Input historical Balance sheet </t>
  </si>
  <si>
    <t>Step 3C</t>
  </si>
  <si>
    <t>Set up the CF-Statement</t>
  </si>
  <si>
    <t>Step 4</t>
  </si>
  <si>
    <t>Forecasting revenue and expenses</t>
  </si>
  <si>
    <t>Step 5</t>
  </si>
  <si>
    <t xml:space="preserve">Forecasting fixed asset sheduel (PPE, intangibles, dep, amort) </t>
  </si>
  <si>
    <t>Step 6</t>
  </si>
  <si>
    <t>Forecast Working Capital &amp; Other Assets</t>
  </si>
  <si>
    <t>Step 7</t>
  </si>
  <si>
    <t>Forecast Debt and Cash scheduel</t>
  </si>
  <si>
    <t xml:space="preserve">Step 8 </t>
  </si>
  <si>
    <t xml:space="preserve">Integrate the diffrent items into IS, BS and Cash Flow </t>
  </si>
  <si>
    <t>3-Stage Model is complete</t>
  </si>
  <si>
    <t>Open</t>
  </si>
  <si>
    <t>Net Income (Profit after tax)</t>
  </si>
  <si>
    <t xml:space="preserve">(+) Depreciation and amortization </t>
  </si>
  <si>
    <t>(+/-) changes in non-current assets</t>
  </si>
  <si>
    <t>(+/-) changes in inventory</t>
  </si>
  <si>
    <t xml:space="preserve">(+/-) changes in accounts recievable </t>
  </si>
  <si>
    <t>(+/-) changes in other current assets</t>
  </si>
  <si>
    <t>(+/-) changes in accounts payable</t>
  </si>
  <si>
    <t>(+/-) changes in other current liabilities</t>
  </si>
  <si>
    <t>(+/-) changes in other non-current liabilities</t>
  </si>
  <si>
    <t>Cashflow from operational activities</t>
  </si>
  <si>
    <t>(-) Capex</t>
  </si>
  <si>
    <t xml:space="preserve">(-) Purchase of intangibles </t>
  </si>
  <si>
    <t>Cashflow from investing activities</t>
  </si>
  <si>
    <t xml:space="preserve">(-) Net repayments of borrowing </t>
  </si>
  <si>
    <t>(-) Dividends</t>
  </si>
  <si>
    <t>Cashflow from financing activities</t>
  </si>
  <si>
    <t xml:space="preserve">Net change in Cash </t>
  </si>
  <si>
    <t xml:space="preserve">Intangible assets </t>
  </si>
  <si>
    <t>Other non-current assets</t>
  </si>
  <si>
    <t>Total non-current assets</t>
  </si>
  <si>
    <t>Inventory</t>
  </si>
  <si>
    <t>Account recievables</t>
  </si>
  <si>
    <t>Other current assets</t>
  </si>
  <si>
    <t>Total current assets</t>
  </si>
  <si>
    <t xml:space="preserve">Cash and investments </t>
  </si>
  <si>
    <t>Total assets</t>
  </si>
  <si>
    <t xml:space="preserve">other non-current liabilities </t>
  </si>
  <si>
    <t>Total non-current liabilities</t>
  </si>
  <si>
    <t>Accoutns payable</t>
  </si>
  <si>
    <t>Other current liabilities</t>
  </si>
  <si>
    <t>Total current liabilities</t>
  </si>
  <si>
    <t>Total liabilities</t>
  </si>
  <si>
    <t>Share capital</t>
  </si>
  <si>
    <t>Other equity</t>
  </si>
  <si>
    <t>Total equity</t>
  </si>
  <si>
    <t>Total equity and liabilities</t>
  </si>
  <si>
    <t>Revenue Model</t>
  </si>
  <si>
    <t xml:space="preserve">Pessimistic Sceanrio </t>
  </si>
  <si>
    <t xml:space="preserve">Realistic Scenario </t>
  </si>
  <si>
    <t>Optimistic Scenario</t>
  </si>
  <si>
    <t xml:space="preserve">Company own Projection </t>
  </si>
  <si>
    <t xml:space="preserve">Expense Model </t>
  </si>
  <si>
    <t>x</t>
  </si>
  <si>
    <t>Check</t>
  </si>
  <si>
    <t>Peer Group</t>
  </si>
  <si>
    <t xml:space="preserve">BAE Systems </t>
  </si>
  <si>
    <t>Chemring Group PLC</t>
  </si>
  <si>
    <t xml:space="preserve">Elbit Systems </t>
  </si>
  <si>
    <t>General Dynamics</t>
  </si>
  <si>
    <t xml:space="preserve">Indra Sistemas S.A. </t>
  </si>
  <si>
    <t xml:space="preserve">Kongsberg Gruppen </t>
  </si>
  <si>
    <t xml:space="preserve">Leonardo </t>
  </si>
  <si>
    <t xml:space="preserve">Lockheer Martin </t>
  </si>
  <si>
    <t xml:space="preserve">MTU Aero Engines </t>
  </si>
  <si>
    <t xml:space="preserve">Rheinmetall </t>
  </si>
  <si>
    <t xml:space="preserve">Thales </t>
  </si>
  <si>
    <t>EV/Sales</t>
  </si>
  <si>
    <t>EV/EBITDA</t>
  </si>
  <si>
    <t>P/E</t>
  </si>
  <si>
    <t>CAGR</t>
  </si>
  <si>
    <t xml:space="preserve">Bookt-to Order Ratio </t>
  </si>
  <si>
    <t xml:space="preserve">Market Cap </t>
  </si>
  <si>
    <t>Median</t>
  </si>
  <si>
    <t>2026E</t>
  </si>
  <si>
    <t>2027E</t>
  </si>
  <si>
    <t xml:space="preserve">Revenue </t>
  </si>
  <si>
    <t xml:space="preserve">Cost of Sales </t>
  </si>
  <si>
    <t>Gross Profit</t>
  </si>
  <si>
    <t xml:space="preserve">Operating R&amp;D </t>
  </si>
  <si>
    <t xml:space="preserve">Selling, General &amp; Admin </t>
  </si>
  <si>
    <t>EBITDA</t>
  </si>
  <si>
    <t xml:space="preserve">Depreciation &amp; Amortisation </t>
  </si>
  <si>
    <t xml:space="preserve">EBIT </t>
  </si>
  <si>
    <t xml:space="preserve">Other Non Operating Income/Expense (net) </t>
  </si>
  <si>
    <t>Net intrest income/loss</t>
  </si>
  <si>
    <t xml:space="preserve">EBT </t>
  </si>
  <si>
    <t>Income Taxes</t>
  </si>
  <si>
    <t xml:space="preserve">Net Income </t>
  </si>
  <si>
    <t xml:space="preserve">Actual Revenue Forecast </t>
  </si>
  <si>
    <t xml:space="preserve">Beginnign Backlog </t>
  </si>
  <si>
    <t xml:space="preserve">Baclkog Conversion Revenue </t>
  </si>
  <si>
    <t xml:space="preserve">Revenue Growth Rate </t>
  </si>
  <si>
    <t xml:space="preserve">Conversion Calculation </t>
  </si>
  <si>
    <t>Total Order Backlog</t>
  </si>
  <si>
    <t>Annual Sales</t>
  </si>
  <si>
    <t>GR BL</t>
  </si>
  <si>
    <t>GR RE</t>
  </si>
  <si>
    <t>Conversion Rate</t>
  </si>
  <si>
    <t>Backlog Conversion rate</t>
  </si>
  <si>
    <t>Book to Bill Ratio</t>
  </si>
  <si>
    <t xml:space="preserve">New Order Intake </t>
  </si>
  <si>
    <t>Backlog Conversion Rate</t>
  </si>
  <si>
    <t xml:space="preserve">Book to Bill Ratio </t>
  </si>
  <si>
    <t xml:space="preserve">Backlog Conversion Rate </t>
  </si>
  <si>
    <t>Total Revenue Forecast</t>
  </si>
  <si>
    <t xml:space="preserve">Ending Backlog </t>
  </si>
  <si>
    <t xml:space="preserve">Targeted Scenario </t>
  </si>
  <si>
    <t xml:space="preserve">as a % of Revenue </t>
  </si>
  <si>
    <t>SG&amp;A</t>
  </si>
  <si>
    <t xml:space="preserve">R&amp;D </t>
  </si>
  <si>
    <t>Other Income/Expense</t>
  </si>
  <si>
    <t>Necessary Forecast Revenue</t>
  </si>
  <si>
    <t xml:space="preserve">Necessary Forecasts Expenses </t>
  </si>
  <si>
    <t xml:space="preserve">Cost of Sales % </t>
  </si>
  <si>
    <t>R&amp;D</t>
  </si>
  <si>
    <t>Margin Calculations</t>
  </si>
  <si>
    <t>Cost of Sales</t>
  </si>
  <si>
    <t xml:space="preserve">Operating Margin </t>
  </si>
  <si>
    <t>G&amp;A</t>
  </si>
  <si>
    <t>S&amp;D</t>
  </si>
  <si>
    <t xml:space="preserve">Actual Expense Forecast </t>
  </si>
  <si>
    <t>Other Operating Income/Expense</t>
  </si>
  <si>
    <t>% used</t>
  </si>
  <si>
    <t>R&amp;D (€)</t>
  </si>
  <si>
    <t>SG&amp;A (€)</t>
  </si>
  <si>
    <t>Cost of Sales (€)</t>
  </si>
  <si>
    <t>Total Expense Forecast</t>
  </si>
  <si>
    <t>Sanity Check</t>
  </si>
  <si>
    <t xml:space="preserve">Colour Code </t>
  </si>
  <si>
    <t xml:space="preserve">Green: Links to another sheet </t>
  </si>
  <si>
    <t>Purple: Links to same sheet</t>
  </si>
  <si>
    <t>Black: Calculations</t>
  </si>
  <si>
    <t xml:space="preserve">Red: Discretionary Inputs </t>
  </si>
  <si>
    <t>Blue: hard-coded Inputs</t>
  </si>
  <si>
    <t>Beginning Gross PPE</t>
  </si>
  <si>
    <t>(+) CapEX</t>
  </si>
  <si>
    <t xml:space="preserve">(-) Disposals </t>
  </si>
  <si>
    <t xml:space="preserve">Ending Gross PPE </t>
  </si>
  <si>
    <t>Beginning Accumulating Depreciation</t>
  </si>
  <si>
    <t xml:space="preserve">(+) D&amp;A Expense for PPE </t>
  </si>
  <si>
    <t xml:space="preserve">(-) Accum Dep. On Disposals </t>
  </si>
  <si>
    <t>Ending Acc. Depreciation</t>
  </si>
  <si>
    <t xml:space="preserve">Net PPE </t>
  </si>
  <si>
    <t>Depreciation (PPE)</t>
  </si>
  <si>
    <t>Beginning Net intangibles</t>
  </si>
  <si>
    <t xml:space="preserve">(-) Amortisation Expenses </t>
  </si>
  <si>
    <t>(-) Disposals/Impairments</t>
  </si>
  <si>
    <t>Ending Net Intangibles</t>
  </si>
  <si>
    <t xml:space="preserve">Goodwill </t>
  </si>
  <si>
    <t xml:space="preserve">Right-of-Use Assets </t>
  </si>
  <si>
    <t>Beginning Net ROU Assets</t>
  </si>
  <si>
    <t xml:space="preserve">(+) Addition (new Leases) </t>
  </si>
  <si>
    <t xml:space="preserve">(-) D&amp;A Expenses (ROU) </t>
  </si>
  <si>
    <t xml:space="preserve">Ending Net ROU Assets </t>
  </si>
  <si>
    <t>Total Net fixed Assets</t>
  </si>
  <si>
    <t xml:space="preserve">CAPEX </t>
  </si>
  <si>
    <t>% of Revenue</t>
  </si>
  <si>
    <t xml:space="preserve">D&amp;A </t>
  </si>
  <si>
    <t xml:space="preserve">Disposals </t>
  </si>
  <si>
    <t>Targeted Scenari</t>
  </si>
  <si>
    <t xml:space="preserve">Capex Distribution </t>
  </si>
  <si>
    <t>Intangibles</t>
  </si>
  <si>
    <t>ROU</t>
  </si>
  <si>
    <t>D&amp;A Distribution</t>
  </si>
  <si>
    <t xml:space="preserve">Other Income is kept 0 </t>
  </si>
  <si>
    <t xml:space="preserve">as a % of Beginning Gross Assets </t>
  </si>
  <si>
    <t xml:space="preserve">(+) Capex (capitalised R&amp;D) </t>
  </si>
  <si>
    <t>Forecasted Revenue</t>
  </si>
  <si>
    <t>Core Assumptions</t>
  </si>
  <si>
    <t xml:space="preserve">Intangible Assets </t>
  </si>
  <si>
    <t xml:space="preserve">Value </t>
  </si>
  <si>
    <t>Value</t>
  </si>
  <si>
    <t>Disposal is fully depreciated, so held constant</t>
  </si>
  <si>
    <t>Sanity Check CAPEX</t>
  </si>
  <si>
    <t>Sanity Check D&amp;A</t>
  </si>
  <si>
    <t xml:space="preserve">Intangibles + Goodwill </t>
  </si>
  <si>
    <t xml:space="preserve">(+50 other noncurrent) </t>
  </si>
  <si>
    <t xml:space="preserve">Recievables </t>
  </si>
  <si>
    <t>Payables</t>
  </si>
  <si>
    <t>Operating Costs</t>
  </si>
  <si>
    <t xml:space="preserve">Inventory Levels </t>
  </si>
  <si>
    <t xml:space="preserve">Inventory Days outstanding </t>
  </si>
  <si>
    <t xml:space="preserve">Scnarios </t>
  </si>
  <si>
    <t>Inventories (DOI)</t>
  </si>
  <si>
    <t>Recievables (DSO)</t>
  </si>
  <si>
    <t>Payables (DPO)</t>
  </si>
  <si>
    <t>Pessimistic</t>
  </si>
  <si>
    <t>Account Recievables</t>
  </si>
  <si>
    <t xml:space="preserve">Days Sales Ountstanding </t>
  </si>
  <si>
    <t>Scenario</t>
  </si>
  <si>
    <t>Accounts Payable</t>
  </si>
  <si>
    <t xml:space="preserve">Important Assumptions </t>
  </si>
  <si>
    <t>Contract Assets (as unbilled revenue) are part of trade recievables</t>
  </si>
  <si>
    <t xml:space="preserve">Contract liabilities (as revenue for unfinished services) is part of trade recievables </t>
  </si>
  <si>
    <t>Days Payables Outstanding</t>
  </si>
  <si>
    <t xml:space="preserve">Chash Conversion Cycle </t>
  </si>
  <si>
    <t xml:space="preserve">Debt </t>
  </si>
  <si>
    <t>Dividends</t>
  </si>
  <si>
    <t>Intrest Expense</t>
  </si>
  <si>
    <t>Intrest Income</t>
  </si>
  <si>
    <t>Scenarios</t>
  </si>
  <si>
    <t xml:space="preserve">Cash </t>
  </si>
  <si>
    <t>Beginning Debt</t>
  </si>
  <si>
    <t xml:space="preserve">Ending debt balance </t>
  </si>
  <si>
    <t>Average Debt balance</t>
  </si>
  <si>
    <t>Assumend intrest rate (%)</t>
  </si>
  <si>
    <t>Forecasted intrest expense</t>
  </si>
  <si>
    <t xml:space="preserve">Net Income (attrib. to shareholder) </t>
  </si>
  <si>
    <t>Total Dividend payed</t>
  </si>
  <si>
    <t>Average Cash Balance</t>
  </si>
  <si>
    <t>Assumed Intrest rate</t>
  </si>
  <si>
    <t>Forecasted intrest income</t>
  </si>
  <si>
    <t xml:space="preserve">Key Assumptions </t>
  </si>
  <si>
    <t>Using a portion of the cashflows to repay the core debt long term</t>
  </si>
  <si>
    <t xml:space="preserve">Intrest rates need to be forecasted on the current yield cureve + the risk premium Hensoldt pays for it's debt </t>
  </si>
  <si>
    <t xml:space="preserve">V2: Target Leverage rate </t>
  </si>
  <si>
    <t xml:space="preserve">Intrest rates development </t>
  </si>
  <si>
    <t>Version 1:</t>
  </si>
  <si>
    <t xml:space="preserve">Version 2: </t>
  </si>
  <si>
    <t>This assumes a certain capital structure wants to be maintained, meaning either new debt is issued or something repayed</t>
  </si>
  <si>
    <t xml:space="preserve">Intrest rate assumptions need to be made for the long term (next 5 years estimated development) </t>
  </si>
  <si>
    <t xml:space="preserve">Debt: </t>
  </si>
  <si>
    <t>Dividends:</t>
  </si>
  <si>
    <t>Dividend</t>
  </si>
  <si>
    <t>Debt</t>
  </si>
  <si>
    <t>V1: constant payout ratio of Net Income</t>
  </si>
  <si>
    <t>Intrest income:</t>
  </si>
  <si>
    <t>V1: Cash in aggregate earns blended rate</t>
  </si>
  <si>
    <t xml:space="preserve">V2: Split Cash in investable and operating </t>
  </si>
  <si>
    <t xml:space="preserve">Diffrent incomes can be derived from this cash (Tiered intrest rate) </t>
  </si>
  <si>
    <t xml:space="preserve">Intrest Income </t>
  </si>
  <si>
    <t>Means that Cash will be forecast in cashflow statement and then a</t>
  </si>
  <si>
    <t xml:space="preserve">Deleveraging </t>
  </si>
  <si>
    <t xml:space="preserve">Constant </t>
  </si>
  <si>
    <t>Target Leverage Ratio</t>
  </si>
  <si>
    <t xml:space="preserve">Target Ratio </t>
  </si>
  <si>
    <t>Dividend Policy</t>
  </si>
  <si>
    <t>Debt Policy</t>
  </si>
  <si>
    <t xml:space="preserve">Intrest Income Scenario </t>
  </si>
  <si>
    <t xml:space="preserve">Income Tax Rate </t>
  </si>
  <si>
    <t xml:space="preserve">D&amp;A Total </t>
  </si>
  <si>
    <t xml:space="preserve">Dividend per Share </t>
  </si>
  <si>
    <t xml:space="preserve">Payout Ratio </t>
  </si>
  <si>
    <t>2x Net Debt / EBITDA</t>
  </si>
  <si>
    <t>Net Debt</t>
  </si>
  <si>
    <t>Ratio</t>
  </si>
  <si>
    <t>V1: Steady deleveraging or Share of CF</t>
  </si>
  <si>
    <t xml:space="preserve">Net Intrest Income/Expense </t>
  </si>
  <si>
    <t xml:space="preserve">Target Levrage ratio </t>
  </si>
  <si>
    <t xml:space="preserve">Neutral </t>
  </si>
  <si>
    <t>Optimistic</t>
  </si>
  <si>
    <t>New Debt Issuance Share (%)</t>
  </si>
  <si>
    <t xml:space="preserve">Debt increases with the rate of Growth (and up to the targeted Leverage Ratio as optimal capital structure) </t>
  </si>
  <si>
    <t xml:space="preserve">Amount of Shares is kept constant </t>
  </si>
  <si>
    <t xml:space="preserve">Version 1: Payout Dividend Forecast </t>
  </si>
  <si>
    <t xml:space="preserve">Constant Ratio </t>
  </si>
  <si>
    <t xml:space="preserve">Growing Ratio </t>
  </si>
  <si>
    <t xml:space="preserve">Reduction up to a minimum level </t>
  </si>
  <si>
    <t xml:space="preserve">Version </t>
  </si>
  <si>
    <t>EPS Dividend</t>
  </si>
  <si>
    <t>Payout Ratio Dividend</t>
  </si>
  <si>
    <t xml:space="preserve">Slow Growth </t>
  </si>
  <si>
    <t xml:space="preserve">High Growth </t>
  </si>
  <si>
    <t>Version 1: Cash viewed in aggregate</t>
  </si>
  <si>
    <t xml:space="preserve">Operating Cash </t>
  </si>
  <si>
    <t xml:space="preserve">Investing Cash </t>
  </si>
  <si>
    <t xml:space="preserve">Hensold Corporate Spead </t>
  </si>
  <si>
    <t xml:space="preserve">Cash Accumulation </t>
  </si>
  <si>
    <t xml:space="preserve">V3: Cash Accrural </t>
  </si>
  <si>
    <t xml:space="preserve">As long as Debt is below target rate, cash is allowed to accumulate to finance future aquisitions </t>
  </si>
  <si>
    <t xml:space="preserve">Assumptions &amp; Relevant Data Points </t>
  </si>
  <si>
    <t xml:space="preserve">Tax Rate as shown in Annual report is on average 28,3% in Germany, </t>
  </si>
  <si>
    <t xml:space="preserve">used here to forecast the income tax burden with deferred taxed being used in 2024 to reduce the tax burden </t>
  </si>
  <si>
    <t xml:space="preserve">Net Debt </t>
  </si>
  <si>
    <t>Repayments/Newly issuance</t>
  </si>
  <si>
    <t xml:space="preserve">Actual Ratio </t>
  </si>
  <si>
    <t xml:space="preserve">If debt rises above this lvl, 15% of net income will be used to repay the debt </t>
  </si>
  <si>
    <t>(+/-) newly issued debt/repayments</t>
  </si>
  <si>
    <t xml:space="preserve">No. of Shares </t>
  </si>
  <si>
    <t xml:space="preserve"> As of October 2025</t>
  </si>
  <si>
    <t xml:space="preserve">(Premium over risk free bonds, in this case German BUNDS) </t>
  </si>
  <si>
    <t>Total</t>
  </si>
  <si>
    <t xml:space="preserve">Intrest Rate </t>
  </si>
  <si>
    <t>Intrest Expense Scenario</t>
  </si>
  <si>
    <t>Version 3:</t>
  </si>
  <si>
    <t xml:space="preserve">20% Operational </t>
  </si>
  <si>
    <t>80% Investable</t>
  </si>
  <si>
    <t xml:space="preserve">Operational -&gt; 1,5% </t>
  </si>
  <si>
    <t>Intrest rate for Operational assumed as 1,5%, for investable as 4,5%+main intrest rate</t>
  </si>
  <si>
    <t>total intrest rate income will be applied:</t>
  </si>
  <si>
    <t>Maint intrest rate</t>
  </si>
  <si>
    <t xml:space="preserve">Main Intrest Rate </t>
  </si>
  <si>
    <t>3% since it is a blended rate + main intrest rate</t>
  </si>
  <si>
    <t xml:space="preserve">Investable -&gt; 4,5% + main </t>
  </si>
  <si>
    <t>Company Dividend Policy: payout ratio between 30-40% of Net Income</t>
  </si>
  <si>
    <t>Scenarios model diffrent payout ratios</t>
  </si>
  <si>
    <t xml:space="preserve">V2: Constant Dividend Growth </t>
  </si>
  <si>
    <t>Scenarios model a cent per share growth pathway</t>
  </si>
  <si>
    <t>Version 1: Current Spread + main intrest rate</t>
  </si>
  <si>
    <t>Actual Intrest rate</t>
  </si>
  <si>
    <t>Total intrest payments</t>
  </si>
  <si>
    <t>V1: Current Spread + main intrest rate</t>
  </si>
  <si>
    <t>Yield Curve (BUNDS)</t>
  </si>
  <si>
    <t>Current Rating B2</t>
  </si>
  <si>
    <t>V2: tightening spread (until lowest investment grade)+ main rate</t>
  </si>
  <si>
    <t xml:space="preserve">V3: expanding spread + main rate (reduction to even further junk bond) </t>
  </si>
  <si>
    <t>Version 2: tightening spread (until investment grade) + main rate</t>
  </si>
  <si>
    <t>Version 3: expanding spread (one downgrade implied) + main rate</t>
  </si>
  <si>
    <t>Expected Spread improvement</t>
  </si>
  <si>
    <t xml:space="preserve">Expected Spread worsening </t>
  </si>
  <si>
    <t xml:space="preserve">Company is kept on growth path/grows with German Defense Spending -&gt; executes as well as currently </t>
  </si>
  <si>
    <t xml:space="preserve">Company fails ist execution, worsening the credit profile and increasing the credit cost </t>
  </si>
  <si>
    <t xml:space="preserve">from refinancing the two, long term facilities it has taken up on to finance the takeover of ESG </t>
  </si>
  <si>
    <t xml:space="preserve">Rating worsens to B3 reflecting current Junk Bond Spreads of 400 bps </t>
  </si>
  <si>
    <t>Deleveraging leads to higher ratings, reaching BBB 2029 leading to significantly tightened spread of 105 bps</t>
  </si>
  <si>
    <t xml:space="preserve">(1: Constant, 2: Growing, 3: decreasing Ratio) </t>
  </si>
  <si>
    <t>Other current assets as % of revenue</t>
  </si>
  <si>
    <t>Other non-current assets as % of revenue</t>
  </si>
  <si>
    <t>Other current liabilities as % of Operating Expense</t>
  </si>
  <si>
    <t xml:space="preserve">Other non-current liabilities as % of Operating Expenses </t>
  </si>
  <si>
    <t>Other Current Assets</t>
  </si>
  <si>
    <t>Other Non-current assets</t>
  </si>
  <si>
    <t xml:space="preserve">other non-current liabilites </t>
  </si>
  <si>
    <t>Operating Expenses</t>
  </si>
  <si>
    <t xml:space="preserve">Other Current assets </t>
  </si>
  <si>
    <t>Other Non-Current Assets</t>
  </si>
  <si>
    <t>Other Current liabilities</t>
  </si>
  <si>
    <t xml:space="preserve">Other non-current liabilities </t>
  </si>
  <si>
    <t>Operating Cost</t>
  </si>
  <si>
    <t xml:space="preserve">Share of Revenue in % </t>
  </si>
  <si>
    <t xml:space="preserve">Versions </t>
  </si>
  <si>
    <t xml:space="preserve">Other current assets </t>
  </si>
  <si>
    <t>Other non-current liabilites</t>
  </si>
  <si>
    <t xml:space="preserve">Other Assets &amp; Liabilities </t>
  </si>
  <si>
    <t xml:space="preserve">Other current assets: </t>
  </si>
  <si>
    <t xml:space="preserve">V1: Use last historical value as a constant due to new structure of Hensoldt after the ESG Aquisition </t>
  </si>
  <si>
    <t xml:space="preserve">V2: Average of last 3 Years </t>
  </si>
  <si>
    <t xml:space="preserve">other Non-current assets: </t>
  </si>
  <si>
    <t xml:space="preserve">Other current liabilities: </t>
  </si>
  <si>
    <t xml:space="preserve"> Include Liabilities for tax (Including income tax), social security/towards personell </t>
  </si>
  <si>
    <t xml:space="preserve">V1: Growing liabilities share (increased personell cost as forecast by management of 5% DE, 2,5% FR, 4% UK -&gt; Average 3,8% increase </t>
  </si>
  <si>
    <t xml:space="preserve">V2: reduced liablities (Synergies due to the ESG Aquisition) </t>
  </si>
  <si>
    <t xml:space="preserve">V3: Constant Liabilities share (growing with overall business) </t>
  </si>
  <si>
    <t xml:space="preserve">Other non-current liabilities: </t>
  </si>
  <si>
    <t xml:space="preserve">V1: </t>
  </si>
  <si>
    <t xml:space="preserve">V2: </t>
  </si>
  <si>
    <t xml:space="preserve">Share of OpEX in % </t>
  </si>
  <si>
    <t>V3</t>
  </si>
  <si>
    <t xml:space="preserve">(2,5% increased efficiency annually) </t>
  </si>
  <si>
    <t xml:space="preserve">Righ of Use Assets + 50 Miscallenious assets comprise the Other non-current assets category </t>
  </si>
  <si>
    <t>Total Debt</t>
  </si>
  <si>
    <t>Revenue Conversion Rate</t>
  </si>
  <si>
    <t>Revenue Growth Rate</t>
  </si>
  <si>
    <t xml:space="preserve">Other Income </t>
  </si>
  <si>
    <t>Sanity Check (Invers EBITDA Margin)</t>
  </si>
  <si>
    <t xml:space="preserve">Assumptions about Scenarios </t>
  </si>
  <si>
    <t xml:space="preserve">Other Non-Operating Income kept at 0 due to small impact/discretionary nature </t>
  </si>
  <si>
    <t xml:space="preserve">Revenue: </t>
  </si>
  <si>
    <t>Bookt to Bill Ratio</t>
  </si>
  <si>
    <t xml:space="preserve">Conversion Rate </t>
  </si>
  <si>
    <t xml:space="preserve">Total PPE + ROU </t>
  </si>
  <si>
    <t>Purchase of Intangibls</t>
  </si>
  <si>
    <t xml:space="preserve">Capex PPE + CAPEX ROU </t>
  </si>
  <si>
    <t>Capex</t>
  </si>
  <si>
    <t>D&amp;A</t>
  </si>
  <si>
    <t>Disposals</t>
  </si>
  <si>
    <t>Percentage Used</t>
  </si>
  <si>
    <t xml:space="preserve">Percentage used </t>
  </si>
  <si>
    <t>Inventories</t>
  </si>
  <si>
    <t>as a % of Assets</t>
  </si>
  <si>
    <t>Non-Current Assets</t>
  </si>
  <si>
    <t>Goodwill &amp; Intangibles</t>
  </si>
  <si>
    <t>Property, Plant &amp; Equipment (incl. RoU)</t>
  </si>
  <si>
    <t>Investments &amp; Other Fin Assets (NC)</t>
  </si>
  <si>
    <t>Deferred Tax Assets</t>
  </si>
  <si>
    <t>Total Non-Current Assets</t>
  </si>
  <si>
    <t>Current Assets</t>
  </si>
  <si>
    <t>Trade Receivables</t>
  </si>
  <si>
    <t>Contract Assets</t>
  </si>
  <si>
    <t>Cash &amp; Cash Equivalents</t>
  </si>
  <si>
    <t>Total Current Assets</t>
  </si>
  <si>
    <t>Total Assets</t>
  </si>
  <si>
    <t>Equity &amp; Liab.</t>
  </si>
  <si>
    <t>Other Reserves (incl. Capital Reserve)</t>
  </si>
  <si>
    <t>Retained Earnings</t>
  </si>
  <si>
    <t>Equity Attributable to Shareholders</t>
  </si>
  <si>
    <t>Non-Controlling Interests</t>
  </si>
  <si>
    <t>Total Equity</t>
  </si>
  <si>
    <t>Liabilities</t>
  </si>
  <si>
    <t>Non-Current Liabilities</t>
  </si>
  <si>
    <t>Non-Current Debt (Financing &amp; Lease)</t>
  </si>
  <si>
    <t>Non-Current Provisions</t>
  </si>
  <si>
    <t>Other Non-Current Liabilities</t>
  </si>
  <si>
    <t>Deferred Tax Liabilities</t>
  </si>
  <si>
    <t>Total Non-Current Liabilities</t>
  </si>
  <si>
    <t>Current Liabilities</t>
  </si>
  <si>
    <t>Current Debt (Financing &amp; Lease)</t>
  </si>
  <si>
    <t>Trade Payables</t>
  </si>
  <si>
    <t>Current Contract Liabilities</t>
  </si>
  <si>
    <t>Current Provisions</t>
  </si>
  <si>
    <t>Other Current Liabilities</t>
  </si>
  <si>
    <t>Total Current Liabilities</t>
  </si>
  <si>
    <t>Total Liabilities</t>
  </si>
  <si>
    <t>Total Equity &amp; Liab.</t>
  </si>
  <si>
    <t>Operating Activities</t>
  </si>
  <si>
    <t>Group Profit / Loss (or Net Income)</t>
  </si>
  <si>
    <t>Adjustments for Non-Cash Items</t>
  </si>
  <si>
    <t>Change in Working Capital</t>
  </si>
  <si>
    <t>Interest Paid (Net of Received)</t>
  </si>
  <si>
    <t>Taxes Paid (Net of Refunds)</t>
  </si>
  <si>
    <t>Net Cash from Operating Activities</t>
  </si>
  <si>
    <t>Investing Activities</t>
  </si>
  <si>
    <t>Capital Expenditures (Net)</t>
  </si>
  <si>
    <t>Acquisitions &amp; Investments (Net)</t>
  </si>
  <si>
    <t>Other Investing Activities</t>
  </si>
  <si>
    <t>Net Cash from Investing Activities</t>
  </si>
  <si>
    <t>Financing Activities</t>
  </si>
  <si>
    <t>Net Change in Debt / Financing</t>
  </si>
  <si>
    <t>Net Change related to Equity</t>
  </si>
  <si>
    <t>Payment of Lease Liabilities</t>
  </si>
  <si>
    <t>Dividends Paid</t>
  </si>
  <si>
    <t>Other Financing Activities</t>
  </si>
  <si>
    <t>Net Cash from Financing Activities</t>
  </si>
  <si>
    <t>FX Effect &amp; Net Change</t>
  </si>
  <si>
    <t>Effect of Exchange Rates on Cash</t>
  </si>
  <si>
    <t>Net Change in Cash &amp; Equivalents</t>
  </si>
  <si>
    <t>Cash Balances</t>
  </si>
  <si>
    <t>Cash &amp; Equivalents (Beginning)</t>
  </si>
  <si>
    <t>Cash &amp; Equivalents (End)</t>
  </si>
  <si>
    <t>Top Line &amp; Gross Profit</t>
  </si>
  <si>
    <t>Cost of Sales (COGS)</t>
  </si>
  <si>
    <t>Operating Expenses (OPEX)</t>
  </si>
  <si>
    <t>Other Operating Income/(Expense) Net</t>
  </si>
  <si>
    <t>EBIT</t>
  </si>
  <si>
    <t>EBT</t>
  </si>
  <si>
    <t>Net Income</t>
  </si>
  <si>
    <t>Attributable to Owners</t>
  </si>
  <si>
    <t>Attributable to NCI</t>
  </si>
  <si>
    <t>Per Share</t>
  </si>
  <si>
    <t>Earnings Per Share (EPS)</t>
  </si>
  <si>
    <t>Year</t>
  </si>
  <si>
    <t>Interest Expense</t>
  </si>
  <si>
    <t>Interest Income</t>
  </si>
  <si>
    <t>Other Fin Net</t>
  </si>
  <si>
    <t xml:space="preserve">Earnings Per Share (EPS) Number of Shares: </t>
  </si>
  <si>
    <t>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</si>
</sst>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0.000"/>
  </numFmts>
  <fonts count="33" x14ac:knownFonts="1"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8"/>
      <color theme="3"/>
      <name val="Aptos Narrow"/>
      <family val="2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3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3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 Narrow"/>
    </font>
    <font>
      <sz val="12"/>
      <color theme="1"/>
      <name val="Aptos Narrow"/>
      <family val="2"/>
    </font>
    <font>
      <i/>
      <sz val="12"/>
      <color rgb="FF000000"/>
      <name val="Aptos Narrow"/>
    </font>
    <font>
      <sz val="12"/>
      <color rgb="FF000000"/>
      <name val="Aptos Narrow"/>
    </font>
    <font>
      <b/>
      <sz val="12"/>
      <color theme="1"/>
      <name val="Aptos Narrow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b/>
      <sz val="12"/>
      <color rgb="FFA20000"/>
      <name val="Aptos Narrow"/>
    </font>
    <font>
      <sz val="12"/>
      <color rgb="FFED0000"/>
      <name val="Aptos Narrow"/>
      <family val="2"/>
      <scheme val="minor"/>
    </font>
    <font>
      <sz val="12"/>
      <color rgb="FF0070C0"/>
      <name val="Aptos Narrow"/>
      <family val="2"/>
      <scheme val="minor"/>
    </font>
    <font>
      <sz val="12"/>
      <color rgb="FF7030A0"/>
      <name val="Aptos Narrow"/>
      <family val="2"/>
      <scheme val="minor"/>
    </font>
    <font>
      <sz val="12"/>
      <color rgb="FF92D050"/>
      <name val="Aptos Narrow"/>
      <family val="2"/>
      <scheme val="minor"/>
    </font>
    <font>
      <sz val="12"/>
      <color rgb="FF00B050"/>
      <name val="Aptos Narrow"/>
      <family val="2"/>
      <scheme val="minor"/>
    </font>
    <font>
      <b/>
      <u/>
      <sz val="12"/>
      <color theme="1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0000"/>
      <name val="Aptos Narrow"/>
      <scheme val="minor"/>
    </font>
    <font>
      <sz val="12"/>
      <color rgb="FF000000"/>
      <name val="Arial"/>
      <family val="2"/>
    </font>
    <font>
      <b/>
      <sz val="24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78">
    <xf numFmtId="0" fontId="0" fillId="0" borderId="0" xfId="0"/>
    <xf numFmtId="0" fontId="1" fillId="0" borderId="1" xfId="1" applyAlignment="1"/>
    <xf numFmtId="0" fontId="2" fillId="0" borderId="2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0" borderId="1" xfId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3" fillId="0" borderId="1" xfId="1" applyFont="1"/>
    <xf numFmtId="0" fontId="4" fillId="0" borderId="2" xfId="2" applyFont="1"/>
    <xf numFmtId="16" fontId="0" fillId="0" borderId="0" xfId="0" applyNumberFormat="1"/>
    <xf numFmtId="0" fontId="6" fillId="0" borderId="0" xfId="0" applyFont="1"/>
    <xf numFmtId="0" fontId="6" fillId="0" borderId="3" xfId="0" applyFont="1" applyBorder="1"/>
    <xf numFmtId="0" fontId="0" fillId="0" borderId="3" xfId="0" applyBorder="1"/>
    <xf numFmtId="1" fontId="0" fillId="0" borderId="0" xfId="0" applyNumberFormat="1"/>
    <xf numFmtId="0" fontId="3" fillId="0" borderId="2" xfId="2" applyFont="1"/>
    <xf numFmtId="0" fontId="7" fillId="0" borderId="2" xfId="2" applyFont="1"/>
    <xf numFmtId="1" fontId="6" fillId="0" borderId="3" xfId="0" applyNumberFormat="1" applyFont="1" applyBorder="1"/>
    <xf numFmtId="1" fontId="6" fillId="0" borderId="0" xfId="0" applyNumberFormat="1" applyFont="1"/>
    <xf numFmtId="0" fontId="6" fillId="0" borderId="4" xfId="0" applyFont="1" applyBorder="1"/>
    <xf numFmtId="0" fontId="0" fillId="0" borderId="4" xfId="0" applyBorder="1"/>
    <xf numFmtId="0" fontId="8" fillId="0" borderId="0" xfId="0" applyFont="1"/>
    <xf numFmtId="0" fontId="8" fillId="0" borderId="4" xfId="0" applyFont="1" applyBorder="1"/>
    <xf numFmtId="0" fontId="6" fillId="0" borderId="5" xfId="0" applyFont="1" applyBorder="1"/>
    <xf numFmtId="0" fontId="0" fillId="0" borderId="5" xfId="0" applyBorder="1"/>
    <xf numFmtId="1" fontId="0" fillId="0" borderId="4" xfId="0" applyNumberFormat="1" applyBorder="1"/>
    <xf numFmtId="1" fontId="6" fillId="0" borderId="5" xfId="0" applyNumberFormat="1" applyFont="1" applyBorder="1"/>
    <xf numFmtId="1" fontId="6" fillId="0" borderId="4" xfId="0" applyNumberFormat="1" applyFont="1" applyBorder="1"/>
    <xf numFmtId="0" fontId="9" fillId="0" borderId="2" xfId="2" applyFont="1"/>
    <xf numFmtId="0" fontId="1" fillId="0" borderId="8" xfId="1" applyBorder="1"/>
    <xf numFmtId="0" fontId="0" fillId="0" borderId="7" xfId="0" applyBorder="1"/>
    <xf numFmtId="14" fontId="0" fillId="0" borderId="7" xfId="0" applyNumberFormat="1" applyBorder="1"/>
    <xf numFmtId="0" fontId="0" fillId="0" borderId="7" xfId="0" applyBorder="1" applyAlignment="1">
      <alignment horizontal="center"/>
    </xf>
    <xf numFmtId="0" fontId="1" fillId="0" borderId="11" xfId="1" applyBorder="1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center"/>
    </xf>
    <xf numFmtId="0" fontId="6" fillId="0" borderId="9" xfId="0" applyFont="1" applyBorder="1"/>
    <xf numFmtId="0" fontId="6" fillId="0" borderId="12" xfId="0" applyFont="1" applyBorder="1"/>
    <xf numFmtId="0" fontId="6" fillId="0" borderId="10" xfId="0" applyFont="1" applyBorder="1"/>
    <xf numFmtId="1" fontId="0" fillId="0" borderId="7" xfId="0" applyNumberFormat="1" applyBorder="1"/>
    <xf numFmtId="1" fontId="6" fillId="0" borderId="9" xfId="0" applyNumberFormat="1" applyFont="1" applyBorder="1"/>
    <xf numFmtId="1" fontId="6" fillId="0" borderId="7" xfId="0" applyNumberFormat="1" applyFont="1" applyBorder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0" xfId="0" applyFont="1"/>
    <xf numFmtId="0" fontId="11" fillId="0" borderId="6" xfId="0" applyFont="1" applyBorder="1"/>
    <xf numFmtId="0" fontId="12" fillId="0" borderId="6" xfId="0" applyFont="1" applyBorder="1"/>
    <xf numFmtId="0" fontId="15" fillId="0" borderId="0" xfId="0" applyFont="1"/>
    <xf numFmtId="164" fontId="0" fillId="0" borderId="0" xfId="3" applyNumberFormat="1" applyFont="1"/>
    <xf numFmtId="164" fontId="6" fillId="0" borderId="6" xfId="3" applyNumberFormat="1" applyFont="1" applyBorder="1"/>
    <xf numFmtId="164" fontId="6" fillId="0" borderId="3" xfId="3" applyNumberFormat="1" applyFont="1" applyBorder="1"/>
    <xf numFmtId="0" fontId="6" fillId="0" borderId="6" xfId="0" applyFont="1" applyBorder="1"/>
    <xf numFmtId="0" fontId="16" fillId="0" borderId="0" xfId="0" applyFont="1"/>
    <xf numFmtId="0" fontId="6" fillId="0" borderId="13" xfId="0" applyFont="1" applyBorder="1"/>
    <xf numFmtId="0" fontId="0" fillId="0" borderId="9" xfId="0" applyBorder="1"/>
    <xf numFmtId="0" fontId="0" fillId="0" borderId="12" xfId="0" applyBorder="1"/>
    <xf numFmtId="0" fontId="0" fillId="2" borderId="14" xfId="0" applyFill="1" applyBorder="1"/>
    <xf numFmtId="0" fontId="0" fillId="3" borderId="0" xfId="0" applyFill="1"/>
    <xf numFmtId="0" fontId="6" fillId="0" borderId="7" xfId="0" applyFont="1" applyBorder="1"/>
    <xf numFmtId="0" fontId="0" fillId="0" borderId="15" xfId="0" applyBorder="1"/>
    <xf numFmtId="0" fontId="6" fillId="0" borderId="15" xfId="0" applyFont="1" applyBorder="1"/>
    <xf numFmtId="0" fontId="6" fillId="0" borderId="19" xfId="0" applyFont="1" applyBorder="1"/>
    <xf numFmtId="0" fontId="0" fillId="0" borderId="19" xfId="0" applyBorder="1"/>
    <xf numFmtId="1" fontId="0" fillId="0" borderId="20" xfId="0" applyNumberFormat="1" applyBorder="1"/>
    <xf numFmtId="1" fontId="0" fillId="0" borderId="19" xfId="0" applyNumberFormat="1" applyBorder="1"/>
    <xf numFmtId="0" fontId="0" fillId="0" borderId="18" xfId="0" applyBorder="1"/>
    <xf numFmtId="1" fontId="6" fillId="0" borderId="17" xfId="0" applyNumberFormat="1" applyFont="1" applyBorder="1"/>
    <xf numFmtId="1" fontId="6" fillId="0" borderId="21" xfId="0" applyNumberFormat="1" applyFont="1" applyBorder="1"/>
    <xf numFmtId="1" fontId="0" fillId="0" borderId="15" xfId="0" applyNumberFormat="1" applyBorder="1"/>
    <xf numFmtId="1" fontId="6" fillId="0" borderId="16" xfId="0" applyNumberFormat="1" applyFont="1" applyBorder="1"/>
    <xf numFmtId="1" fontId="6" fillId="0" borderId="24" xfId="0" applyNumberFormat="1" applyFont="1" applyBorder="1"/>
    <xf numFmtId="1" fontId="6" fillId="0" borderId="6" xfId="0" applyNumberFormat="1" applyFont="1" applyBorder="1"/>
    <xf numFmtId="1" fontId="6" fillId="0" borderId="23" xfId="0" applyNumberFormat="1" applyFont="1" applyBorder="1"/>
    <xf numFmtId="1" fontId="6" fillId="0" borderId="22" xfId="0" applyNumberFormat="1" applyFont="1" applyBorder="1"/>
    <xf numFmtId="0" fontId="18" fillId="0" borderId="0" xfId="0" applyFont="1"/>
    <xf numFmtId="0" fontId="19" fillId="0" borderId="0" xfId="0" applyFont="1"/>
    <xf numFmtId="1" fontId="19" fillId="0" borderId="0" xfId="0" applyNumberFormat="1" applyFont="1"/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1" fontId="0" fillId="3" borderId="0" xfId="0" applyNumberFormat="1" applyFill="1"/>
    <xf numFmtId="1" fontId="0" fillId="0" borderId="26" xfId="0" applyNumberFormat="1" applyBorder="1"/>
    <xf numFmtId="1" fontId="6" fillId="0" borderId="26" xfId="0" applyNumberFormat="1" applyFont="1" applyBorder="1"/>
    <xf numFmtId="1" fontId="0" fillId="0" borderId="16" xfId="0" applyNumberFormat="1" applyBorder="1"/>
    <xf numFmtId="1" fontId="6" fillId="0" borderId="15" xfId="0" applyNumberFormat="1" applyFont="1" applyBorder="1"/>
    <xf numFmtId="9" fontId="0" fillId="0" borderId="0" xfId="4" applyFont="1"/>
    <xf numFmtId="9" fontId="0" fillId="3" borderId="0" xfId="4" applyFont="1" applyFill="1"/>
    <xf numFmtId="1" fontId="0" fillId="3" borderId="5" xfId="0" applyNumberFormat="1" applyFill="1" applyBorder="1"/>
    <xf numFmtId="43" fontId="0" fillId="3" borderId="0" xfId="3" applyFont="1" applyFill="1"/>
    <xf numFmtId="1" fontId="0" fillId="3" borderId="0" xfId="4" applyNumberFormat="1" applyFont="1" applyFill="1"/>
    <xf numFmtId="1" fontId="20" fillId="3" borderId="0" xfId="0" applyNumberFormat="1" applyFont="1" applyFill="1"/>
    <xf numFmtId="0" fontId="17" fillId="2" borderId="14" xfId="0" applyFont="1" applyFill="1" applyBorder="1"/>
    <xf numFmtId="1" fontId="21" fillId="3" borderId="0" xfId="0" applyNumberFormat="1" applyFont="1" applyFill="1"/>
    <xf numFmtId="2" fontId="0" fillId="3" borderId="0" xfId="0" applyNumberFormat="1" applyFill="1"/>
    <xf numFmtId="9" fontId="0" fillId="2" borderId="14" xfId="4" applyFont="1" applyFill="1" applyBorder="1"/>
    <xf numFmtId="2" fontId="0" fillId="2" borderId="14" xfId="4" applyNumberFormat="1" applyFont="1" applyFill="1" applyBorder="1"/>
    <xf numFmtId="165" fontId="0" fillId="2" borderId="14" xfId="4" applyNumberFormat="1" applyFont="1" applyFill="1" applyBorder="1"/>
    <xf numFmtId="0" fontId="6" fillId="2" borderId="5" xfId="0" applyFont="1" applyFill="1" applyBorder="1"/>
    <xf numFmtId="0" fontId="6" fillId="3" borderId="5" xfId="0" applyFont="1" applyFill="1" applyBorder="1"/>
    <xf numFmtId="0" fontId="6" fillId="3" borderId="0" xfId="0" applyFont="1" applyFill="1"/>
    <xf numFmtId="9" fontId="6" fillId="2" borderId="0" xfId="0" applyNumberFormat="1" applyFont="1" applyFill="1"/>
    <xf numFmtId="0" fontId="6" fillId="0" borderId="17" xfId="0" applyFont="1" applyBorder="1"/>
    <xf numFmtId="0" fontId="0" fillId="0" borderId="6" xfId="0" applyBorder="1"/>
    <xf numFmtId="0" fontId="0" fillId="0" borderId="23" xfId="0" applyBorder="1"/>
    <xf numFmtId="0" fontId="0" fillId="0" borderId="25" xfId="0" applyBorder="1"/>
    <xf numFmtId="0" fontId="0" fillId="0" borderId="30" xfId="0" applyBorder="1"/>
    <xf numFmtId="0" fontId="22" fillId="0" borderId="7" xfId="0" applyFont="1" applyBorder="1"/>
    <xf numFmtId="0" fontId="21" fillId="0" borderId="7" xfId="0" applyFont="1" applyBorder="1"/>
    <xf numFmtId="0" fontId="17" fillId="0" borderId="7" xfId="0" applyFont="1" applyBorder="1"/>
    <xf numFmtId="0" fontId="20" fillId="0" borderId="25" xfId="0" applyFont="1" applyBorder="1"/>
    <xf numFmtId="9" fontId="21" fillId="2" borderId="14" xfId="4" applyFont="1" applyFill="1" applyBorder="1"/>
    <xf numFmtId="0" fontId="21" fillId="2" borderId="14" xfId="0" applyFont="1" applyFill="1" applyBorder="1"/>
    <xf numFmtId="0" fontId="21" fillId="2" borderId="29" xfId="0" applyFont="1" applyFill="1" applyBorder="1"/>
    <xf numFmtId="0" fontId="0" fillId="2" borderId="31" xfId="0" applyFill="1" applyBorder="1"/>
    <xf numFmtId="9" fontId="0" fillId="0" borderId="0" xfId="0" applyNumberFormat="1"/>
    <xf numFmtId="9" fontId="0" fillId="0" borderId="10" xfId="0" applyNumberFormat="1" applyBorder="1"/>
    <xf numFmtId="9" fontId="0" fillId="0" borderId="4" xfId="0" applyNumberFormat="1" applyBorder="1"/>
    <xf numFmtId="9" fontId="0" fillId="0" borderId="30" xfId="0" applyNumberFormat="1" applyBorder="1"/>
    <xf numFmtId="0" fontId="20" fillId="3" borderId="0" xfId="0" applyFont="1" applyFill="1"/>
    <xf numFmtId="1" fontId="6" fillId="0" borderId="12" xfId="0" applyNumberFormat="1" applyFont="1" applyBorder="1"/>
    <xf numFmtId="9" fontId="0" fillId="2" borderId="14" xfId="0" applyNumberFormat="1" applyFill="1" applyBorder="1"/>
    <xf numFmtId="10" fontId="0" fillId="2" borderId="14" xfId="0" applyNumberFormat="1" applyFill="1" applyBorder="1" applyAlignment="1">
      <alignment horizontal="right"/>
    </xf>
    <xf numFmtId="9" fontId="0" fillId="2" borderId="14" xfId="0" applyNumberFormat="1" applyFill="1" applyBorder="1" applyAlignment="1">
      <alignment horizontal="right"/>
    </xf>
    <xf numFmtId="9" fontId="20" fillId="3" borderId="0" xfId="0" applyNumberFormat="1" applyFont="1" applyFill="1"/>
    <xf numFmtId="9" fontId="0" fillId="2" borderId="29" xfId="4" applyFont="1" applyFill="1" applyBorder="1"/>
    <xf numFmtId="1" fontId="0" fillId="2" borderId="14" xfId="0" applyNumberFormat="1" applyFill="1" applyBorder="1"/>
    <xf numFmtId="166" fontId="0" fillId="2" borderId="14" xfId="0" applyNumberFormat="1" applyFill="1" applyBorder="1"/>
    <xf numFmtId="1" fontId="0" fillId="2" borderId="29" xfId="0" applyNumberFormat="1" applyFill="1" applyBorder="1"/>
    <xf numFmtId="9" fontId="0" fillId="0" borderId="27" xfId="0" applyNumberFormat="1" applyBorder="1"/>
    <xf numFmtId="0" fontId="0" fillId="3" borderId="5" xfId="0" applyFill="1" applyBorder="1"/>
    <xf numFmtId="1" fontId="0" fillId="2" borderId="5" xfId="0" applyNumberFormat="1" applyFill="1" applyBorder="1"/>
    <xf numFmtId="1" fontId="17" fillId="2" borderId="14" xfId="0" applyNumberFormat="1" applyFont="1" applyFill="1" applyBorder="1"/>
    <xf numFmtId="0" fontId="17" fillId="2" borderId="29" xfId="0" applyFont="1" applyFill="1" applyBorder="1"/>
    <xf numFmtId="1" fontId="0" fillId="0" borderId="0" xfId="0" applyNumberFormat="1" applyAlignment="1">
      <alignment horizontal="center"/>
    </xf>
    <xf numFmtId="0" fontId="17" fillId="0" borderId="17" xfId="0" applyFont="1" applyBorder="1"/>
    <xf numFmtId="0" fontId="17" fillId="0" borderId="6" xfId="0" applyFont="1" applyBorder="1"/>
    <xf numFmtId="0" fontId="17" fillId="0" borderId="23" xfId="0" applyFont="1" applyBorder="1"/>
    <xf numFmtId="0" fontId="17" fillId="0" borderId="5" xfId="0" applyFont="1" applyBorder="1"/>
    <xf numFmtId="1" fontId="6" fillId="0" borderId="0" xfId="0" applyNumberFormat="1" applyFont="1" applyAlignment="1">
      <alignment horizontal="center"/>
    </xf>
    <xf numFmtId="2" fontId="0" fillId="2" borderId="14" xfId="0" applyNumberFormat="1" applyFill="1" applyBorder="1"/>
    <xf numFmtId="1" fontId="23" fillId="4" borderId="14" xfId="0" applyNumberFormat="1" applyFont="1" applyFill="1" applyBorder="1"/>
    <xf numFmtId="0" fontId="24" fillId="0" borderId="0" xfId="0" applyFont="1"/>
    <xf numFmtId="1" fontId="23" fillId="2" borderId="14" xfId="0" applyNumberFormat="1" applyFont="1" applyFill="1" applyBorder="1"/>
    <xf numFmtId="1" fontId="21" fillId="2" borderId="14" xfId="0" applyNumberFormat="1" applyFont="1" applyFill="1" applyBorder="1"/>
    <xf numFmtId="1" fontId="3" fillId="0" borderId="1" xfId="1" applyNumberFormat="1" applyFont="1"/>
    <xf numFmtId="1" fontId="1" fillId="0" borderId="1" xfId="1" applyNumberFormat="1" applyAlignment="1"/>
    <xf numFmtId="1" fontId="1" fillId="0" borderId="1" xfId="1" applyNumberFormat="1"/>
    <xf numFmtId="1" fontId="0" fillId="0" borderId="27" xfId="0" applyNumberFormat="1" applyBorder="1"/>
    <xf numFmtId="1" fontId="24" fillId="0" borderId="0" xfId="0" applyNumberFormat="1" applyFont="1"/>
    <xf numFmtId="1" fontId="0" fillId="0" borderId="9" xfId="0" applyNumberFormat="1" applyBorder="1"/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1" fontId="0" fillId="0" borderId="10" xfId="0" applyNumberFormat="1" applyBorder="1"/>
    <xf numFmtId="9" fontId="0" fillId="0" borderId="0" xfId="4" applyFont="1" applyBorder="1"/>
    <xf numFmtId="9" fontId="0" fillId="0" borderId="10" xfId="4" applyFont="1" applyBorder="1"/>
    <xf numFmtId="9" fontId="0" fillId="0" borderId="4" xfId="4" applyFont="1" applyBorder="1"/>
    <xf numFmtId="9" fontId="0" fillId="0" borderId="30" xfId="4" applyFont="1" applyBorder="1"/>
    <xf numFmtId="1" fontId="6" fillId="3" borderId="5" xfId="0" applyNumberFormat="1" applyFont="1" applyFill="1" applyBorder="1"/>
    <xf numFmtId="1" fontId="6" fillId="2" borderId="32" xfId="0" applyNumberFormat="1" applyFont="1" applyFill="1" applyBorder="1"/>
    <xf numFmtId="0" fontId="0" fillId="0" borderId="26" xfId="0" applyBorder="1"/>
    <xf numFmtId="9" fontId="0" fillId="0" borderId="7" xfId="4" applyFont="1" applyBorder="1"/>
    <xf numFmtId="1" fontId="25" fillId="0" borderId="3" xfId="0" applyNumberFormat="1" applyFont="1" applyBorder="1"/>
    <xf numFmtId="1" fontId="25" fillId="0" borderId="12" xfId="0" applyNumberFormat="1" applyFont="1" applyBorder="1"/>
    <xf numFmtId="10" fontId="0" fillId="2" borderId="14" xfId="4" applyNumberFormat="1" applyFont="1" applyFill="1" applyBorder="1"/>
    <xf numFmtId="2" fontId="0" fillId="2" borderId="29" xfId="0" applyNumberFormat="1" applyFill="1" applyBorder="1"/>
    <xf numFmtId="9" fontId="0" fillId="0" borderId="26" xfId="0" applyNumberFormat="1" applyBorder="1"/>
    <xf numFmtId="9" fontId="6" fillId="0" borderId="7" xfId="4" applyFont="1" applyBorder="1"/>
    <xf numFmtId="9" fontId="0" fillId="3" borderId="27" xfId="4" applyFont="1" applyFill="1" applyBorder="1"/>
    <xf numFmtId="2" fontId="23" fillId="2" borderId="14" xfId="0" applyNumberFormat="1" applyFont="1" applyFill="1" applyBorder="1"/>
    <xf numFmtId="1" fontId="17" fillId="0" borderId="0" xfId="0" applyNumberFormat="1" applyFont="1"/>
    <xf numFmtId="165" fontId="0" fillId="0" borderId="27" xfId="0" applyNumberFormat="1" applyBorder="1"/>
    <xf numFmtId="1" fontId="0" fillId="2" borderId="33" xfId="0" applyNumberFormat="1" applyFill="1" applyBorder="1"/>
    <xf numFmtId="1" fontId="0" fillId="2" borderId="34" xfId="0" applyNumberFormat="1" applyFill="1" applyBorder="1"/>
    <xf numFmtId="9" fontId="0" fillId="2" borderId="33" xfId="4" applyFont="1" applyFill="1" applyBorder="1"/>
    <xf numFmtId="2" fontId="0" fillId="2" borderId="33" xfId="0" applyNumberFormat="1" applyFill="1" applyBorder="1"/>
    <xf numFmtId="1" fontId="0" fillId="3" borderId="4" xfId="0" applyNumberFormat="1" applyFill="1" applyBorder="1"/>
    <xf numFmtId="2" fontId="0" fillId="2" borderId="35" xfId="0" applyNumberFormat="1" applyFill="1" applyBorder="1"/>
    <xf numFmtId="2" fontId="0" fillId="2" borderId="36" xfId="0" applyNumberFormat="1" applyFill="1" applyBorder="1"/>
    <xf numFmtId="10" fontId="0" fillId="0" borderId="0" xfId="0" applyNumberFormat="1"/>
    <xf numFmtId="10" fontId="0" fillId="0" borderId="10" xfId="0" applyNumberFormat="1" applyBorder="1"/>
    <xf numFmtId="0" fontId="6" fillId="0" borderId="21" xfId="0" applyFont="1" applyBorder="1"/>
    <xf numFmtId="1" fontId="6" fillId="0" borderId="37" xfId="0" applyNumberFormat="1" applyFont="1" applyBorder="1"/>
    <xf numFmtId="166" fontId="0" fillId="3" borderId="0" xfId="0" applyNumberFormat="1" applyFill="1"/>
    <xf numFmtId="166" fontId="0" fillId="3" borderId="10" xfId="0" applyNumberFormat="1" applyFill="1" applyBorder="1"/>
    <xf numFmtId="2" fontId="0" fillId="3" borderId="10" xfId="0" applyNumberFormat="1" applyFill="1" applyBorder="1"/>
    <xf numFmtId="2" fontId="23" fillId="2" borderId="33" xfId="0" applyNumberFormat="1" applyFont="1" applyFill="1" applyBorder="1"/>
    <xf numFmtId="0" fontId="6" fillId="0" borderId="25" xfId="0" applyFont="1" applyBorder="1"/>
    <xf numFmtId="2" fontId="21" fillId="2" borderId="29" xfId="0" applyNumberFormat="1" applyFont="1" applyFill="1" applyBorder="1"/>
    <xf numFmtId="2" fontId="21" fillId="2" borderId="34" xfId="0" applyNumberFormat="1" applyFont="1" applyFill="1" applyBorder="1"/>
    <xf numFmtId="2" fontId="21" fillId="2" borderId="32" xfId="0" applyNumberFormat="1" applyFont="1" applyFill="1" applyBorder="1"/>
    <xf numFmtId="2" fontId="21" fillId="2" borderId="38" xfId="0" applyNumberFormat="1" applyFont="1" applyFill="1" applyBorder="1"/>
    <xf numFmtId="1" fontId="6" fillId="2" borderId="38" xfId="0" applyNumberFormat="1" applyFont="1" applyFill="1" applyBorder="1"/>
    <xf numFmtId="1" fontId="26" fillId="2" borderId="32" xfId="0" applyNumberFormat="1" applyFont="1" applyFill="1" applyBorder="1"/>
    <xf numFmtId="0" fontId="24" fillId="0" borderId="17" xfId="0" applyFont="1" applyBorder="1"/>
    <xf numFmtId="1" fontId="0" fillId="3" borderId="3" xfId="0" applyNumberFormat="1" applyFill="1" applyBorder="1"/>
    <xf numFmtId="1" fontId="0" fillId="2" borderId="39" xfId="0" applyNumberFormat="1" applyFill="1" applyBorder="1"/>
    <xf numFmtId="1" fontId="0" fillId="2" borderId="40" xfId="0" applyNumberFormat="1" applyFill="1" applyBorder="1"/>
    <xf numFmtId="2" fontId="0" fillId="2" borderId="34" xfId="0" applyNumberFormat="1" applyFill="1" applyBorder="1"/>
    <xf numFmtId="9" fontId="0" fillId="3" borderId="0" xfId="4" applyFont="1" applyFill="1" applyBorder="1"/>
    <xf numFmtId="9" fontId="0" fillId="2" borderId="34" xfId="4" applyFont="1" applyFill="1" applyBorder="1"/>
    <xf numFmtId="1" fontId="6" fillId="3" borderId="3" xfId="0" applyNumberFormat="1" applyFont="1" applyFill="1" applyBorder="1"/>
    <xf numFmtId="1" fontId="6" fillId="2" borderId="39" xfId="0" applyNumberFormat="1" applyFont="1" applyFill="1" applyBorder="1"/>
    <xf numFmtId="1" fontId="6" fillId="2" borderId="40" xfId="0" applyNumberFormat="1" applyFont="1" applyFill="1" applyBorder="1"/>
    <xf numFmtId="1" fontId="0" fillId="2" borderId="35" xfId="0" applyNumberFormat="1" applyFill="1" applyBorder="1"/>
    <xf numFmtId="165" fontId="0" fillId="3" borderId="0" xfId="4" applyNumberFormat="1" applyFont="1" applyFill="1" applyBorder="1"/>
    <xf numFmtId="0" fontId="24" fillId="0" borderId="9" xfId="0" applyFont="1" applyBorder="1"/>
    <xf numFmtId="1" fontId="6" fillId="2" borderId="14" xfId="0" applyNumberFormat="1" applyFont="1" applyFill="1" applyBorder="1"/>
    <xf numFmtId="10" fontId="17" fillId="2" borderId="0" xfId="4" applyNumberFormat="1" applyFont="1" applyFill="1" applyBorder="1"/>
    <xf numFmtId="10" fontId="6" fillId="2" borderId="0" xfId="4" applyNumberFormat="1" applyFont="1" applyFill="1" applyBorder="1"/>
    <xf numFmtId="10" fontId="0" fillId="0" borderId="27" xfId="0" applyNumberFormat="1" applyBorder="1"/>
    <xf numFmtId="1" fontId="21" fillId="2" borderId="35" xfId="0" applyNumberFormat="1" applyFont="1" applyFill="1" applyBorder="1"/>
    <xf numFmtId="10" fontId="0" fillId="0" borderId="0" xfId="4" applyNumberFormat="1" applyFont="1" applyBorder="1"/>
    <xf numFmtId="10" fontId="0" fillId="0" borderId="10" xfId="4" applyNumberFormat="1" applyFont="1" applyBorder="1"/>
    <xf numFmtId="167" fontId="6" fillId="0" borderId="3" xfId="0" applyNumberFormat="1" applyFont="1" applyBorder="1"/>
    <xf numFmtId="1" fontId="0" fillId="0" borderId="17" xfId="0" applyNumberFormat="1" applyBorder="1"/>
    <xf numFmtId="1" fontId="0" fillId="0" borderId="6" xfId="0" applyNumberFormat="1" applyBorder="1"/>
    <xf numFmtId="1" fontId="0" fillId="3" borderId="19" xfId="0" applyNumberFormat="1" applyFill="1" applyBorder="1"/>
    <xf numFmtId="1" fontId="0" fillId="2" borderId="41" xfId="0" applyNumberFormat="1" applyFill="1" applyBorder="1"/>
    <xf numFmtId="1" fontId="0" fillId="0" borderId="23" xfId="0" applyNumberFormat="1" applyBorder="1"/>
    <xf numFmtId="1" fontId="0" fillId="0" borderId="25" xfId="0" applyNumberFormat="1" applyBorder="1"/>
    <xf numFmtId="1" fontId="0" fillId="0" borderId="30" xfId="0" applyNumberFormat="1" applyBorder="1"/>
    <xf numFmtId="2" fontId="0" fillId="0" borderId="7" xfId="0" applyNumberFormat="1" applyBorder="1"/>
    <xf numFmtId="9" fontId="17" fillId="2" borderId="14" xfId="4" applyFont="1" applyFill="1" applyBorder="1"/>
    <xf numFmtId="1" fontId="0" fillId="0" borderId="0" xfId="0" applyNumberFormat="1" applyBorder="1"/>
    <xf numFmtId="0" fontId="0" fillId="0" borderId="0" xfId="0" applyBorder="1"/>
    <xf numFmtId="0" fontId="0" fillId="0" borderId="42" xfId="0" applyBorder="1"/>
    <xf numFmtId="1" fontId="0" fillId="0" borderId="42" xfId="0" applyNumberFormat="1" applyBorder="1"/>
    <xf numFmtId="1" fontId="6" fillId="0" borderId="43" xfId="0" applyNumberFormat="1" applyFont="1" applyBorder="1"/>
    <xf numFmtId="1" fontId="6" fillId="0" borderId="28" xfId="0" applyNumberFormat="1" applyFont="1" applyBorder="1"/>
    <xf numFmtId="0" fontId="0" fillId="0" borderId="0" xfId="0" applyFont="1"/>
    <xf numFmtId="9" fontId="0" fillId="0" borderId="9" xfId="0" applyNumberFormat="1" applyBorder="1"/>
    <xf numFmtId="0" fontId="6" fillId="0" borderId="27" xfId="0" applyFont="1" applyBorder="1"/>
    <xf numFmtId="0" fontId="6" fillId="0" borderId="0" xfId="0" applyFont="1" applyBorder="1"/>
    <xf numFmtId="1" fontId="6" fillId="0" borderId="0" xfId="0" applyNumberFormat="1" applyFont="1" applyBorder="1"/>
    <xf numFmtId="0" fontId="28" fillId="0" borderId="0" xfId="0" applyFont="1"/>
    <xf numFmtId="0" fontId="29" fillId="0" borderId="0" xfId="0" applyFont="1"/>
    <xf numFmtId="0" fontId="31" fillId="0" borderId="0" xfId="0" applyFont="1"/>
    <xf numFmtId="0" fontId="30" fillId="0" borderId="0" xfId="0" applyFont="1"/>
    <xf numFmtId="16" fontId="30" fillId="0" borderId="0" xfId="0" applyNumberFormat="1" applyFont="1"/>
    <xf numFmtId="2" fontId="30" fillId="0" borderId="0" xfId="0" applyNumberFormat="1" applyFont="1"/>
    <xf numFmtId="0" fontId="32" fillId="0" borderId="0" xfId="0" applyFont="1"/>
    <xf numFmtId="0" fontId="27" fillId="0" borderId="0" xfId="0" applyFont="1"/>
    <xf numFmtId="0" fontId="32" fillId="0" borderId="4" xfId="0" applyFont="1" applyBorder="1"/>
    <xf numFmtId="0" fontId="0" fillId="0" borderId="4" xfId="0" applyBorder="1" applyAlignment="1">
      <alignment horizontal="center"/>
    </xf>
    <xf numFmtId="0" fontId="27" fillId="0" borderId="4" xfId="0" applyFont="1" applyBorder="1"/>
    <xf numFmtId="0" fontId="32" fillId="0" borderId="13" xfId="0" applyFont="1" applyBorder="1"/>
    <xf numFmtId="0" fontId="27" fillId="0" borderId="13" xfId="0" applyFont="1" applyBorder="1"/>
    <xf numFmtId="0" fontId="0" fillId="0" borderId="13" xfId="0" applyBorder="1"/>
    <xf numFmtId="0" fontId="32" fillId="0" borderId="6" xfId="0" applyFont="1" applyBorder="1"/>
    <xf numFmtId="0" fontId="27" fillId="0" borderId="6" xfId="0" applyFont="1" applyBorder="1"/>
    <xf numFmtId="0" fontId="32" fillId="0" borderId="5" xfId="0" applyFont="1" applyBorder="1"/>
    <xf numFmtId="0" fontId="27" fillId="0" borderId="5" xfId="0" applyFont="1" applyBorder="1"/>
    <xf numFmtId="0" fontId="16" fillId="0" borderId="0" xfId="0" applyFont="1" applyBorder="1"/>
    <xf numFmtId="0" fontId="0" fillId="0" borderId="30" xfId="0" applyBorder="1" applyAlignment="1">
      <alignment horizontal="center"/>
    </xf>
    <xf numFmtId="0" fontId="0" fillId="0" borderId="44" xfId="0" applyBorder="1"/>
    <xf numFmtId="0" fontId="32" fillId="0" borderId="25" xfId="0" applyFont="1" applyBorder="1"/>
    <xf numFmtId="0" fontId="0" fillId="0" borderId="22" xfId="0" applyBorder="1"/>
    <xf numFmtId="0" fontId="0" fillId="0" borderId="17" xfId="0" applyBorder="1"/>
    <xf numFmtId="0" fontId="0" fillId="0" borderId="21" xfId="0" applyBorder="1"/>
    <xf numFmtId="1" fontId="23" fillId="2" borderId="45" xfId="0" applyNumberFormat="1" applyFont="1" applyFill="1" applyBorder="1"/>
    <xf numFmtId="1" fontId="23" fillId="2" borderId="41" xfId="0" applyNumberFormat="1" applyFont="1" applyFill="1" applyBorder="1"/>
    <xf numFmtId="1" fontId="23" fillId="5" borderId="31" xfId="0" applyNumberFormat="1" applyFont="1" applyFill="1" applyBorder="1"/>
    <xf numFmtId="1" fontId="23" fillId="5" borderId="14" xfId="0" applyNumberFormat="1" applyFont="1" applyFill="1" applyBorder="1"/>
    <xf numFmtId="1" fontId="6" fillId="0" borderId="25" xfId="0" applyNumberFormat="1" applyFont="1" applyBorder="1"/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17" fillId="0" borderId="26" xfId="0" applyFont="1" applyBorder="1"/>
  </cellXfs>
  <cellStyles count="5">
    <cellStyle name="Comma" xfId="3" builtinId="3"/>
    <cellStyle name="Heading 2" xfId="1" builtinId="17"/>
    <cellStyle name="Heading 3" xfId="2" builtinId="18"/>
    <cellStyle name="Normal" xfId="0" builtinId="0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8F56-33CC-5047-8691-53FD0953C9E7}">
  <dimension ref="B2:I18"/>
  <sheetViews>
    <sheetView showGridLines="0" workbookViewId="0">
      <selection activeCell="C11" sqref="C11"/>
    </sheetView>
  </sheetViews>
  <sheetFormatPr baseColWidth="10" defaultRowHeight="16" x14ac:dyDescent="0.2"/>
  <cols>
    <col min="8" max="17" width="11.5" bestFit="1" customWidth="1"/>
  </cols>
  <sheetData>
    <row r="2" spans="2:9" ht="28" thickBot="1" x14ac:dyDescent="0.4">
      <c r="B2" s="18" t="s">
        <v>37</v>
      </c>
      <c r="C2" s="18"/>
      <c r="D2" s="18"/>
      <c r="E2" s="18"/>
      <c r="F2" s="18"/>
    </row>
    <row r="6" spans="2:9" x14ac:dyDescent="0.2">
      <c r="B6" s="45" t="s">
        <v>132</v>
      </c>
      <c r="C6" s="46" t="s">
        <v>133</v>
      </c>
      <c r="D6" s="46"/>
      <c r="E6" s="46"/>
      <c r="F6" s="46"/>
      <c r="G6" s="46"/>
      <c r="H6" s="46"/>
      <c r="I6" s="45" t="s">
        <v>140</v>
      </c>
    </row>
    <row r="7" spans="2:9" x14ac:dyDescent="0.2">
      <c r="B7" s="45" t="s">
        <v>134</v>
      </c>
      <c r="C7" s="46" t="s">
        <v>135</v>
      </c>
      <c r="D7" s="46"/>
      <c r="E7" s="46"/>
      <c r="F7" s="46"/>
      <c r="G7" s="46"/>
      <c r="H7" s="46"/>
      <c r="I7" s="45" t="s">
        <v>140</v>
      </c>
    </row>
    <row r="8" spans="2:9" x14ac:dyDescent="0.2">
      <c r="B8" s="45" t="s">
        <v>136</v>
      </c>
      <c r="C8" s="46" t="s">
        <v>137</v>
      </c>
      <c r="D8" s="46"/>
      <c r="E8" s="46"/>
      <c r="F8" s="46"/>
      <c r="G8" s="46"/>
      <c r="H8" s="46"/>
      <c r="I8" s="53"/>
    </row>
    <row r="9" spans="2:9" x14ac:dyDescent="0.2">
      <c r="B9" s="47" t="s">
        <v>138</v>
      </c>
      <c r="C9" s="48" t="s">
        <v>139</v>
      </c>
      <c r="D9" s="49"/>
      <c r="E9" s="46"/>
      <c r="F9" s="46"/>
      <c r="G9" s="46"/>
      <c r="H9" s="46"/>
      <c r="I9" s="45" t="s">
        <v>140</v>
      </c>
    </row>
    <row r="10" spans="2:9" x14ac:dyDescent="0.2">
      <c r="B10" s="47" t="s">
        <v>141</v>
      </c>
      <c r="C10" s="48" t="s">
        <v>142</v>
      </c>
      <c r="D10" s="46"/>
      <c r="E10" s="46"/>
      <c r="F10" s="46"/>
      <c r="G10" s="46"/>
      <c r="H10" s="46"/>
      <c r="I10" s="45" t="s">
        <v>140</v>
      </c>
    </row>
    <row r="11" spans="2:9" x14ac:dyDescent="0.2">
      <c r="B11" s="47" t="s">
        <v>143</v>
      </c>
      <c r="C11" s="48" t="s">
        <v>144</v>
      </c>
      <c r="D11" s="46"/>
      <c r="E11" s="46"/>
      <c r="F11" s="46"/>
      <c r="G11" s="46"/>
      <c r="H11" s="46"/>
      <c r="I11" s="80" t="s">
        <v>156</v>
      </c>
    </row>
    <row r="12" spans="2:9" x14ac:dyDescent="0.2">
      <c r="B12" s="46"/>
      <c r="C12" s="46"/>
      <c r="D12" s="46"/>
      <c r="E12" s="46"/>
      <c r="F12" s="46"/>
      <c r="G12" s="46"/>
      <c r="H12" s="46"/>
      <c r="I12" s="46"/>
    </row>
    <row r="13" spans="2:9" x14ac:dyDescent="0.2">
      <c r="B13" s="45" t="s">
        <v>145</v>
      </c>
      <c r="C13" s="50" t="s">
        <v>146</v>
      </c>
      <c r="D13" s="46"/>
      <c r="E13" s="46"/>
      <c r="F13" s="46"/>
      <c r="G13" s="46"/>
      <c r="H13" s="46"/>
      <c r="I13" s="53" t="s">
        <v>140</v>
      </c>
    </row>
    <row r="14" spans="2:9" x14ac:dyDescent="0.2">
      <c r="B14" s="45" t="s">
        <v>147</v>
      </c>
      <c r="C14" s="50" t="s">
        <v>148</v>
      </c>
      <c r="D14" s="46"/>
      <c r="E14" s="46"/>
      <c r="F14" s="46"/>
      <c r="G14" s="46"/>
      <c r="H14" s="46"/>
      <c r="I14" s="80" t="s">
        <v>156</v>
      </c>
    </row>
    <row r="15" spans="2:9" x14ac:dyDescent="0.2">
      <c r="B15" s="45" t="s">
        <v>149</v>
      </c>
      <c r="C15" s="50" t="s">
        <v>150</v>
      </c>
      <c r="D15" s="46"/>
      <c r="E15" s="46"/>
      <c r="F15" s="46"/>
      <c r="G15" s="46"/>
      <c r="H15" s="46"/>
      <c r="I15" s="80" t="s">
        <v>156</v>
      </c>
    </row>
    <row r="16" spans="2:9" x14ac:dyDescent="0.2">
      <c r="B16" s="45" t="s">
        <v>151</v>
      </c>
      <c r="C16" s="50" t="s">
        <v>152</v>
      </c>
      <c r="D16" s="46"/>
      <c r="E16" s="46"/>
      <c r="F16" s="46"/>
      <c r="G16" s="46"/>
      <c r="H16" s="46"/>
      <c r="I16" s="80" t="s">
        <v>156</v>
      </c>
    </row>
    <row r="17" spans="2:9" x14ac:dyDescent="0.2">
      <c r="B17" s="45" t="s">
        <v>153</v>
      </c>
      <c r="C17" s="50" t="s">
        <v>154</v>
      </c>
      <c r="D17" s="46"/>
      <c r="E17" s="46"/>
      <c r="F17" s="46"/>
      <c r="G17" s="46"/>
      <c r="H17" s="46"/>
      <c r="I17" s="80" t="s">
        <v>156</v>
      </c>
    </row>
    <row r="18" spans="2:9" x14ac:dyDescent="0.2">
      <c r="B18" s="51" t="s">
        <v>155</v>
      </c>
      <c r="C18" s="52"/>
      <c r="D18" s="52"/>
      <c r="E18" s="52"/>
      <c r="F18" s="52"/>
      <c r="G18" s="52"/>
      <c r="H18" s="52"/>
      <c r="I18" s="52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A074-6BFA-D448-A2B9-1121879BECBE}">
  <dimension ref="A1:Y84"/>
  <sheetViews>
    <sheetView showGridLines="0" zoomScale="89" zoomScaleNormal="80" workbookViewId="0">
      <selection activeCell="M74" sqref="M74"/>
    </sheetView>
  </sheetViews>
  <sheetFormatPr baseColWidth="10" defaultRowHeight="16" x14ac:dyDescent="0.2"/>
  <cols>
    <col min="3" max="3" width="17" customWidth="1"/>
    <col min="8" max="17" width="11.5" bestFit="1" customWidth="1"/>
    <col min="18" max="18" width="6.6640625" customWidth="1"/>
    <col min="19" max="19" width="14.6640625" customWidth="1"/>
    <col min="21" max="21" width="5.6640625" customWidth="1"/>
  </cols>
  <sheetData>
    <row r="1" spans="1:22" ht="25" thickBot="1" x14ac:dyDescent="0.35">
      <c r="A1" s="10" t="str">
        <f>_xlfn.CONCAT(Inputs!C7, " - ", "Fixed Assets", " - ", "in ", Inputs!C9, " ", Inputs!C10)</f>
        <v>HAG - Fixed Assets - in Euro millions</v>
      </c>
      <c r="B1" s="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22" ht="17" thickTop="1" x14ac:dyDescent="0.2">
      <c r="V2" t="s">
        <v>405</v>
      </c>
    </row>
    <row r="4" spans="1:22" x14ac:dyDescent="0.2">
      <c r="B4" t="s">
        <v>9</v>
      </c>
      <c r="D4" s="7"/>
      <c r="E4" s="7"/>
      <c r="F4" s="7"/>
      <c r="G4" s="9">
        <f>EDATE(Inputs!$C$8, G5*12)</f>
        <v>43830</v>
      </c>
      <c r="H4" s="9">
        <f>EDATE(Inputs!$C$8, H5*12)</f>
        <v>44196</v>
      </c>
      <c r="I4" s="9">
        <f>EDATE(Inputs!$C$8, I5*12)</f>
        <v>44561</v>
      </c>
      <c r="J4" s="9">
        <f>EDATE(Inputs!$C$8, J5*12)</f>
        <v>44926</v>
      </c>
      <c r="K4" s="9">
        <f>EDATE(Inputs!$C$8, K5*12)</f>
        <v>45291</v>
      </c>
      <c r="L4" s="9">
        <f>EDATE(Inputs!$C$8, L5*12)</f>
        <v>45657</v>
      </c>
      <c r="M4" s="9">
        <f>EDATE(Inputs!$C$8, M5*12)</f>
        <v>46022</v>
      </c>
      <c r="N4" s="9">
        <f>EDATE(Inputs!$C$8, N5*12)</f>
        <v>46387</v>
      </c>
      <c r="O4" s="9">
        <f>EDATE(Inputs!$C$8, O5*12)</f>
        <v>46752</v>
      </c>
      <c r="P4" s="9">
        <f>EDATE(Inputs!$C$8, P5*12)</f>
        <v>47118</v>
      </c>
      <c r="Q4" s="9">
        <f>EDATE(Inputs!$C$8, Q5*12)</f>
        <v>47483</v>
      </c>
      <c r="S4" s="13" t="s">
        <v>510</v>
      </c>
      <c r="V4" s="85">
        <v>1</v>
      </c>
    </row>
    <row r="5" spans="1:22" x14ac:dyDescent="0.2">
      <c r="B5" t="s">
        <v>10</v>
      </c>
      <c r="D5" s="8"/>
      <c r="E5" s="8"/>
      <c r="F5" s="8"/>
      <c r="G5" s="8">
        <v>-5</v>
      </c>
      <c r="H5" s="8">
        <v>-4</v>
      </c>
      <c r="I5" s="8">
        <v>-3</v>
      </c>
      <c r="J5" s="8">
        <v>-2</v>
      </c>
      <c r="K5" s="8">
        <v>-1</v>
      </c>
      <c r="L5" s="8">
        <v>0</v>
      </c>
      <c r="M5" s="8">
        <v>1</v>
      </c>
      <c r="N5" s="8">
        <v>2</v>
      </c>
      <c r="O5" s="8">
        <v>3</v>
      </c>
      <c r="P5" s="8">
        <v>4</v>
      </c>
      <c r="Q5" s="8">
        <v>5</v>
      </c>
      <c r="S5" s="13" t="s">
        <v>511</v>
      </c>
      <c r="V5" s="85">
        <v>1</v>
      </c>
    </row>
    <row r="6" spans="1:22" x14ac:dyDescent="0.2">
      <c r="B6" t="s">
        <v>11</v>
      </c>
      <c r="D6" s="8"/>
      <c r="E6" s="8"/>
      <c r="F6" s="8"/>
      <c r="G6" s="8" t="str">
        <f>_xlfn.CONCAT(Inputs!$C$9, " ", Inputs!$C$10)</f>
        <v>Euro millions</v>
      </c>
      <c r="H6" s="8" t="str">
        <f>_xlfn.CONCAT(Inputs!$C$9, " ", Inputs!$C$10)</f>
        <v>Euro millions</v>
      </c>
      <c r="I6" s="8" t="str">
        <f>_xlfn.CONCAT(Inputs!$C$9, " ", Inputs!$C$10)</f>
        <v>Euro millions</v>
      </c>
      <c r="J6" s="8" t="str">
        <f>_xlfn.CONCAT(Inputs!$C$9, " ", Inputs!$C$10)</f>
        <v>Euro millions</v>
      </c>
      <c r="K6" s="8" t="str">
        <f>_xlfn.CONCAT(Inputs!$C$9, " ", Inputs!$C$10)</f>
        <v>Euro millions</v>
      </c>
      <c r="L6" s="8" t="str">
        <f>_xlfn.CONCAT(Inputs!$C$9, " ", Inputs!$C$10)</f>
        <v>Euro millions</v>
      </c>
      <c r="M6" s="8" t="str">
        <f>_xlfn.CONCAT(Inputs!$C$9, " ", Inputs!$C$10)</f>
        <v>Euro millions</v>
      </c>
      <c r="N6" s="8" t="str">
        <f>_xlfn.CONCAT(Inputs!$C$9, " ", Inputs!$C$10)</f>
        <v>Euro millions</v>
      </c>
      <c r="O6" s="8" t="str">
        <f>_xlfn.CONCAT(Inputs!$C$9, " ", Inputs!$C$10)</f>
        <v>Euro millions</v>
      </c>
      <c r="P6" s="8" t="str">
        <f>_xlfn.CONCAT(Inputs!$C$9, " ", Inputs!$C$10)</f>
        <v>Euro millions</v>
      </c>
      <c r="Q6" s="8" t="str">
        <f>_xlfn.CONCAT(Inputs!$C$9, " ", Inputs!$C$10)</f>
        <v>Euro millions</v>
      </c>
      <c r="S6" s="13" t="s">
        <v>512</v>
      </c>
      <c r="V6" s="85">
        <v>3</v>
      </c>
    </row>
    <row r="7" spans="1:22" x14ac:dyDescent="0.2">
      <c r="B7" t="s">
        <v>12</v>
      </c>
      <c r="D7" s="8"/>
      <c r="E7" s="8"/>
      <c r="F7" s="8"/>
      <c r="G7" s="8" t="str">
        <f>IF(G5&lt;=0, "Historical", "Forecasted")</f>
        <v>Historical</v>
      </c>
      <c r="H7" s="8" t="str">
        <f>IF(H5&lt;=0, "Historical", "Forecasted")</f>
        <v>Historical</v>
      </c>
      <c r="I7" s="8" t="str">
        <f t="shared" ref="I7:Q7" si="0">IF(I5&lt;=0, "Historical", "Forecasted")</f>
        <v>Historical</v>
      </c>
      <c r="J7" s="8" t="str">
        <f t="shared" si="0"/>
        <v>Historical</v>
      </c>
      <c r="K7" s="8" t="str">
        <f t="shared" si="0"/>
        <v>Historical</v>
      </c>
      <c r="L7" s="8" t="str">
        <f t="shared" si="0"/>
        <v>Historical</v>
      </c>
      <c r="M7" s="8" t="str">
        <f t="shared" si="0"/>
        <v>Forecasted</v>
      </c>
      <c r="N7" s="8" t="str">
        <f t="shared" si="0"/>
        <v>Forecasted</v>
      </c>
      <c r="O7" s="8" t="str">
        <f t="shared" si="0"/>
        <v>Forecasted</v>
      </c>
      <c r="P7" s="8" t="str">
        <f t="shared" si="0"/>
        <v>Forecasted</v>
      </c>
      <c r="Q7" s="8" t="str">
        <f t="shared" si="0"/>
        <v>Forecasted</v>
      </c>
    </row>
    <row r="9" spans="1:22" x14ac:dyDescent="0.2">
      <c r="B9" s="13" t="s">
        <v>306</v>
      </c>
      <c r="E9" s="85">
        <v>1</v>
      </c>
      <c r="K9" s="39" t="s">
        <v>314</v>
      </c>
      <c r="L9" s="14"/>
      <c r="M9" s="19">
        <f>'Revenue &amp; Expenses'!M22</f>
        <v>3136</v>
      </c>
      <c r="N9" s="19">
        <f>'Revenue &amp; Expenses'!N22</f>
        <v>2697.4639999999995</v>
      </c>
      <c r="O9" s="19">
        <f>'Revenue &amp; Expenses'!O22</f>
        <v>3570.380239999999</v>
      </c>
      <c r="P9" s="19">
        <f>'Revenue &amp; Expenses'!P22</f>
        <v>3958.691469599999</v>
      </c>
      <c r="Q9" s="125">
        <f>'Revenue &amp; Expenses'!Q22</f>
        <v>4695.1176340879983</v>
      </c>
    </row>
    <row r="11" spans="1:22" x14ac:dyDescent="0.2">
      <c r="B11" s="13" t="s">
        <v>41</v>
      </c>
    </row>
    <row r="12" spans="1:22" x14ac:dyDescent="0.2">
      <c r="B12" t="s">
        <v>281</v>
      </c>
      <c r="G12" s="96">
        <v>126</v>
      </c>
      <c r="H12" s="96">
        <v>151</v>
      </c>
      <c r="I12" s="96">
        <v>180</v>
      </c>
      <c r="J12" s="96">
        <v>208</v>
      </c>
      <c r="K12" s="96">
        <v>282</v>
      </c>
      <c r="L12" s="96">
        <v>370</v>
      </c>
      <c r="M12" s="131">
        <f>L17</f>
        <v>448.35</v>
      </c>
      <c r="N12" s="131">
        <f>M17</f>
        <v>551.38475000000005</v>
      </c>
      <c r="O12" s="131">
        <f>N17</f>
        <v>637.52521875000002</v>
      </c>
      <c r="P12" s="131">
        <f>O17</f>
        <v>752.92564886874993</v>
      </c>
      <c r="Q12" s="131">
        <f>P17</f>
        <v>880.18596557171861</v>
      </c>
    </row>
    <row r="13" spans="1:22" x14ac:dyDescent="0.2">
      <c r="B13" t="s">
        <v>282</v>
      </c>
      <c r="E13" s="134">
        <f>T20</f>
        <v>0.35</v>
      </c>
      <c r="G13" s="124">
        <v>21</v>
      </c>
      <c r="H13" s="124">
        <v>31</v>
      </c>
      <c r="I13" s="124">
        <v>30</v>
      </c>
      <c r="J13" s="124">
        <v>36</v>
      </c>
      <c r="K13" s="124">
        <v>46</v>
      </c>
      <c r="L13" s="124">
        <v>83</v>
      </c>
      <c r="M13" s="131">
        <f>M14*M9</f>
        <v>109.75999999999999</v>
      </c>
      <c r="N13" s="131">
        <f>N14*N9</f>
        <v>94.411239999999978</v>
      </c>
      <c r="O13" s="131">
        <f>O14*O9</f>
        <v>124.96330839999996</v>
      </c>
      <c r="P13" s="131">
        <f>P14*P9</f>
        <v>138.55420143599994</v>
      </c>
      <c r="Q13" s="131">
        <f>Q14*Q9</f>
        <v>164.32911719307992</v>
      </c>
    </row>
    <row r="14" spans="1:22" x14ac:dyDescent="0.2">
      <c r="B14" t="s">
        <v>269</v>
      </c>
      <c r="G14" s="124"/>
      <c r="H14" s="124"/>
      <c r="I14" s="124"/>
      <c r="J14" s="124"/>
      <c r="K14" s="124"/>
      <c r="L14" s="129">
        <v>0.35</v>
      </c>
      <c r="M14" s="130">
        <f>CHOOSE($E$9,M60,M61,M62,M63)*$L$14</f>
        <v>3.4999999999999996E-2</v>
      </c>
      <c r="N14" s="130">
        <f>CHOOSE($E$9,N60,N61,N62,N63)*$L$14</f>
        <v>3.4999999999999996E-2</v>
      </c>
      <c r="O14" s="130">
        <f>CHOOSE($E$9,O60,O61,O62,O63)*$L$14</f>
        <v>3.4999999999999996E-2</v>
      </c>
      <c r="P14" s="130">
        <f>CHOOSE($E$9,P60,P61,P62,P63)*$L$14</f>
        <v>3.4999999999999996E-2</v>
      </c>
      <c r="Q14" s="130">
        <f>CHOOSE($E$9,Q60,Q61,Q62,Q63)*$L$14</f>
        <v>3.4999999999999996E-2</v>
      </c>
    </row>
    <row r="15" spans="1:22" x14ac:dyDescent="0.2">
      <c r="B15" t="s">
        <v>283</v>
      </c>
      <c r="G15" s="124">
        <v>-1</v>
      </c>
      <c r="H15" s="124">
        <v>-3</v>
      </c>
      <c r="I15" s="124">
        <v>-4</v>
      </c>
      <c r="J15" s="124">
        <v>-2</v>
      </c>
      <c r="K15" s="124">
        <v>-3</v>
      </c>
      <c r="L15" s="124">
        <v>-5</v>
      </c>
      <c r="M15" s="133">
        <f>(-1)*M16*M12</f>
        <v>-6.72525</v>
      </c>
      <c r="N15" s="133">
        <f>(-1)*N16*N12</f>
        <v>-8.270771250000001</v>
      </c>
      <c r="O15" s="133">
        <f>(-1)*O16*O12</f>
        <v>-9.5628782812500006</v>
      </c>
      <c r="P15" s="133">
        <f>(-1)*P16*P12</f>
        <v>-11.293884733031248</v>
      </c>
      <c r="Q15" s="133">
        <f>(-1)*Q16*Q12</f>
        <v>-13.20278948357578</v>
      </c>
    </row>
    <row r="16" spans="1:22" x14ac:dyDescent="0.2">
      <c r="B16" t="s">
        <v>269</v>
      </c>
      <c r="G16" s="124"/>
      <c r="H16" s="124"/>
      <c r="I16" s="124"/>
      <c r="J16" s="124"/>
      <c r="K16" s="124"/>
      <c r="L16" s="124"/>
      <c r="M16" s="130">
        <f>CHOOSE($E$9,M78,M79,M80,M81)</f>
        <v>1.4999999999999999E-2</v>
      </c>
      <c r="N16" s="130">
        <f>CHOOSE($E$9,N78,N79,N80,N81)</f>
        <v>1.4999999999999999E-2</v>
      </c>
      <c r="O16" s="130">
        <f>CHOOSE($E$9,O78,O79,O80,O81)</f>
        <v>1.4999999999999999E-2</v>
      </c>
      <c r="P16" s="130">
        <f>CHOOSE($E$9,P78,P79,P80,P81)</f>
        <v>1.4999999999999999E-2</v>
      </c>
      <c r="Q16" s="130">
        <f>CHOOSE($E$9,Q78,Q79,Q80,Q81)</f>
        <v>1.4999999999999999E-2</v>
      </c>
    </row>
    <row r="17" spans="2:25" ht="17" thickBot="1" x14ac:dyDescent="0.25">
      <c r="B17" s="25" t="s">
        <v>284</v>
      </c>
      <c r="C17" s="26"/>
      <c r="D17" s="26"/>
      <c r="E17" s="26"/>
      <c r="F17" s="26"/>
      <c r="G17" s="28">
        <f t="shared" ref="G17:L17" si="1">SUM(G12:G15)</f>
        <v>146</v>
      </c>
      <c r="H17" s="28">
        <f t="shared" si="1"/>
        <v>179</v>
      </c>
      <c r="I17" s="28">
        <f t="shared" si="1"/>
        <v>206</v>
      </c>
      <c r="J17" s="28">
        <f t="shared" si="1"/>
        <v>242</v>
      </c>
      <c r="K17" s="28">
        <f t="shared" si="1"/>
        <v>325</v>
      </c>
      <c r="L17" s="28">
        <f t="shared" si="1"/>
        <v>448.35</v>
      </c>
      <c r="M17" s="28">
        <f>SUM(M12,M13,M15)</f>
        <v>551.38475000000005</v>
      </c>
      <c r="N17" s="28">
        <f>SUM(N12,N13,N15)</f>
        <v>637.52521875000002</v>
      </c>
      <c r="O17" s="28">
        <f>SUM(O12,O13,O15)</f>
        <v>752.92564886874993</v>
      </c>
      <c r="P17" s="28">
        <f>SUM(P12,P13,P15)</f>
        <v>880.18596557171861</v>
      </c>
      <c r="Q17" s="28">
        <f>SUM(Q12,Q13,Q15)</f>
        <v>1031.3122932812228</v>
      </c>
    </row>
    <row r="18" spans="2:25" x14ac:dyDescent="0.2">
      <c r="B18" s="13"/>
    </row>
    <row r="19" spans="2:25" x14ac:dyDescent="0.2">
      <c r="B19" s="13" t="s">
        <v>290</v>
      </c>
      <c r="S19" s="107" t="s">
        <v>307</v>
      </c>
      <c r="T19" s="108"/>
      <c r="U19" s="108"/>
      <c r="V19" s="57" t="s">
        <v>310</v>
      </c>
      <c r="W19" s="109"/>
    </row>
    <row r="20" spans="2:25" x14ac:dyDescent="0.2">
      <c r="B20" t="s">
        <v>285</v>
      </c>
      <c r="G20" s="124">
        <v>-37</v>
      </c>
      <c r="H20" s="124">
        <v>-58</v>
      </c>
      <c r="I20" s="124">
        <v>-77</v>
      </c>
      <c r="J20" s="124">
        <v>-100</v>
      </c>
      <c r="K20" s="124">
        <v>-120</v>
      </c>
      <c r="L20" s="124">
        <v>-142</v>
      </c>
      <c r="M20" s="62">
        <f>L24</f>
        <v>-167</v>
      </c>
      <c r="N20" s="62">
        <f>M24</f>
        <v>-270.62400000000002</v>
      </c>
      <c r="O20" s="62">
        <f>N24</f>
        <v>-359.33777600000002</v>
      </c>
      <c r="P20" s="62">
        <f>O24</f>
        <v>-477.73070416000002</v>
      </c>
      <c r="Q20" s="62">
        <f>P24</f>
        <v>-609.32621412640003</v>
      </c>
      <c r="S20" s="32" t="s">
        <v>41</v>
      </c>
      <c r="T20" s="120">
        <v>0.35</v>
      </c>
      <c r="V20" t="s">
        <v>41</v>
      </c>
      <c r="W20" s="121">
        <v>0.17</v>
      </c>
    </row>
    <row r="21" spans="2:25" x14ac:dyDescent="0.2">
      <c r="B21" t="s">
        <v>286</v>
      </c>
      <c r="E21" s="134">
        <f>W20</f>
        <v>0.17</v>
      </c>
      <c r="G21" s="124">
        <v>-21</v>
      </c>
      <c r="H21" s="124">
        <v>-22</v>
      </c>
      <c r="I21" s="124">
        <v>-23</v>
      </c>
      <c r="J21" s="124">
        <v>-22</v>
      </c>
      <c r="K21" s="124">
        <v>-25</v>
      </c>
      <c r="L21" s="124">
        <v>-28</v>
      </c>
      <c r="M21" s="132">
        <f>M9*M22*-1</f>
        <v>-106.62400000000001</v>
      </c>
      <c r="N21" s="132">
        <f>N9*N22*-1</f>
        <v>-91.713775999999996</v>
      </c>
      <c r="O21" s="132">
        <f>O9*O22*-1</f>
        <v>-121.39292815999998</v>
      </c>
      <c r="P21" s="132">
        <f>P9*P22*-1</f>
        <v>-134.59550996639999</v>
      </c>
      <c r="Q21" s="132">
        <f>Q9*Q22*-1</f>
        <v>-159.63399955899195</v>
      </c>
      <c r="S21" s="32" t="s">
        <v>308</v>
      </c>
      <c r="T21" s="120">
        <v>0.55000000000000004</v>
      </c>
      <c r="V21" t="s">
        <v>308</v>
      </c>
      <c r="W21" s="121">
        <v>0.57999999999999996</v>
      </c>
    </row>
    <row r="22" spans="2:25" x14ac:dyDescent="0.2">
      <c r="B22" s="58" t="s">
        <v>269</v>
      </c>
      <c r="G22" s="124"/>
      <c r="H22" s="124"/>
      <c r="I22" s="124"/>
      <c r="J22" s="124"/>
      <c r="K22" s="124"/>
      <c r="L22" s="124"/>
      <c r="M22" s="100">
        <f>CHOOSE($E$9,M69,M70,M71,M72)*$E$21</f>
        <v>3.4000000000000002E-2</v>
      </c>
      <c r="N22" s="100">
        <f>CHOOSE($E$9,N69,N70,N71,N72)*$E$21</f>
        <v>3.4000000000000002E-2</v>
      </c>
      <c r="O22" s="100">
        <f>CHOOSE($E$9,O69,O70,O71,O72)*$E$21</f>
        <v>3.4000000000000002E-2</v>
      </c>
      <c r="P22" s="100">
        <f>CHOOSE($E$9,P69,P70,P71,P72)*$E$21</f>
        <v>3.4000000000000002E-2</v>
      </c>
      <c r="Q22" s="100">
        <f>CHOOSE($E$9,Q69,Q70,Q71,Q72)*$E$21</f>
        <v>3.4000000000000002E-2</v>
      </c>
      <c r="S22" s="110" t="s">
        <v>309</v>
      </c>
      <c r="T22" s="122">
        <v>0.1</v>
      </c>
      <c r="U22" s="22"/>
      <c r="V22" s="22" t="s">
        <v>309</v>
      </c>
      <c r="W22" s="123">
        <v>0.25</v>
      </c>
    </row>
    <row r="23" spans="2:25" x14ac:dyDescent="0.2">
      <c r="B23" t="s">
        <v>287</v>
      </c>
      <c r="G23" s="124">
        <v>1</v>
      </c>
      <c r="H23" s="124">
        <v>2</v>
      </c>
      <c r="I23" s="124">
        <v>2</v>
      </c>
      <c r="J23" s="124">
        <v>2</v>
      </c>
      <c r="K23" s="124">
        <v>2</v>
      </c>
      <c r="L23" s="124">
        <v>3</v>
      </c>
      <c r="M23" s="137">
        <f>L23</f>
        <v>3</v>
      </c>
      <c r="N23" s="137">
        <f>M23</f>
        <v>3</v>
      </c>
      <c r="O23" s="137">
        <f>N23</f>
        <v>3</v>
      </c>
      <c r="P23" s="137">
        <f>O23</f>
        <v>3</v>
      </c>
      <c r="Q23" s="137">
        <f>P23</f>
        <v>3</v>
      </c>
    </row>
    <row r="24" spans="2:25" x14ac:dyDescent="0.2">
      <c r="B24" s="13" t="s">
        <v>288</v>
      </c>
      <c r="G24" s="63">
        <f t="shared" ref="G24:L24" si="2">SUM(G20:G23)</f>
        <v>-57</v>
      </c>
      <c r="H24" s="63">
        <f t="shared" si="2"/>
        <v>-78</v>
      </c>
      <c r="I24" s="63">
        <f t="shared" si="2"/>
        <v>-98</v>
      </c>
      <c r="J24" s="63">
        <f t="shared" si="2"/>
        <v>-120</v>
      </c>
      <c r="K24" s="63">
        <f t="shared" si="2"/>
        <v>-143</v>
      </c>
      <c r="L24" s="63">
        <f t="shared" si="2"/>
        <v>-167</v>
      </c>
      <c r="M24" s="131">
        <f>SUM(M20,M21,M23)</f>
        <v>-270.62400000000002</v>
      </c>
      <c r="N24" s="131">
        <f>SUM(N20,N21,N23)</f>
        <v>-359.33777600000002</v>
      </c>
      <c r="O24" s="131">
        <f>SUM(O20,O21,O23)</f>
        <v>-477.73070416000002</v>
      </c>
      <c r="P24" s="131">
        <f>SUM(P20,P21,P23)</f>
        <v>-609.32621412640003</v>
      </c>
      <c r="Q24" s="131">
        <f>SUM(Q20,Q21,Q23)</f>
        <v>-765.96021368539198</v>
      </c>
      <c r="X24" s="16"/>
      <c r="Y24" s="16"/>
    </row>
    <row r="25" spans="2:25" ht="17" thickBot="1" x14ac:dyDescent="0.25">
      <c r="B25" s="25" t="s">
        <v>289</v>
      </c>
      <c r="C25" s="26"/>
      <c r="D25" s="26"/>
      <c r="E25" s="26"/>
      <c r="F25" s="26"/>
      <c r="G25" s="28">
        <f t="shared" ref="G25:M25" si="3">SUM(G17,G24)</f>
        <v>89</v>
      </c>
      <c r="H25" s="28">
        <f t="shared" si="3"/>
        <v>101</v>
      </c>
      <c r="I25" s="28">
        <f t="shared" si="3"/>
        <v>108</v>
      </c>
      <c r="J25" s="28">
        <f t="shared" si="3"/>
        <v>122</v>
      </c>
      <c r="K25" s="28">
        <f t="shared" si="3"/>
        <v>182</v>
      </c>
      <c r="L25" s="28">
        <f t="shared" si="3"/>
        <v>281.35000000000002</v>
      </c>
      <c r="M25" s="28">
        <f t="shared" si="3"/>
        <v>280.76075000000003</v>
      </c>
      <c r="N25" s="28">
        <f>SUM(N17,N24)</f>
        <v>278.18744275</v>
      </c>
      <c r="O25" s="28">
        <f>SUM(O17,O24)</f>
        <v>275.19494470874992</v>
      </c>
      <c r="P25" s="28">
        <f>SUM(P17,P24)</f>
        <v>270.85975144531858</v>
      </c>
      <c r="Q25" s="28">
        <f>SUM(Q17,Q24)</f>
        <v>265.35207959583079</v>
      </c>
      <c r="X25" s="16"/>
      <c r="Y25" s="16"/>
    </row>
    <row r="26" spans="2:25" x14ac:dyDescent="0.2">
      <c r="X26" s="16"/>
      <c r="Y26" s="16"/>
    </row>
    <row r="27" spans="2:25" x14ac:dyDescent="0.2">
      <c r="B27" s="13" t="s">
        <v>316</v>
      </c>
      <c r="S27" s="13" t="s">
        <v>315</v>
      </c>
      <c r="X27" s="16"/>
      <c r="Y27" s="16"/>
    </row>
    <row r="28" spans="2:25" x14ac:dyDescent="0.2">
      <c r="B28" s="58" t="s">
        <v>291</v>
      </c>
      <c r="G28" s="124">
        <v>403</v>
      </c>
      <c r="H28" s="124">
        <v>386</v>
      </c>
      <c r="I28" s="124">
        <v>385</v>
      </c>
      <c r="J28" s="124">
        <v>385</v>
      </c>
      <c r="K28" s="124">
        <v>399</v>
      </c>
      <c r="L28" s="124">
        <v>667</v>
      </c>
      <c r="M28" s="131">
        <f>L34</f>
        <v>673</v>
      </c>
      <c r="N28" s="131">
        <f>M34</f>
        <v>697.89139999999998</v>
      </c>
      <c r="O28" s="131">
        <f>N34</f>
        <v>525.34609599999999</v>
      </c>
      <c r="P28" s="131">
        <f>O34</f>
        <v>299.55290136000008</v>
      </c>
      <c r="Q28" s="131">
        <f>P34</f>
        <v>50.072721714400188</v>
      </c>
      <c r="S28" t="s">
        <v>319</v>
      </c>
      <c r="X28" s="16"/>
      <c r="Y28" s="16"/>
    </row>
    <row r="29" spans="2:25" x14ac:dyDescent="0.2">
      <c r="B29" s="58" t="s">
        <v>313</v>
      </c>
      <c r="E29" s="134">
        <f>T21</f>
        <v>0.55000000000000004</v>
      </c>
      <c r="G29" s="124">
        <v>59</v>
      </c>
      <c r="H29" s="124">
        <v>66</v>
      </c>
      <c r="I29" s="124">
        <v>66</v>
      </c>
      <c r="J29" s="124">
        <v>60</v>
      </c>
      <c r="K29" s="124">
        <v>69</v>
      </c>
      <c r="L29" s="124">
        <v>114</v>
      </c>
      <c r="M29" s="131">
        <f>$E$29*M65</f>
        <v>172.48000000000002</v>
      </c>
      <c r="N29" s="131">
        <f>$E$29*N65</f>
        <v>148.36051999999998</v>
      </c>
      <c r="O29" s="131">
        <f>$E$29*O65</f>
        <v>196.37091319999999</v>
      </c>
      <c r="P29" s="131">
        <f>$E$29*P65</f>
        <v>217.72803082799996</v>
      </c>
      <c r="Q29" s="131">
        <f>$E$29*Q65</f>
        <v>258.23146987483995</v>
      </c>
      <c r="S29" t="s">
        <v>496</v>
      </c>
      <c r="T29" s="16"/>
      <c r="U29" s="16"/>
      <c r="V29" s="16"/>
      <c r="W29" s="16"/>
      <c r="X29" s="16"/>
    </row>
    <row r="30" spans="2:25" x14ac:dyDescent="0.2">
      <c r="B30" s="58" t="s">
        <v>269</v>
      </c>
      <c r="G30" s="124"/>
      <c r="H30" s="124"/>
      <c r="I30" s="124"/>
      <c r="J30" s="124"/>
      <c r="K30" s="124"/>
      <c r="L30" s="124"/>
      <c r="M30" s="130">
        <f>CHOOSE($E$9,M60,M61,M62,M63)*$E$29</f>
        <v>5.5000000000000007E-2</v>
      </c>
      <c r="N30" s="130">
        <f>CHOOSE($E$9,N60,N61,N62,N63)*$E$29</f>
        <v>5.5000000000000007E-2</v>
      </c>
      <c r="O30" s="130">
        <f>CHOOSE($E$9,O60,O61,O62,O63)*$E$29</f>
        <v>5.5000000000000007E-2</v>
      </c>
      <c r="P30" s="130">
        <f>CHOOSE($E$9,P60,P61,P62,P63)*$E$29</f>
        <v>5.5000000000000007E-2</v>
      </c>
      <c r="Q30" s="130">
        <f>CHOOSE($E$9,Q60,Q61,Q62,Q63)*$E$29</f>
        <v>5.5000000000000007E-2</v>
      </c>
    </row>
    <row r="31" spans="2:25" x14ac:dyDescent="0.2">
      <c r="B31" s="58" t="s">
        <v>292</v>
      </c>
      <c r="E31" s="134">
        <f>W21</f>
        <v>0.57999999999999996</v>
      </c>
      <c r="G31" s="124">
        <v>-78</v>
      </c>
      <c r="H31" s="124">
        <v>-80</v>
      </c>
      <c r="I31" s="124">
        <v>-82</v>
      </c>
      <c r="J31" s="124">
        <v>-59</v>
      </c>
      <c r="K31" s="124">
        <v>-61</v>
      </c>
      <c r="L31" s="124">
        <v>-91</v>
      </c>
      <c r="M31" s="131">
        <f>$E$31*M74</f>
        <v>139.58859999999999</v>
      </c>
      <c r="N31" s="131">
        <f>$E$31*N74</f>
        <v>312.90582399999988</v>
      </c>
      <c r="O31" s="131">
        <f>$E$31*O74</f>
        <v>414.16410783999993</v>
      </c>
      <c r="P31" s="131">
        <f>$E$31*P74</f>
        <v>459.20821047359988</v>
      </c>
      <c r="Q31" s="131">
        <f>$E$31*Q74</f>
        <v>544.63364555420787</v>
      </c>
    </row>
    <row r="32" spans="2:25" x14ac:dyDescent="0.2">
      <c r="B32" s="58" t="s">
        <v>269</v>
      </c>
      <c r="G32" s="124"/>
      <c r="H32" s="124"/>
      <c r="I32" s="124"/>
      <c r="J32" s="124"/>
      <c r="K32" s="124"/>
      <c r="L32" s="124"/>
      <c r="M32" s="100">
        <f>CHOOSE($V$6,M78,M79,M80,M81)*$E$31</f>
        <v>2.8999999999999998E-3</v>
      </c>
      <c r="N32" s="100">
        <f t="shared" ref="N32:Q32" si="4">CHOOSE($V$6,N78,N79,N80,N81)*$E$31</f>
        <v>2.8999999999999998E-3</v>
      </c>
      <c r="O32" s="100">
        <f t="shared" si="4"/>
        <v>2.8999999999999998E-3</v>
      </c>
      <c r="P32" s="100">
        <f t="shared" si="4"/>
        <v>2.8999999999999998E-3</v>
      </c>
      <c r="Q32" s="100">
        <f t="shared" si="4"/>
        <v>2.8999999999999998E-3</v>
      </c>
    </row>
    <row r="33" spans="2:17" x14ac:dyDescent="0.2">
      <c r="B33" s="58" t="s">
        <v>293</v>
      </c>
      <c r="G33" s="124">
        <v>0</v>
      </c>
      <c r="H33" s="124">
        <v>-13</v>
      </c>
      <c r="I33" s="124">
        <v>0</v>
      </c>
      <c r="J33" s="124">
        <v>-1</v>
      </c>
      <c r="K33" s="124">
        <v>-8</v>
      </c>
      <c r="L33" s="124">
        <v>-17</v>
      </c>
      <c r="M33" s="138">
        <v>-8</v>
      </c>
      <c r="N33" s="138">
        <v>-8</v>
      </c>
      <c r="O33" s="138">
        <v>-8</v>
      </c>
      <c r="P33" s="138">
        <v>-8</v>
      </c>
      <c r="Q33" s="138">
        <v>-8</v>
      </c>
    </row>
    <row r="34" spans="2:17" ht="17" thickBot="1" x14ac:dyDescent="0.25">
      <c r="B34" s="25" t="s">
        <v>294</v>
      </c>
      <c r="C34" s="26"/>
      <c r="D34" s="26"/>
      <c r="E34" s="26"/>
      <c r="F34" s="26"/>
      <c r="G34" s="25">
        <f t="shared" ref="G34:L34" si="5">SUM(G28:G33)</f>
        <v>384</v>
      </c>
      <c r="H34" s="25">
        <f t="shared" si="5"/>
        <v>359</v>
      </c>
      <c r="I34" s="25">
        <f t="shared" si="5"/>
        <v>369</v>
      </c>
      <c r="J34" s="25">
        <f t="shared" si="5"/>
        <v>385</v>
      </c>
      <c r="K34" s="25">
        <f t="shared" si="5"/>
        <v>399</v>
      </c>
      <c r="L34" s="25">
        <f t="shared" si="5"/>
        <v>673</v>
      </c>
      <c r="M34" s="28">
        <f>SUM(M28, M29, -M31, M33)</f>
        <v>697.89139999999998</v>
      </c>
      <c r="N34" s="28">
        <f>SUM(N28, N29, -N31, N33)</f>
        <v>525.34609599999999</v>
      </c>
      <c r="O34" s="28">
        <f>SUM(O28, O29, -O31, O33)</f>
        <v>299.55290136000008</v>
      </c>
      <c r="P34" s="28">
        <f>SUM(P28, P29, -P31, P33)</f>
        <v>50.072721714400188</v>
      </c>
      <c r="Q34" s="28">
        <f>SUM(Q28, Q29, -Q31, Q33)</f>
        <v>-244.32945396496774</v>
      </c>
    </row>
    <row r="35" spans="2:17" x14ac:dyDescent="0.2">
      <c r="B35" s="238"/>
      <c r="C35" s="230"/>
      <c r="D35" s="230"/>
      <c r="E35" s="230"/>
      <c r="F35" s="230"/>
      <c r="G35" s="238"/>
      <c r="H35" s="238"/>
      <c r="I35" s="238"/>
      <c r="J35" s="238"/>
      <c r="K35" s="238"/>
      <c r="L35" s="238"/>
      <c r="M35" s="239"/>
      <c r="N35" s="239"/>
      <c r="O35" s="239"/>
      <c r="P35" s="239"/>
      <c r="Q35" s="239"/>
    </row>
    <row r="36" spans="2:17" x14ac:dyDescent="0.2">
      <c r="B36" s="238" t="s">
        <v>508</v>
      </c>
      <c r="C36" s="230"/>
      <c r="D36" s="230"/>
      <c r="E36" s="230"/>
      <c r="F36" s="230"/>
      <c r="G36" s="238"/>
      <c r="H36" s="238"/>
      <c r="I36" s="238"/>
      <c r="J36" s="238"/>
      <c r="K36" s="238"/>
      <c r="L36" s="238"/>
      <c r="M36" s="239">
        <f>M29</f>
        <v>172.48000000000002</v>
      </c>
      <c r="N36" s="239">
        <f t="shared" ref="N36:Q36" si="6">N29</f>
        <v>148.36051999999998</v>
      </c>
      <c r="O36" s="239">
        <f t="shared" si="6"/>
        <v>196.37091319999999</v>
      </c>
      <c r="P36" s="239">
        <f t="shared" si="6"/>
        <v>217.72803082799996</v>
      </c>
      <c r="Q36" s="239">
        <f t="shared" si="6"/>
        <v>258.23146987483995</v>
      </c>
    </row>
    <row r="37" spans="2:17" x14ac:dyDescent="0.2">
      <c r="B37" s="238" t="s">
        <v>509</v>
      </c>
      <c r="C37" s="230"/>
      <c r="D37" s="230"/>
      <c r="E37" s="230"/>
      <c r="F37" s="230"/>
      <c r="G37" s="238"/>
      <c r="H37" s="238"/>
      <c r="I37" s="238"/>
      <c r="J37" s="238"/>
      <c r="K37" s="238"/>
      <c r="L37" s="238"/>
      <c r="M37" s="239">
        <f>M13+M45</f>
        <v>141.12</v>
      </c>
      <c r="N37" s="239">
        <f t="shared" ref="N37:Q37" si="7">N13+N45</f>
        <v>121.38587999999997</v>
      </c>
      <c r="O37" s="239">
        <f t="shared" si="7"/>
        <v>160.66711079999996</v>
      </c>
      <c r="P37" s="239">
        <f t="shared" si="7"/>
        <v>178.14111613199992</v>
      </c>
      <c r="Q37" s="239">
        <f t="shared" si="7"/>
        <v>211.28029353395991</v>
      </c>
    </row>
    <row r="38" spans="2:17" x14ac:dyDescent="0.2">
      <c r="B38" s="238"/>
      <c r="C38" s="230"/>
      <c r="D38" s="230"/>
      <c r="E38" s="230"/>
      <c r="F38" s="230"/>
      <c r="G38" s="238"/>
      <c r="H38" s="238"/>
      <c r="I38" s="238"/>
      <c r="J38" s="238"/>
      <c r="K38" s="238"/>
      <c r="L38" s="238"/>
      <c r="M38" s="239"/>
      <c r="N38" s="239"/>
      <c r="O38" s="239"/>
      <c r="P38" s="239"/>
      <c r="Q38" s="239"/>
    </row>
    <row r="39" spans="2:17" x14ac:dyDescent="0.2">
      <c r="B39" s="13"/>
    </row>
    <row r="40" spans="2:17" x14ac:dyDescent="0.2">
      <c r="B40" s="13" t="s">
        <v>295</v>
      </c>
      <c r="G40" s="124">
        <v>647</v>
      </c>
      <c r="H40" s="124">
        <v>627</v>
      </c>
      <c r="I40" s="124">
        <v>651</v>
      </c>
      <c r="J40" s="124">
        <v>658</v>
      </c>
      <c r="K40" s="124">
        <v>658</v>
      </c>
      <c r="L40" s="124">
        <v>1115</v>
      </c>
      <c r="M40" s="140">
        <f>BS!I46</f>
        <v>1115</v>
      </c>
      <c r="N40" s="141">
        <v>1115</v>
      </c>
      <c r="O40" s="141">
        <v>1115</v>
      </c>
      <c r="P40" s="141">
        <v>1115</v>
      </c>
      <c r="Q40" s="142">
        <v>1115</v>
      </c>
    </row>
    <row r="41" spans="2:17" ht="17" thickBot="1" x14ac:dyDescent="0.25">
      <c r="B41" s="25" t="s">
        <v>322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8">
        <f>SUM(M34,M40)</f>
        <v>1812.8914</v>
      </c>
      <c r="N41" s="28">
        <f>SUM(N34,N40)</f>
        <v>1640.346096</v>
      </c>
      <c r="O41" s="28">
        <f>SUM(O34,O40)</f>
        <v>1414.5529013600001</v>
      </c>
      <c r="P41" s="28">
        <f>SUM(P34,P40)</f>
        <v>1165.0727217144001</v>
      </c>
      <c r="Q41" s="28">
        <f>SUM(Q34,Q40)</f>
        <v>870.6705460350322</v>
      </c>
    </row>
    <row r="42" spans="2:17" x14ac:dyDescent="0.2">
      <c r="B42" s="13"/>
      <c r="M42" s="16"/>
      <c r="N42" s="16"/>
      <c r="O42" s="16"/>
      <c r="P42" s="16"/>
      <c r="Q42" s="16"/>
    </row>
    <row r="43" spans="2:17" x14ac:dyDescent="0.2">
      <c r="B43" s="13" t="s">
        <v>296</v>
      </c>
    </row>
    <row r="44" spans="2:17" x14ac:dyDescent="0.2">
      <c r="B44" s="58" t="s">
        <v>297</v>
      </c>
      <c r="G44" s="124">
        <v>147</v>
      </c>
      <c r="H44" s="124">
        <v>155</v>
      </c>
      <c r="I44" s="124">
        <v>144</v>
      </c>
      <c r="J44" s="124">
        <v>141</v>
      </c>
      <c r="K44" s="124">
        <v>189</v>
      </c>
      <c r="L44" s="96">
        <v>249</v>
      </c>
      <c r="M44" s="119">
        <f>L49</f>
        <v>249</v>
      </c>
      <c r="N44" s="119">
        <f>M49</f>
        <v>270.1925</v>
      </c>
      <c r="O44" s="119">
        <f>N49</f>
        <v>212.29394000000005</v>
      </c>
      <c r="P44" s="119">
        <f>O49</f>
        <v>119.47873040000007</v>
      </c>
      <c r="Q44" s="119">
        <f>P49</f>
        <v>11.131071616000128</v>
      </c>
    </row>
    <row r="45" spans="2:17" x14ac:dyDescent="0.2">
      <c r="B45" s="58" t="s">
        <v>298</v>
      </c>
      <c r="E45" s="134">
        <f>T22</f>
        <v>0.1</v>
      </c>
      <c r="G45" s="124">
        <v>21</v>
      </c>
      <c r="H45" s="124">
        <v>10</v>
      </c>
      <c r="I45" s="124">
        <v>16</v>
      </c>
      <c r="J45" s="124">
        <v>73</v>
      </c>
      <c r="K45" s="124">
        <v>95</v>
      </c>
      <c r="L45" s="124">
        <v>22</v>
      </c>
      <c r="M45" s="131">
        <f>$E$45*M65</f>
        <v>31.360000000000003</v>
      </c>
      <c r="N45" s="131">
        <f>$E$45*N65</f>
        <v>26.974639999999994</v>
      </c>
      <c r="O45" s="131">
        <f>$E$45*O65</f>
        <v>35.703802399999994</v>
      </c>
      <c r="P45" s="131">
        <f>$E$45*P65</f>
        <v>39.586914695999994</v>
      </c>
      <c r="Q45" s="131">
        <f>$E$45*Q65</f>
        <v>46.951176340879989</v>
      </c>
    </row>
    <row r="46" spans="2:17" x14ac:dyDescent="0.2">
      <c r="B46" s="58" t="s">
        <v>269</v>
      </c>
      <c r="G46" s="124"/>
      <c r="H46" s="124"/>
      <c r="I46" s="124"/>
      <c r="J46" s="124"/>
      <c r="K46" s="124"/>
      <c r="L46" s="124"/>
      <c r="M46" s="130">
        <f>CHOOSE($E$9,M69,M70,M71,M72)*$E$45</f>
        <v>2.0000000000000004E-2</v>
      </c>
      <c r="N46" s="130">
        <f>CHOOSE($E$9,N69,N70,N71,N72)*$E$45</f>
        <v>2.0000000000000004E-2</v>
      </c>
      <c r="O46" s="130">
        <f>CHOOSE($E$9,O69,O70,O71,O72)*$E$45</f>
        <v>2.0000000000000004E-2</v>
      </c>
      <c r="P46" s="130">
        <f>CHOOSE($E$9,P69,P70,P71,P72)*$E$45</f>
        <v>2.0000000000000004E-2</v>
      </c>
      <c r="Q46" s="130">
        <f>CHOOSE($E$9,Q69,Q70,Q71,Q72)*$E$45</f>
        <v>2.0000000000000004E-2</v>
      </c>
    </row>
    <row r="47" spans="2:17" x14ac:dyDescent="0.2">
      <c r="B47" s="58" t="s">
        <v>299</v>
      </c>
      <c r="E47" s="134">
        <f>W22</f>
        <v>0.25</v>
      </c>
      <c r="G47" s="124">
        <v>-17</v>
      </c>
      <c r="H47" s="124">
        <v>-19</v>
      </c>
      <c r="I47" s="124">
        <v>-21</v>
      </c>
      <c r="J47" s="124">
        <v>-23</v>
      </c>
      <c r="K47" s="124">
        <v>-33</v>
      </c>
      <c r="L47" s="124">
        <v>-22</v>
      </c>
      <c r="M47" s="133">
        <f>$E$47*M74</f>
        <v>60.167499999999997</v>
      </c>
      <c r="N47" s="133">
        <f>$E$47*N74</f>
        <v>134.87319999999997</v>
      </c>
      <c r="O47" s="133">
        <f>$E$47*O74</f>
        <v>178.51901199999998</v>
      </c>
      <c r="P47" s="133">
        <f>$E$47*P74</f>
        <v>197.93457347999995</v>
      </c>
      <c r="Q47" s="133">
        <f>$E$47*Q74</f>
        <v>234.75588170439994</v>
      </c>
    </row>
    <row r="48" spans="2:17" x14ac:dyDescent="0.2">
      <c r="B48" s="58" t="s">
        <v>269</v>
      </c>
      <c r="E48" s="108"/>
      <c r="G48" s="124"/>
      <c r="H48" s="124"/>
      <c r="I48" s="124"/>
      <c r="J48" s="124"/>
      <c r="K48" s="124"/>
      <c r="L48" s="124"/>
      <c r="M48" s="130">
        <f>CHOOSE($E$9,M69,M70,M71,M72)*$E$47</f>
        <v>0.05</v>
      </c>
      <c r="N48" s="130">
        <f>CHOOSE($E$9,N69,N70,N71,N72)*$E$47</f>
        <v>0.05</v>
      </c>
      <c r="O48" s="130">
        <f>CHOOSE($E$9,O69,O70,O71,O72)*$E$47</f>
        <v>0.05</v>
      </c>
      <c r="P48" s="130">
        <f>CHOOSE($E$9,P69,P70,P71,P72)*$E$47</f>
        <v>0.05</v>
      </c>
      <c r="Q48" s="130">
        <f>CHOOSE($E$9,Q69,Q70,Q71,Q72)*$E$47</f>
        <v>0.05</v>
      </c>
    </row>
    <row r="49" spans="2:17" ht="17" thickBot="1" x14ac:dyDescent="0.25">
      <c r="B49" s="25" t="s">
        <v>300</v>
      </c>
      <c r="C49" s="26"/>
      <c r="D49" s="26" t="s">
        <v>323</v>
      </c>
      <c r="E49" s="26"/>
      <c r="F49" s="143">
        <v>50</v>
      </c>
      <c r="G49" s="25">
        <f t="shared" ref="G49:L49" si="8">SUM(G44:G47)</f>
        <v>151</v>
      </c>
      <c r="H49" s="25">
        <f t="shared" si="8"/>
        <v>146</v>
      </c>
      <c r="I49" s="25">
        <f t="shared" si="8"/>
        <v>139</v>
      </c>
      <c r="J49" s="25">
        <f t="shared" si="8"/>
        <v>191</v>
      </c>
      <c r="K49" s="25">
        <f t="shared" si="8"/>
        <v>251</v>
      </c>
      <c r="L49" s="25">
        <f t="shared" si="8"/>
        <v>249</v>
      </c>
      <c r="M49" s="28">
        <f>SUM(M44,M45,-M47)+$F$49</f>
        <v>270.1925</v>
      </c>
      <c r="N49" s="28">
        <f>SUM(N44,N45,-N47)+$F$49</f>
        <v>212.29394000000005</v>
      </c>
      <c r="O49" s="28">
        <f>SUM(O44,O45,-O47)+$F$49</f>
        <v>119.47873040000007</v>
      </c>
      <c r="P49" s="28">
        <f>SUM(P44,P45,-P47)+$F$49</f>
        <v>11.131071616000128</v>
      </c>
      <c r="Q49" s="28">
        <f>SUM(Q44,Q45,-Q47)+$F$49</f>
        <v>-126.67363374751983</v>
      </c>
    </row>
    <row r="51" spans="2:17" x14ac:dyDescent="0.2">
      <c r="B51" s="13" t="s">
        <v>507</v>
      </c>
      <c r="M51" s="43">
        <f>SUM(M49,M25)</f>
        <v>550.95325000000003</v>
      </c>
      <c r="N51" s="19">
        <f t="shared" ref="N51:Q51" si="9">SUM(N49,N25)</f>
        <v>490.48138275000008</v>
      </c>
      <c r="O51" s="19">
        <f t="shared" si="9"/>
        <v>394.67367510874999</v>
      </c>
      <c r="P51" s="19">
        <f t="shared" si="9"/>
        <v>281.99082306131868</v>
      </c>
      <c r="Q51" s="125">
        <f t="shared" si="9"/>
        <v>138.67844584831096</v>
      </c>
    </row>
    <row r="53" spans="2:17" ht="17" thickBot="1" x14ac:dyDescent="0.25">
      <c r="B53" s="25" t="s">
        <v>301</v>
      </c>
      <c r="C53" s="26"/>
      <c r="D53" s="26"/>
      <c r="E53" s="26"/>
      <c r="F53" s="26"/>
      <c r="G53" s="28">
        <f t="shared" ref="G53:Q53" si="10">SUM(G49,G34,G40,G25)</f>
        <v>1271</v>
      </c>
      <c r="H53" s="28">
        <f t="shared" si="10"/>
        <v>1233</v>
      </c>
      <c r="I53" s="28">
        <f t="shared" si="10"/>
        <v>1267</v>
      </c>
      <c r="J53" s="28">
        <f t="shared" si="10"/>
        <v>1356</v>
      </c>
      <c r="K53" s="28">
        <f t="shared" si="10"/>
        <v>1490</v>
      </c>
      <c r="L53" s="28">
        <f t="shared" si="10"/>
        <v>2318.35</v>
      </c>
      <c r="M53" s="28">
        <f t="shared" si="10"/>
        <v>2363.84465</v>
      </c>
      <c r="N53" s="28">
        <f t="shared" si="10"/>
        <v>2130.82747875</v>
      </c>
      <c r="O53" s="28">
        <f t="shared" si="10"/>
        <v>1809.2265764687502</v>
      </c>
      <c r="P53" s="28">
        <f t="shared" si="10"/>
        <v>1447.0635447757188</v>
      </c>
      <c r="Q53" s="28">
        <f t="shared" si="10"/>
        <v>1009.3489918833433</v>
      </c>
    </row>
    <row r="54" spans="2:17" x14ac:dyDescent="0.2">
      <c r="B54" s="13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2:17" x14ac:dyDescent="0.2">
      <c r="B55" s="13" t="s">
        <v>320</v>
      </c>
      <c r="E55" s="134">
        <f>SUM(E45,E29,E13)</f>
        <v>1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2:17" x14ac:dyDescent="0.2">
      <c r="B56" s="13" t="s">
        <v>321</v>
      </c>
      <c r="E56" s="134">
        <f>SUM(E47,E31,E21)</f>
        <v>1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8" spans="2:17" x14ac:dyDescent="0.2">
      <c r="B58" s="13" t="s">
        <v>302</v>
      </c>
      <c r="D58" s="120"/>
      <c r="G58">
        <f t="shared" ref="G58:L58" si="11">G45+G29+G13</f>
        <v>101</v>
      </c>
      <c r="H58">
        <f t="shared" si="11"/>
        <v>107</v>
      </c>
      <c r="I58">
        <f t="shared" si="11"/>
        <v>112</v>
      </c>
      <c r="J58">
        <f t="shared" si="11"/>
        <v>169</v>
      </c>
      <c r="K58">
        <f t="shared" si="11"/>
        <v>210</v>
      </c>
      <c r="L58">
        <f t="shared" si="11"/>
        <v>219</v>
      </c>
    </row>
    <row r="59" spans="2:17" x14ac:dyDescent="0.2">
      <c r="B59" s="58" t="s">
        <v>303</v>
      </c>
      <c r="G59" s="16">
        <f>IS!D10</f>
        <v>1114.2</v>
      </c>
      <c r="H59" s="16">
        <f>IS!E10</f>
        <v>1206.9000000000001</v>
      </c>
      <c r="I59" s="16">
        <f>IS!F10</f>
        <v>1474</v>
      </c>
      <c r="J59" s="16">
        <f>IS!G10</f>
        <v>1707</v>
      </c>
      <c r="K59" s="16">
        <f>IS!H10</f>
        <v>1847</v>
      </c>
      <c r="L59" s="16">
        <f>IS!I10</f>
        <v>2240</v>
      </c>
    </row>
    <row r="60" spans="2:17" x14ac:dyDescent="0.2">
      <c r="B60" t="s">
        <v>194</v>
      </c>
      <c r="G60" s="92">
        <f t="shared" ref="G60:L60" si="12">G58/G59</f>
        <v>9.0647998563992097E-2</v>
      </c>
      <c r="H60" s="92">
        <f t="shared" si="12"/>
        <v>8.8656889551744125E-2</v>
      </c>
      <c r="I60" s="92">
        <f t="shared" si="12"/>
        <v>7.5983717774762552E-2</v>
      </c>
      <c r="J60" s="92">
        <f t="shared" si="12"/>
        <v>9.9004100761569999E-2</v>
      </c>
      <c r="K60" s="92">
        <f t="shared" si="12"/>
        <v>0.1136978884677856</v>
      </c>
      <c r="L60" s="92">
        <f t="shared" si="12"/>
        <v>9.7767857142857142E-2</v>
      </c>
      <c r="M60" s="126">
        <v>0.1</v>
      </c>
      <c r="N60" s="126">
        <v>0.1</v>
      </c>
      <c r="O60" s="126">
        <v>0.1</v>
      </c>
      <c r="P60" s="126">
        <v>0.1</v>
      </c>
      <c r="Q60" s="126">
        <v>0.1</v>
      </c>
    </row>
    <row r="61" spans="2:17" x14ac:dyDescent="0.2">
      <c r="B61" t="s">
        <v>195</v>
      </c>
      <c r="G61" s="63"/>
      <c r="H61" s="63"/>
      <c r="I61" s="63"/>
      <c r="J61" s="63"/>
      <c r="K61" s="63"/>
      <c r="L61" s="63"/>
      <c r="M61" s="126">
        <v>0.11</v>
      </c>
      <c r="N61" s="126">
        <v>0.11</v>
      </c>
      <c r="O61" s="126">
        <v>0.11</v>
      </c>
      <c r="P61" s="126">
        <v>0.11</v>
      </c>
      <c r="Q61" s="126">
        <v>0.11</v>
      </c>
    </row>
    <row r="62" spans="2:17" x14ac:dyDescent="0.2">
      <c r="B62" t="s">
        <v>196</v>
      </c>
      <c r="G62" s="63"/>
      <c r="H62" s="63"/>
      <c r="I62" s="63"/>
      <c r="J62" s="63"/>
      <c r="K62" s="63"/>
      <c r="L62" s="63"/>
      <c r="M62" s="126">
        <v>0.12</v>
      </c>
      <c r="N62" s="126">
        <v>0.12</v>
      </c>
      <c r="O62" s="126">
        <v>0.12</v>
      </c>
      <c r="P62" s="126">
        <v>0.12</v>
      </c>
      <c r="Q62" s="126">
        <v>0.12</v>
      </c>
    </row>
    <row r="63" spans="2:17" x14ac:dyDescent="0.2">
      <c r="B63" t="s">
        <v>197</v>
      </c>
      <c r="G63" s="63"/>
      <c r="H63" s="63"/>
      <c r="I63" s="63"/>
      <c r="J63" s="63"/>
      <c r="K63" s="63"/>
      <c r="L63" s="63"/>
      <c r="M63" s="126">
        <v>0.09</v>
      </c>
      <c r="N63" s="126">
        <v>0.09</v>
      </c>
      <c r="O63" s="126">
        <v>0.09</v>
      </c>
      <c r="P63" s="126">
        <v>0.09</v>
      </c>
      <c r="Q63" s="126">
        <v>0.09</v>
      </c>
    </row>
    <row r="64" spans="2:17" x14ac:dyDescent="0.2">
      <c r="B64" s="13" t="s">
        <v>513</v>
      </c>
      <c r="G64" s="63"/>
      <c r="H64" s="63"/>
      <c r="I64" s="63"/>
      <c r="J64" s="63"/>
      <c r="K64" s="63"/>
      <c r="L64" s="63"/>
      <c r="M64" s="126">
        <f>CHOOSE($V$4, M60,M61,M62,M63)</f>
        <v>0.1</v>
      </c>
      <c r="N64" s="126">
        <f t="shared" ref="N64:Q64" si="13">CHOOSE($V$4, N60,N61,N62,N63)</f>
        <v>0.1</v>
      </c>
      <c r="O64" s="126">
        <f t="shared" si="13"/>
        <v>0.1</v>
      </c>
      <c r="P64" s="126">
        <f t="shared" si="13"/>
        <v>0.1</v>
      </c>
      <c r="Q64" s="126">
        <f t="shared" si="13"/>
        <v>0.1</v>
      </c>
    </row>
    <row r="65" spans="2:17" ht="17" thickBot="1" x14ac:dyDescent="0.25">
      <c r="B65" s="26" t="s">
        <v>318</v>
      </c>
      <c r="C65" s="26"/>
      <c r="D65" s="26"/>
      <c r="E65" s="26"/>
      <c r="F65" s="26"/>
      <c r="G65" s="135"/>
      <c r="H65" s="135"/>
      <c r="I65" s="135"/>
      <c r="J65" s="135"/>
      <c r="K65" s="135"/>
      <c r="L65" s="135"/>
      <c r="M65" s="136">
        <f>CHOOSE($V$4,M60,M61,M62,M63)*M9</f>
        <v>313.60000000000002</v>
      </c>
      <c r="N65" s="136">
        <f>CHOOSE($E$9,N60,N61,N62,N63)*N9</f>
        <v>269.74639999999994</v>
      </c>
      <c r="O65" s="136">
        <f>CHOOSE($E$9,O60,O61,O62,O63)*O9</f>
        <v>357.03802399999995</v>
      </c>
      <c r="P65" s="136">
        <f>CHOOSE($E$9,P60,P61,P62,P63)*P9</f>
        <v>395.86914695999991</v>
      </c>
      <c r="Q65" s="136">
        <f>CHOOSE($E$9,Q60,Q61,Q62,Q63)*Q9</f>
        <v>469.51176340879988</v>
      </c>
    </row>
    <row r="67" spans="2:17" x14ac:dyDescent="0.2">
      <c r="B67" s="13" t="s">
        <v>304</v>
      </c>
    </row>
    <row r="68" spans="2:17" x14ac:dyDescent="0.2">
      <c r="B68" t="s">
        <v>516</v>
      </c>
      <c r="G68" s="16">
        <f>SUM(G49,G34,G25)</f>
        <v>624</v>
      </c>
      <c r="H68" s="16">
        <f t="shared" ref="H68:L68" si="14">SUM(H49,H34,H25)</f>
        <v>606</v>
      </c>
      <c r="I68" s="16">
        <f t="shared" si="14"/>
        <v>616</v>
      </c>
      <c r="J68" s="16">
        <f t="shared" si="14"/>
        <v>698</v>
      </c>
      <c r="K68" s="16">
        <f t="shared" si="14"/>
        <v>832</v>
      </c>
      <c r="L68" s="16">
        <f t="shared" si="14"/>
        <v>1203.3499999999999</v>
      </c>
    </row>
    <row r="69" spans="2:17" x14ac:dyDescent="0.2">
      <c r="B69" t="s">
        <v>194</v>
      </c>
      <c r="G69" s="63">
        <f>G47+G31+G21</f>
        <v>-116</v>
      </c>
      <c r="H69" s="63">
        <f t="shared" ref="G69:L69" si="15">H47+H31+H21</f>
        <v>-121</v>
      </c>
      <c r="I69" s="63">
        <f t="shared" si="15"/>
        <v>-126</v>
      </c>
      <c r="J69" s="63">
        <f t="shared" si="15"/>
        <v>-104</v>
      </c>
      <c r="K69" s="63">
        <f t="shared" si="15"/>
        <v>-119</v>
      </c>
      <c r="L69" s="63">
        <f t="shared" si="15"/>
        <v>-141</v>
      </c>
      <c r="M69" s="126">
        <v>0.2</v>
      </c>
      <c r="N69" s="126">
        <v>0.2</v>
      </c>
      <c r="O69" s="126">
        <v>0.2</v>
      </c>
      <c r="P69" s="126">
        <v>0.2</v>
      </c>
      <c r="Q69" s="126">
        <v>0.2</v>
      </c>
    </row>
    <row r="70" spans="2:17" x14ac:dyDescent="0.2">
      <c r="B70" t="s">
        <v>195</v>
      </c>
      <c r="G70" s="92">
        <f>-G69/G68</f>
        <v>0.1858974358974359</v>
      </c>
      <c r="H70" s="92">
        <f t="shared" ref="H70:L70" si="16">-H69/H68</f>
        <v>0.19966996699669967</v>
      </c>
      <c r="I70" s="92">
        <f t="shared" si="16"/>
        <v>0.20454545454545456</v>
      </c>
      <c r="J70" s="92">
        <f t="shared" si="16"/>
        <v>0.14899713467048711</v>
      </c>
      <c r="K70" s="92">
        <f t="shared" si="16"/>
        <v>0.14302884615384615</v>
      </c>
      <c r="L70" s="92">
        <f t="shared" si="16"/>
        <v>0.11717289234221133</v>
      </c>
      <c r="M70" s="126">
        <v>0.17</v>
      </c>
      <c r="N70" s="126">
        <v>0.17</v>
      </c>
      <c r="O70" s="126">
        <v>0.17</v>
      </c>
      <c r="P70" s="126">
        <v>0.17</v>
      </c>
      <c r="Q70" s="126">
        <v>0.17</v>
      </c>
    </row>
    <row r="71" spans="2:17" x14ac:dyDescent="0.2">
      <c r="B71" t="s">
        <v>196</v>
      </c>
      <c r="G71" s="63"/>
      <c r="H71" s="63"/>
      <c r="I71" s="63"/>
      <c r="J71" s="63"/>
      <c r="K71" s="63"/>
      <c r="L71" s="63"/>
      <c r="M71" s="126">
        <v>0.06</v>
      </c>
      <c r="N71" s="126">
        <v>0.06</v>
      </c>
      <c r="O71" s="126">
        <v>0.06</v>
      </c>
      <c r="P71" s="126">
        <v>0.06</v>
      </c>
      <c r="Q71" s="126">
        <v>0.06</v>
      </c>
    </row>
    <row r="72" spans="2:17" x14ac:dyDescent="0.2">
      <c r="B72" t="s">
        <v>197</v>
      </c>
      <c r="G72" s="63"/>
      <c r="H72" s="63"/>
      <c r="I72" s="63"/>
      <c r="J72" s="63"/>
      <c r="K72" s="63"/>
      <c r="L72" s="63"/>
      <c r="M72" s="126">
        <v>7.0000000000000007E-2</v>
      </c>
      <c r="N72" s="126">
        <v>7.0000000000000007E-2</v>
      </c>
      <c r="O72" s="126">
        <v>7.0000000000000007E-2</v>
      </c>
      <c r="P72" s="126">
        <v>7.0000000000000007E-2</v>
      </c>
      <c r="Q72" s="126">
        <v>7.0000000000000007E-2</v>
      </c>
    </row>
    <row r="73" spans="2:17" x14ac:dyDescent="0.2">
      <c r="B73" s="13" t="s">
        <v>514</v>
      </c>
      <c r="G73" s="63"/>
      <c r="H73" s="63"/>
      <c r="I73" s="63"/>
      <c r="J73" s="63"/>
      <c r="K73" s="63"/>
      <c r="L73" s="63"/>
      <c r="M73" s="126">
        <f>CHOOSE($V$5, M69,M70,M71,M72)</f>
        <v>0.2</v>
      </c>
      <c r="N73" s="126">
        <f t="shared" ref="N73:Q73" si="17">CHOOSE($V$5, N69,N70,N71,N72)</f>
        <v>0.2</v>
      </c>
      <c r="O73" s="126">
        <f t="shared" si="17"/>
        <v>0.2</v>
      </c>
      <c r="P73" s="126">
        <f t="shared" si="17"/>
        <v>0.2</v>
      </c>
      <c r="Q73" s="126">
        <f t="shared" si="17"/>
        <v>0.2</v>
      </c>
    </row>
    <row r="74" spans="2:17" ht="17" thickBot="1" x14ac:dyDescent="0.25">
      <c r="B74" s="25" t="s">
        <v>317</v>
      </c>
      <c r="C74" s="26"/>
      <c r="D74" s="26"/>
      <c r="E74" s="26"/>
      <c r="F74" s="26"/>
      <c r="G74" s="135"/>
      <c r="H74" s="135"/>
      <c r="I74" s="135"/>
      <c r="J74" s="135"/>
      <c r="K74" s="135"/>
      <c r="L74" s="135"/>
      <c r="M74" s="136">
        <f>M73*L68</f>
        <v>240.67</v>
      </c>
      <c r="N74" s="136">
        <f t="shared" ref="N74:Q74" si="18">N73*N9</f>
        <v>539.49279999999987</v>
      </c>
      <c r="O74" s="136">
        <f t="shared" si="18"/>
        <v>714.0760479999999</v>
      </c>
      <c r="P74" s="136">
        <f t="shared" si="18"/>
        <v>791.73829391999982</v>
      </c>
      <c r="Q74" s="136">
        <f t="shared" si="18"/>
        <v>939.02352681759976</v>
      </c>
    </row>
    <row r="76" spans="2:17" x14ac:dyDescent="0.2">
      <c r="B76" s="13" t="s">
        <v>305</v>
      </c>
    </row>
    <row r="77" spans="2:17" x14ac:dyDescent="0.2">
      <c r="B77" t="s">
        <v>312</v>
      </c>
    </row>
    <row r="78" spans="2:17" x14ac:dyDescent="0.2">
      <c r="B78" t="s">
        <v>194</v>
      </c>
      <c r="G78" s="63"/>
      <c r="H78" s="63"/>
      <c r="I78" s="63"/>
      <c r="J78" s="63"/>
      <c r="K78" s="63"/>
      <c r="L78" s="63"/>
      <c r="M78" s="127">
        <v>1.4999999999999999E-2</v>
      </c>
      <c r="N78" s="127">
        <v>1.4999999999999999E-2</v>
      </c>
      <c r="O78" s="127">
        <v>1.4999999999999999E-2</v>
      </c>
      <c r="P78" s="127">
        <v>1.4999999999999999E-2</v>
      </c>
      <c r="Q78" s="127">
        <v>1.4999999999999999E-2</v>
      </c>
    </row>
    <row r="79" spans="2:17" x14ac:dyDescent="0.2">
      <c r="B79" t="s">
        <v>195</v>
      </c>
      <c r="G79" s="63"/>
      <c r="H79" s="63"/>
      <c r="I79" s="63"/>
      <c r="J79" s="63"/>
      <c r="K79" s="63"/>
      <c r="L79" s="63"/>
      <c r="M79" s="127">
        <v>7.4999999999999997E-3</v>
      </c>
      <c r="N79" s="127">
        <v>7.4999999999999997E-3</v>
      </c>
      <c r="O79" s="127">
        <v>7.4999999999999997E-3</v>
      </c>
      <c r="P79" s="127">
        <v>7.4999999999999997E-3</v>
      </c>
      <c r="Q79" s="127">
        <v>7.4999999999999997E-3</v>
      </c>
    </row>
    <row r="80" spans="2:17" x14ac:dyDescent="0.2">
      <c r="B80" t="s">
        <v>196</v>
      </c>
      <c r="G80" s="63"/>
      <c r="H80" s="63"/>
      <c r="I80" s="63"/>
      <c r="J80" s="63"/>
      <c r="K80" s="63"/>
      <c r="L80" s="63"/>
      <c r="M80" s="127">
        <v>5.0000000000000001E-3</v>
      </c>
      <c r="N80" s="127">
        <v>5.0000000000000001E-3</v>
      </c>
      <c r="O80" s="127">
        <v>5.0000000000000001E-3</v>
      </c>
      <c r="P80" s="127">
        <v>5.0000000000000001E-3</v>
      </c>
      <c r="Q80" s="127">
        <v>5.0000000000000001E-3</v>
      </c>
    </row>
    <row r="81" spans="2:17" x14ac:dyDescent="0.2">
      <c r="B81" t="s">
        <v>197</v>
      </c>
      <c r="G81" s="63"/>
      <c r="H81" s="63"/>
      <c r="I81" s="63"/>
      <c r="J81" s="63"/>
      <c r="K81" s="63"/>
      <c r="L81" s="63"/>
      <c r="M81" s="128">
        <v>0.01</v>
      </c>
      <c r="N81" s="128">
        <v>0.01</v>
      </c>
      <c r="O81" s="128">
        <v>0.01</v>
      </c>
      <c r="P81" s="128">
        <v>0.01</v>
      </c>
      <c r="Q81" s="128">
        <v>0.01</v>
      </c>
    </row>
    <row r="84" spans="2:17" x14ac:dyDescent="0.2">
      <c r="B84" s="13" t="s">
        <v>387</v>
      </c>
      <c r="M84" s="20">
        <f>SUM(M74)</f>
        <v>240.67</v>
      </c>
      <c r="N84" s="20">
        <f>SUM(N74)</f>
        <v>539.49279999999987</v>
      </c>
      <c r="O84" s="20">
        <f>SUM(O74)</f>
        <v>714.0760479999999</v>
      </c>
      <c r="P84" s="20">
        <f>SUM(P74)</f>
        <v>791.73829391999982</v>
      </c>
      <c r="Q84" s="20">
        <f>SUM(Q74)</f>
        <v>939.02352681759976</v>
      </c>
    </row>
  </sheetData>
  <dataValidations count="2">
    <dataValidation type="list" allowBlank="1" showInputMessage="1" showErrorMessage="1" sqref="E9" xr:uid="{9606C47F-B1B1-0940-AF77-6887EFAB208A}">
      <formula1>"1, 2, 3, 4"</formula1>
    </dataValidation>
    <dataValidation type="list" allowBlank="1" showInputMessage="1" showErrorMessage="1" sqref="V4:V6" xr:uid="{AF1F741A-FFF4-8941-AC63-DA0DA4DB5D1D}">
      <formula1>"1, 2, 3, 4, 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5CEF-72CF-7942-BA31-F31E97808CDE}">
  <dimension ref="A1:AB88"/>
  <sheetViews>
    <sheetView showGridLines="0" topLeftCell="A29" zoomScale="98" workbookViewId="0">
      <selection activeCell="M60" sqref="M60:Q60"/>
    </sheetView>
  </sheetViews>
  <sheetFormatPr baseColWidth="10" defaultRowHeight="16" x14ac:dyDescent="0.2"/>
  <cols>
    <col min="1" max="7" width="10.83203125" style="16"/>
    <col min="8" max="17" width="11.5" style="16" bestFit="1" customWidth="1"/>
    <col min="18" max="16384" width="10.83203125" style="16"/>
  </cols>
  <sheetData>
    <row r="1" spans="1:25" ht="25" thickBot="1" x14ac:dyDescent="0.35">
      <c r="A1" s="150" t="str">
        <f>_xlfn.CONCAT(Inputs!C7, " - ", "Cash Flow", " - ", "in ", Inputs!C9, " ", Inputs!C10)</f>
        <v>HAG - Cash Flow - in Euro millions</v>
      </c>
      <c r="B1" s="151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25" ht="17" thickTop="1" x14ac:dyDescent="0.2">
      <c r="S2" s="20" t="s">
        <v>477</v>
      </c>
    </row>
    <row r="4" spans="1:25" x14ac:dyDescent="0.2">
      <c r="B4" s="16" t="s">
        <v>9</v>
      </c>
      <c r="D4" s="139"/>
      <c r="E4" s="139"/>
      <c r="F4" s="139"/>
      <c r="G4" s="16">
        <f>EDATE(Inputs!$C$8, G5*12)</f>
        <v>43830</v>
      </c>
      <c r="H4" s="16">
        <f>EDATE(Inputs!$C$8, H5*12)</f>
        <v>44196</v>
      </c>
      <c r="I4" s="16">
        <f>EDATE(Inputs!$C$8, I5*12)</f>
        <v>44561</v>
      </c>
      <c r="J4" s="16">
        <f>EDATE(Inputs!$C$8, J5*12)</f>
        <v>44926</v>
      </c>
      <c r="K4" s="16">
        <f>EDATE(Inputs!$C$8, K5*12)</f>
        <v>45291</v>
      </c>
      <c r="L4" s="16">
        <f>EDATE(Inputs!$C$8, L5*12)</f>
        <v>45657</v>
      </c>
      <c r="M4" s="16">
        <f>EDATE(Inputs!$C$8, M5*12)</f>
        <v>46022</v>
      </c>
      <c r="N4" s="16">
        <f>EDATE(Inputs!$C$8, N5*12)</f>
        <v>46387</v>
      </c>
      <c r="O4" s="16">
        <f>EDATE(Inputs!$C$8, O5*12)</f>
        <v>46752</v>
      </c>
      <c r="P4" s="16">
        <f>EDATE(Inputs!$C$8, P5*12)</f>
        <v>47118</v>
      </c>
      <c r="Q4" s="16">
        <f>EDATE(Inputs!$C$8, Q5*12)</f>
        <v>47483</v>
      </c>
      <c r="S4" s="20" t="s">
        <v>478</v>
      </c>
      <c r="V4" s="153">
        <v>1</v>
      </c>
    </row>
    <row r="5" spans="1:25" x14ac:dyDescent="0.2">
      <c r="B5" s="16" t="s">
        <v>10</v>
      </c>
      <c r="D5" s="139"/>
      <c r="E5" s="139"/>
      <c r="F5" s="139"/>
      <c r="G5" s="139">
        <v>-5</v>
      </c>
      <c r="H5" s="139">
        <v>-4</v>
      </c>
      <c r="I5" s="139">
        <v>-3</v>
      </c>
      <c r="J5" s="139">
        <v>-2</v>
      </c>
      <c r="K5" s="139">
        <v>-1</v>
      </c>
      <c r="L5" s="139">
        <v>0</v>
      </c>
      <c r="M5" s="139">
        <v>1</v>
      </c>
      <c r="N5" s="139">
        <v>2</v>
      </c>
      <c r="O5" s="139">
        <v>3</v>
      </c>
      <c r="P5" s="139">
        <v>4</v>
      </c>
      <c r="Q5" s="139">
        <v>5</v>
      </c>
      <c r="S5" s="20" t="s">
        <v>175</v>
      </c>
      <c r="V5" s="153">
        <v>1</v>
      </c>
    </row>
    <row r="6" spans="1:25" x14ac:dyDescent="0.2">
      <c r="B6" s="16" t="s">
        <v>11</v>
      </c>
      <c r="D6" s="139"/>
      <c r="E6" s="139"/>
      <c r="F6" s="139"/>
      <c r="G6" s="139" t="str">
        <f>_xlfn.CONCAT(Inputs!$C$9, " ", Inputs!$C$10)</f>
        <v>Euro millions</v>
      </c>
      <c r="H6" s="139" t="str">
        <f>_xlfn.CONCAT(Inputs!$C$9, " ", Inputs!$C$10)</f>
        <v>Euro millions</v>
      </c>
      <c r="I6" s="139" t="str">
        <f>_xlfn.CONCAT(Inputs!$C$9, " ", Inputs!$C$10)</f>
        <v>Euro millions</v>
      </c>
      <c r="J6" s="139" t="str">
        <f>_xlfn.CONCAT(Inputs!$C$9, " ", Inputs!$C$10)</f>
        <v>Euro millions</v>
      </c>
      <c r="K6" s="139" t="str">
        <f>_xlfn.CONCAT(Inputs!$C$9, " ", Inputs!$C$10)</f>
        <v>Euro millions</v>
      </c>
      <c r="L6" s="139" t="str">
        <f>_xlfn.CONCAT(Inputs!$C$9, " ", Inputs!$C$10)</f>
        <v>Euro millions</v>
      </c>
      <c r="M6" s="139" t="str">
        <f>_xlfn.CONCAT(Inputs!$C$9, " ", Inputs!$C$10)</f>
        <v>Euro millions</v>
      </c>
      <c r="N6" s="139" t="str">
        <f>_xlfn.CONCAT(Inputs!$C$9, " ", Inputs!$C$10)</f>
        <v>Euro millions</v>
      </c>
      <c r="O6" s="139" t="str">
        <f>_xlfn.CONCAT(Inputs!$C$9, " ", Inputs!$C$10)</f>
        <v>Euro millions</v>
      </c>
      <c r="P6" s="139" t="str">
        <f>_xlfn.CONCAT(Inputs!$C$9, " ", Inputs!$C$10)</f>
        <v>Euro millions</v>
      </c>
      <c r="Q6" s="139" t="str">
        <f>_xlfn.CONCAT(Inputs!$C$9, " ", Inputs!$C$10)</f>
        <v>Euro millions</v>
      </c>
      <c r="S6" s="20" t="s">
        <v>186</v>
      </c>
      <c r="V6" s="153">
        <v>2</v>
      </c>
    </row>
    <row r="7" spans="1:25" x14ac:dyDescent="0.2">
      <c r="B7" s="16" t="s">
        <v>12</v>
      </c>
      <c r="D7" s="139"/>
      <c r="E7" s="139"/>
      <c r="F7" s="139"/>
      <c r="G7" s="139" t="str">
        <f>IF(G5&lt;=0, "Historical", "Forecasted")</f>
        <v>Historical</v>
      </c>
      <c r="H7" s="139" t="str">
        <f>IF(H5&lt;=0, "Historical", "Forecasted")</f>
        <v>Historical</v>
      </c>
      <c r="I7" s="139" t="str">
        <f t="shared" ref="I7:Q7" si="0">IF(I5&lt;=0, "Historical", "Forecasted")</f>
        <v>Historical</v>
      </c>
      <c r="J7" s="139" t="str">
        <f t="shared" si="0"/>
        <v>Historical</v>
      </c>
      <c r="K7" s="139" t="str">
        <f t="shared" si="0"/>
        <v>Historical</v>
      </c>
      <c r="L7" s="139" t="str">
        <f t="shared" si="0"/>
        <v>Historical</v>
      </c>
      <c r="M7" s="139" t="str">
        <f t="shared" si="0"/>
        <v>Forecasted</v>
      </c>
      <c r="N7" s="139" t="str">
        <f t="shared" si="0"/>
        <v>Forecasted</v>
      </c>
      <c r="O7" s="139" t="str">
        <f t="shared" si="0"/>
        <v>Forecasted</v>
      </c>
      <c r="P7" s="139" t="str">
        <f t="shared" si="0"/>
        <v>Forecasted</v>
      </c>
      <c r="Q7" s="139" t="str">
        <f t="shared" si="0"/>
        <v>Forecasted</v>
      </c>
      <c r="S7" s="20" t="s">
        <v>479</v>
      </c>
      <c r="V7" s="153">
        <v>1</v>
      </c>
    </row>
    <row r="9" spans="1:25" x14ac:dyDescent="0.2">
      <c r="B9" s="20" t="s">
        <v>336</v>
      </c>
      <c r="E9" s="153">
        <v>4</v>
      </c>
    </row>
    <row r="10" spans="1:25" x14ac:dyDescent="0.2">
      <c r="S10" s="72" t="s">
        <v>338</v>
      </c>
      <c r="T10" s="221"/>
      <c r="U10" s="221"/>
      <c r="V10" s="221"/>
      <c r="W10" s="221"/>
      <c r="X10" s="221"/>
      <c r="Y10" s="224"/>
    </row>
    <row r="11" spans="1:25" x14ac:dyDescent="0.2">
      <c r="S11" s="42" t="s">
        <v>339</v>
      </c>
      <c r="Y11" s="158"/>
    </row>
    <row r="12" spans="1:25" x14ac:dyDescent="0.2">
      <c r="B12" s="154" t="s">
        <v>100</v>
      </c>
      <c r="S12" s="225" t="s">
        <v>340</v>
      </c>
      <c r="T12" s="27"/>
      <c r="U12" s="27"/>
      <c r="V12" s="27"/>
      <c r="W12" s="27"/>
      <c r="X12" s="27"/>
      <c r="Y12" s="226"/>
    </row>
    <row r="13" spans="1:25" x14ac:dyDescent="0.2">
      <c r="B13" s="16" t="s">
        <v>326</v>
      </c>
      <c r="G13" s="86">
        <f>IS!D29*-1</f>
        <v>859.3</v>
      </c>
      <c r="H13" s="86">
        <f>IS!E29*-1</f>
        <v>936.1</v>
      </c>
      <c r="I13" s="86">
        <f>IS!F29*-1</f>
        <v>1144</v>
      </c>
      <c r="J13" s="86">
        <f>IS!G29*-1</f>
        <v>1314</v>
      </c>
      <c r="K13" s="86">
        <f>IS!H29*-1</f>
        <v>1427</v>
      </c>
      <c r="L13" s="86">
        <f>IS!I29*-1</f>
        <v>1732</v>
      </c>
      <c r="M13" s="148">
        <f>'Revenue &amp; Expenses'!M46</f>
        <v>2289.2799999999997</v>
      </c>
      <c r="N13" s="148">
        <f>'Revenue &amp; Expenses'!N46</f>
        <v>1969.1487199999997</v>
      </c>
      <c r="O13" s="148">
        <f>'Revenue &amp; Expenses'!O46</f>
        <v>2606.3775751999992</v>
      </c>
      <c r="P13" s="148">
        <f>'Revenue &amp; Expenses'!P46</f>
        <v>2889.8447728079991</v>
      </c>
      <c r="Q13" s="148">
        <f>'Revenue &amp; Expenses'!Q46</f>
        <v>3427.4358728842385</v>
      </c>
    </row>
    <row r="14" spans="1:25" x14ac:dyDescent="0.2">
      <c r="B14" s="16" t="s">
        <v>327</v>
      </c>
      <c r="G14" s="86">
        <f>BS!D57</f>
        <v>411.1</v>
      </c>
      <c r="H14" s="86">
        <f>BS!E57</f>
        <v>403.7</v>
      </c>
      <c r="I14" s="86">
        <f>BS!F57</f>
        <v>444</v>
      </c>
      <c r="J14" s="86">
        <f>BS!G57</f>
        <v>516</v>
      </c>
      <c r="K14" s="86">
        <f>BS!H57</f>
        <v>625</v>
      </c>
      <c r="L14" s="86">
        <f>BS!I57</f>
        <v>719</v>
      </c>
      <c r="M14" s="131">
        <f>M15/365*M13</f>
        <v>909.43999999999983</v>
      </c>
      <c r="N14" s="131">
        <f>N15/365*N13</f>
        <v>755.28991999999982</v>
      </c>
      <c r="O14" s="131">
        <f>O15/365*O13</f>
        <v>964.00266479999971</v>
      </c>
      <c r="P14" s="131">
        <f>P15/365*P13</f>
        <v>1068.8466967919996</v>
      </c>
      <c r="Q14" s="131">
        <f>Q15/365*Q13</f>
        <v>1267.6817612037594</v>
      </c>
    </row>
    <row r="15" spans="1:25" x14ac:dyDescent="0.2">
      <c r="B15" s="16" t="s">
        <v>328</v>
      </c>
      <c r="G15" s="86">
        <f t="shared" ref="G15:L15" si="1">(G14/G13)*365</f>
        <v>174.62062143605263</v>
      </c>
      <c r="H15" s="86">
        <f t="shared" si="1"/>
        <v>157.40893066980021</v>
      </c>
      <c r="I15" s="86">
        <f t="shared" si="1"/>
        <v>141.66083916083917</v>
      </c>
      <c r="J15" s="86">
        <f t="shared" si="1"/>
        <v>143.33333333333331</v>
      </c>
      <c r="K15" s="86">
        <f t="shared" si="1"/>
        <v>159.86334968465312</v>
      </c>
      <c r="L15" s="86">
        <f t="shared" si="1"/>
        <v>151.52136258660508</v>
      </c>
      <c r="M15" s="149">
        <f>CHOOSE($E$9,M33,M34,M35,M36)</f>
        <v>145</v>
      </c>
      <c r="N15" s="149">
        <f>CHOOSE($E$9,N33,N34,N35,N36)</f>
        <v>140</v>
      </c>
      <c r="O15" s="149">
        <f>CHOOSE($E$9,O33,O34,O35,O36)</f>
        <v>135</v>
      </c>
      <c r="P15" s="149">
        <f>CHOOSE($E$9,P33,P34,P35,P36)</f>
        <v>135</v>
      </c>
      <c r="Q15" s="149">
        <f>CHOOSE($E$9,Q33,Q34,Q35,Q36)</f>
        <v>135</v>
      </c>
    </row>
    <row r="17" spans="2:17" x14ac:dyDescent="0.2">
      <c r="B17" s="154" t="s">
        <v>324</v>
      </c>
    </row>
    <row r="18" spans="2:17" x14ac:dyDescent="0.2">
      <c r="B18" s="16" t="s">
        <v>14</v>
      </c>
      <c r="G18" s="86">
        <f>IS!D10</f>
        <v>1114.2</v>
      </c>
      <c r="H18" s="86">
        <f>IS!E10</f>
        <v>1206.9000000000001</v>
      </c>
      <c r="I18" s="86">
        <f>IS!F10</f>
        <v>1474</v>
      </c>
      <c r="J18" s="86">
        <f>IS!G10</f>
        <v>1707</v>
      </c>
      <c r="K18" s="86">
        <f>IS!H10</f>
        <v>1847</v>
      </c>
      <c r="L18" s="86">
        <f>IS!I10</f>
        <v>2240</v>
      </c>
      <c r="M18" s="148">
        <f>IS!J10</f>
        <v>3136</v>
      </c>
      <c r="N18" s="148">
        <f>IS!K10</f>
        <v>2697.4639999999995</v>
      </c>
      <c r="O18" s="148">
        <f>IS!L10</f>
        <v>3570.380239999999</v>
      </c>
      <c r="P18" s="148">
        <f>IS!M10</f>
        <v>3958.691469599999</v>
      </c>
      <c r="Q18" s="148">
        <f>IS!N10</f>
        <v>4695.1176340879983</v>
      </c>
    </row>
    <row r="19" spans="2:17" x14ac:dyDescent="0.2">
      <c r="B19" s="16" t="s">
        <v>334</v>
      </c>
      <c r="G19" s="86">
        <f t="shared" ref="G19:Q19" si="2">(G20/365)*G18</f>
        <v>442.62739726027394</v>
      </c>
      <c r="H19" s="86">
        <f t="shared" si="2"/>
        <v>466.2271232876713</v>
      </c>
      <c r="I19" s="86">
        <f t="shared" si="2"/>
        <v>468.44931506849321</v>
      </c>
      <c r="J19" s="86">
        <f t="shared" si="2"/>
        <v>486.37808219178083</v>
      </c>
      <c r="K19" s="86">
        <f t="shared" si="2"/>
        <v>551.56986301369864</v>
      </c>
      <c r="L19" s="86">
        <f t="shared" si="2"/>
        <v>730.30136986301363</v>
      </c>
      <c r="M19" s="131">
        <f t="shared" si="2"/>
        <v>902.1369863013698</v>
      </c>
      <c r="N19" s="131">
        <f t="shared" si="2"/>
        <v>775.98279452054771</v>
      </c>
      <c r="O19" s="131">
        <f t="shared" si="2"/>
        <v>1027.0956854794517</v>
      </c>
      <c r="P19" s="131">
        <f t="shared" si="2"/>
        <v>1138.8016556383559</v>
      </c>
      <c r="Q19" s="131">
        <f t="shared" si="2"/>
        <v>1350.650278299287</v>
      </c>
    </row>
    <row r="20" spans="2:17" x14ac:dyDescent="0.2">
      <c r="B20" s="16" t="s">
        <v>335</v>
      </c>
      <c r="G20" s="86">
        <v>145</v>
      </c>
      <c r="H20" s="86">
        <v>141</v>
      </c>
      <c r="I20" s="86">
        <v>116</v>
      </c>
      <c r="J20" s="86">
        <v>104</v>
      </c>
      <c r="K20" s="86">
        <v>109</v>
      </c>
      <c r="L20" s="86">
        <v>119</v>
      </c>
      <c r="M20" s="149">
        <f>CHOOSE($E$9,M39,M40,M41,M42)</f>
        <v>105</v>
      </c>
      <c r="N20" s="149">
        <f>CHOOSE($E$9,N39,N40,N41,N42)</f>
        <v>105</v>
      </c>
      <c r="O20" s="149">
        <f>CHOOSE($E$9,O39,O40,O41,O42)</f>
        <v>105</v>
      </c>
      <c r="P20" s="149">
        <f>CHOOSE($E$9,P39,P40,P41,P42)</f>
        <v>105</v>
      </c>
      <c r="Q20" s="149">
        <f>CHOOSE($E$9,Q39,Q40,Q41,Q42)</f>
        <v>105</v>
      </c>
    </row>
    <row r="23" spans="2:17" x14ac:dyDescent="0.2">
      <c r="B23" s="154" t="s">
        <v>325</v>
      </c>
    </row>
    <row r="24" spans="2:17" x14ac:dyDescent="0.2">
      <c r="B24" s="16" t="s">
        <v>326</v>
      </c>
      <c r="G24" s="86">
        <f t="shared" ref="G24:Q24" si="3">G13</f>
        <v>859.3</v>
      </c>
      <c r="H24" s="86">
        <f t="shared" si="3"/>
        <v>936.1</v>
      </c>
      <c r="I24" s="86">
        <f t="shared" si="3"/>
        <v>1144</v>
      </c>
      <c r="J24" s="86">
        <f t="shared" si="3"/>
        <v>1314</v>
      </c>
      <c r="K24" s="86">
        <f t="shared" si="3"/>
        <v>1427</v>
      </c>
      <c r="L24" s="86">
        <f t="shared" si="3"/>
        <v>1732</v>
      </c>
      <c r="M24" s="148">
        <f t="shared" si="3"/>
        <v>2289.2799999999997</v>
      </c>
      <c r="N24" s="148">
        <f t="shared" si="3"/>
        <v>1969.1487199999997</v>
      </c>
      <c r="O24" s="148">
        <f t="shared" si="3"/>
        <v>2606.3775751999992</v>
      </c>
      <c r="P24" s="148">
        <f t="shared" si="3"/>
        <v>2889.8447728079991</v>
      </c>
      <c r="Q24" s="148">
        <f t="shared" si="3"/>
        <v>3427.4358728842385</v>
      </c>
    </row>
    <row r="25" spans="2:17" x14ac:dyDescent="0.2">
      <c r="B25" s="16" t="s">
        <v>337</v>
      </c>
      <c r="G25" s="86">
        <f>BS!D86+BS!D88</f>
        <v>485.90000000000003</v>
      </c>
      <c r="H25" s="86">
        <f>BS!E86+BS!E88</f>
        <v>580.79999999999995</v>
      </c>
      <c r="I25" s="86">
        <f>BS!F86+BS!F88</f>
        <v>769</v>
      </c>
      <c r="J25" s="86">
        <f>BS!G86+BS!G88</f>
        <v>867</v>
      </c>
      <c r="K25" s="86">
        <f>BS!H86+BS!H88</f>
        <v>1035</v>
      </c>
      <c r="L25" s="86">
        <f>BS!I86+BS!I88</f>
        <v>1322</v>
      </c>
      <c r="M25" s="131">
        <f>M26/365*M24</f>
        <v>1473.9199999999998</v>
      </c>
      <c r="N25" s="131">
        <f>N26/365*N24</f>
        <v>1267.8080799999998</v>
      </c>
      <c r="O25" s="131">
        <f>O26/365*O24</f>
        <v>1678.0787127999995</v>
      </c>
      <c r="P25" s="131">
        <f>P26/365*P24</f>
        <v>1860.5849907119996</v>
      </c>
      <c r="Q25" s="131">
        <f>Q26/365*Q24</f>
        <v>2206.7052880213591</v>
      </c>
    </row>
    <row r="26" spans="2:17" x14ac:dyDescent="0.2">
      <c r="B26" s="16" t="s">
        <v>341</v>
      </c>
      <c r="G26" s="86">
        <f t="shared" ref="G26:L26" si="4">G25/G24*365</f>
        <v>206.3929942976842</v>
      </c>
      <c r="H26" s="86">
        <f t="shared" si="4"/>
        <v>226.46298472385425</v>
      </c>
      <c r="I26" s="86">
        <f t="shared" si="4"/>
        <v>245.35402097902099</v>
      </c>
      <c r="J26" s="86">
        <f t="shared" si="4"/>
        <v>240.83333333333334</v>
      </c>
      <c r="K26" s="86">
        <f t="shared" si="4"/>
        <v>264.7337070777856</v>
      </c>
      <c r="L26" s="86">
        <f t="shared" si="4"/>
        <v>278.59699769053117</v>
      </c>
      <c r="M26" s="149">
        <f>CHOOSE($E$9,M45,M46,M47,M48)</f>
        <v>235</v>
      </c>
      <c r="N26" s="149">
        <f>CHOOSE($E$9,N45,N46,N47,N48)</f>
        <v>235</v>
      </c>
      <c r="O26" s="149">
        <f>CHOOSE($E$9,O45,O46,O47,O48)</f>
        <v>235</v>
      </c>
      <c r="P26" s="149">
        <f>CHOOSE($E$9,P45,P46,P47,P48)</f>
        <v>235</v>
      </c>
      <c r="Q26" s="149">
        <f>CHOOSE($E$9,Q45,Q46,Q47,Q48)</f>
        <v>235</v>
      </c>
    </row>
    <row r="28" spans="2:17" x14ac:dyDescent="0.2">
      <c r="B28" s="16" t="s">
        <v>342</v>
      </c>
      <c r="G28" s="155">
        <f>G15+G20-G26</f>
        <v>113.2276271383684</v>
      </c>
      <c r="H28" s="155">
        <f t="shared" ref="H28:Q28" si="5">H15+H20-H26</f>
        <v>71.945945945945965</v>
      </c>
      <c r="I28" s="155">
        <f t="shared" si="5"/>
        <v>12.306818181818159</v>
      </c>
      <c r="J28" s="155">
        <f t="shared" si="5"/>
        <v>6.4999999999999716</v>
      </c>
      <c r="K28" s="155">
        <f t="shared" si="5"/>
        <v>4.1296426068675487</v>
      </c>
      <c r="L28" s="155">
        <f t="shared" si="5"/>
        <v>-8.0756351039261176</v>
      </c>
      <c r="M28" s="155">
        <f t="shared" si="5"/>
        <v>15</v>
      </c>
      <c r="N28" s="155">
        <f t="shared" si="5"/>
        <v>10</v>
      </c>
      <c r="O28" s="155">
        <f t="shared" si="5"/>
        <v>5</v>
      </c>
      <c r="P28" s="155">
        <f t="shared" si="5"/>
        <v>5</v>
      </c>
      <c r="Q28" s="155">
        <f t="shared" si="5"/>
        <v>5</v>
      </c>
    </row>
    <row r="30" spans="2:17" x14ac:dyDescent="0.2">
      <c r="B30" s="20" t="s">
        <v>329</v>
      </c>
    </row>
    <row r="32" spans="2:17" x14ac:dyDescent="0.2">
      <c r="B32" s="20" t="s">
        <v>330</v>
      </c>
    </row>
    <row r="33" spans="2:17" x14ac:dyDescent="0.2">
      <c r="B33" s="16" t="s">
        <v>194</v>
      </c>
      <c r="G33" s="86"/>
      <c r="H33" s="86"/>
      <c r="I33" s="86"/>
      <c r="J33" s="86"/>
      <c r="K33" s="86"/>
      <c r="L33" s="86"/>
      <c r="M33" s="131">
        <v>160</v>
      </c>
      <c r="N33" s="131">
        <f>M33*1.02</f>
        <v>163.19999999999999</v>
      </c>
      <c r="O33" s="131">
        <f>N33*1.02</f>
        <v>166.464</v>
      </c>
      <c r="P33" s="131">
        <f>O33*1.02</f>
        <v>169.79328000000001</v>
      </c>
      <c r="Q33" s="131">
        <f>P33*1.02</f>
        <v>173.18914560000002</v>
      </c>
    </row>
    <row r="34" spans="2:17" x14ac:dyDescent="0.2">
      <c r="B34" s="16" t="s">
        <v>195</v>
      </c>
      <c r="G34" s="86"/>
      <c r="H34" s="86"/>
      <c r="I34" s="86"/>
      <c r="J34" s="86"/>
      <c r="K34" s="86"/>
      <c r="L34" s="86"/>
      <c r="M34" s="131">
        <v>150</v>
      </c>
      <c r="N34" s="131">
        <v>150</v>
      </c>
      <c r="O34" s="131">
        <v>150</v>
      </c>
      <c r="P34" s="131">
        <v>150</v>
      </c>
      <c r="Q34" s="131">
        <v>150</v>
      </c>
    </row>
    <row r="35" spans="2:17" x14ac:dyDescent="0.2">
      <c r="B35" s="16" t="s">
        <v>196</v>
      </c>
      <c r="G35" s="86"/>
      <c r="H35" s="86"/>
      <c r="I35" s="86"/>
      <c r="J35" s="86"/>
      <c r="K35" s="86"/>
      <c r="L35" s="86"/>
      <c r="M35" s="131">
        <v>150</v>
      </c>
      <c r="N35" s="131">
        <v>148</v>
      </c>
      <c r="O35" s="131">
        <v>146</v>
      </c>
      <c r="P35" s="131">
        <v>144</v>
      </c>
      <c r="Q35" s="131">
        <v>142</v>
      </c>
    </row>
    <row r="36" spans="2:17" x14ac:dyDescent="0.2">
      <c r="B36" s="16" t="s">
        <v>197</v>
      </c>
      <c r="G36" s="86"/>
      <c r="H36" s="86"/>
      <c r="I36" s="86"/>
      <c r="J36" s="86"/>
      <c r="K36" s="86"/>
      <c r="L36" s="86"/>
      <c r="M36" s="131">
        <v>145</v>
      </c>
      <c r="N36" s="131">
        <v>140</v>
      </c>
      <c r="O36" s="131">
        <v>135</v>
      </c>
      <c r="P36" s="131">
        <v>135</v>
      </c>
      <c r="Q36" s="131">
        <v>135</v>
      </c>
    </row>
    <row r="38" spans="2:17" x14ac:dyDescent="0.2">
      <c r="B38" s="20" t="s">
        <v>331</v>
      </c>
    </row>
    <row r="39" spans="2:17" x14ac:dyDescent="0.2">
      <c r="B39" s="16" t="s">
        <v>194</v>
      </c>
      <c r="G39" s="86"/>
      <c r="H39" s="86"/>
      <c r="I39" s="86"/>
      <c r="J39" s="86"/>
      <c r="K39" s="86"/>
      <c r="L39" s="86"/>
      <c r="M39" s="131">
        <v>130</v>
      </c>
      <c r="N39" s="131">
        <v>130</v>
      </c>
      <c r="O39" s="131">
        <v>130</v>
      </c>
      <c r="P39" s="131">
        <v>130</v>
      </c>
      <c r="Q39" s="131">
        <v>130</v>
      </c>
    </row>
    <row r="40" spans="2:17" x14ac:dyDescent="0.2">
      <c r="B40" s="16" t="s">
        <v>195</v>
      </c>
      <c r="G40" s="86"/>
      <c r="H40" s="86"/>
      <c r="I40" s="86"/>
      <c r="J40" s="86"/>
      <c r="K40" s="86"/>
      <c r="L40" s="86"/>
      <c r="M40" s="131">
        <v>115</v>
      </c>
      <c r="N40" s="131">
        <v>115</v>
      </c>
      <c r="O40" s="131">
        <v>115</v>
      </c>
      <c r="P40" s="131">
        <v>115</v>
      </c>
      <c r="Q40" s="131">
        <v>115</v>
      </c>
    </row>
    <row r="41" spans="2:17" x14ac:dyDescent="0.2">
      <c r="B41" s="16" t="s">
        <v>196</v>
      </c>
      <c r="G41" s="86"/>
      <c r="H41" s="86"/>
      <c r="I41" s="86"/>
      <c r="J41" s="86"/>
      <c r="K41" s="86"/>
      <c r="L41" s="86"/>
      <c r="M41" s="131">
        <v>100</v>
      </c>
      <c r="N41" s="131">
        <v>95</v>
      </c>
      <c r="O41" s="131">
        <v>90</v>
      </c>
      <c r="P41" s="131">
        <v>90</v>
      </c>
      <c r="Q41" s="131">
        <v>90</v>
      </c>
    </row>
    <row r="42" spans="2:17" x14ac:dyDescent="0.2">
      <c r="B42" s="16" t="s">
        <v>197</v>
      </c>
      <c r="G42" s="86"/>
      <c r="H42" s="86"/>
      <c r="I42" s="86"/>
      <c r="J42" s="86"/>
      <c r="K42" s="86"/>
      <c r="L42" s="86"/>
      <c r="M42" s="131">
        <v>105</v>
      </c>
      <c r="N42" s="131">
        <v>105</v>
      </c>
      <c r="O42" s="131">
        <v>105</v>
      </c>
      <c r="P42" s="131">
        <v>105</v>
      </c>
      <c r="Q42" s="131">
        <v>105</v>
      </c>
    </row>
    <row r="44" spans="2:17" x14ac:dyDescent="0.2">
      <c r="B44" s="20" t="s">
        <v>332</v>
      </c>
    </row>
    <row r="45" spans="2:17" x14ac:dyDescent="0.2">
      <c r="B45" s="16" t="s">
        <v>194</v>
      </c>
      <c r="G45" s="86"/>
      <c r="H45" s="86"/>
      <c r="I45" s="86"/>
      <c r="J45" s="86"/>
      <c r="K45" s="86"/>
      <c r="L45" s="86"/>
      <c r="M45" s="131">
        <v>270</v>
      </c>
      <c r="N45" s="131">
        <v>270</v>
      </c>
      <c r="O45" s="131">
        <v>270</v>
      </c>
      <c r="P45" s="131">
        <v>270</v>
      </c>
      <c r="Q45" s="131">
        <v>270</v>
      </c>
    </row>
    <row r="46" spans="2:17" x14ac:dyDescent="0.2">
      <c r="B46" s="16" t="s">
        <v>195</v>
      </c>
      <c r="G46" s="86"/>
      <c r="H46" s="86"/>
      <c r="I46" s="86"/>
      <c r="J46" s="86"/>
      <c r="K46" s="86"/>
      <c r="L46" s="86"/>
      <c r="M46" s="131">
        <v>255</v>
      </c>
      <c r="N46" s="131">
        <v>255</v>
      </c>
      <c r="O46" s="131">
        <v>255</v>
      </c>
      <c r="P46" s="131">
        <v>255</v>
      </c>
      <c r="Q46" s="131">
        <v>255</v>
      </c>
    </row>
    <row r="47" spans="2:17" x14ac:dyDescent="0.2">
      <c r="B47" s="16" t="s">
        <v>196</v>
      </c>
      <c r="G47" s="86"/>
      <c r="H47" s="86"/>
      <c r="I47" s="86"/>
      <c r="J47" s="86"/>
      <c r="K47" s="86"/>
      <c r="L47" s="86"/>
      <c r="M47" s="131">
        <v>230</v>
      </c>
      <c r="N47" s="131">
        <v>230</v>
      </c>
      <c r="O47" s="131">
        <v>230</v>
      </c>
      <c r="P47" s="131">
        <v>230</v>
      </c>
      <c r="Q47" s="131">
        <v>230</v>
      </c>
    </row>
    <row r="48" spans="2:17" ht="17" thickBot="1" x14ac:dyDescent="0.25">
      <c r="B48" s="70" t="s">
        <v>197</v>
      </c>
      <c r="C48" s="70"/>
      <c r="D48" s="70"/>
      <c r="E48" s="70"/>
      <c r="F48" s="70"/>
      <c r="G48" s="222"/>
      <c r="H48" s="222"/>
      <c r="I48" s="222"/>
      <c r="J48" s="222"/>
      <c r="K48" s="222"/>
      <c r="L48" s="222"/>
      <c r="M48" s="223">
        <v>235</v>
      </c>
      <c r="N48" s="223">
        <v>235</v>
      </c>
      <c r="O48" s="223">
        <v>235</v>
      </c>
      <c r="P48" s="223">
        <v>235</v>
      </c>
      <c r="Q48" s="223">
        <v>235</v>
      </c>
    </row>
    <row r="50" spans="2:28" x14ac:dyDescent="0.2">
      <c r="B50" s="20" t="s">
        <v>14</v>
      </c>
      <c r="G50" s="86">
        <f>G18</f>
        <v>1114.2</v>
      </c>
      <c r="H50" s="86">
        <f t="shared" ref="H50:Q50" si="6">H18</f>
        <v>1206.9000000000001</v>
      </c>
      <c r="I50" s="86">
        <f t="shared" si="6"/>
        <v>1474</v>
      </c>
      <c r="J50" s="86">
        <f t="shared" si="6"/>
        <v>1707</v>
      </c>
      <c r="K50" s="86">
        <f t="shared" si="6"/>
        <v>1847</v>
      </c>
      <c r="L50" s="86">
        <f t="shared" si="6"/>
        <v>2240</v>
      </c>
      <c r="M50" s="131">
        <f t="shared" si="6"/>
        <v>3136</v>
      </c>
      <c r="N50" s="131">
        <f t="shared" si="6"/>
        <v>2697.4639999999995</v>
      </c>
      <c r="O50" s="131">
        <f t="shared" si="6"/>
        <v>3570.380239999999</v>
      </c>
      <c r="P50" s="131">
        <f t="shared" si="6"/>
        <v>3958.691469599999</v>
      </c>
      <c r="Q50" s="131">
        <f t="shared" si="6"/>
        <v>4695.1176340879983</v>
      </c>
      <c r="S50" s="72" t="s">
        <v>480</v>
      </c>
      <c r="T50" s="221"/>
      <c r="U50" s="221"/>
      <c r="V50" s="221"/>
      <c r="W50" s="221"/>
      <c r="X50" s="221"/>
      <c r="Y50" s="221"/>
      <c r="Z50" s="221"/>
      <c r="AA50" s="221"/>
      <c r="AB50" s="224"/>
    </row>
    <row r="51" spans="2:28" x14ac:dyDescent="0.2">
      <c r="B51" s="20" t="s">
        <v>475</v>
      </c>
      <c r="G51" s="86">
        <f>G13</f>
        <v>859.3</v>
      </c>
      <c r="H51" s="86">
        <f t="shared" ref="H51:Q51" si="7">H13</f>
        <v>936.1</v>
      </c>
      <c r="I51" s="86">
        <f t="shared" si="7"/>
        <v>1144</v>
      </c>
      <c r="J51" s="86">
        <f t="shared" si="7"/>
        <v>1314</v>
      </c>
      <c r="K51" s="86">
        <f t="shared" si="7"/>
        <v>1427</v>
      </c>
      <c r="L51" s="86">
        <f t="shared" si="7"/>
        <v>1732</v>
      </c>
      <c r="M51" s="131">
        <f t="shared" si="7"/>
        <v>2289.2799999999997</v>
      </c>
      <c r="N51" s="131">
        <f t="shared" si="7"/>
        <v>1969.1487199999997</v>
      </c>
      <c r="O51" s="131">
        <f t="shared" si="7"/>
        <v>2606.3775751999992</v>
      </c>
      <c r="P51" s="131">
        <f t="shared" si="7"/>
        <v>2889.8447728079991</v>
      </c>
      <c r="Q51" s="131">
        <f t="shared" si="7"/>
        <v>3427.4358728842385</v>
      </c>
      <c r="S51" s="42"/>
      <c r="AB51" s="158"/>
    </row>
    <row r="52" spans="2:28" x14ac:dyDescent="0.2">
      <c r="S52" s="44" t="s">
        <v>481</v>
      </c>
      <c r="AB52" s="158"/>
    </row>
    <row r="53" spans="2:28" x14ac:dyDescent="0.2">
      <c r="B53" s="20" t="s">
        <v>471</v>
      </c>
      <c r="G53" s="27">
        <f>BS!D19</f>
        <v>58.100000000000009</v>
      </c>
      <c r="H53" s="27">
        <f>BS!E19</f>
        <v>98.6</v>
      </c>
      <c r="I53" s="27">
        <f>BS!F19</f>
        <v>177</v>
      </c>
      <c r="J53" s="27">
        <f>BS!G19</f>
        <v>163</v>
      </c>
      <c r="K53" s="27">
        <f>BS!H19</f>
        <v>150</v>
      </c>
      <c r="L53" s="27">
        <f>BS!I19</f>
        <v>143</v>
      </c>
      <c r="M53" s="212">
        <f>M54*M50</f>
        <v>188.16</v>
      </c>
      <c r="N53" s="212">
        <f t="shared" ref="N53:Q53" si="8">N54*N50</f>
        <v>161.84783999999996</v>
      </c>
      <c r="O53" s="212">
        <f t="shared" si="8"/>
        <v>214.22281439999995</v>
      </c>
      <c r="P53" s="212">
        <f t="shared" si="8"/>
        <v>237.52148817599993</v>
      </c>
      <c r="Q53" s="212">
        <f t="shared" si="8"/>
        <v>281.70705804527989</v>
      </c>
      <c r="S53" s="42" t="s">
        <v>482</v>
      </c>
      <c r="AB53" s="158"/>
    </row>
    <row r="54" spans="2:28" x14ac:dyDescent="0.2">
      <c r="B54" s="16" t="s">
        <v>476</v>
      </c>
      <c r="G54" s="92">
        <f t="shared" ref="G54:L54" si="9">G53/G50</f>
        <v>5.2145036797702396E-2</v>
      </c>
      <c r="H54" s="92">
        <f t="shared" si="9"/>
        <v>8.1696909437401599E-2</v>
      </c>
      <c r="I54" s="92">
        <f t="shared" si="9"/>
        <v>0.12008141112618724</v>
      </c>
      <c r="J54" s="92">
        <f t="shared" si="9"/>
        <v>9.5489162272993561E-2</v>
      </c>
      <c r="K54" s="92">
        <f t="shared" si="9"/>
        <v>8.1212777476989712E-2</v>
      </c>
      <c r="L54" s="92">
        <f t="shared" si="9"/>
        <v>6.383928571428571E-2</v>
      </c>
      <c r="M54" s="100">
        <f>CHOOSE($V$4, M55,M56,#REF!)</f>
        <v>0.06</v>
      </c>
      <c r="N54" s="100">
        <f>CHOOSE($V$4, N55,N56,#REF!)</f>
        <v>0.06</v>
      </c>
      <c r="O54" s="100">
        <f>CHOOSE($V$4, O55,O56,#REF!)</f>
        <v>0.06</v>
      </c>
      <c r="P54" s="100">
        <f>CHOOSE($V$4, P55,P56,#REF!)</f>
        <v>0.06</v>
      </c>
      <c r="Q54" s="100">
        <f>CHOOSE($V$4, Q55,Q56,#REF!)</f>
        <v>0.06</v>
      </c>
      <c r="S54" s="42" t="s">
        <v>483</v>
      </c>
      <c r="AB54" s="158"/>
    </row>
    <row r="55" spans="2:28" x14ac:dyDescent="0.2">
      <c r="B55" s="16" t="s">
        <v>491</v>
      </c>
      <c r="G55" s="86"/>
      <c r="H55" s="86"/>
      <c r="I55" s="86"/>
      <c r="J55" s="86"/>
      <c r="K55" s="86"/>
      <c r="L55" s="86"/>
      <c r="M55" s="228">
        <v>0.06</v>
      </c>
      <c r="N55" s="228">
        <v>0.06</v>
      </c>
      <c r="O55" s="228">
        <v>0.06</v>
      </c>
      <c r="P55" s="228">
        <v>0.06</v>
      </c>
      <c r="Q55" s="228">
        <v>0.06</v>
      </c>
      <c r="S55" s="42"/>
      <c r="AB55" s="158"/>
    </row>
    <row r="56" spans="2:28" x14ac:dyDescent="0.2">
      <c r="B56" s="16" t="s">
        <v>492</v>
      </c>
      <c r="G56" s="86"/>
      <c r="H56" s="86"/>
      <c r="I56" s="86"/>
      <c r="J56" s="86"/>
      <c r="K56" s="86"/>
      <c r="L56" s="86"/>
      <c r="M56" s="100">
        <f>AVERAGE(J54:L54)</f>
        <v>8.0180408488089661E-2</v>
      </c>
      <c r="N56" s="100">
        <f>AVERAGE(K54:L54,M56)</f>
        <v>7.5077490559788365E-2</v>
      </c>
      <c r="O56" s="100">
        <f>AVERAGE(L54,M56:N56)</f>
        <v>7.3032394920721236E-2</v>
      </c>
      <c r="P56" s="100">
        <f>AVERAGE(M56:O56)</f>
        <v>7.6096764656199745E-2</v>
      </c>
      <c r="Q56" s="100">
        <f>AVERAGE(N56:P56)</f>
        <v>7.4735550045569782E-2</v>
      </c>
      <c r="S56" s="44" t="s">
        <v>484</v>
      </c>
      <c r="AB56" s="158"/>
    </row>
    <row r="57" spans="2:28" x14ac:dyDescent="0.2">
      <c r="S57" s="42" t="s">
        <v>482</v>
      </c>
      <c r="AB57" s="158"/>
    </row>
    <row r="58" spans="2:28" x14ac:dyDescent="0.2">
      <c r="B58" s="20" t="s">
        <v>472</v>
      </c>
      <c r="G58" s="27">
        <f>BS!D14</f>
        <v>104.4</v>
      </c>
      <c r="H58" s="27">
        <f>BS!E14</f>
        <v>43.400000000000006</v>
      </c>
      <c r="I58" s="27">
        <f>BS!F14</f>
        <v>36</v>
      </c>
      <c r="J58" s="27">
        <f>BS!G14</f>
        <v>32</v>
      </c>
      <c r="K58" s="27">
        <f>BS!H14</f>
        <v>38</v>
      </c>
      <c r="L58" s="27">
        <f>BS!I14</f>
        <v>56</v>
      </c>
      <c r="M58" s="212">
        <f>M59*M50</f>
        <v>94.08</v>
      </c>
      <c r="N58" s="212">
        <f t="shared" ref="N58:Q58" si="10">N59*N50</f>
        <v>80.923919999999981</v>
      </c>
      <c r="O58" s="212">
        <f t="shared" si="10"/>
        <v>107.11140719999997</v>
      </c>
      <c r="P58" s="212">
        <f t="shared" si="10"/>
        <v>118.76074408799997</v>
      </c>
      <c r="Q58" s="212">
        <f t="shared" si="10"/>
        <v>140.85352902263995</v>
      </c>
      <c r="S58" s="42" t="s">
        <v>483</v>
      </c>
      <c r="AB58" s="158"/>
    </row>
    <row r="59" spans="2:28" x14ac:dyDescent="0.2">
      <c r="B59" s="16" t="s">
        <v>476</v>
      </c>
      <c r="G59" s="92">
        <f>G58/G50</f>
        <v>9.3699515347334408E-2</v>
      </c>
      <c r="H59" s="92">
        <f>H58/H50</f>
        <v>3.595989725743641E-2</v>
      </c>
      <c r="I59" s="92">
        <f>I58/I50</f>
        <v>2.4423337856173677E-2</v>
      </c>
      <c r="J59" s="92">
        <f>J58/J50</f>
        <v>1.8746338605741066E-2</v>
      </c>
      <c r="K59" s="92">
        <f>K58/K50</f>
        <v>2.057390362750406E-2</v>
      </c>
      <c r="L59" s="92">
        <f>L58/L50</f>
        <v>2.5000000000000001E-2</v>
      </c>
      <c r="M59" s="100">
        <f>CHOOSE($V$5, M60,M61)</f>
        <v>0.03</v>
      </c>
      <c r="N59" s="100">
        <f t="shared" ref="N59:Q59" si="11">CHOOSE($V$5, N60,N61)</f>
        <v>0.03</v>
      </c>
      <c r="O59" s="100">
        <f t="shared" si="11"/>
        <v>0.03</v>
      </c>
      <c r="P59" s="100">
        <f t="shared" si="11"/>
        <v>0.03</v>
      </c>
      <c r="Q59" s="100">
        <f t="shared" si="11"/>
        <v>0.03</v>
      </c>
      <c r="S59" s="42"/>
      <c r="AB59" s="158"/>
    </row>
    <row r="60" spans="2:28" x14ac:dyDescent="0.2">
      <c r="B60" s="16" t="s">
        <v>491</v>
      </c>
      <c r="G60" s="86"/>
      <c r="H60" s="86"/>
      <c r="I60" s="86"/>
      <c r="J60" s="86"/>
      <c r="K60" s="86"/>
      <c r="L60" s="86"/>
      <c r="M60" s="228">
        <v>0.03</v>
      </c>
      <c r="N60" s="228">
        <v>0.03</v>
      </c>
      <c r="O60" s="228">
        <v>0.03</v>
      </c>
      <c r="P60" s="228">
        <v>0.03</v>
      </c>
      <c r="Q60" s="228">
        <v>0.03</v>
      </c>
      <c r="S60" s="44" t="s">
        <v>485</v>
      </c>
      <c r="AB60" s="158"/>
    </row>
    <row r="61" spans="2:28" x14ac:dyDescent="0.2">
      <c r="B61" s="16" t="s">
        <v>492</v>
      </c>
      <c r="G61" s="86"/>
      <c r="H61" s="86"/>
      <c r="I61" s="86"/>
      <c r="J61" s="86"/>
      <c r="K61" s="86"/>
      <c r="L61" s="86"/>
      <c r="M61" s="100">
        <f>AVERAGE(J59:L59)</f>
        <v>2.144008074441504E-2</v>
      </c>
      <c r="N61" s="100">
        <f>AVERAGE(K59:L59,M61)</f>
        <v>2.2337994790639703E-2</v>
      </c>
      <c r="O61" s="100">
        <f>AVERAGE(L59,M61:N61)</f>
        <v>2.2926025178351583E-2</v>
      </c>
      <c r="P61" s="100">
        <f>AVERAGE(M61:O61)</f>
        <v>2.2234700237802107E-2</v>
      </c>
      <c r="Q61" s="100">
        <f>AVERAGE(N61:P61)</f>
        <v>2.2499573402264467E-2</v>
      </c>
      <c r="S61" s="42" t="s">
        <v>486</v>
      </c>
      <c r="AB61" s="158"/>
    </row>
    <row r="62" spans="2:28" x14ac:dyDescent="0.2">
      <c r="S62" s="42" t="s">
        <v>487</v>
      </c>
      <c r="AB62" s="158"/>
    </row>
    <row r="63" spans="2:28" x14ac:dyDescent="0.2">
      <c r="B63" s="20" t="s">
        <v>473</v>
      </c>
      <c r="G63" s="27">
        <f>BS!D31</f>
        <v>100.69999999999999</v>
      </c>
      <c r="H63" s="27">
        <f>BS!E31</f>
        <v>206</v>
      </c>
      <c r="I63" s="27">
        <f>BS!F31</f>
        <v>131</v>
      </c>
      <c r="J63" s="27">
        <f>BS!G31</f>
        <v>142</v>
      </c>
      <c r="K63" s="27">
        <f>BS!H31</f>
        <v>202</v>
      </c>
      <c r="L63" s="27">
        <f>BS!I31</f>
        <v>283</v>
      </c>
      <c r="M63" s="212">
        <f>M64*M51</f>
        <v>364.70530254041569</v>
      </c>
      <c r="N63" s="212">
        <f t="shared" ref="N63:Q63" si="12">N64*N51</f>
        <v>305.86254419852764</v>
      </c>
      <c r="O63" s="212">
        <f t="shared" si="12"/>
        <v>394.720539129896</v>
      </c>
      <c r="P63" s="212">
        <f t="shared" si="12"/>
        <v>426.70872790602169</v>
      </c>
      <c r="Q63" s="212">
        <f t="shared" si="12"/>
        <v>493.43615085591011</v>
      </c>
      <c r="S63" s="227" t="s">
        <v>488</v>
      </c>
      <c r="X63" s="16" t="s">
        <v>495</v>
      </c>
      <c r="AB63" s="158"/>
    </row>
    <row r="64" spans="2:28" x14ac:dyDescent="0.2">
      <c r="B64" s="16" t="s">
        <v>493</v>
      </c>
      <c r="G64" s="92">
        <f>G63/G51</f>
        <v>0.11718840917025485</v>
      </c>
      <c r="H64" s="92">
        <f>H63/H51</f>
        <v>0.22006195919239396</v>
      </c>
      <c r="I64" s="92">
        <f>I63/I51</f>
        <v>0.1145104895104895</v>
      </c>
      <c r="J64" s="92">
        <f>J63/J51</f>
        <v>0.1080669710806697</v>
      </c>
      <c r="K64" s="92">
        <f>K63/K51</f>
        <v>0.14155571128241065</v>
      </c>
      <c r="L64" s="92">
        <f>L63/L51</f>
        <v>0.16339491916859122</v>
      </c>
      <c r="M64" s="100">
        <f>CHOOSE($V$6,M65,M66,M67)</f>
        <v>0.15931004618937644</v>
      </c>
      <c r="N64" s="100">
        <f t="shared" ref="N64:Q64" si="13">CHOOSE($V$6,N65,N66,N67)</f>
        <v>0.15532729503464202</v>
      </c>
      <c r="O64" s="100">
        <f t="shared" si="13"/>
        <v>0.15144411265877597</v>
      </c>
      <c r="P64" s="100">
        <f t="shared" si="13"/>
        <v>0.14765800984230656</v>
      </c>
      <c r="Q64" s="100">
        <f t="shared" si="13"/>
        <v>0.14396655959624891</v>
      </c>
      <c r="S64" s="42" t="s">
        <v>489</v>
      </c>
      <c r="AB64" s="158"/>
    </row>
    <row r="65" spans="2:28" x14ac:dyDescent="0.2">
      <c r="B65" s="16" t="s">
        <v>491</v>
      </c>
      <c r="G65" s="86"/>
      <c r="H65" s="86"/>
      <c r="I65" s="86"/>
      <c r="J65" s="86"/>
      <c r="K65" s="86"/>
      <c r="L65" s="86"/>
      <c r="M65" s="100">
        <f>L64*(1.038)</f>
        <v>0.1696039260969977</v>
      </c>
      <c r="N65" s="100">
        <f>M65*(1.038)</f>
        <v>0.17604887528868363</v>
      </c>
      <c r="O65" s="100">
        <f t="shared" ref="O65:Q65" si="14">N65*(1.038)</f>
        <v>0.18273873254965362</v>
      </c>
      <c r="P65" s="100">
        <f t="shared" si="14"/>
        <v>0.18968280438654045</v>
      </c>
      <c r="Q65" s="100">
        <f t="shared" si="14"/>
        <v>0.196890750953229</v>
      </c>
      <c r="S65" s="42"/>
      <c r="AB65" s="158"/>
    </row>
    <row r="66" spans="2:28" x14ac:dyDescent="0.2">
      <c r="B66" s="16" t="s">
        <v>492</v>
      </c>
      <c r="G66" s="86"/>
      <c r="H66" s="86"/>
      <c r="I66" s="86"/>
      <c r="J66" s="86"/>
      <c r="K66" s="86"/>
      <c r="L66" s="86"/>
      <c r="M66" s="100">
        <f>L64*(0.975)</f>
        <v>0.15931004618937644</v>
      </c>
      <c r="N66" s="100">
        <f>M66*0.975</f>
        <v>0.15532729503464202</v>
      </c>
      <c r="O66" s="100">
        <f t="shared" ref="O66:Q66" si="15">N66*0.975</f>
        <v>0.15144411265877597</v>
      </c>
      <c r="P66" s="100">
        <f t="shared" si="15"/>
        <v>0.14765800984230656</v>
      </c>
      <c r="Q66" s="100">
        <f t="shared" si="15"/>
        <v>0.14396655959624891</v>
      </c>
      <c r="S66" s="44" t="s">
        <v>490</v>
      </c>
      <c r="AB66" s="158"/>
    </row>
    <row r="67" spans="2:28" x14ac:dyDescent="0.2">
      <c r="B67" s="16" t="s">
        <v>494</v>
      </c>
      <c r="G67" s="86"/>
      <c r="H67" s="86"/>
      <c r="I67" s="86"/>
      <c r="J67" s="86"/>
      <c r="K67" s="86"/>
      <c r="L67" s="86"/>
      <c r="M67" s="228">
        <v>0.15</v>
      </c>
      <c r="N67" s="228">
        <v>0.15</v>
      </c>
      <c r="O67" s="228">
        <v>0.15</v>
      </c>
      <c r="P67" s="228">
        <v>0.15</v>
      </c>
      <c r="Q67" s="228">
        <v>0.15</v>
      </c>
      <c r="S67" s="42" t="s">
        <v>482</v>
      </c>
      <c r="AB67" s="158"/>
    </row>
    <row r="68" spans="2:28" x14ac:dyDescent="0.2">
      <c r="S68" s="42" t="s">
        <v>483</v>
      </c>
      <c r="AB68" s="158"/>
    </row>
    <row r="69" spans="2:28" x14ac:dyDescent="0.2">
      <c r="B69" s="20" t="s">
        <v>474</v>
      </c>
      <c r="G69" s="16">
        <f>BS!D27</f>
        <v>69</v>
      </c>
      <c r="H69" s="16">
        <f>BS!E27</f>
        <v>32.800000000000004</v>
      </c>
      <c r="I69" s="16">
        <f>BS!F27</f>
        <v>26</v>
      </c>
      <c r="J69" s="16">
        <f>BS!G27</f>
        <v>119</v>
      </c>
      <c r="K69" s="16">
        <f>BS!H27</f>
        <v>103</v>
      </c>
      <c r="L69" s="16">
        <f>BS!I27</f>
        <v>182</v>
      </c>
      <c r="M69" s="212">
        <f>M70*M51</f>
        <v>251.82079999999996</v>
      </c>
      <c r="N69" s="212">
        <f t="shared" ref="N69:Q69" si="16">N70*N51</f>
        <v>216.60635919999996</v>
      </c>
      <c r="O69" s="212">
        <f t="shared" si="16"/>
        <v>286.70153327199989</v>
      </c>
      <c r="P69" s="212">
        <f t="shared" si="16"/>
        <v>317.88292500887991</v>
      </c>
      <c r="Q69" s="212">
        <f t="shared" si="16"/>
        <v>377.01794601726624</v>
      </c>
      <c r="S69" s="225"/>
      <c r="T69" s="27"/>
      <c r="U69" s="27"/>
      <c r="V69" s="27"/>
      <c r="W69" s="27"/>
      <c r="X69" s="27"/>
      <c r="Y69" s="27"/>
      <c r="Z69" s="27"/>
      <c r="AA69" s="27"/>
      <c r="AB69" s="226"/>
    </row>
    <row r="70" spans="2:28" x14ac:dyDescent="0.2">
      <c r="B70" s="16" t="s">
        <v>493</v>
      </c>
      <c r="G70" s="92">
        <f>G69/G51</f>
        <v>8.0297916909112074E-2</v>
      </c>
      <c r="H70" s="92">
        <f>H69/H51</f>
        <v>3.5038991560730696E-2</v>
      </c>
      <c r="I70" s="92">
        <f>I69/I51</f>
        <v>2.2727272727272728E-2</v>
      </c>
      <c r="J70" s="92">
        <f>J69/J51</f>
        <v>9.0563165905631654E-2</v>
      </c>
      <c r="K70" s="92">
        <f>K69/K51</f>
        <v>7.217939733707078E-2</v>
      </c>
      <c r="L70" s="92">
        <f>L69/L51</f>
        <v>0.10508083140877598</v>
      </c>
      <c r="M70" s="100">
        <f>CHOOSE($V$7, M71,M72)</f>
        <v>0.11</v>
      </c>
      <c r="N70" s="100">
        <f t="shared" ref="N70:Q70" si="17">CHOOSE($V$7, N71,N72)</f>
        <v>0.11</v>
      </c>
      <c r="O70" s="100">
        <f t="shared" si="17"/>
        <v>0.11</v>
      </c>
      <c r="P70" s="100">
        <f t="shared" si="17"/>
        <v>0.11</v>
      </c>
      <c r="Q70" s="100">
        <f t="shared" si="17"/>
        <v>0.11</v>
      </c>
    </row>
    <row r="71" spans="2:28" x14ac:dyDescent="0.2">
      <c r="B71" s="16" t="s">
        <v>491</v>
      </c>
      <c r="G71" s="86"/>
      <c r="H71" s="86"/>
      <c r="I71" s="86"/>
      <c r="J71" s="86"/>
      <c r="K71" s="86"/>
      <c r="L71" s="86"/>
      <c r="M71" s="228">
        <v>0.11</v>
      </c>
      <c r="N71" s="228">
        <v>0.11</v>
      </c>
      <c r="O71" s="228">
        <v>0.11</v>
      </c>
      <c r="P71" s="228">
        <v>0.11</v>
      </c>
      <c r="Q71" s="228">
        <v>0.11</v>
      </c>
    </row>
    <row r="72" spans="2:28" x14ac:dyDescent="0.2">
      <c r="B72" s="16" t="s">
        <v>492</v>
      </c>
      <c r="G72" s="86"/>
      <c r="H72" s="86"/>
      <c r="I72" s="86"/>
      <c r="J72" s="86"/>
      <c r="K72" s="86"/>
      <c r="L72" s="86"/>
      <c r="M72" s="100">
        <f>AVERAGE(J70:L70)</f>
        <v>8.9274464883826135E-2</v>
      </c>
      <c r="N72" s="100">
        <f>AVERAGE(K70:L70,M72)</f>
        <v>8.8844897876557638E-2</v>
      </c>
      <c r="O72" s="100">
        <f>AVERAGE(L70,M72:N72)</f>
        <v>9.4400064723053248E-2</v>
      </c>
      <c r="P72" s="100">
        <f>AVERAGE(M72:O72)</f>
        <v>9.083980916114566E-2</v>
      </c>
      <c r="Q72" s="100">
        <f>AVERAGE(N72:P72)</f>
        <v>9.1361590586918839E-2</v>
      </c>
    </row>
    <row r="79" spans="2:28" x14ac:dyDescent="0.2">
      <c r="B79" s="20" t="s">
        <v>14</v>
      </c>
      <c r="G79" s="16">
        <f>IS!D10</f>
        <v>1114.2</v>
      </c>
      <c r="H79" s="16">
        <f>IS!E10</f>
        <v>1206.9000000000001</v>
      </c>
      <c r="I79" s="16">
        <f>IS!F10</f>
        <v>1474</v>
      </c>
      <c r="J79" s="16">
        <f>IS!G10</f>
        <v>1707</v>
      </c>
      <c r="K79" s="16">
        <f>IS!H10</f>
        <v>1847</v>
      </c>
      <c r="L79" s="16">
        <f>IS!I10</f>
        <v>2240</v>
      </c>
      <c r="M79" s="131">
        <f>M18</f>
        <v>3136</v>
      </c>
      <c r="N79" s="131">
        <f>N18</f>
        <v>2697.4639999999995</v>
      </c>
      <c r="O79" s="131">
        <f>O18</f>
        <v>3570.380239999999</v>
      </c>
      <c r="P79" s="131">
        <f>P18</f>
        <v>3958.691469599999</v>
      </c>
      <c r="Q79" s="131">
        <f>Q18</f>
        <v>4695.1176340879983</v>
      </c>
    </row>
    <row r="80" spans="2:28" x14ac:dyDescent="0.2">
      <c r="B80" s="29" t="s">
        <v>470</v>
      </c>
      <c r="C80" s="27"/>
      <c r="D80" s="27"/>
      <c r="E80" s="27"/>
      <c r="F80" s="27"/>
      <c r="G80" s="229">
        <f t="shared" ref="G80:Q80" si="18">G13</f>
        <v>859.3</v>
      </c>
      <c r="H80" s="229">
        <f t="shared" si="18"/>
        <v>936.1</v>
      </c>
      <c r="I80" s="229">
        <f t="shared" si="18"/>
        <v>1144</v>
      </c>
      <c r="J80" s="229">
        <f t="shared" si="18"/>
        <v>1314</v>
      </c>
      <c r="K80" s="229">
        <f t="shared" si="18"/>
        <v>1427</v>
      </c>
      <c r="L80" s="229">
        <f t="shared" si="18"/>
        <v>1732</v>
      </c>
      <c r="M80" s="131">
        <f t="shared" si="18"/>
        <v>2289.2799999999997</v>
      </c>
      <c r="N80" s="131">
        <f t="shared" si="18"/>
        <v>1969.1487199999997</v>
      </c>
      <c r="O80" s="131">
        <f t="shared" si="18"/>
        <v>2606.3775751999992</v>
      </c>
      <c r="P80" s="131">
        <f t="shared" si="18"/>
        <v>2889.8447728079991</v>
      </c>
      <c r="Q80" s="131">
        <f t="shared" si="18"/>
        <v>3427.4358728842385</v>
      </c>
    </row>
    <row r="81" spans="2:17" x14ac:dyDescent="0.2">
      <c r="B81" t="s">
        <v>463</v>
      </c>
      <c r="C81"/>
      <c r="D81"/>
      <c r="E81"/>
      <c r="F81"/>
      <c r="G81" s="91">
        <f>G53/G79</f>
        <v>5.2145036797702396E-2</v>
      </c>
      <c r="H81" s="91">
        <f>H53/H79</f>
        <v>8.1696909437401599E-2</v>
      </c>
      <c r="I81" s="91">
        <f>I53/I79</f>
        <v>0.12008141112618724</v>
      </c>
      <c r="J81" s="91">
        <f>J53/J79</f>
        <v>9.5489162272993561E-2</v>
      </c>
      <c r="K81" s="91">
        <f>K53/K79</f>
        <v>8.1212777476989712E-2</v>
      </c>
      <c r="L81" s="91">
        <f>L53/L79</f>
        <v>6.383928571428571E-2</v>
      </c>
      <c r="M81" s="100">
        <f>FORECAST(M80, $G$81:$L$81,$G$80:$L$80)</f>
        <v>8.1871417940839741E-2</v>
      </c>
      <c r="N81" s="100">
        <f>FORECAST(N80, $G$81:$L$81,$G$80:$L$80)</f>
        <v>8.2035252041135265E-2</v>
      </c>
      <c r="O81" s="100">
        <f>FORECAST(O80, $G$81:$L$81,$G$80:$L$80)</f>
        <v>8.1709136404531327E-2</v>
      </c>
      <c r="P81" s="100">
        <f>FORECAST(P80, $G$81:$L$81,$G$80:$L$80)</f>
        <v>8.1564065940678498E-2</v>
      </c>
      <c r="Q81" s="100">
        <f>FORECAST(Q80, $G$81:$L$81,$G$80:$L$80)</f>
        <v>8.1288942078343432E-2</v>
      </c>
    </row>
    <row r="82" spans="2:17" x14ac:dyDescent="0.2">
      <c r="B82" s="27" t="s">
        <v>467</v>
      </c>
      <c r="C82" s="22"/>
      <c r="D82" s="22"/>
      <c r="E82" s="22"/>
      <c r="F82" s="22"/>
      <c r="M82" s="131"/>
      <c r="N82" s="131"/>
      <c r="O82" s="131"/>
      <c r="P82" s="131"/>
      <c r="Q82" s="131"/>
    </row>
    <row r="83" spans="2:17" x14ac:dyDescent="0.2">
      <c r="B83" t="s">
        <v>464</v>
      </c>
      <c r="C83"/>
      <c r="D83"/>
      <c r="E83"/>
      <c r="F83"/>
      <c r="G83" s="91">
        <f>G58/G79</f>
        <v>9.3699515347334408E-2</v>
      </c>
      <c r="H83" s="91">
        <f>H58/H79</f>
        <v>3.595989725743641E-2</v>
      </c>
      <c r="I83" s="91">
        <f>I58/I79</f>
        <v>2.4423337856173677E-2</v>
      </c>
      <c r="J83" s="91">
        <f>J58/J79</f>
        <v>1.8746338605741066E-2</v>
      </c>
      <c r="K83" s="91">
        <f>K58/K79</f>
        <v>2.057390362750406E-2</v>
      </c>
      <c r="L83" s="91">
        <f>L58/L79</f>
        <v>2.5000000000000001E-2</v>
      </c>
      <c r="M83" s="131"/>
      <c r="N83" s="131"/>
      <c r="O83" s="131"/>
      <c r="P83" s="131"/>
      <c r="Q83" s="131"/>
    </row>
    <row r="84" spans="2:17" x14ac:dyDescent="0.2">
      <c r="B84" s="27" t="s">
        <v>468</v>
      </c>
      <c r="C84" s="22"/>
      <c r="D84" s="22"/>
      <c r="E84" s="22"/>
      <c r="F84" s="22"/>
      <c r="M84" s="131"/>
      <c r="N84" s="131"/>
      <c r="O84" s="131"/>
      <c r="P84" s="131"/>
      <c r="Q84" s="131"/>
    </row>
    <row r="85" spans="2:17" x14ac:dyDescent="0.2">
      <c r="B85" t="s">
        <v>465</v>
      </c>
      <c r="C85"/>
      <c r="D85"/>
      <c r="E85"/>
      <c r="F85"/>
      <c r="G85" s="91">
        <f>G63/G80</f>
        <v>0.11718840917025485</v>
      </c>
      <c r="H85" s="91">
        <f>H63/H80</f>
        <v>0.22006195919239396</v>
      </c>
      <c r="I85" s="91">
        <f>I63/I80</f>
        <v>0.1145104895104895</v>
      </c>
      <c r="J85" s="91">
        <f>J63/J80</f>
        <v>0.1080669710806697</v>
      </c>
      <c r="K85" s="91">
        <f>K63/K80</f>
        <v>0.14155571128241065</v>
      </c>
      <c r="L85" s="91">
        <f>L63/L80</f>
        <v>0.16339491916859122</v>
      </c>
      <c r="M85" s="131"/>
      <c r="N85" s="131"/>
      <c r="O85" s="131"/>
      <c r="P85" s="131"/>
      <c r="Q85" s="131"/>
    </row>
    <row r="86" spans="2:17" x14ac:dyDescent="0.2">
      <c r="B86" s="27" t="s">
        <v>186</v>
      </c>
      <c r="C86" s="22"/>
      <c r="D86" s="22"/>
      <c r="E86" s="22"/>
      <c r="F86" s="22"/>
      <c r="M86" s="131"/>
      <c r="N86" s="131"/>
      <c r="O86" s="131"/>
      <c r="P86" s="131"/>
      <c r="Q86" s="131"/>
    </row>
    <row r="87" spans="2:17" x14ac:dyDescent="0.2">
      <c r="B87" t="s">
        <v>466</v>
      </c>
      <c r="C87"/>
      <c r="D87"/>
      <c r="E87"/>
      <c r="F87"/>
      <c r="G87" s="91">
        <f>G69/G80</f>
        <v>8.0297916909112074E-2</v>
      </c>
      <c r="H87" s="91">
        <f>H69/H80</f>
        <v>3.5038991560730696E-2</v>
      </c>
      <c r="I87" s="91">
        <f>I69/I80</f>
        <v>2.2727272727272728E-2</v>
      </c>
      <c r="J87" s="91">
        <f>J69/J80</f>
        <v>9.0563165905631654E-2</v>
      </c>
      <c r="K87" s="91">
        <f>K69/K80</f>
        <v>7.217939733707078E-2</v>
      </c>
      <c r="L87" s="91">
        <f>L69/L80</f>
        <v>0.10508083140877598</v>
      </c>
      <c r="M87" s="131"/>
      <c r="N87" s="131"/>
      <c r="O87" s="131"/>
      <c r="P87" s="131"/>
      <c r="Q87" s="131"/>
    </row>
    <row r="88" spans="2:17" x14ac:dyDescent="0.2">
      <c r="B88" s="16" t="s">
        <v>469</v>
      </c>
      <c r="M88" s="131"/>
      <c r="N88" s="131"/>
      <c r="O88" s="131"/>
      <c r="P88" s="131"/>
      <c r="Q88" s="131"/>
    </row>
  </sheetData>
  <dataValidations count="3">
    <dataValidation type="list" allowBlank="1" showInputMessage="1" showErrorMessage="1" sqref="E9" xr:uid="{A103B45E-D8F8-3145-AF2D-605F6826DCC6}">
      <formula1>"1, 2, 3, 4"</formula1>
    </dataValidation>
    <dataValidation type="list" allowBlank="1" showInputMessage="1" showErrorMessage="1" sqref="V6" xr:uid="{AA59F0C9-ED61-D44A-B501-57C523C3D37D}">
      <formula1>"1, 2, 3,"</formula1>
    </dataValidation>
    <dataValidation type="list" allowBlank="1" showInputMessage="1" showErrorMessage="1" sqref="V4:V5 V7" xr:uid="{6D856B76-FDDB-764D-B514-6FD22AFF2306}">
      <formula1>"1, 2,"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8E7E-51B0-784D-B53F-C52AC6BC712D}">
  <dimension ref="A1:Z96"/>
  <sheetViews>
    <sheetView showGridLines="0" zoomScale="91" workbookViewId="0">
      <selection activeCell="F13" sqref="F13"/>
    </sheetView>
  </sheetViews>
  <sheetFormatPr baseColWidth="10" defaultRowHeight="16" x14ac:dyDescent="0.2"/>
  <cols>
    <col min="3" max="3" width="18.1640625" customWidth="1"/>
    <col min="8" max="17" width="11.5" bestFit="1" customWidth="1"/>
  </cols>
  <sheetData>
    <row r="1" spans="1:26" ht="25" thickBot="1" x14ac:dyDescent="0.35">
      <c r="A1" s="10" t="str">
        <f>_xlfn.CONCAT(Inputs!C7, " - ", "Debt &amp; Cash", " - ", "in ", Inputs!C9, " ", Inputs!C10)</f>
        <v>HAG - Debt &amp; Cash - in Euro millions</v>
      </c>
      <c r="B1" s="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7" thickTop="1" x14ac:dyDescent="0.2"/>
    <row r="3" spans="1:26" x14ac:dyDescent="0.2">
      <c r="S3" t="s">
        <v>405</v>
      </c>
      <c r="U3" t="s">
        <v>336</v>
      </c>
    </row>
    <row r="4" spans="1:26" x14ac:dyDescent="0.2">
      <c r="B4" t="s">
        <v>9</v>
      </c>
      <c r="D4" s="7"/>
      <c r="E4" s="9">
        <f>EDATE(Inputs!$C$8, E5*12)</f>
        <v>43830</v>
      </c>
      <c r="F4" s="9">
        <f>EDATE(Inputs!$C$8, F5*12)</f>
        <v>44196</v>
      </c>
      <c r="G4" s="9">
        <f>EDATE(Inputs!$C$8, G5*12)</f>
        <v>44561</v>
      </c>
      <c r="H4" s="9">
        <f>EDATE(Inputs!$C$8, H5*12)</f>
        <v>44926</v>
      </c>
      <c r="I4" s="9">
        <f>EDATE(Inputs!$C$8, I5*12)</f>
        <v>45291</v>
      </c>
      <c r="J4" s="9">
        <f>EDATE(Inputs!$C$8, J5*12)</f>
        <v>45657</v>
      </c>
      <c r="K4" s="9">
        <f>EDATE(Inputs!$C$8, K5*12)</f>
        <v>46022</v>
      </c>
      <c r="L4" s="9">
        <f>EDATE(Inputs!$C$8, L5*12)</f>
        <v>46387</v>
      </c>
      <c r="M4" s="9">
        <f>EDATE(Inputs!$C$8, M5*12)</f>
        <v>46752</v>
      </c>
      <c r="N4" s="9">
        <f>EDATE(Inputs!$C$8, N5*12)</f>
        <v>47118</v>
      </c>
      <c r="O4" s="9">
        <f>EDATE(Inputs!$C$8, O5*12)</f>
        <v>47483</v>
      </c>
      <c r="Q4" s="13" t="s">
        <v>384</v>
      </c>
      <c r="S4" s="85">
        <v>1</v>
      </c>
    </row>
    <row r="5" spans="1:26" x14ac:dyDescent="0.2">
      <c r="B5" t="s">
        <v>10</v>
      </c>
      <c r="D5" s="8"/>
      <c r="E5" s="8">
        <v>-5</v>
      </c>
      <c r="F5" s="8">
        <v>-4</v>
      </c>
      <c r="G5" s="8">
        <v>-3</v>
      </c>
      <c r="H5" s="8">
        <v>-2</v>
      </c>
      <c r="I5" s="8">
        <v>-1</v>
      </c>
      <c r="J5" s="8">
        <v>0</v>
      </c>
      <c r="K5" s="8">
        <v>1</v>
      </c>
      <c r="L5" s="8">
        <v>2</v>
      </c>
      <c r="M5" s="8">
        <v>3</v>
      </c>
      <c r="N5" s="8">
        <v>4</v>
      </c>
      <c r="O5" s="8">
        <v>5</v>
      </c>
      <c r="Q5" s="13" t="s">
        <v>383</v>
      </c>
      <c r="S5" s="85">
        <v>2</v>
      </c>
      <c r="U5" s="85">
        <v>2</v>
      </c>
    </row>
    <row r="6" spans="1:26" x14ac:dyDescent="0.2">
      <c r="B6" t="s">
        <v>11</v>
      </c>
      <c r="D6" s="8"/>
      <c r="E6" s="8" t="str">
        <f>_xlfn.CONCAT(Inputs!$C$9, " ", Inputs!$C$10)</f>
        <v>Euro millions</v>
      </c>
      <c r="F6" s="8" t="str">
        <f>_xlfn.CONCAT(Inputs!$C$9, " ", Inputs!$C$10)</f>
        <v>Euro millions</v>
      </c>
      <c r="G6" s="8" t="str">
        <f>_xlfn.CONCAT(Inputs!$C$9, " ", Inputs!$C$10)</f>
        <v>Euro millions</v>
      </c>
      <c r="H6" s="8" t="str">
        <f>_xlfn.CONCAT(Inputs!$C$9, " ", Inputs!$C$10)</f>
        <v>Euro millions</v>
      </c>
      <c r="I6" s="8" t="str">
        <f>_xlfn.CONCAT(Inputs!$C$9, " ", Inputs!$C$10)</f>
        <v>Euro millions</v>
      </c>
      <c r="J6" s="8" t="str">
        <f>_xlfn.CONCAT(Inputs!$C$9, " ", Inputs!$C$10)</f>
        <v>Euro millions</v>
      </c>
      <c r="K6" s="8" t="str">
        <f>_xlfn.CONCAT(Inputs!$C$9, " ", Inputs!$C$10)</f>
        <v>Euro millions</v>
      </c>
      <c r="L6" s="8" t="str">
        <f>_xlfn.CONCAT(Inputs!$C$9, " ", Inputs!$C$10)</f>
        <v>Euro millions</v>
      </c>
      <c r="M6" s="8" t="str">
        <f>_xlfn.CONCAT(Inputs!$C$9, " ", Inputs!$C$10)</f>
        <v>Euro millions</v>
      </c>
      <c r="N6" s="8" t="str">
        <f>_xlfn.CONCAT(Inputs!$C$9, " ", Inputs!$C$10)</f>
        <v>Euro millions</v>
      </c>
      <c r="O6" s="8" t="str">
        <f>_xlfn.CONCAT(Inputs!$C$9, " ", Inputs!$C$10)</f>
        <v>Euro millions</v>
      </c>
      <c r="Q6" s="13" t="s">
        <v>385</v>
      </c>
      <c r="S6" s="165">
        <v>1</v>
      </c>
    </row>
    <row r="7" spans="1:26" x14ac:dyDescent="0.2">
      <c r="B7" t="s">
        <v>12</v>
      </c>
      <c r="D7" s="8"/>
      <c r="E7" s="8" t="str">
        <f>IF(E5&lt;=0, "Historical", "Forecasted")</f>
        <v>Historical</v>
      </c>
      <c r="F7" s="8" t="str">
        <f>IF(F5&lt;=0, "Historical", "Forecasted")</f>
        <v>Historical</v>
      </c>
      <c r="G7" s="8" t="str">
        <f t="shared" ref="G7:O7" si="0">IF(G5&lt;=0, "Historical", "Forecasted")</f>
        <v>Historical</v>
      </c>
      <c r="H7" s="8" t="str">
        <f t="shared" si="0"/>
        <v>Historical</v>
      </c>
      <c r="I7" s="8" t="str">
        <f t="shared" si="0"/>
        <v>Historical</v>
      </c>
      <c r="J7" s="8" t="str">
        <f t="shared" si="0"/>
        <v>Historical</v>
      </c>
      <c r="K7" s="8" t="str">
        <f t="shared" si="0"/>
        <v>Forecasted</v>
      </c>
      <c r="L7" s="8" t="str">
        <f t="shared" si="0"/>
        <v>Forecasted</v>
      </c>
      <c r="M7" s="8" t="str">
        <f t="shared" si="0"/>
        <v>Forecasted</v>
      </c>
      <c r="N7" s="8" t="str">
        <f t="shared" si="0"/>
        <v>Forecasted</v>
      </c>
      <c r="O7" s="8" t="str">
        <f t="shared" si="0"/>
        <v>Forecasted</v>
      </c>
      <c r="Q7" s="13" t="s">
        <v>430</v>
      </c>
      <c r="S7" s="85">
        <v>3</v>
      </c>
    </row>
    <row r="8" spans="1:26" x14ac:dyDescent="0.2">
      <c r="Q8" s="13" t="s">
        <v>438</v>
      </c>
      <c r="S8" s="85">
        <v>2</v>
      </c>
    </row>
    <row r="9" spans="1:26" x14ac:dyDescent="0.2">
      <c r="B9" s="13" t="s">
        <v>234</v>
      </c>
      <c r="E9" s="43">
        <f>IS!D22</f>
        <v>8.2000000000000952</v>
      </c>
      <c r="F9" s="19">
        <f>IS!E22</f>
        <v>-64.499999999999929</v>
      </c>
      <c r="G9" s="19">
        <f>IS!F22</f>
        <v>63</v>
      </c>
      <c r="H9" s="19">
        <f>IS!G22</f>
        <v>81</v>
      </c>
      <c r="I9" s="19">
        <f>IS!H22</f>
        <v>60</v>
      </c>
      <c r="J9" s="19">
        <f>IS!I22</f>
        <v>104</v>
      </c>
      <c r="K9" s="167">
        <f ca="1">IS!J22</f>
        <v>115.32687382431178</v>
      </c>
      <c r="L9" s="167">
        <f ca="1">IS!K22</f>
        <v>-225.50951971760617</v>
      </c>
      <c r="M9" s="167">
        <f ca="1">IS!L22</f>
        <v>-309.96230829067531</v>
      </c>
      <c r="N9" s="167">
        <f ca="1">IS!M22</f>
        <v>-377.40092882717738</v>
      </c>
      <c r="O9" s="168">
        <f ca="1">IS!N22</f>
        <v>-463.18134947016074</v>
      </c>
    </row>
    <row r="10" spans="1:26" x14ac:dyDescent="0.2">
      <c r="Q10" s="13" t="s">
        <v>395</v>
      </c>
      <c r="S10" s="85">
        <v>1.5</v>
      </c>
    </row>
    <row r="11" spans="1:26" x14ac:dyDescent="0.2">
      <c r="B11" s="199" t="s">
        <v>343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9"/>
    </row>
    <row r="12" spans="1:26" x14ac:dyDescent="0.2">
      <c r="B12" s="32" t="s">
        <v>349</v>
      </c>
      <c r="E12" s="86"/>
      <c r="F12" s="86">
        <f>BS!E26</f>
        <v>1781.1</v>
      </c>
      <c r="G12" s="86">
        <f>BS!F26</f>
        <v>1612</v>
      </c>
      <c r="H12" s="86">
        <f>BS!G26</f>
        <v>1234</v>
      </c>
      <c r="I12" s="86">
        <f>BS!H26</f>
        <v>1413</v>
      </c>
      <c r="J12" s="86">
        <f>BS!I26</f>
        <v>2025</v>
      </c>
      <c r="K12" s="131">
        <f>J14</f>
        <v>2475</v>
      </c>
      <c r="L12" s="131">
        <f>K14</f>
        <v>2420</v>
      </c>
      <c r="M12" s="131">
        <f>L14</f>
        <v>2359.5</v>
      </c>
      <c r="N12" s="131">
        <f>M14</f>
        <v>2292.9499999999998</v>
      </c>
      <c r="O12" s="177">
        <f>N14</f>
        <v>2219.7449999999999</v>
      </c>
      <c r="Q12" s="13" t="s">
        <v>359</v>
      </c>
    </row>
    <row r="13" spans="1:26" x14ac:dyDescent="0.2">
      <c r="B13" s="32" t="s">
        <v>424</v>
      </c>
      <c r="E13" s="86"/>
      <c r="F13" s="86">
        <v>97</v>
      </c>
      <c r="G13" s="86">
        <v>0</v>
      </c>
      <c r="H13" s="86">
        <v>0</v>
      </c>
      <c r="I13" s="86">
        <v>13</v>
      </c>
      <c r="J13" s="86">
        <v>450</v>
      </c>
      <c r="K13" s="131">
        <f>CHOOSE($S$4, K47,K54,K60)</f>
        <v>-55.000000000000007</v>
      </c>
      <c r="L13" s="131">
        <f>CHOOSE($S$4, L47,L54,L60)</f>
        <v>-60.500000000000014</v>
      </c>
      <c r="M13" s="131">
        <f>CHOOSE($S$4, M47,M54,M60)</f>
        <v>-66.550000000000026</v>
      </c>
      <c r="N13" s="131">
        <f>CHOOSE($S$4, N47,N54,N60)</f>
        <v>-73.205000000000041</v>
      </c>
      <c r="O13" s="177">
        <f>CHOOSE($S$4, O47,O54,O60)</f>
        <v>-80.525500000000051</v>
      </c>
      <c r="Q13" s="107" t="s">
        <v>368</v>
      </c>
      <c r="R13" s="108"/>
      <c r="S13" s="108"/>
      <c r="T13" s="108"/>
      <c r="U13" s="108"/>
      <c r="V13" s="108"/>
      <c r="W13" s="108"/>
      <c r="X13" s="108"/>
      <c r="Y13" s="108"/>
      <c r="Z13" s="32"/>
    </row>
    <row r="14" spans="1:26" x14ac:dyDescent="0.2">
      <c r="B14" s="39" t="s">
        <v>350</v>
      </c>
      <c r="C14" s="15"/>
      <c r="D14" s="15"/>
      <c r="E14" s="200"/>
      <c r="F14" s="200">
        <f>SUM(F12:F13)</f>
        <v>1878.1</v>
      </c>
      <c r="G14" s="200">
        <f>SUM(G12:G13)</f>
        <v>1612</v>
      </c>
      <c r="H14" s="200">
        <f>SUM(H12:H13)</f>
        <v>1234</v>
      </c>
      <c r="I14" s="200">
        <f>SUM(I12:I13)</f>
        <v>1426</v>
      </c>
      <c r="J14" s="200">
        <f>SUM(J12:J13)</f>
        <v>2475</v>
      </c>
      <c r="K14" s="201">
        <f>SUM(K12,K13,)</f>
        <v>2420</v>
      </c>
      <c r="L14" s="201">
        <f>SUM(L12,L13,)</f>
        <v>2359.5</v>
      </c>
      <c r="M14" s="201">
        <f>SUM(M12,M13,)</f>
        <v>2292.9499999999998</v>
      </c>
      <c r="N14" s="201">
        <f>SUM(N12,N13,)</f>
        <v>2219.7449999999999</v>
      </c>
      <c r="O14" s="202">
        <f>SUM(O12,O13,)</f>
        <v>2139.2194999999997</v>
      </c>
      <c r="Q14" s="32" t="s">
        <v>393</v>
      </c>
      <c r="Z14" s="32"/>
    </row>
    <row r="15" spans="1:26" x14ac:dyDescent="0.2">
      <c r="Q15" s="32" t="s">
        <v>367</v>
      </c>
      <c r="Z15" s="32"/>
    </row>
    <row r="16" spans="1:26" x14ac:dyDescent="0.2">
      <c r="B16" s="199" t="s">
        <v>344</v>
      </c>
      <c r="C16" s="108" t="s">
        <v>425</v>
      </c>
      <c r="D16" s="85">
        <v>115</v>
      </c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9"/>
      <c r="Q16" s="32" t="s">
        <v>360</v>
      </c>
      <c r="Z16" s="32"/>
    </row>
    <row r="17" spans="2:26" x14ac:dyDescent="0.2">
      <c r="B17" s="32" t="s">
        <v>354</v>
      </c>
      <c r="E17" s="86"/>
      <c r="F17" s="86">
        <v>-65</v>
      </c>
      <c r="G17" s="86">
        <v>63</v>
      </c>
      <c r="H17" s="86">
        <v>78</v>
      </c>
      <c r="I17" s="86">
        <v>56</v>
      </c>
      <c r="J17" s="86">
        <v>108</v>
      </c>
      <c r="K17" s="131">
        <f ca="1">IS!J22</f>
        <v>115.32687382431178</v>
      </c>
      <c r="L17" s="131">
        <f ca="1">IS!K22</f>
        <v>-225.50951971760617</v>
      </c>
      <c r="M17" s="131">
        <f ca="1">IS!L22</f>
        <v>-309.96230829067531</v>
      </c>
      <c r="N17" s="131">
        <f ca="1">IS!M22</f>
        <v>-377.40092882717738</v>
      </c>
      <c r="O17" s="177">
        <f ca="1">IS!N22</f>
        <v>-463.18134947016074</v>
      </c>
      <c r="Q17" s="32" t="s">
        <v>362</v>
      </c>
      <c r="S17" t="s">
        <v>390</v>
      </c>
      <c r="Z17" s="32"/>
    </row>
    <row r="18" spans="2:26" x14ac:dyDescent="0.2">
      <c r="B18" s="32" t="s">
        <v>388</v>
      </c>
      <c r="E18" s="86"/>
      <c r="F18" s="99">
        <v>0</v>
      </c>
      <c r="G18" s="99">
        <v>0.13</v>
      </c>
      <c r="H18" s="99">
        <v>0.25</v>
      </c>
      <c r="I18" s="99">
        <v>0.3</v>
      </c>
      <c r="J18" s="99">
        <v>0.4</v>
      </c>
      <c r="K18" s="170">
        <f>K22/$D$16</f>
        <v>0.42000000000000004</v>
      </c>
      <c r="L18" s="170">
        <f>L22/$D$16</f>
        <v>0.441</v>
      </c>
      <c r="M18" s="170">
        <f>M22/$D$16</f>
        <v>0.46305000000000007</v>
      </c>
      <c r="N18" s="170">
        <f>N22/$D$16</f>
        <v>0.48620250000000009</v>
      </c>
      <c r="O18" s="203">
        <f>O22/$D$16</f>
        <v>0.51051262500000016</v>
      </c>
      <c r="Q18" s="32" t="s">
        <v>399</v>
      </c>
      <c r="Z18" s="32"/>
    </row>
    <row r="19" spans="2:26" x14ac:dyDescent="0.2">
      <c r="B19" s="32" t="s">
        <v>389</v>
      </c>
      <c r="E19" s="86"/>
      <c r="F19" s="204">
        <f>F22/F17</f>
        <v>0</v>
      </c>
      <c r="G19" s="204">
        <f>G22/G17</f>
        <v>0.22222222222222221</v>
      </c>
      <c r="H19" s="204">
        <f>H22/H17</f>
        <v>0.33333333333333331</v>
      </c>
      <c r="I19" s="204">
        <f>I22/I17</f>
        <v>0.5714285714285714</v>
      </c>
      <c r="J19" s="204">
        <f>J22/J17</f>
        <v>0.42592592592592593</v>
      </c>
      <c r="K19" s="130">
        <f>K63</f>
        <v>0.43</v>
      </c>
      <c r="L19" s="130">
        <f>L63</f>
        <v>0.45</v>
      </c>
      <c r="M19" s="130">
        <f>M63</f>
        <v>0.47</v>
      </c>
      <c r="N19" s="130">
        <f>N63</f>
        <v>0.49</v>
      </c>
      <c r="O19" s="205">
        <f>O63</f>
        <v>0.51</v>
      </c>
      <c r="Q19" s="32" t="s">
        <v>366</v>
      </c>
      <c r="Z19" s="32"/>
    </row>
    <row r="20" spans="2:26" x14ac:dyDescent="0.2">
      <c r="B20" s="32" t="s">
        <v>406</v>
      </c>
      <c r="E20" s="86"/>
      <c r="F20" s="204"/>
      <c r="G20" s="204"/>
      <c r="H20" s="204"/>
      <c r="I20" s="204"/>
      <c r="J20" s="204"/>
      <c r="K20" s="133">
        <f>K68*115</f>
        <v>48.300000000000004</v>
      </c>
      <c r="L20" s="133">
        <f>L68*115</f>
        <v>50.715000000000003</v>
      </c>
      <c r="M20" s="133">
        <f>M68*115</f>
        <v>53.250750000000011</v>
      </c>
      <c r="N20" s="133">
        <f>N68*115</f>
        <v>55.91328750000001</v>
      </c>
      <c r="O20" s="178">
        <f>O68*115</f>
        <v>58.708951875000018</v>
      </c>
      <c r="Q20" s="32"/>
      <c r="Z20" s="32"/>
    </row>
    <row r="21" spans="2:26" x14ac:dyDescent="0.2">
      <c r="B21" s="32" t="s">
        <v>407</v>
      </c>
      <c r="E21" s="86"/>
      <c r="F21" s="86"/>
      <c r="G21" s="86"/>
      <c r="H21" s="86"/>
      <c r="I21" s="86"/>
      <c r="J21" s="86"/>
      <c r="K21" s="170">
        <f ca="1">K19*K17</f>
        <v>49.590555744454065</v>
      </c>
      <c r="L21" s="170">
        <f ca="1">L19*L17</f>
        <v>-101.47928387292278</v>
      </c>
      <c r="M21" s="170">
        <f ca="1">M19*M17</f>
        <v>-145.68228489661738</v>
      </c>
      <c r="N21" s="170">
        <f ca="1">N19*N17</f>
        <v>-184.92645512531692</v>
      </c>
      <c r="O21" s="203">
        <f ca="1">O19*O17</f>
        <v>-236.22248822978199</v>
      </c>
      <c r="Q21" s="32" t="s">
        <v>415</v>
      </c>
      <c r="Z21" s="32"/>
    </row>
    <row r="22" spans="2:26" x14ac:dyDescent="0.2">
      <c r="B22" s="39" t="s">
        <v>355</v>
      </c>
      <c r="C22" s="14"/>
      <c r="D22" s="14"/>
      <c r="E22" s="206"/>
      <c r="F22" s="206">
        <v>0</v>
      </c>
      <c r="G22" s="206">
        <v>14</v>
      </c>
      <c r="H22" s="206">
        <v>26</v>
      </c>
      <c r="I22" s="206">
        <v>32</v>
      </c>
      <c r="J22" s="206">
        <v>46</v>
      </c>
      <c r="K22" s="207">
        <f>IF(S5=1, K21, K20)</f>
        <v>48.300000000000004</v>
      </c>
      <c r="L22" s="207">
        <f>IF(T4=1, L21, L20)</f>
        <v>50.715000000000003</v>
      </c>
      <c r="M22" s="207">
        <f>IF(U5=1, M21, M20)</f>
        <v>53.250750000000011</v>
      </c>
      <c r="N22" s="207">
        <f>IF(V4=1, N21, N20)</f>
        <v>55.91328750000001</v>
      </c>
      <c r="O22" s="208">
        <f>IF(W4=1, O21, O20)</f>
        <v>58.708951875000018</v>
      </c>
      <c r="Q22" s="32" t="s">
        <v>416</v>
      </c>
      <c r="Z22" s="32"/>
    </row>
    <row r="23" spans="2:26" x14ac:dyDescent="0.2">
      <c r="Q23" s="32" t="s">
        <v>423</v>
      </c>
      <c r="Z23" s="32"/>
    </row>
    <row r="24" spans="2:26" x14ac:dyDescent="0.2">
      <c r="B24" s="199" t="s">
        <v>345</v>
      </c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9"/>
      <c r="Q24" s="110" t="s">
        <v>361</v>
      </c>
      <c r="R24" s="22"/>
      <c r="S24" s="22"/>
      <c r="T24" s="22"/>
      <c r="U24" s="22"/>
      <c r="V24" s="22"/>
      <c r="W24" s="22"/>
      <c r="X24" s="22"/>
      <c r="Y24" s="22"/>
      <c r="Z24" s="32"/>
    </row>
    <row r="25" spans="2:26" x14ac:dyDescent="0.2">
      <c r="B25" s="32" t="s">
        <v>351</v>
      </c>
      <c r="E25" s="86"/>
      <c r="F25" s="86">
        <f>F27/F26</f>
        <v>958.33333333333337</v>
      </c>
      <c r="G25" s="86">
        <f>G27/G26</f>
        <v>875</v>
      </c>
      <c r="H25" s="86">
        <f>H27/H26</f>
        <v>709.67741935483866</v>
      </c>
      <c r="I25" s="86">
        <f>I27/I26</f>
        <v>635.65891472868213</v>
      </c>
      <c r="J25" s="86">
        <f>J27/J26</f>
        <v>869.56521739130426</v>
      </c>
      <c r="K25" s="145">
        <f>K12</f>
        <v>2475</v>
      </c>
      <c r="L25" s="145">
        <f>L12</f>
        <v>2420</v>
      </c>
      <c r="M25" s="145">
        <f>M12</f>
        <v>2359.5</v>
      </c>
      <c r="N25" s="145">
        <f>N12</f>
        <v>2292.9499999999998</v>
      </c>
      <c r="O25" s="145">
        <f>O12</f>
        <v>2219.7449999999999</v>
      </c>
    </row>
    <row r="26" spans="2:26" x14ac:dyDescent="0.2">
      <c r="B26" s="32" t="s">
        <v>352</v>
      </c>
      <c r="E26" s="86"/>
      <c r="F26" s="204">
        <v>0.14399999999999999</v>
      </c>
      <c r="G26" s="204">
        <v>4.8000000000000001E-2</v>
      </c>
      <c r="H26" s="204">
        <v>6.2E-2</v>
      </c>
      <c r="I26" s="204">
        <v>0.129</v>
      </c>
      <c r="J26" s="204">
        <v>0.115</v>
      </c>
      <c r="K26" s="100">
        <f>K27/-K25</f>
        <v>4.9377777777777784E-2</v>
      </c>
      <c r="L26" s="100">
        <f>L27/-L25</f>
        <v>5.3625000000000006E-2</v>
      </c>
      <c r="M26" s="100">
        <f>M27/-M25</f>
        <v>6.073717948717948E-2</v>
      </c>
      <c r="N26" s="100">
        <f>N27/-N25</f>
        <v>6.4860949868073878E-2</v>
      </c>
      <c r="O26" s="100">
        <f>O27/-O25</f>
        <v>6.7460615971654397E-2</v>
      </c>
      <c r="Q26" s="107" t="s">
        <v>369</v>
      </c>
      <c r="R26" s="108"/>
      <c r="S26" s="108"/>
      <c r="T26" s="108"/>
      <c r="U26" s="108"/>
      <c r="V26" s="108"/>
      <c r="W26" s="108"/>
      <c r="X26" s="108"/>
      <c r="Y26" s="108"/>
      <c r="Z26" s="109"/>
    </row>
    <row r="27" spans="2:26" x14ac:dyDescent="0.2">
      <c r="B27" s="110" t="s">
        <v>353</v>
      </c>
      <c r="C27" s="22"/>
      <c r="D27" s="22"/>
      <c r="E27" s="181"/>
      <c r="F27" s="181">
        <v>138</v>
      </c>
      <c r="G27" s="181">
        <v>42</v>
      </c>
      <c r="H27" s="181">
        <v>44</v>
      </c>
      <c r="I27" s="181">
        <v>82</v>
      </c>
      <c r="J27" s="181">
        <v>100</v>
      </c>
      <c r="K27" s="209">
        <f>-CHOOSE($S$7, K86,K91,K96)</f>
        <v>-122.21000000000001</v>
      </c>
      <c r="L27" s="209">
        <f>-CHOOSE($S$7, L86,L91,L96)</f>
        <v>-129.77250000000001</v>
      </c>
      <c r="M27" s="209">
        <f>-CHOOSE($S$7, M86,M91,M96)</f>
        <v>-143.30937499999999</v>
      </c>
      <c r="N27" s="209">
        <f>-CHOOSE($S$7, N86,N91,N96)</f>
        <v>-148.722915</v>
      </c>
      <c r="O27" s="209">
        <f>-CHOOSE($S$7, O86,O91,O96)</f>
        <v>-149.74536499999999</v>
      </c>
      <c r="Q27" s="32" t="s">
        <v>400</v>
      </c>
      <c r="U27" t="s">
        <v>441</v>
      </c>
      <c r="Z27" s="36"/>
    </row>
    <row r="28" spans="2:26" x14ac:dyDescent="0.2">
      <c r="Q28" s="32" t="s">
        <v>372</v>
      </c>
      <c r="Z28" s="36"/>
    </row>
    <row r="29" spans="2:26" x14ac:dyDescent="0.2">
      <c r="B29" s="199" t="s">
        <v>346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9"/>
      <c r="Q29" s="32" t="s">
        <v>442</v>
      </c>
      <c r="T29" t="s">
        <v>462</v>
      </c>
      <c r="Z29" s="36"/>
    </row>
    <row r="30" spans="2:26" x14ac:dyDescent="0.2">
      <c r="B30" s="32" t="s">
        <v>356</v>
      </c>
      <c r="E30" s="86"/>
      <c r="F30" s="86">
        <f>F32/F31</f>
        <v>666.66666666666663</v>
      </c>
      <c r="G30" s="86">
        <f>G32/G31</f>
        <v>571.42857142857144</v>
      </c>
      <c r="H30" s="86">
        <f>H32/H31</f>
        <v>500.00000000000006</v>
      </c>
      <c r="I30" s="86">
        <f>I32/I31</f>
        <v>642.85714285714289</v>
      </c>
      <c r="J30" s="86">
        <f>J32/J31</f>
        <v>632.65306122448976</v>
      </c>
      <c r="K30" s="149">
        <f>J34</f>
        <v>733</v>
      </c>
      <c r="L30" s="149">
        <f ca="1">K34</f>
        <v>660.46328083171977</v>
      </c>
      <c r="M30" s="149">
        <f ca="1">L34</f>
        <v>206.12780139650749</v>
      </c>
      <c r="N30" s="149">
        <f ca="1">M34</f>
        <v>-390.78235558484323</v>
      </c>
      <c r="O30" s="149">
        <f ca="1">N34</f>
        <v>-1116.354841955198</v>
      </c>
      <c r="Q30" s="32"/>
      <c r="Z30" s="36"/>
    </row>
    <row r="31" spans="2:26" x14ac:dyDescent="0.2">
      <c r="B31" s="32" t="s">
        <v>357</v>
      </c>
      <c r="E31" s="86"/>
      <c r="F31" s="210">
        <v>6.0000000000000001E-3</v>
      </c>
      <c r="G31" s="210">
        <v>7.0000000000000001E-3</v>
      </c>
      <c r="H31" s="210">
        <v>1.7999999999999999E-2</v>
      </c>
      <c r="I31" s="210">
        <v>2.8000000000000001E-2</v>
      </c>
      <c r="J31" s="210">
        <v>4.9000000000000002E-2</v>
      </c>
      <c r="K31" s="100">
        <f ca="1">K32/K30</f>
        <v>5.1359354716791317E-2</v>
      </c>
      <c r="L31" s="100">
        <f ca="1">L32/L30</f>
        <v>1.8413650895291178E-2</v>
      </c>
      <c r="M31" s="100">
        <f ca="1">M32/M30</f>
        <v>-0.11564535947686738</v>
      </c>
      <c r="N31" s="100">
        <f ca="1">N32/N30</f>
        <v>0.17997321024876203</v>
      </c>
      <c r="O31" s="100">
        <f ca="1">O32/O30</f>
        <v>0.11253704860240382</v>
      </c>
      <c r="Q31" s="110" t="s">
        <v>443</v>
      </c>
      <c r="R31" s="22"/>
      <c r="S31" s="22"/>
      <c r="T31" s="22" t="s">
        <v>444</v>
      </c>
      <c r="U31" s="22"/>
      <c r="V31" s="22"/>
      <c r="W31" s="22"/>
      <c r="X31" s="22"/>
      <c r="Y31" s="22"/>
      <c r="Z31" s="111"/>
    </row>
    <row r="32" spans="2:26" x14ac:dyDescent="0.2">
      <c r="B32" s="110" t="s">
        <v>358</v>
      </c>
      <c r="C32" s="22"/>
      <c r="D32" s="22"/>
      <c r="E32" s="181"/>
      <c r="F32" s="181">
        <v>4</v>
      </c>
      <c r="G32" s="181">
        <v>4</v>
      </c>
      <c r="H32" s="181">
        <v>9</v>
      </c>
      <c r="I32" s="181">
        <v>18</v>
      </c>
      <c r="J32" s="181">
        <v>31</v>
      </c>
      <c r="K32" s="216">
        <f ca="1">CHOOSE($S$6,K80,K75)</f>
        <v>37.646407007408037</v>
      </c>
      <c r="L32" s="216">
        <f ca="1">CHOOSE($S$6,L80,L75)</f>
        <v>12.161540282393945</v>
      </c>
      <c r="M32" s="216">
        <f ca="1">CHOOSE($S$6,M80,M75)</f>
        <v>-23.837723690675436</v>
      </c>
      <c r="N32" s="216">
        <f ca="1">CHOOSE($S$6,N80,N75)</f>
        <v>-70.330355043177477</v>
      </c>
      <c r="O32" s="216">
        <f ca="1">CHOOSE($S$6,O80,O75)</f>
        <v>-125.63127910664096</v>
      </c>
    </row>
    <row r="33" spans="2:24" x14ac:dyDescent="0.2">
      <c r="Q33" s="107" t="s">
        <v>373</v>
      </c>
      <c r="R33" s="108"/>
      <c r="S33" s="108"/>
      <c r="T33" s="108"/>
      <c r="U33" s="108"/>
      <c r="V33" s="108"/>
      <c r="W33" s="109"/>
    </row>
    <row r="34" spans="2:24" x14ac:dyDescent="0.2">
      <c r="B34" s="211" t="s">
        <v>348</v>
      </c>
      <c r="C34" s="15"/>
      <c r="D34" s="15"/>
      <c r="E34" s="19">
        <f>BS!D22</f>
        <v>137.4</v>
      </c>
      <c r="F34" s="19">
        <f>BS!E22</f>
        <v>645.5</v>
      </c>
      <c r="G34" s="19">
        <f>BS!F22</f>
        <v>529</v>
      </c>
      <c r="H34" s="19">
        <f>BS!G22</f>
        <v>460</v>
      </c>
      <c r="I34" s="19">
        <f>BS!H22</f>
        <v>802</v>
      </c>
      <c r="J34" s="19">
        <f>BS!I22</f>
        <v>733</v>
      </c>
      <c r="K34" s="19">
        <f ca="1">J34+K17-K22+K27+K32+K13</f>
        <v>660.46328083171977</v>
      </c>
      <c r="L34" s="19">
        <f ca="1">K34+L17-L22+L27+L32+L13</f>
        <v>206.12780139650749</v>
      </c>
      <c r="M34" s="19">
        <f ca="1">L34+M17-M22+M27+M32+M13</f>
        <v>-390.78235558484323</v>
      </c>
      <c r="N34" s="19">
        <f t="shared" ref="N34:O34" ca="1" si="1">M34+N17-N22+N27+N32+N13</f>
        <v>-1116.354841955198</v>
      </c>
      <c r="O34" s="19">
        <f t="shared" ca="1" si="1"/>
        <v>-1994.1472874069996</v>
      </c>
      <c r="Q34" s="32" t="s">
        <v>374</v>
      </c>
      <c r="W34" s="36"/>
    </row>
    <row r="35" spans="2:24" x14ac:dyDescent="0.2">
      <c r="Q35" s="32" t="s">
        <v>378</v>
      </c>
      <c r="W35" s="36"/>
    </row>
    <row r="36" spans="2:24" x14ac:dyDescent="0.2">
      <c r="B36" s="13" t="s">
        <v>394</v>
      </c>
      <c r="K36" s="43">
        <f ca="1">SUM(K32,K27)</f>
        <v>-84.563592992591964</v>
      </c>
      <c r="L36" s="19">
        <f ca="1">SUM(L32,L27)</f>
        <v>-117.61095971760606</v>
      </c>
      <c r="M36" s="19">
        <f ca="1">SUM(M32,M27)</f>
        <v>-167.14709869067542</v>
      </c>
      <c r="N36" s="19">
        <f ca="1">SUM(N32,N27)</f>
        <v>-219.05327004317746</v>
      </c>
      <c r="O36" s="125">
        <f ca="1">SUM(O32,O27)</f>
        <v>-275.37664410664092</v>
      </c>
      <c r="Q36" s="32" t="s">
        <v>436</v>
      </c>
      <c r="T36" t="s">
        <v>439</v>
      </c>
      <c r="W36" s="36"/>
    </row>
    <row r="37" spans="2:24" ht="17" thickBot="1" x14ac:dyDescent="0.25"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Q37" s="32"/>
      <c r="W37" s="36"/>
    </row>
    <row r="38" spans="2:24" x14ac:dyDescent="0.2">
      <c r="Q38" s="32" t="s">
        <v>375</v>
      </c>
      <c r="V38" t="s">
        <v>432</v>
      </c>
      <c r="W38" s="36"/>
    </row>
    <row r="39" spans="2:24" x14ac:dyDescent="0.2">
      <c r="B39" s="147" t="s">
        <v>347</v>
      </c>
      <c r="C39" t="s">
        <v>363</v>
      </c>
      <c r="Q39" s="32" t="s">
        <v>376</v>
      </c>
      <c r="V39" t="s">
        <v>433</v>
      </c>
      <c r="W39" s="36"/>
    </row>
    <row r="40" spans="2:24" x14ac:dyDescent="0.2">
      <c r="B40" t="s">
        <v>449</v>
      </c>
      <c r="K40" s="213">
        <v>1.8800000000000001E-2</v>
      </c>
      <c r="L40" s="213">
        <v>1.9199999999999998E-2</v>
      </c>
      <c r="M40" s="213">
        <v>1.95E-2</v>
      </c>
      <c r="N40" s="213">
        <v>2.0899999999999998E-2</v>
      </c>
      <c r="O40" s="213">
        <v>2.1700000000000001E-2</v>
      </c>
      <c r="Q40" s="110" t="s">
        <v>435</v>
      </c>
      <c r="R40" s="22"/>
      <c r="S40" s="22"/>
      <c r="T40" s="22"/>
      <c r="U40" s="22"/>
      <c r="V40" s="22"/>
      <c r="W40" s="111"/>
    </row>
    <row r="41" spans="2:24" x14ac:dyDescent="0.2">
      <c r="B41" t="s">
        <v>333</v>
      </c>
      <c r="E41" s="86"/>
      <c r="F41" s="86"/>
      <c r="G41" s="86"/>
      <c r="H41" s="86"/>
      <c r="I41" s="86"/>
      <c r="J41" s="86"/>
      <c r="K41" s="169">
        <v>2.2499999999999999E-2</v>
      </c>
      <c r="L41" s="169">
        <v>2.5000000000000001E-2</v>
      </c>
      <c r="M41" s="169">
        <v>2.75E-2</v>
      </c>
      <c r="N41" s="169">
        <v>0.03</v>
      </c>
      <c r="O41" s="169">
        <v>0.03</v>
      </c>
    </row>
    <row r="42" spans="2:24" x14ac:dyDescent="0.2">
      <c r="B42" t="s">
        <v>396</v>
      </c>
      <c r="E42" s="86"/>
      <c r="F42" s="86"/>
      <c r="G42" s="86"/>
      <c r="H42" s="86"/>
      <c r="I42" s="86"/>
      <c r="J42" s="86"/>
      <c r="K42" s="169">
        <v>0.02</v>
      </c>
      <c r="L42" s="169">
        <v>0.02</v>
      </c>
      <c r="M42" s="169">
        <v>0.02</v>
      </c>
      <c r="N42" s="169">
        <v>0.02</v>
      </c>
      <c r="O42" s="169">
        <v>0.02</v>
      </c>
    </row>
    <row r="43" spans="2:24" x14ac:dyDescent="0.2">
      <c r="B43" t="s">
        <v>397</v>
      </c>
      <c r="E43" s="86"/>
      <c r="F43" s="86"/>
      <c r="G43" s="86"/>
      <c r="H43" s="86"/>
      <c r="I43" s="86"/>
      <c r="J43" s="86"/>
      <c r="K43" s="169">
        <v>0.02</v>
      </c>
      <c r="L43" s="169">
        <v>1.7500000000000002E-2</v>
      </c>
      <c r="M43" s="169">
        <v>1.4999999999999999E-2</v>
      </c>
      <c r="N43" s="169">
        <v>1.4999999999999999E-2</v>
      </c>
      <c r="O43" s="169">
        <v>1.4999999999999999E-2</v>
      </c>
      <c r="Q43" s="107" t="s">
        <v>345</v>
      </c>
      <c r="R43" s="108"/>
      <c r="S43" s="108" t="s">
        <v>413</v>
      </c>
      <c r="T43" s="108"/>
      <c r="U43" s="108"/>
      <c r="V43" s="176">
        <v>2.8000000000000001E-2</v>
      </c>
      <c r="W43" s="108" t="s">
        <v>426</v>
      </c>
      <c r="X43" s="109"/>
    </row>
    <row r="44" spans="2:24" x14ac:dyDescent="0.2">
      <c r="B44" s="13" t="s">
        <v>437</v>
      </c>
      <c r="E44" s="86"/>
      <c r="F44" s="86"/>
      <c r="G44" s="86"/>
      <c r="H44" s="86"/>
      <c r="I44" s="86"/>
      <c r="J44" s="86"/>
      <c r="K44" s="214">
        <f>CHOOSE($S$8,K40,K41,K42,K43)</f>
        <v>2.2499999999999999E-2</v>
      </c>
      <c r="L44" s="214">
        <f>CHOOSE($S$8,L40,L41,L42,L43)</f>
        <v>2.5000000000000001E-2</v>
      </c>
      <c r="M44" s="214">
        <f>CHOOSE($S$8,M40,M41,M42,M43)</f>
        <v>2.75E-2</v>
      </c>
      <c r="N44" s="214">
        <f>CHOOSE($S$8,N40,N41,N42,N43)</f>
        <v>0.03</v>
      </c>
      <c r="O44" s="214">
        <f>CHOOSE($S$8,O40,O41,O42,O43)</f>
        <v>0.03</v>
      </c>
      <c r="Q44" s="32" t="s">
        <v>450</v>
      </c>
      <c r="S44" t="s">
        <v>427</v>
      </c>
      <c r="X44" s="36"/>
    </row>
    <row r="45" spans="2:24" x14ac:dyDescent="0.2">
      <c r="Q45" s="32" t="s">
        <v>448</v>
      </c>
      <c r="X45" s="36"/>
    </row>
    <row r="46" spans="2:24" x14ac:dyDescent="0.2">
      <c r="B46" s="107" t="s">
        <v>371</v>
      </c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9"/>
      <c r="Q46" s="32"/>
      <c r="X46" s="36"/>
    </row>
    <row r="47" spans="2:24" ht="17" thickBot="1" x14ac:dyDescent="0.25">
      <c r="B47" s="186" t="s">
        <v>364</v>
      </c>
      <c r="C47" s="25" t="s">
        <v>379</v>
      </c>
      <c r="D47" s="25"/>
      <c r="E47" s="163"/>
      <c r="F47" s="163">
        <f>CF!H59</f>
        <v>196.9</v>
      </c>
      <c r="G47" s="163">
        <f>CF!I59</f>
        <v>299</v>
      </c>
      <c r="H47" s="163">
        <f>CF!J59</f>
        <v>244</v>
      </c>
      <c r="I47" s="163">
        <f>CF!K59</f>
        <v>267</v>
      </c>
      <c r="J47" s="163">
        <f>CF!L59</f>
        <v>311</v>
      </c>
      <c r="K47" s="198">
        <f>-50*1.1</f>
        <v>-55.000000000000007</v>
      </c>
      <c r="L47" s="198">
        <f>K47*1.1</f>
        <v>-60.500000000000014</v>
      </c>
      <c r="M47" s="198">
        <f t="shared" ref="M47:O47" si="2">L47*1.1</f>
        <v>-66.550000000000026</v>
      </c>
      <c r="N47" s="198">
        <f t="shared" si="2"/>
        <v>-73.205000000000041</v>
      </c>
      <c r="O47" s="198">
        <f t="shared" si="2"/>
        <v>-80.525500000000051</v>
      </c>
      <c r="Q47" s="32" t="s">
        <v>451</v>
      </c>
      <c r="X47" s="36"/>
    </row>
    <row r="48" spans="2:24" x14ac:dyDescent="0.2">
      <c r="B48" s="32"/>
      <c r="O48" s="36"/>
      <c r="Q48" s="32" t="s">
        <v>457</v>
      </c>
      <c r="X48" s="36"/>
    </row>
    <row r="49" spans="2:24" x14ac:dyDescent="0.2">
      <c r="B49" s="64" t="s">
        <v>365</v>
      </c>
      <c r="D49" t="s">
        <v>391</v>
      </c>
      <c r="E49" s="86">
        <f>E14-E34</f>
        <v>-137.4</v>
      </c>
      <c r="F49" s="86">
        <f>F14-F34</f>
        <v>1232.5999999999999</v>
      </c>
      <c r="G49" s="86">
        <f t="shared" ref="E49:J49" si="3">G14-G34</f>
        <v>1083</v>
      </c>
      <c r="H49" s="86">
        <f t="shared" si="3"/>
        <v>774</v>
      </c>
      <c r="I49" s="86">
        <f t="shared" si="3"/>
        <v>624</v>
      </c>
      <c r="J49" s="86">
        <f t="shared" si="3"/>
        <v>1742</v>
      </c>
      <c r="K49" s="131">
        <f ca="1">K14-K34</f>
        <v>1759.5367191682803</v>
      </c>
      <c r="L49" s="131">
        <f ca="1">L14-L34</f>
        <v>2153.3721986034925</v>
      </c>
      <c r="M49" s="131">
        <f ca="1">M14-M34</f>
        <v>2683.7323555848429</v>
      </c>
      <c r="N49" s="131">
        <f ca="1">N14-N34</f>
        <v>3336.0998419551979</v>
      </c>
      <c r="O49" s="131">
        <f ca="1">O14-O34</f>
        <v>4133.3667874069997</v>
      </c>
      <c r="Q49" s="32" t="s">
        <v>461</v>
      </c>
      <c r="X49" s="36"/>
    </row>
    <row r="50" spans="2:24" x14ac:dyDescent="0.2">
      <c r="B50" s="32" t="s">
        <v>381</v>
      </c>
      <c r="D50" t="s">
        <v>227</v>
      </c>
      <c r="E50" s="86">
        <f>IS!D15</f>
        <v>192.40000000000009</v>
      </c>
      <c r="F50" s="86">
        <f>IS!E15</f>
        <v>189.10000000000008</v>
      </c>
      <c r="G50" s="86">
        <f>IS!F15</f>
        <v>243</v>
      </c>
      <c r="H50" s="86">
        <f>IS!G15</f>
        <v>261</v>
      </c>
      <c r="I50" s="86">
        <f>IS!H15</f>
        <v>278</v>
      </c>
      <c r="J50" s="86">
        <f>IS!I15</f>
        <v>348</v>
      </c>
      <c r="K50" s="131">
        <f>IS!J15</f>
        <v>486.08000000000027</v>
      </c>
      <c r="L50" s="131">
        <f>IS!K15</f>
        <v>431.59423999999979</v>
      </c>
      <c r="M50" s="131">
        <f>IS!L15</f>
        <v>571.26083840000001</v>
      </c>
      <c r="N50" s="131">
        <f>IS!M15</f>
        <v>633.3906351359999</v>
      </c>
      <c r="O50" s="177">
        <f>IS!N15</f>
        <v>751.21882145407994</v>
      </c>
      <c r="Q50" s="32"/>
      <c r="X50" s="36"/>
    </row>
    <row r="51" spans="2:24" x14ac:dyDescent="0.2">
      <c r="B51" s="32" t="s">
        <v>392</v>
      </c>
      <c r="E51" s="188">
        <f>E49/E50</f>
        <v>-0.71413721413721387</v>
      </c>
      <c r="F51" s="188">
        <f t="shared" ref="F51:K51" si="4">F49/F50</f>
        <v>6.5182443151771521</v>
      </c>
      <c r="G51" s="188">
        <f t="shared" si="4"/>
        <v>4.4567901234567904</v>
      </c>
      <c r="H51" s="188">
        <f t="shared" si="4"/>
        <v>2.9655172413793105</v>
      </c>
      <c r="I51" s="188">
        <f t="shared" si="4"/>
        <v>2.2446043165467624</v>
      </c>
      <c r="J51" s="188">
        <f t="shared" si="4"/>
        <v>5.0057471264367814</v>
      </c>
      <c r="K51" s="99">
        <f t="shared" ca="1" si="4"/>
        <v>3.6198500641217071</v>
      </c>
      <c r="L51" s="188">
        <f ca="1">L49/L50</f>
        <v>4.9893441548327742</v>
      </c>
      <c r="M51" s="188">
        <f ca="1">M49/M50</f>
        <v>4.6979106131298964</v>
      </c>
      <c r="N51" s="188">
        <f ca="1">N49/N50</f>
        <v>5.2670495218782003</v>
      </c>
      <c r="O51" s="189">
        <f ca="1">O49/O50</f>
        <v>5.5022140944316869</v>
      </c>
      <c r="Q51" s="32" t="s">
        <v>452</v>
      </c>
      <c r="X51" s="36"/>
    </row>
    <row r="52" spans="2:24" x14ac:dyDescent="0.2">
      <c r="B52" s="32" t="s">
        <v>398</v>
      </c>
      <c r="E52" s="188"/>
      <c r="F52" s="188"/>
      <c r="G52" s="188"/>
      <c r="H52" s="188"/>
      <c r="I52" s="188"/>
      <c r="J52" s="188"/>
      <c r="K52" s="99"/>
      <c r="L52" s="99"/>
      <c r="M52" s="99"/>
      <c r="N52" s="99"/>
      <c r="O52" s="190"/>
      <c r="Q52" s="32" t="s">
        <v>458</v>
      </c>
      <c r="X52" s="36"/>
    </row>
    <row r="53" spans="2:24" x14ac:dyDescent="0.2">
      <c r="B53" s="32" t="s">
        <v>382</v>
      </c>
      <c r="E53" s="86"/>
      <c r="F53" s="86"/>
      <c r="G53" s="86"/>
      <c r="H53" s="86"/>
      <c r="I53" s="86"/>
      <c r="J53" s="86"/>
      <c r="K53" s="133">
        <f>$S$10</f>
        <v>1.5</v>
      </c>
      <c r="L53" s="133">
        <f>$S$10</f>
        <v>1.5</v>
      </c>
      <c r="M53" s="133">
        <f>$S$10</f>
        <v>1.5</v>
      </c>
      <c r="N53" s="133">
        <f>$S$10</f>
        <v>1.5</v>
      </c>
      <c r="O53" s="178">
        <f>$S$10</f>
        <v>1.5</v>
      </c>
      <c r="Q53" s="32" t="s">
        <v>459</v>
      </c>
      <c r="X53" s="36"/>
    </row>
    <row r="54" spans="2:24" ht="17" thickBot="1" x14ac:dyDescent="0.25">
      <c r="B54" s="186" t="s">
        <v>421</v>
      </c>
      <c r="C54" s="25"/>
      <c r="D54" s="25"/>
      <c r="E54" s="163"/>
      <c r="F54" s="163"/>
      <c r="G54" s="163"/>
      <c r="H54" s="163"/>
      <c r="I54" s="163"/>
      <c r="J54" s="163"/>
      <c r="K54" s="164">
        <f ca="1">(K52)*K49</f>
        <v>0</v>
      </c>
      <c r="L54" s="164">
        <f ca="1">(L52)*L49</f>
        <v>0</v>
      </c>
      <c r="M54" s="164">
        <f ca="1">(M52)*M49</f>
        <v>0</v>
      </c>
      <c r="N54" s="164">
        <f ca="1">(N52)*N49</f>
        <v>0</v>
      </c>
      <c r="O54" s="197">
        <f ca="1">(O52)*O49</f>
        <v>0</v>
      </c>
      <c r="Q54" s="110" t="s">
        <v>460</v>
      </c>
      <c r="R54" s="22"/>
      <c r="S54" s="22"/>
      <c r="T54" s="22"/>
      <c r="U54" s="22"/>
      <c r="V54" s="22"/>
      <c r="W54" s="22"/>
      <c r="X54" s="111"/>
    </row>
    <row r="55" spans="2:24" x14ac:dyDescent="0.2">
      <c r="B55" s="32"/>
      <c r="O55" s="36"/>
    </row>
    <row r="56" spans="2:24" x14ac:dyDescent="0.2">
      <c r="B56" s="64" t="s">
        <v>431</v>
      </c>
      <c r="D56" t="s">
        <v>420</v>
      </c>
      <c r="E56" s="86"/>
      <c r="F56" s="86"/>
      <c r="G56" s="86"/>
      <c r="H56" s="86"/>
      <c r="I56" s="86"/>
      <c r="J56" s="86"/>
      <c r="K56" s="174">
        <f ca="1">K14-K34</f>
        <v>1759.5367191682803</v>
      </c>
      <c r="L56" s="174">
        <f ca="1">L14-L34</f>
        <v>2153.3721986034925</v>
      </c>
      <c r="M56" s="174">
        <f ca="1">M14-M34</f>
        <v>2683.7323555848429</v>
      </c>
      <c r="N56" s="174">
        <f ca="1">N14-N34</f>
        <v>3336.0998419551979</v>
      </c>
      <c r="O56" s="191">
        <f ca="1">O14-O34</f>
        <v>4133.3667874069997</v>
      </c>
    </row>
    <row r="57" spans="2:24" x14ac:dyDescent="0.2">
      <c r="B57" s="32" t="s">
        <v>414</v>
      </c>
      <c r="D57" t="s">
        <v>227</v>
      </c>
      <c r="E57" s="86"/>
      <c r="F57" s="86"/>
      <c r="G57" s="86"/>
      <c r="H57" s="86"/>
      <c r="I57" s="86"/>
      <c r="J57" s="86"/>
      <c r="K57" s="174">
        <f>IS!J15</f>
        <v>486.08000000000027</v>
      </c>
      <c r="L57" s="174">
        <f>IS!K15</f>
        <v>431.59423999999979</v>
      </c>
      <c r="M57" s="174">
        <f>IS!L15</f>
        <v>571.26083840000001</v>
      </c>
      <c r="N57" s="174">
        <f>IS!M15</f>
        <v>633.3906351359999</v>
      </c>
      <c r="O57" s="191">
        <f>IS!N15</f>
        <v>751.21882145407994</v>
      </c>
    </row>
    <row r="58" spans="2:24" x14ac:dyDescent="0.2">
      <c r="B58" s="32" t="s">
        <v>422</v>
      </c>
      <c r="E58" s="86"/>
      <c r="F58" s="86"/>
      <c r="G58" s="86"/>
      <c r="H58" s="86"/>
      <c r="I58" s="86"/>
      <c r="J58" s="86"/>
      <c r="K58" s="145">
        <f ca="1">K56/K57</f>
        <v>3.6198500641217071</v>
      </c>
      <c r="L58" s="145">
        <f ca="1">L56/L57</f>
        <v>4.9893441548327742</v>
      </c>
      <c r="M58" s="145">
        <f ca="1">M56/M57</f>
        <v>4.6979106131298964</v>
      </c>
      <c r="N58" s="145">
        <f ca="1">N56/N57</f>
        <v>5.2670495218782003</v>
      </c>
      <c r="O58" s="180">
        <f ca="1">O56/O57</f>
        <v>5.5022140944316869</v>
      </c>
    </row>
    <row r="59" spans="2:24" x14ac:dyDescent="0.2">
      <c r="B59" s="32" t="s">
        <v>381</v>
      </c>
      <c r="E59" s="86"/>
      <c r="F59" s="86"/>
      <c r="G59" s="86"/>
      <c r="H59" s="86"/>
      <c r="I59" s="86"/>
      <c r="J59" s="86"/>
      <c r="K59" s="193">
        <f>$S$10</f>
        <v>1.5</v>
      </c>
      <c r="L59" s="193">
        <f>$S$10</f>
        <v>1.5</v>
      </c>
      <c r="M59" s="193">
        <f>$S$10</f>
        <v>1.5</v>
      </c>
      <c r="N59" s="193">
        <f>$S$10</f>
        <v>1.5</v>
      </c>
      <c r="O59" s="194">
        <f>$S$10</f>
        <v>1.5</v>
      </c>
    </row>
    <row r="60" spans="2:24" ht="17" thickBot="1" x14ac:dyDescent="0.25">
      <c r="B60" s="186" t="s">
        <v>421</v>
      </c>
      <c r="C60" s="26"/>
      <c r="D60" s="26"/>
      <c r="E60" s="93"/>
      <c r="F60" s="93"/>
      <c r="G60" s="93"/>
      <c r="H60" s="93"/>
      <c r="I60" s="93"/>
      <c r="J60" s="93"/>
      <c r="K60" s="195">
        <f ca="1">IF(K59&gt;K58, 0, K17*0.15)</f>
        <v>17.299031073646766</v>
      </c>
      <c r="L60" s="195">
        <f ca="1">IF(L59&gt;L58, 0, L17*0.15)</f>
        <v>-33.826427957640924</v>
      </c>
      <c r="M60" s="195">
        <f ca="1">IF(M59&gt;M58, 0, M17*0.15)</f>
        <v>-46.494346243601292</v>
      </c>
      <c r="N60" s="195">
        <f ca="1">IF(N59&gt;N58, 0, N17*0.15)</f>
        <v>-56.610139324076606</v>
      </c>
      <c r="O60" s="196">
        <f ca="1">IF(O59&gt;O58, 0, O17*0.15)</f>
        <v>-69.477202420524108</v>
      </c>
    </row>
    <row r="62" spans="2:24" x14ac:dyDescent="0.2">
      <c r="B62" s="107" t="s">
        <v>370</v>
      </c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9"/>
    </row>
    <row r="63" spans="2:24" x14ac:dyDescent="0.2">
      <c r="B63" s="32" t="s">
        <v>401</v>
      </c>
      <c r="E63" s="86"/>
      <c r="F63" s="86"/>
      <c r="G63" s="86"/>
      <c r="H63" s="86"/>
      <c r="I63" s="86"/>
      <c r="J63" s="86"/>
      <c r="K63" s="100">
        <f>CHOOSE($U$5,K64, K65, K66)</f>
        <v>0.43</v>
      </c>
      <c r="L63" s="100">
        <f>CHOOSE($U$5,L64, L65, L66)</f>
        <v>0.45</v>
      </c>
      <c r="M63" s="100">
        <f>CHOOSE($U$5,M64, M65, M66)</f>
        <v>0.47</v>
      </c>
      <c r="N63" s="100">
        <f>CHOOSE($U$5,N64, N65, N66)</f>
        <v>0.49</v>
      </c>
      <c r="O63" s="179">
        <f>CHOOSE($U$5,O64, O65, O66)</f>
        <v>0.51</v>
      </c>
    </row>
    <row r="64" spans="2:24" x14ac:dyDescent="0.2">
      <c r="B64" s="32" t="s">
        <v>402</v>
      </c>
      <c r="E64" s="86"/>
      <c r="F64" s="86"/>
      <c r="G64" s="86"/>
      <c r="H64" s="86"/>
      <c r="I64" s="86"/>
      <c r="J64" s="86"/>
      <c r="K64" s="100">
        <v>0.4</v>
      </c>
      <c r="L64" s="100">
        <v>0.4</v>
      </c>
      <c r="M64" s="100">
        <v>0.4</v>
      </c>
      <c r="N64" s="100">
        <v>0.4</v>
      </c>
      <c r="O64" s="179">
        <v>0.4</v>
      </c>
    </row>
    <row r="65" spans="2:15" x14ac:dyDescent="0.2">
      <c r="B65" s="32" t="s">
        <v>403</v>
      </c>
      <c r="E65" s="86"/>
      <c r="F65" s="86"/>
      <c r="G65" s="86"/>
      <c r="H65" s="86"/>
      <c r="I65" s="86"/>
      <c r="J65" s="86"/>
      <c r="K65" s="100">
        <v>0.43</v>
      </c>
      <c r="L65" s="100">
        <v>0.45</v>
      </c>
      <c r="M65" s="100">
        <v>0.47</v>
      </c>
      <c r="N65" s="100">
        <v>0.49</v>
      </c>
      <c r="O65" s="179">
        <v>0.51</v>
      </c>
    </row>
    <row r="66" spans="2:15" x14ac:dyDescent="0.2">
      <c r="B66" s="32" t="s">
        <v>404</v>
      </c>
      <c r="E66" s="86"/>
      <c r="F66" s="86"/>
      <c r="G66" s="86"/>
      <c r="H66" s="86"/>
      <c r="I66" s="86"/>
      <c r="J66" s="86"/>
      <c r="K66" s="100">
        <v>0.4</v>
      </c>
      <c r="L66" s="100">
        <v>0.38</v>
      </c>
      <c r="M66" s="100">
        <v>0.36</v>
      </c>
      <c r="N66" s="100">
        <v>0.34</v>
      </c>
      <c r="O66" s="179">
        <v>0.32</v>
      </c>
    </row>
    <row r="67" spans="2:15" x14ac:dyDescent="0.2">
      <c r="B67" s="32"/>
      <c r="O67" s="36"/>
    </row>
    <row r="68" spans="2:15" x14ac:dyDescent="0.2">
      <c r="B68" s="32" t="s">
        <v>365</v>
      </c>
      <c r="E68" s="86"/>
      <c r="F68" s="86"/>
      <c r="G68" s="86"/>
      <c r="H68" s="86"/>
      <c r="I68" s="86"/>
      <c r="J68" s="86"/>
      <c r="K68" s="145">
        <f>CHOOSE($U$5,K69,K70,K71)</f>
        <v>0.42000000000000004</v>
      </c>
      <c r="L68" s="145">
        <f>CHOOSE($U$5,L69,L70,L71)</f>
        <v>0.44100000000000006</v>
      </c>
      <c r="M68" s="145">
        <f>CHOOSE($U$5,M69,M70,M71)</f>
        <v>0.46305000000000007</v>
      </c>
      <c r="N68" s="145">
        <f>CHOOSE($U$5,N69,N70,N71)</f>
        <v>0.48620250000000009</v>
      </c>
      <c r="O68" s="180">
        <f>CHOOSE($U$5,O69,O70,O71)</f>
        <v>0.51051262500000016</v>
      </c>
    </row>
    <row r="69" spans="2:15" x14ac:dyDescent="0.2">
      <c r="B69" s="32" t="s">
        <v>380</v>
      </c>
      <c r="E69" s="86"/>
      <c r="F69" s="86"/>
      <c r="G69" s="86"/>
      <c r="H69" s="86"/>
      <c r="I69" s="86"/>
      <c r="J69" s="86"/>
      <c r="K69" s="145">
        <v>0.45</v>
      </c>
      <c r="L69" s="145">
        <v>0.45</v>
      </c>
      <c r="M69" s="145">
        <v>0.45</v>
      </c>
      <c r="N69" s="145">
        <v>0.45</v>
      </c>
      <c r="O69" s="180">
        <v>0.45</v>
      </c>
    </row>
    <row r="70" spans="2:15" x14ac:dyDescent="0.2">
      <c r="B70" s="32" t="s">
        <v>408</v>
      </c>
      <c r="D70" s="134">
        <v>0.05</v>
      </c>
      <c r="E70" s="86"/>
      <c r="F70" s="86"/>
      <c r="G70" s="86"/>
      <c r="H70" s="86"/>
      <c r="I70" s="86"/>
      <c r="J70" s="86"/>
      <c r="K70" s="145">
        <f>J18*1.05</f>
        <v>0.42000000000000004</v>
      </c>
      <c r="L70" s="145">
        <f>K70*1.05</f>
        <v>0.44100000000000006</v>
      </c>
      <c r="M70" s="145">
        <f>L70*1.05</f>
        <v>0.46305000000000007</v>
      </c>
      <c r="N70" s="145">
        <f>M70*1.05</f>
        <v>0.48620250000000009</v>
      </c>
      <c r="O70" s="180">
        <f>N70*1.05</f>
        <v>0.51051262500000016</v>
      </c>
    </row>
    <row r="71" spans="2:15" x14ac:dyDescent="0.2">
      <c r="B71" s="110" t="s">
        <v>409</v>
      </c>
      <c r="C71" s="22"/>
      <c r="D71" s="171">
        <v>0.1</v>
      </c>
      <c r="E71" s="181"/>
      <c r="F71" s="181"/>
      <c r="G71" s="181"/>
      <c r="H71" s="181"/>
      <c r="I71" s="181"/>
      <c r="J71" s="181"/>
      <c r="K71" s="182">
        <f>J18*1.1</f>
        <v>0.44000000000000006</v>
      </c>
      <c r="L71" s="182">
        <f>K71*1.1</f>
        <v>0.4840000000000001</v>
      </c>
      <c r="M71" s="182">
        <f>L71*1.1</f>
        <v>0.5324000000000001</v>
      </c>
      <c r="N71" s="182">
        <f>M71*1.1</f>
        <v>0.58564000000000016</v>
      </c>
      <c r="O71" s="183">
        <f>N71*1.1</f>
        <v>0.64420400000000022</v>
      </c>
    </row>
    <row r="73" spans="2:15" x14ac:dyDescent="0.2">
      <c r="B73" s="107" t="s">
        <v>377</v>
      </c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9"/>
    </row>
    <row r="74" spans="2:15" x14ac:dyDescent="0.2">
      <c r="B74" s="64" t="s">
        <v>410</v>
      </c>
      <c r="E74" s="86"/>
      <c r="F74" s="86"/>
      <c r="G74" s="86"/>
      <c r="H74" s="86"/>
      <c r="I74" s="86"/>
      <c r="J74" s="86"/>
      <c r="K74" s="149">
        <f ca="1">K34</f>
        <v>660.46328083171977</v>
      </c>
      <c r="L74" s="149">
        <f ca="1">L34</f>
        <v>206.12780139650749</v>
      </c>
      <c r="M74" s="149">
        <f ca="1">M34</f>
        <v>-390.78235558484323</v>
      </c>
      <c r="N74" s="149">
        <f t="shared" ref="N74:O74" ca="1" si="5">N34</f>
        <v>-1116.354841955198</v>
      </c>
      <c r="O74" s="149">
        <f t="shared" ca="1" si="5"/>
        <v>-1994.1472874069996</v>
      </c>
    </row>
    <row r="75" spans="2:15" x14ac:dyDescent="0.2">
      <c r="B75" s="32" t="s">
        <v>429</v>
      </c>
      <c r="D75" s="134">
        <v>0.03</v>
      </c>
      <c r="E75" s="86"/>
      <c r="F75" s="86"/>
      <c r="G75" s="86"/>
      <c r="H75" s="86"/>
      <c r="I75" s="86"/>
      <c r="J75" s="86"/>
      <c r="K75" s="212">
        <f ca="1">K74*($D$75+K44)</f>
        <v>34.674322243665287</v>
      </c>
      <c r="L75" s="212">
        <f ca="1">L74*($D$75+L44)</f>
        <v>11.337029076807912</v>
      </c>
      <c r="M75" s="212">
        <f ca="1">M74*($D$75+M44)</f>
        <v>-22.469985446128483</v>
      </c>
      <c r="N75" s="212">
        <f t="shared" ref="N75:O75" ca="1" si="6">N74*($D$75+N44)</f>
        <v>-66.981290517311876</v>
      </c>
      <c r="O75" s="212">
        <f t="shared" ca="1" si="6"/>
        <v>-119.64883724441997</v>
      </c>
    </row>
    <row r="76" spans="2:15" x14ac:dyDescent="0.2">
      <c r="B76" s="32"/>
      <c r="D76" s="120"/>
      <c r="O76" s="36"/>
    </row>
    <row r="77" spans="2:15" x14ac:dyDescent="0.2">
      <c r="B77" s="64" t="s">
        <v>365</v>
      </c>
      <c r="O77" s="36"/>
    </row>
    <row r="78" spans="2:15" x14ac:dyDescent="0.2">
      <c r="B78" s="32" t="s">
        <v>434</v>
      </c>
      <c r="E78" s="173">
        <v>0.2</v>
      </c>
      <c r="F78" s="86"/>
      <c r="G78" s="86"/>
      <c r="H78" s="86"/>
      <c r="I78" s="86"/>
      <c r="J78" s="86"/>
      <c r="K78" s="131">
        <f ca="1">K34*$E$78*0.015</f>
        <v>1.9813898424951595</v>
      </c>
      <c r="L78" s="131">
        <f ca="1">L34*$E$78*0.015</f>
        <v>0.61838340418952253</v>
      </c>
      <c r="M78" s="131">
        <f ca="1">M34*$E$78*0.015</f>
        <v>-1.1723470667545297</v>
      </c>
      <c r="N78" s="131">
        <f ca="1">N34*$E$78*0.015</f>
        <v>-3.349064525865594</v>
      </c>
      <c r="O78" s="131">
        <f ca="1">O34*$E$78*0.015</f>
        <v>-5.9824418622209983</v>
      </c>
    </row>
    <row r="79" spans="2:15" x14ac:dyDescent="0.2">
      <c r="B79" s="32" t="s">
        <v>440</v>
      </c>
      <c r="D79" s="215">
        <v>4.4999999999999998E-2</v>
      </c>
      <c r="E79" s="173">
        <v>0.8</v>
      </c>
      <c r="F79" s="86"/>
      <c r="G79" s="86"/>
      <c r="H79" s="86"/>
      <c r="I79" s="86"/>
      <c r="J79" s="86"/>
      <c r="K79" s="133">
        <f ca="1">K34*$E$79*($D$79+K44)</f>
        <v>35.665017164912875</v>
      </c>
      <c r="L79" s="133">
        <f ca="1">L34*$E$79*($D$79+L44)</f>
        <v>11.543156878204423</v>
      </c>
      <c r="M79" s="133">
        <f ca="1">M34*$E$79*($D$79+M44)</f>
        <v>-22.665376623920906</v>
      </c>
      <c r="N79" s="133">
        <f ca="1">N34*$E$79*($D$79+N44)</f>
        <v>-66.981290517311876</v>
      </c>
      <c r="O79" s="133">
        <f ca="1">O34*$E$79*($D$79+O44)</f>
        <v>-119.64883724441997</v>
      </c>
    </row>
    <row r="80" spans="2:15" x14ac:dyDescent="0.2">
      <c r="B80" s="192" t="s">
        <v>428</v>
      </c>
      <c r="C80" s="22"/>
      <c r="D80" s="22"/>
      <c r="E80" s="22"/>
      <c r="F80" s="15"/>
      <c r="G80" s="15"/>
      <c r="H80" s="15"/>
      <c r="I80" s="15"/>
      <c r="J80" s="15"/>
      <c r="K80" s="19">
        <f ca="1">SUM(K78:K79)</f>
        <v>37.646407007408037</v>
      </c>
      <c r="L80" s="19">
        <f ca="1">SUM(L78:L79)</f>
        <v>12.161540282393945</v>
      </c>
      <c r="M80" s="19">
        <f ca="1">SUM(M78:M79)</f>
        <v>-23.837723690675436</v>
      </c>
      <c r="N80" s="19">
        <f ca="1">SUM(N78:N79)</f>
        <v>-70.330355043177477</v>
      </c>
      <c r="O80" s="125">
        <f ca="1">SUM(O78:O79)</f>
        <v>-125.63127910664096</v>
      </c>
    </row>
    <row r="83" spans="2:16" x14ac:dyDescent="0.2">
      <c r="B83" s="107" t="s">
        <v>345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9"/>
    </row>
    <row r="84" spans="2:16" x14ac:dyDescent="0.2">
      <c r="B84" s="64" t="s">
        <v>445</v>
      </c>
      <c r="O84" s="36"/>
    </row>
    <row r="85" spans="2:16" x14ac:dyDescent="0.2">
      <c r="B85" s="32" t="s">
        <v>446</v>
      </c>
      <c r="K85" s="217">
        <f>K44+$V$43</f>
        <v>5.0500000000000003E-2</v>
      </c>
      <c r="L85" s="217">
        <f>L44+$V$43</f>
        <v>5.3000000000000005E-2</v>
      </c>
      <c r="M85" s="217">
        <f>M44+$V$43</f>
        <v>5.5500000000000001E-2</v>
      </c>
      <c r="N85" s="217">
        <f>N44+$V$43</f>
        <v>5.7999999999999996E-2</v>
      </c>
      <c r="O85" s="218">
        <f>O44+$V$43</f>
        <v>5.7999999999999996E-2</v>
      </c>
    </row>
    <row r="86" spans="2:16" ht="17" thickBot="1" x14ac:dyDescent="0.25">
      <c r="B86" s="186" t="s">
        <v>447</v>
      </c>
      <c r="C86" s="25"/>
      <c r="D86" s="25"/>
      <c r="E86" s="25"/>
      <c r="F86" s="25"/>
      <c r="G86" s="25"/>
      <c r="H86" s="25"/>
      <c r="I86" s="25"/>
      <c r="J86" s="25"/>
      <c r="K86" s="28">
        <f>K85*K14</f>
        <v>122.21000000000001</v>
      </c>
      <c r="L86" s="28">
        <f>L85*L14</f>
        <v>125.05350000000001</v>
      </c>
      <c r="M86" s="28">
        <f>M85*M14</f>
        <v>127.258725</v>
      </c>
      <c r="N86" s="28">
        <f>N85*N14</f>
        <v>128.74520999999999</v>
      </c>
      <c r="O86" s="187">
        <f>O85*O14</f>
        <v>124.07473099999997</v>
      </c>
    </row>
    <row r="87" spans="2:16" x14ac:dyDescent="0.2">
      <c r="B87" s="32"/>
      <c r="O87" s="36"/>
    </row>
    <row r="88" spans="2:16" x14ac:dyDescent="0.2">
      <c r="B88" s="64" t="s">
        <v>453</v>
      </c>
      <c r="O88" s="36"/>
    </row>
    <row r="89" spans="2:16" x14ac:dyDescent="0.2">
      <c r="B89" s="64" t="s">
        <v>455</v>
      </c>
      <c r="K89" s="184">
        <v>2.8000000000000001E-2</v>
      </c>
      <c r="L89" s="184">
        <v>2.1000000000000001E-2</v>
      </c>
      <c r="M89" s="184">
        <v>1.6E-2</v>
      </c>
      <c r="N89" s="184">
        <v>1.15E-2</v>
      </c>
      <c r="O89" s="185">
        <v>1.0500000000000001E-2</v>
      </c>
    </row>
    <row r="90" spans="2:16" x14ac:dyDescent="0.2">
      <c r="B90" s="32" t="s">
        <v>446</v>
      </c>
      <c r="K90" s="217">
        <f>(K44+L89)</f>
        <v>4.3499999999999997E-2</v>
      </c>
      <c r="L90" s="217">
        <f>(L44+M89)</f>
        <v>4.1000000000000002E-2</v>
      </c>
      <c r="M90" s="217">
        <f>(M44+N89)</f>
        <v>3.9E-2</v>
      </c>
      <c r="N90" s="217">
        <f>(N44+O89)</f>
        <v>4.0500000000000001E-2</v>
      </c>
      <c r="O90" s="218">
        <f>(O44+P89)</f>
        <v>0.03</v>
      </c>
    </row>
    <row r="91" spans="2:16" ht="17" thickBot="1" x14ac:dyDescent="0.25">
      <c r="B91" s="186" t="s">
        <v>447</v>
      </c>
      <c r="C91" s="25"/>
      <c r="D91" s="25"/>
      <c r="E91" s="25"/>
      <c r="F91" s="25"/>
      <c r="G91" s="25"/>
      <c r="H91" s="25"/>
      <c r="I91" s="25"/>
      <c r="J91" s="25"/>
      <c r="K91" s="28">
        <f>K90*K14</f>
        <v>105.27</v>
      </c>
      <c r="L91" s="28">
        <f>L90*L14</f>
        <v>96.739500000000007</v>
      </c>
      <c r="M91" s="28">
        <f>M90*M14</f>
        <v>89.425049999999999</v>
      </c>
      <c r="N91" s="28">
        <f>N90*N14</f>
        <v>89.899672499999994</v>
      </c>
      <c r="O91" s="28">
        <f>O90*O14</f>
        <v>64.176584999999989</v>
      </c>
      <c r="P91" s="32"/>
    </row>
    <row r="92" spans="2:16" x14ac:dyDescent="0.2">
      <c r="B92" s="32"/>
      <c r="O92" s="36"/>
    </row>
    <row r="93" spans="2:16" x14ac:dyDescent="0.2">
      <c r="B93" s="64" t="s">
        <v>454</v>
      </c>
      <c r="O93" s="36"/>
    </row>
    <row r="94" spans="2:16" x14ac:dyDescent="0.2">
      <c r="B94" s="64" t="s">
        <v>456</v>
      </c>
      <c r="K94" s="184">
        <v>2.8000000000000001E-2</v>
      </c>
      <c r="L94" s="120">
        <v>0.03</v>
      </c>
      <c r="M94" s="184">
        <v>3.5000000000000003E-2</v>
      </c>
      <c r="N94" s="184">
        <v>3.6999999999999998E-2</v>
      </c>
      <c r="O94" s="121">
        <v>0.04</v>
      </c>
    </row>
    <row r="95" spans="2:16" x14ac:dyDescent="0.2">
      <c r="B95" s="32" t="s">
        <v>446</v>
      </c>
      <c r="K95" s="184">
        <f>K94+K44</f>
        <v>5.0500000000000003E-2</v>
      </c>
      <c r="L95" s="184">
        <f>L94+L44</f>
        <v>5.5E-2</v>
      </c>
      <c r="M95" s="184">
        <f>M94+M44</f>
        <v>6.25E-2</v>
      </c>
      <c r="N95" s="184">
        <f>N94+N44</f>
        <v>6.7000000000000004E-2</v>
      </c>
      <c r="O95" s="184">
        <f>O94+O44</f>
        <v>7.0000000000000007E-2</v>
      </c>
      <c r="P95" s="32"/>
    </row>
    <row r="96" spans="2:16" x14ac:dyDescent="0.2">
      <c r="B96" s="39" t="s">
        <v>447</v>
      </c>
      <c r="C96" s="14"/>
      <c r="D96" s="14"/>
      <c r="E96" s="14"/>
      <c r="F96" s="14"/>
      <c r="G96" s="14"/>
      <c r="H96" s="14"/>
      <c r="I96" s="14"/>
      <c r="J96" s="14"/>
      <c r="K96" s="219">
        <f>K95*K14</f>
        <v>122.21000000000001</v>
      </c>
      <c r="L96" s="219">
        <f>L95*L14</f>
        <v>129.77250000000001</v>
      </c>
      <c r="M96" s="219">
        <f>M95*M14</f>
        <v>143.30937499999999</v>
      </c>
      <c r="N96" s="219">
        <f>N95*N14</f>
        <v>148.722915</v>
      </c>
      <c r="O96" s="219">
        <f>O95*O14</f>
        <v>149.74536499999999</v>
      </c>
      <c r="P96" s="32"/>
    </row>
  </sheetData>
  <dataValidations count="4">
    <dataValidation type="list" allowBlank="1" showInputMessage="1" showErrorMessage="1" sqref="S5:S6" xr:uid="{4D6D811F-D584-A944-B10F-9BCE32F29A06}">
      <formula1>"1, 2,"</formula1>
    </dataValidation>
    <dataValidation type="list" allowBlank="1" showInputMessage="1" showErrorMessage="1" sqref="U5 S4" xr:uid="{8F0B4911-310B-EA44-BF00-9C1DCE4E4CBF}">
      <formula1>"1, 2, 3"</formula1>
    </dataValidation>
    <dataValidation type="list" allowBlank="1" showInputMessage="1" showErrorMessage="1" sqref="S8" xr:uid="{8D4AFB7F-0D09-FD4C-ADB8-204AF7BD603B}">
      <formula1>"1, 2, 3, 4"</formula1>
    </dataValidation>
    <dataValidation type="list" allowBlank="1" showInputMessage="1" showErrorMessage="1" sqref="S7" xr:uid="{B6726542-2E51-9246-8514-4C586DA19B6D}">
      <formula1>"1, 2, 3,"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AC2F-AFD9-A94D-9D63-1726F0774CD0}">
  <dimension ref="A1:Q7"/>
  <sheetViews>
    <sheetView showGridLines="0" workbookViewId="0">
      <selection activeCell="A2" sqref="A2"/>
    </sheetView>
  </sheetViews>
  <sheetFormatPr baseColWidth="10" defaultRowHeight="16" x14ac:dyDescent="0.2"/>
  <cols>
    <col min="8" max="17" width="11.5" bestFit="1" customWidth="1"/>
  </cols>
  <sheetData>
    <row r="1" spans="1:17" ht="25" thickBot="1" x14ac:dyDescent="0.35">
      <c r="A1" s="10" t="str">
        <f>_xlfn.CONCAT(Inputs!C7, " - ", "DCF Model", " - ", "in ", Inputs!C9, " ", Inputs!C10)</f>
        <v>HAG - DCF Model - in Euro millions</v>
      </c>
      <c r="B1" s="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7" thickTop="1" x14ac:dyDescent="0.2"/>
    <row r="4" spans="1:17" x14ac:dyDescent="0.2">
      <c r="B4" t="s">
        <v>9</v>
      </c>
      <c r="D4" s="7"/>
      <c r="E4" s="7"/>
      <c r="F4" s="7"/>
      <c r="G4" s="9">
        <f>EDATE(Inputs!$C$8, G5*12)</f>
        <v>43830</v>
      </c>
      <c r="H4" s="9">
        <f>EDATE(Inputs!$C$8, H5*12)</f>
        <v>44196</v>
      </c>
      <c r="I4" s="9">
        <f>EDATE(Inputs!$C$8, I5*12)</f>
        <v>44561</v>
      </c>
      <c r="J4" s="9">
        <f>EDATE(Inputs!$C$8, J5*12)</f>
        <v>44926</v>
      </c>
      <c r="K4" s="9">
        <f>EDATE(Inputs!$C$8, K5*12)</f>
        <v>45291</v>
      </c>
      <c r="L4" s="9">
        <f>EDATE(Inputs!$C$8, L5*12)</f>
        <v>45657</v>
      </c>
      <c r="M4" s="9">
        <f>EDATE(Inputs!$C$8, M5*12)</f>
        <v>46022</v>
      </c>
      <c r="N4" s="9">
        <f>EDATE(Inputs!$C$8, N5*12)</f>
        <v>46387</v>
      </c>
      <c r="O4" s="9">
        <f>EDATE(Inputs!$C$8, O5*12)</f>
        <v>46752</v>
      </c>
      <c r="P4" s="9">
        <f>EDATE(Inputs!$C$8, P5*12)</f>
        <v>47118</v>
      </c>
      <c r="Q4" s="9">
        <f>EDATE(Inputs!$C$8, Q5*12)</f>
        <v>47483</v>
      </c>
    </row>
    <row r="5" spans="1:17" x14ac:dyDescent="0.2">
      <c r="B5" t="s">
        <v>10</v>
      </c>
      <c r="D5" s="8"/>
      <c r="E5" s="8"/>
      <c r="F5" s="8"/>
      <c r="G5" s="8">
        <v>-5</v>
      </c>
      <c r="H5" s="8">
        <v>-4</v>
      </c>
      <c r="I5" s="8">
        <v>-3</v>
      </c>
      <c r="J5" s="8">
        <v>-2</v>
      </c>
      <c r="K5" s="8">
        <v>-1</v>
      </c>
      <c r="L5" s="8">
        <v>0</v>
      </c>
      <c r="M5" s="8">
        <v>1</v>
      </c>
      <c r="N5" s="8">
        <v>2</v>
      </c>
      <c r="O5" s="8">
        <v>3</v>
      </c>
      <c r="P5" s="8">
        <v>4</v>
      </c>
      <c r="Q5" s="8">
        <v>5</v>
      </c>
    </row>
    <row r="6" spans="1:17" x14ac:dyDescent="0.2">
      <c r="B6" t="s">
        <v>11</v>
      </c>
      <c r="D6" s="8"/>
      <c r="E6" s="8"/>
      <c r="F6" s="8"/>
      <c r="G6" s="8" t="str">
        <f>_xlfn.CONCAT(Inputs!$C$9, " ", Inputs!$C$10)</f>
        <v>Euro millions</v>
      </c>
      <c r="H6" s="8" t="str">
        <f>_xlfn.CONCAT(Inputs!$C$9, " ", Inputs!$C$10)</f>
        <v>Euro millions</v>
      </c>
      <c r="I6" s="8" t="str">
        <f>_xlfn.CONCAT(Inputs!$C$9, " ", Inputs!$C$10)</f>
        <v>Euro millions</v>
      </c>
      <c r="J6" s="8" t="str">
        <f>_xlfn.CONCAT(Inputs!$C$9, " ", Inputs!$C$10)</f>
        <v>Euro millions</v>
      </c>
      <c r="K6" s="8" t="str">
        <f>_xlfn.CONCAT(Inputs!$C$9, " ", Inputs!$C$10)</f>
        <v>Euro millions</v>
      </c>
      <c r="L6" s="8" t="str">
        <f>_xlfn.CONCAT(Inputs!$C$9, " ", Inputs!$C$10)</f>
        <v>Euro millions</v>
      </c>
      <c r="M6" s="8" t="str">
        <f>_xlfn.CONCAT(Inputs!$C$9, " ", Inputs!$C$10)</f>
        <v>Euro millions</v>
      </c>
      <c r="N6" s="8" t="str">
        <f>_xlfn.CONCAT(Inputs!$C$9, " ", Inputs!$C$10)</f>
        <v>Euro millions</v>
      </c>
      <c r="O6" s="8" t="str">
        <f>_xlfn.CONCAT(Inputs!$C$9, " ", Inputs!$C$10)</f>
        <v>Euro millions</v>
      </c>
      <c r="P6" s="8" t="str">
        <f>_xlfn.CONCAT(Inputs!$C$9, " ", Inputs!$C$10)</f>
        <v>Euro millions</v>
      </c>
      <c r="Q6" s="8" t="str">
        <f>_xlfn.CONCAT(Inputs!$C$9, " ", Inputs!$C$10)</f>
        <v>Euro millions</v>
      </c>
    </row>
    <row r="7" spans="1:17" x14ac:dyDescent="0.2">
      <c r="B7" t="s">
        <v>12</v>
      </c>
      <c r="D7" s="8"/>
      <c r="E7" s="8"/>
      <c r="F7" s="8"/>
      <c r="G7" s="8" t="str">
        <f>IF(G5&lt;=0, "Historical", "Forecasted")</f>
        <v>Historical</v>
      </c>
      <c r="H7" s="8" t="str">
        <f>IF(H5&lt;=0, "Historical", "Forecasted")</f>
        <v>Historical</v>
      </c>
      <c r="I7" s="8" t="str">
        <f t="shared" ref="I7:Q7" si="0">IF(I5&lt;=0, "Historical", "Forecasted")</f>
        <v>Historical</v>
      </c>
      <c r="J7" s="8" t="str">
        <f t="shared" si="0"/>
        <v>Historical</v>
      </c>
      <c r="K7" s="8" t="str">
        <f t="shared" si="0"/>
        <v>Historical</v>
      </c>
      <c r="L7" s="8" t="str">
        <f t="shared" si="0"/>
        <v>Historical</v>
      </c>
      <c r="M7" s="8" t="str">
        <f t="shared" si="0"/>
        <v>Forecasted</v>
      </c>
      <c r="N7" s="8" t="str">
        <f t="shared" si="0"/>
        <v>Forecasted</v>
      </c>
      <c r="O7" s="8" t="str">
        <f t="shared" si="0"/>
        <v>Forecasted</v>
      </c>
      <c r="P7" s="8" t="str">
        <f t="shared" si="0"/>
        <v>Forecasted</v>
      </c>
      <c r="Q7" s="8" t="str">
        <f t="shared" si="0"/>
        <v>Forecasted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DDEE-EDA2-6D42-B673-433628748A14}">
  <dimension ref="A1:U18"/>
  <sheetViews>
    <sheetView showGridLines="0" zoomScale="75" workbookViewId="0">
      <selection activeCell="A2" sqref="A2"/>
    </sheetView>
  </sheetViews>
  <sheetFormatPr baseColWidth="10" defaultRowHeight="16" x14ac:dyDescent="0.2"/>
  <cols>
    <col min="7" max="16" width="11.5" bestFit="1" customWidth="1"/>
  </cols>
  <sheetData>
    <row r="1" spans="1:21" ht="25" thickBot="1" x14ac:dyDescent="0.35">
      <c r="A1" s="10" t="str">
        <f>_xlfn.CONCAT(Inputs!C7, " - ", "Competitors", " - ", "in ", Inputs!C9, " ", Inputs!C10)</f>
        <v>HAG - Competitors - in Euro millions</v>
      </c>
      <c r="B1" s="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1" ht="17" thickTop="1" x14ac:dyDescent="0.2"/>
    <row r="4" spans="1:21" x14ac:dyDescent="0.2">
      <c r="E4" t="s">
        <v>218</v>
      </c>
      <c r="H4" t="s">
        <v>213</v>
      </c>
      <c r="K4" t="s">
        <v>214</v>
      </c>
      <c r="N4" t="s">
        <v>217</v>
      </c>
      <c r="Q4" t="s">
        <v>215</v>
      </c>
      <c r="T4" t="s">
        <v>216</v>
      </c>
    </row>
    <row r="5" spans="1:21" ht="25" thickBot="1" x14ac:dyDescent="0.35">
      <c r="B5" s="17" t="s">
        <v>201</v>
      </c>
      <c r="C5" s="17"/>
      <c r="D5" s="83">
        <v>2025</v>
      </c>
      <c r="E5" s="83" t="s">
        <v>220</v>
      </c>
      <c r="F5" s="83" t="s">
        <v>221</v>
      </c>
      <c r="G5" s="83">
        <v>2025</v>
      </c>
      <c r="H5" s="83" t="s">
        <v>220</v>
      </c>
      <c r="I5" s="83" t="s">
        <v>221</v>
      </c>
      <c r="J5" s="83">
        <v>2025</v>
      </c>
      <c r="K5" s="83" t="s">
        <v>220</v>
      </c>
      <c r="L5" s="83" t="s">
        <v>221</v>
      </c>
      <c r="M5" s="83">
        <v>2025</v>
      </c>
      <c r="N5" s="83" t="s">
        <v>220</v>
      </c>
      <c r="O5" s="83" t="s">
        <v>221</v>
      </c>
      <c r="P5" s="83">
        <v>2025</v>
      </c>
      <c r="Q5" s="83" t="s">
        <v>220</v>
      </c>
      <c r="R5" s="83" t="s">
        <v>221</v>
      </c>
      <c r="S5" s="83">
        <v>2025</v>
      </c>
      <c r="T5" s="83" t="s">
        <v>220</v>
      </c>
      <c r="U5" s="84" t="s">
        <v>221</v>
      </c>
    </row>
    <row r="6" spans="1:21" x14ac:dyDescent="0.2"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65"/>
    </row>
    <row r="7" spans="1:21" x14ac:dyDescent="0.2">
      <c r="B7" t="s">
        <v>202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65"/>
    </row>
    <row r="8" spans="1:21" x14ac:dyDescent="0.2">
      <c r="B8" t="s">
        <v>203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65"/>
    </row>
    <row r="9" spans="1:21" x14ac:dyDescent="0.2">
      <c r="B9" t="s">
        <v>204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65"/>
    </row>
    <row r="10" spans="1:21" x14ac:dyDescent="0.2">
      <c r="B10" t="s">
        <v>205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65"/>
    </row>
    <row r="11" spans="1:21" x14ac:dyDescent="0.2">
      <c r="B11" t="s">
        <v>206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65"/>
    </row>
    <row r="12" spans="1:21" x14ac:dyDescent="0.2">
      <c r="B12" t="s">
        <v>207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65"/>
    </row>
    <row r="13" spans="1:21" x14ac:dyDescent="0.2">
      <c r="B13" t="s">
        <v>208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65"/>
    </row>
    <row r="14" spans="1:21" x14ac:dyDescent="0.2">
      <c r="B14" t="s">
        <v>209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65"/>
    </row>
    <row r="15" spans="1:21" x14ac:dyDescent="0.2">
      <c r="B15" t="s">
        <v>210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65"/>
    </row>
    <row r="16" spans="1:21" x14ac:dyDescent="0.2">
      <c r="B16" t="s">
        <v>211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65"/>
    </row>
    <row r="17" spans="1:21" x14ac:dyDescent="0.2">
      <c r="B17" t="s">
        <v>212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65"/>
    </row>
    <row r="18" spans="1:21" x14ac:dyDescent="0.2">
      <c r="A18" t="s">
        <v>199</v>
      </c>
      <c r="B18" s="14" t="s">
        <v>219</v>
      </c>
      <c r="C18" s="15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8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193D-EBB5-024C-BCFF-A9BA96A30060}">
  <dimension ref="A1:H10"/>
  <sheetViews>
    <sheetView showGridLines="0" topLeftCell="B1" zoomScale="160" workbookViewId="0">
      <selection activeCell="F5" sqref="F5"/>
    </sheetView>
  </sheetViews>
  <sheetFormatPr baseColWidth="10" defaultRowHeight="16" x14ac:dyDescent="0.2"/>
  <cols>
    <col min="1" max="1" width="4" customWidth="1"/>
    <col min="2" max="2" width="21.1640625" bestFit="1" customWidth="1"/>
    <col min="3" max="3" width="31.83203125" bestFit="1" customWidth="1"/>
  </cols>
  <sheetData>
    <row r="1" spans="1:8" ht="19" thickBot="1" x14ac:dyDescent="0.3">
      <c r="B1" s="1" t="str">
        <f>_xlfn.CONCAT(C7, " - ", "Inputs -", " In", " ", C9, " ", C10)</f>
        <v>HAG - Inputs - In Euro millions</v>
      </c>
      <c r="C1" s="1"/>
    </row>
    <row r="2" spans="1:8" ht="17" thickTop="1" x14ac:dyDescent="0.2"/>
    <row r="4" spans="1:8" ht="17" thickBot="1" x14ac:dyDescent="0.25">
      <c r="A4" s="2" t="s">
        <v>0</v>
      </c>
      <c r="B4" s="2"/>
      <c r="C4" s="2"/>
      <c r="F4" s="107" t="s">
        <v>275</v>
      </c>
      <c r="G4" s="108"/>
      <c r="H4" s="109"/>
    </row>
    <row r="5" spans="1:8" x14ac:dyDescent="0.2">
      <c r="F5" s="112" t="s">
        <v>276</v>
      </c>
      <c r="H5" s="36"/>
    </row>
    <row r="6" spans="1:8" x14ac:dyDescent="0.2">
      <c r="B6" s="3" t="s">
        <v>1</v>
      </c>
      <c r="C6" s="4" t="s">
        <v>7</v>
      </c>
      <c r="F6" s="113" t="s">
        <v>277</v>
      </c>
      <c r="H6" s="36"/>
    </row>
    <row r="7" spans="1:8" x14ac:dyDescent="0.2">
      <c r="B7" s="3" t="s">
        <v>2</v>
      </c>
      <c r="C7" s="4" t="s">
        <v>131</v>
      </c>
      <c r="F7" s="32" t="s">
        <v>278</v>
      </c>
      <c r="H7" s="36"/>
    </row>
    <row r="8" spans="1:8" x14ac:dyDescent="0.2">
      <c r="B8" s="3" t="s">
        <v>3</v>
      </c>
      <c r="C8" s="5">
        <v>45657</v>
      </c>
      <c r="F8" s="114" t="s">
        <v>279</v>
      </c>
      <c r="H8" s="36"/>
    </row>
    <row r="9" spans="1:8" x14ac:dyDescent="0.2">
      <c r="B9" s="3" t="s">
        <v>4</v>
      </c>
      <c r="C9" s="4" t="s">
        <v>8</v>
      </c>
      <c r="F9" s="115" t="s">
        <v>280</v>
      </c>
      <c r="G9" s="22"/>
      <c r="H9" s="111"/>
    </row>
    <row r="10" spans="1:8" x14ac:dyDescent="0.2">
      <c r="B10" s="3" t="s">
        <v>5</v>
      </c>
      <c r="C10" s="4" t="s">
        <v>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B8F9-9E79-E542-8B90-070042BB82D8}">
  <dimension ref="A1:P49"/>
  <sheetViews>
    <sheetView showGridLines="0" zoomScale="106" zoomScaleNormal="130" workbookViewId="0">
      <selection activeCell="B27" sqref="B27"/>
    </sheetView>
  </sheetViews>
  <sheetFormatPr baseColWidth="10" defaultRowHeight="16" x14ac:dyDescent="0.2"/>
  <cols>
    <col min="2" max="2" width="63.1640625" bestFit="1" customWidth="1"/>
    <col min="3" max="3" width="9" customWidth="1"/>
    <col min="4" max="13" width="12.33203125" bestFit="1" customWidth="1"/>
    <col min="14" max="14" width="12.33203125" customWidth="1"/>
    <col min="15" max="16" width="12.33203125" bestFit="1" customWidth="1"/>
  </cols>
  <sheetData>
    <row r="1" spans="1:16" ht="25" thickBot="1" x14ac:dyDescent="0.35">
      <c r="A1" s="10" t="str">
        <f>_xlfn.CONCAT(Inputs!C7, " - ", "Income Statement", " - ", "in ", Inputs!C9, " ", Inputs!C10)</f>
        <v>HAG - Income Statement - in Euro millions</v>
      </c>
      <c r="B1" s="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7" thickTop="1" x14ac:dyDescent="0.2"/>
    <row r="4" spans="1:16" x14ac:dyDescent="0.2">
      <c r="B4" t="s">
        <v>9</v>
      </c>
      <c r="D4" s="9">
        <f>EDATE(Inputs!$C$8, D5*12)</f>
        <v>43830</v>
      </c>
      <c r="E4" s="9">
        <f>EDATE(Inputs!$C$8, E5*12)</f>
        <v>44196</v>
      </c>
      <c r="F4" s="9">
        <f>EDATE(Inputs!$C$8, F5*12)</f>
        <v>44561</v>
      </c>
      <c r="G4" s="9">
        <f>EDATE(Inputs!$C$8, G5*12)</f>
        <v>44926</v>
      </c>
      <c r="H4" s="9">
        <f>EDATE(Inputs!$C$8, H5*12)</f>
        <v>45291</v>
      </c>
      <c r="I4" s="9">
        <f>EDATE(Inputs!$C$8, I5*12)</f>
        <v>45657</v>
      </c>
      <c r="J4" s="9">
        <f>EDATE(Inputs!$C$8, J5*12)</f>
        <v>46022</v>
      </c>
      <c r="K4" s="9">
        <f>EDATE(Inputs!$C$8, K5*12)</f>
        <v>46387</v>
      </c>
      <c r="L4" s="9">
        <f>EDATE(Inputs!$C$8, L5*12)</f>
        <v>46752</v>
      </c>
      <c r="M4" s="9">
        <f>EDATE(Inputs!$C$8, M5*12)</f>
        <v>47118</v>
      </c>
      <c r="N4" s="9">
        <f>EDATE(Inputs!$C$8, N5*12)</f>
        <v>47483</v>
      </c>
    </row>
    <row r="5" spans="1:16" x14ac:dyDescent="0.2">
      <c r="B5" t="s">
        <v>10</v>
      </c>
      <c r="D5" s="8">
        <v>-5</v>
      </c>
      <c r="E5" s="8">
        <v>-4</v>
      </c>
      <c r="F5" s="8">
        <v>-3</v>
      </c>
      <c r="G5" s="8">
        <v>-2</v>
      </c>
      <c r="H5" s="8">
        <v>-1</v>
      </c>
      <c r="I5" s="8">
        <v>0</v>
      </c>
      <c r="J5" s="8">
        <v>1</v>
      </c>
      <c r="K5" s="8">
        <v>2</v>
      </c>
      <c r="L5" s="8">
        <v>3</v>
      </c>
      <c r="M5" s="8">
        <v>4</v>
      </c>
      <c r="N5" s="8">
        <v>5</v>
      </c>
    </row>
    <row r="6" spans="1:16" x14ac:dyDescent="0.2">
      <c r="B6" t="s">
        <v>11</v>
      </c>
      <c r="D6" s="8" t="str">
        <f>_xlfn.CONCAT(Inputs!$C$9, " ", Inputs!$C$10)</f>
        <v>Euro millions</v>
      </c>
      <c r="E6" s="8" t="str">
        <f>_xlfn.CONCAT(Inputs!$C$9, " ", Inputs!$C$10)</f>
        <v>Euro millions</v>
      </c>
      <c r="F6" s="8" t="str">
        <f>_xlfn.CONCAT(Inputs!$C$9, " ", Inputs!$C$10)</f>
        <v>Euro millions</v>
      </c>
      <c r="G6" s="8" t="str">
        <f>_xlfn.CONCAT(Inputs!$C$9, " ", Inputs!$C$10)</f>
        <v>Euro millions</v>
      </c>
      <c r="H6" s="8" t="str">
        <f>_xlfn.CONCAT(Inputs!$C$9, " ", Inputs!$C$10)</f>
        <v>Euro millions</v>
      </c>
      <c r="I6" s="8" t="str">
        <f>_xlfn.CONCAT(Inputs!$C$9, " ", Inputs!$C$10)</f>
        <v>Euro millions</v>
      </c>
      <c r="J6" s="8" t="str">
        <f>_xlfn.CONCAT(Inputs!$C$9, " ", Inputs!$C$10)</f>
        <v>Euro millions</v>
      </c>
      <c r="K6" s="8" t="str">
        <f>_xlfn.CONCAT(Inputs!$C$9, " ", Inputs!$C$10)</f>
        <v>Euro millions</v>
      </c>
      <c r="L6" s="8" t="str">
        <f>_xlfn.CONCAT(Inputs!$C$9, " ", Inputs!$C$10)</f>
        <v>Euro millions</v>
      </c>
      <c r="M6" s="8" t="str">
        <f>_xlfn.CONCAT(Inputs!$C$9, " ", Inputs!$C$10)</f>
        <v>Euro millions</v>
      </c>
      <c r="N6" s="8" t="str">
        <f>_xlfn.CONCAT(Inputs!$C$9, " ", Inputs!$C$10)</f>
        <v>Euro millions</v>
      </c>
    </row>
    <row r="7" spans="1:16" x14ac:dyDescent="0.2">
      <c r="B7" t="s">
        <v>12</v>
      </c>
      <c r="D7" s="8" t="str">
        <f>IF(D5&lt;=0, "Historical", "Forecasted")</f>
        <v>Historical</v>
      </c>
      <c r="E7" s="8" t="str">
        <f>IF(E5&lt;=0, "Historical", "Forecasted")</f>
        <v>Historical</v>
      </c>
      <c r="F7" s="8" t="str">
        <f t="shared" ref="F7:N7" si="0">IF(F5&lt;=0, "Historical", "Forecasted")</f>
        <v>Historical</v>
      </c>
      <c r="G7" s="8" t="str">
        <f t="shared" si="0"/>
        <v>Historical</v>
      </c>
      <c r="H7" s="8" t="str">
        <f t="shared" si="0"/>
        <v>Historical</v>
      </c>
      <c r="I7" s="8" t="str">
        <f t="shared" si="0"/>
        <v>Historical</v>
      </c>
      <c r="J7" s="8" t="str">
        <f t="shared" si="0"/>
        <v>Forecasted</v>
      </c>
      <c r="K7" s="8" t="str">
        <f t="shared" si="0"/>
        <v>Forecasted</v>
      </c>
      <c r="L7" s="8" t="str">
        <f t="shared" si="0"/>
        <v>Forecasted</v>
      </c>
      <c r="M7" s="8" t="str">
        <f t="shared" si="0"/>
        <v>Forecasted</v>
      </c>
      <c r="N7" s="8" t="str">
        <f t="shared" si="0"/>
        <v>Forecasted</v>
      </c>
    </row>
    <row r="9" spans="1:16" ht="25" thickBot="1" x14ac:dyDescent="0.35">
      <c r="B9" s="17" t="s">
        <v>88</v>
      </c>
    </row>
    <row r="10" spans="1:16" x14ac:dyDescent="0.2">
      <c r="B10" t="s">
        <v>222</v>
      </c>
      <c r="D10" s="89">
        <f t="shared" ref="D10:I11" si="1">D28</f>
        <v>1114.2</v>
      </c>
      <c r="E10" s="89">
        <f t="shared" si="1"/>
        <v>1206.9000000000001</v>
      </c>
      <c r="F10" s="89">
        <f t="shared" si="1"/>
        <v>1474</v>
      </c>
      <c r="G10" s="89">
        <f t="shared" si="1"/>
        <v>1707</v>
      </c>
      <c r="H10" s="89">
        <f t="shared" si="1"/>
        <v>1847</v>
      </c>
      <c r="I10" s="89">
        <f t="shared" si="1"/>
        <v>2240</v>
      </c>
      <c r="J10" s="16">
        <f>'Revenue &amp; Expenses'!M22</f>
        <v>3136</v>
      </c>
      <c r="K10" s="16">
        <f>'Revenue &amp; Expenses'!N22</f>
        <v>2697.4639999999995</v>
      </c>
      <c r="L10" s="16">
        <f>'Revenue &amp; Expenses'!O22</f>
        <v>3570.380239999999</v>
      </c>
      <c r="M10" s="16">
        <f>'Revenue &amp; Expenses'!P22</f>
        <v>3958.691469599999</v>
      </c>
      <c r="N10" s="16">
        <f>'Revenue &amp; Expenses'!Q22</f>
        <v>4695.1176340879983</v>
      </c>
      <c r="P10" s="13" t="s">
        <v>417</v>
      </c>
    </row>
    <row r="11" spans="1:16" x14ac:dyDescent="0.2">
      <c r="B11" t="s">
        <v>223</v>
      </c>
      <c r="D11" s="74">
        <f t="shared" si="1"/>
        <v>-859.3</v>
      </c>
      <c r="E11" s="74">
        <f t="shared" si="1"/>
        <v>-936.1</v>
      </c>
      <c r="F11" s="74">
        <f t="shared" si="1"/>
        <v>-1144</v>
      </c>
      <c r="G11" s="74">
        <f t="shared" si="1"/>
        <v>-1314</v>
      </c>
      <c r="H11" s="74">
        <f t="shared" si="1"/>
        <v>-1427</v>
      </c>
      <c r="I11" s="74">
        <f t="shared" si="1"/>
        <v>-1732</v>
      </c>
      <c r="J11" s="16">
        <f>'Revenue &amp; Expenses'!M46*-1</f>
        <v>-2289.2799999999997</v>
      </c>
      <c r="K11" s="16">
        <f>'Revenue &amp; Expenses'!N46*-1</f>
        <v>-1969.1487199999997</v>
      </c>
      <c r="L11" s="16">
        <f>'Revenue &amp; Expenses'!O46*-1</f>
        <v>-2606.3775751999992</v>
      </c>
      <c r="M11" s="16">
        <f>'Revenue &amp; Expenses'!P46*-1</f>
        <v>-2889.8447728079991</v>
      </c>
      <c r="N11" s="16">
        <f>'Revenue &amp; Expenses'!Q46*-1</f>
        <v>-3427.4358728842385</v>
      </c>
    </row>
    <row r="12" spans="1:16" x14ac:dyDescent="0.2">
      <c r="B12" s="21" t="s">
        <v>224</v>
      </c>
      <c r="C12" s="22"/>
      <c r="D12" s="88">
        <f t="shared" ref="D12:I12" si="2">SUM(D10:D11)</f>
        <v>254.90000000000009</v>
      </c>
      <c r="E12" s="88">
        <f t="shared" si="2"/>
        <v>270.80000000000007</v>
      </c>
      <c r="F12" s="88">
        <f t="shared" si="2"/>
        <v>330</v>
      </c>
      <c r="G12" s="88">
        <f t="shared" si="2"/>
        <v>393</v>
      </c>
      <c r="H12" s="88">
        <f t="shared" si="2"/>
        <v>420</v>
      </c>
      <c r="I12" s="88">
        <f t="shared" si="2"/>
        <v>508</v>
      </c>
      <c r="J12" s="20">
        <f>SUM(J10:J11)</f>
        <v>846.72000000000025</v>
      </c>
      <c r="K12" s="20">
        <f t="shared" ref="K12:N12" si="3">SUM(K10:K11)</f>
        <v>728.3152799999998</v>
      </c>
      <c r="L12" s="20">
        <f t="shared" si="3"/>
        <v>964.00266479999982</v>
      </c>
      <c r="M12" s="20">
        <f t="shared" si="3"/>
        <v>1068.8466967919999</v>
      </c>
      <c r="N12" s="20">
        <f t="shared" si="3"/>
        <v>1267.6817612037598</v>
      </c>
      <c r="P12" t="s">
        <v>418</v>
      </c>
    </row>
    <row r="13" spans="1:16" x14ac:dyDescent="0.2">
      <c r="B13" t="s">
        <v>225</v>
      </c>
      <c r="D13" s="74">
        <f>SUMIF($J$28:$J$49, $B$13, $D$28:$D$49)</f>
        <v>-31</v>
      </c>
      <c r="E13" s="74">
        <f>SUMIF($J$28:$J$49, $B13, $E$28:$E$49)</f>
        <v>-25.1</v>
      </c>
      <c r="F13" s="74">
        <f>SUMIF($J$28:$J$49, $B13, $F$28:$F$49)</f>
        <v>-31</v>
      </c>
      <c r="G13" s="74">
        <f>SUMIF($J$28:$J$49, $B13, $G$28:$G$49)</f>
        <v>-36</v>
      </c>
      <c r="H13" s="74">
        <f>SUMIF($J$28:$J$49, $B13, $H$28:$H$49)</f>
        <v>-30</v>
      </c>
      <c r="I13" s="74">
        <f>SUMIF($J$28:$J$49, $B13, $I$28:$I$49)</f>
        <v>-32</v>
      </c>
      <c r="J13" s="16">
        <f>'Revenue &amp; Expenses'!M50*-1</f>
        <v>-47.04</v>
      </c>
      <c r="K13" s="16">
        <f>'Revenue &amp; Expenses'!N50*-1</f>
        <v>-53.949279999999987</v>
      </c>
      <c r="L13" s="16">
        <f>'Revenue &amp; Expenses'!O50*-1</f>
        <v>-71.407604799999987</v>
      </c>
      <c r="M13" s="16">
        <f>'Revenue &amp; Expenses'!P50*-1</f>
        <v>-79.173829391999988</v>
      </c>
      <c r="N13" s="16">
        <f>'Revenue &amp; Expenses'!Q50*-1</f>
        <v>-93.902352681759965</v>
      </c>
      <c r="P13" t="s">
        <v>419</v>
      </c>
    </row>
    <row r="14" spans="1:16" x14ac:dyDescent="0.2">
      <c r="B14" t="s">
        <v>226</v>
      </c>
      <c r="D14" s="74">
        <f>SUMIF($J$28:$J$49, $B$14, $D$28:$D$49)</f>
        <v>-161.1</v>
      </c>
      <c r="E14" s="74">
        <f>SUMIF($J$28:$J$49, $B14, $E$28:$E$49)</f>
        <v>-177.4</v>
      </c>
      <c r="F14" s="74">
        <f>SUMIF($J$28:$J$49, $B14, $F$28:$F$49)</f>
        <v>-182</v>
      </c>
      <c r="G14" s="74">
        <f>SUMIF($J$28:$J$49, $B14, $G$28:$G$49)</f>
        <v>-199</v>
      </c>
      <c r="H14" s="74">
        <f>SUMIF($J$28:$J$49, $B14, $H$28:$H$49)</f>
        <v>-229</v>
      </c>
      <c r="I14" s="74">
        <f>SUMIF($J$28:$J$49, $B14, $I$28:$I$49)</f>
        <v>-290</v>
      </c>
      <c r="J14" s="16">
        <f>'Revenue &amp; Expenses'!M48*-1</f>
        <v>-313.60000000000002</v>
      </c>
      <c r="K14" s="16">
        <f>'Revenue &amp; Expenses'!N48*-1</f>
        <v>-242.77175999999994</v>
      </c>
      <c r="L14" s="16">
        <f>'Revenue &amp; Expenses'!O48*-1</f>
        <v>-321.33422159999992</v>
      </c>
      <c r="M14" s="16">
        <f>'Revenue &amp; Expenses'!P48*-1</f>
        <v>-356.2822322639999</v>
      </c>
      <c r="N14" s="16">
        <f>'Revenue &amp; Expenses'!Q48*-1</f>
        <v>-422.56058706791981</v>
      </c>
    </row>
    <row r="15" spans="1:16" x14ac:dyDescent="0.2">
      <c r="B15" s="21" t="s">
        <v>227</v>
      </c>
      <c r="C15" s="22"/>
      <c r="D15" s="88">
        <f t="shared" ref="D15:I15" si="4">D17+D16</f>
        <v>192.40000000000009</v>
      </c>
      <c r="E15" s="88">
        <f t="shared" si="4"/>
        <v>189.10000000000008</v>
      </c>
      <c r="F15" s="88">
        <f t="shared" si="4"/>
        <v>243</v>
      </c>
      <c r="G15" s="88">
        <f t="shared" si="4"/>
        <v>261</v>
      </c>
      <c r="H15" s="88">
        <f t="shared" si="4"/>
        <v>278</v>
      </c>
      <c r="I15" s="88">
        <f t="shared" si="4"/>
        <v>348</v>
      </c>
      <c r="J15" s="20">
        <f>SUM(J12:J14)</f>
        <v>486.08000000000027</v>
      </c>
      <c r="K15" s="20">
        <f t="shared" ref="K15:N15" si="5">SUM(K12:K14)</f>
        <v>431.59423999999979</v>
      </c>
      <c r="L15" s="20">
        <f t="shared" si="5"/>
        <v>571.26083840000001</v>
      </c>
      <c r="M15" s="20">
        <f t="shared" si="5"/>
        <v>633.3906351359999</v>
      </c>
      <c r="N15" s="20">
        <f t="shared" si="5"/>
        <v>751.21882145407994</v>
      </c>
      <c r="P15" t="s">
        <v>503</v>
      </c>
    </row>
    <row r="16" spans="1:16" x14ac:dyDescent="0.2">
      <c r="B16" t="s">
        <v>228</v>
      </c>
      <c r="D16" s="74">
        <f>CF!G42</f>
        <v>129.6</v>
      </c>
      <c r="E16" s="74">
        <f>CF!H42</f>
        <v>120.8</v>
      </c>
      <c r="F16" s="74">
        <f>CF!I42</f>
        <v>126</v>
      </c>
      <c r="G16" s="74">
        <f>CF!J42</f>
        <v>103</v>
      </c>
      <c r="H16" s="74">
        <f>CF!K42</f>
        <v>117</v>
      </c>
      <c r="I16" s="89">
        <f>CF!L42</f>
        <v>162</v>
      </c>
      <c r="J16" s="16">
        <f>'FA-Forecast'!M74</f>
        <v>240.67</v>
      </c>
      <c r="K16" s="16">
        <f>'FA-Forecast'!N74</f>
        <v>539.49279999999987</v>
      </c>
      <c r="L16" s="16">
        <f>'FA-Forecast'!O74</f>
        <v>714.0760479999999</v>
      </c>
      <c r="M16" s="16">
        <f>'FA-Forecast'!P74</f>
        <v>791.73829391999982</v>
      </c>
      <c r="N16" s="16">
        <f>'FA-Forecast'!Q74</f>
        <v>939.02352681759976</v>
      </c>
    </row>
    <row r="17" spans="2:14" x14ac:dyDescent="0.2">
      <c r="B17" s="21" t="s">
        <v>229</v>
      </c>
      <c r="C17" s="22"/>
      <c r="D17" s="90">
        <f t="shared" ref="D17:I17" si="6">SUM(D12,D13:D14)</f>
        <v>62.800000000000097</v>
      </c>
      <c r="E17" s="90">
        <f t="shared" si="6"/>
        <v>68.300000000000068</v>
      </c>
      <c r="F17" s="90">
        <f t="shared" si="6"/>
        <v>117</v>
      </c>
      <c r="G17" s="90">
        <f t="shared" si="6"/>
        <v>158</v>
      </c>
      <c r="H17" s="90">
        <f t="shared" si="6"/>
        <v>161</v>
      </c>
      <c r="I17" s="88">
        <f>SUM(I12,I13:I14)</f>
        <v>186</v>
      </c>
      <c r="J17" s="88">
        <f>J15-J16</f>
        <v>245.41000000000028</v>
      </c>
      <c r="K17" s="88">
        <f t="shared" ref="K17:N17" si="7">K15-K16</f>
        <v>-107.89856000000009</v>
      </c>
      <c r="L17" s="88">
        <f t="shared" si="7"/>
        <v>-142.81520959999989</v>
      </c>
      <c r="M17" s="88">
        <f t="shared" si="7"/>
        <v>-158.34765878399992</v>
      </c>
      <c r="N17" s="88">
        <f t="shared" si="7"/>
        <v>-187.80470536351982</v>
      </c>
    </row>
    <row r="18" spans="2:14" x14ac:dyDescent="0.2">
      <c r="B18" t="s">
        <v>230</v>
      </c>
      <c r="D18" s="89">
        <f>SUMIF($J$28:$J$49, $B$18, $D$28:$D$49)</f>
        <v>-2.5999999999999996</v>
      </c>
      <c r="E18" s="89">
        <f>SUMIF($J$28:$J$49, $B$18, $E$28:$E$49)</f>
        <v>-9.8000000000000025</v>
      </c>
      <c r="F18" s="89">
        <f>SUMIF($J$28:$J$49, $B18, $F$28:$F$49)</f>
        <v>6</v>
      </c>
      <c r="G18" s="89">
        <f>SUMIF($J$28:$J$49, $B18, $G$28:$G$49)</f>
        <v>7</v>
      </c>
      <c r="H18" s="89">
        <f>SUMIF($J$28:$J$49, $B18, $H$28:$H$49)</f>
        <v>-1</v>
      </c>
      <c r="I18" s="89">
        <f>SUMIF($J$28:$J$49, $B18, $I$28:$I$49)</f>
        <v>-1</v>
      </c>
      <c r="J18" s="235">
        <f>'Revenue &amp; Expenses'!M80</f>
        <v>0</v>
      </c>
      <c r="K18" s="235">
        <f>'Revenue &amp; Expenses'!N80</f>
        <v>0</v>
      </c>
      <c r="L18" s="235">
        <f>'Revenue &amp; Expenses'!O80</f>
        <v>0</v>
      </c>
      <c r="M18" s="235">
        <f>'Revenue &amp; Expenses'!P80</f>
        <v>0</v>
      </c>
      <c r="N18" s="235">
        <f>'Revenue &amp; Expenses'!Q80</f>
        <v>0</v>
      </c>
    </row>
    <row r="19" spans="2:14" x14ac:dyDescent="0.2">
      <c r="B19" s="58" t="s">
        <v>231</v>
      </c>
      <c r="D19" s="74">
        <f>SUMIF($J$28:$J$49, $B$19, $D$28:$D$49)</f>
        <v>-24.6</v>
      </c>
      <c r="E19" s="74">
        <f>SUMIF($J$28:$J$49, $B$19, $E$28:$E$49)</f>
        <v>-133.69999999999999</v>
      </c>
      <c r="F19" s="74">
        <f>SUMIF($J$28:$J$49, $B19, $F$28:$F$49)</f>
        <v>-38</v>
      </c>
      <c r="G19" s="74">
        <f>SUMIF($J$28:$J$49, $B19, $G$28:$G$49)</f>
        <v>-35</v>
      </c>
      <c r="H19" s="74">
        <f>SUMIF($J$28:$J$49, $B19, $H$28:$H$49)</f>
        <v>-64</v>
      </c>
      <c r="I19" s="74">
        <f>SUMIF($J$28:$J$49, $B19, $I$28:$I$49)</f>
        <v>-69</v>
      </c>
      <c r="J19" s="175">
        <f ca="1">'Debt &amp; Cash'!K36</f>
        <v>-84.563592992591964</v>
      </c>
      <c r="K19" s="175">
        <f ca="1">'Debt &amp; Cash'!L36</f>
        <v>-117.61095971760606</v>
      </c>
      <c r="L19" s="175">
        <f ca="1">'Debt &amp; Cash'!M36</f>
        <v>-167.14709869067542</v>
      </c>
      <c r="M19" s="175">
        <f ca="1">'Debt &amp; Cash'!N36</f>
        <v>-219.05327004317746</v>
      </c>
      <c r="N19" s="175">
        <f ca="1">'Debt &amp; Cash'!O36</f>
        <v>-275.37664410664092</v>
      </c>
    </row>
    <row r="20" spans="2:14" x14ac:dyDescent="0.2">
      <c r="B20" s="21" t="s">
        <v>232</v>
      </c>
      <c r="C20" s="22"/>
      <c r="D20" s="88">
        <f>D17+SUM(D18:D19)</f>
        <v>35.600000000000094</v>
      </c>
      <c r="E20" s="88">
        <f t="shared" ref="E20:N20" si="8">E17+SUM(E18:E19)</f>
        <v>-75.199999999999932</v>
      </c>
      <c r="F20" s="88">
        <f t="shared" si="8"/>
        <v>85</v>
      </c>
      <c r="G20" s="88">
        <f t="shared" si="8"/>
        <v>130</v>
      </c>
      <c r="H20" s="88">
        <f t="shared" si="8"/>
        <v>96</v>
      </c>
      <c r="I20" s="88">
        <f>I17+SUM(I18:I19)</f>
        <v>116</v>
      </c>
      <c r="J20" s="88">
        <f ca="1">SUM(J17:J19)</f>
        <v>160.84640700740832</v>
      </c>
      <c r="K20" s="88">
        <f t="shared" ref="K20:N20" ca="1" si="9">SUM(K17:K19)</f>
        <v>-225.50951971760617</v>
      </c>
      <c r="L20" s="88">
        <f t="shared" ca="1" si="9"/>
        <v>-309.96230829067531</v>
      </c>
      <c r="M20" s="88">
        <f t="shared" ca="1" si="9"/>
        <v>-377.40092882717738</v>
      </c>
      <c r="N20" s="88">
        <f t="shared" ca="1" si="9"/>
        <v>-463.18134947016074</v>
      </c>
    </row>
    <row r="21" spans="2:14" x14ac:dyDescent="0.2">
      <c r="B21" s="58" t="s">
        <v>233</v>
      </c>
      <c r="D21" s="87">
        <f>SUMIF($J$28:$J$49, $B$21, $D$28:$D$49)</f>
        <v>-27.4</v>
      </c>
      <c r="E21" s="87">
        <f>SUMIF($J$28:$J$49, $B$21, $E$28:$E$49)</f>
        <v>10.7</v>
      </c>
      <c r="F21" s="87">
        <f>SUMIF($J$28:$J$49, $B21, $F$28:$F$49)</f>
        <v>-22</v>
      </c>
      <c r="G21" s="87">
        <f>SUMIF($J$28:$J$49, $B21, $G$28:$G$49)</f>
        <v>-49</v>
      </c>
      <c r="H21" s="87">
        <f>SUMIF($J$28:$J$49, $B21, $H$28:$H$49)</f>
        <v>-36</v>
      </c>
      <c r="I21" s="87">
        <f>SUMIF($J$28:$J$49, $B21, $I$28:$I$49)</f>
        <v>-12</v>
      </c>
      <c r="J21" s="16">
        <f ca="1">IF(J20&gt;0, J20*$C$23*-1, 0)</f>
        <v>-45.519533183096549</v>
      </c>
      <c r="K21" s="16">
        <f t="shared" ref="K21:N21" ca="1" si="10">IF(K20&gt;0, K20*$C$23*-1, 0)</f>
        <v>0</v>
      </c>
      <c r="L21" s="16">
        <f t="shared" ca="1" si="10"/>
        <v>0</v>
      </c>
      <c r="M21" s="16">
        <f t="shared" ca="1" si="10"/>
        <v>0</v>
      </c>
      <c r="N21" s="16">
        <f t="shared" ca="1" si="10"/>
        <v>0</v>
      </c>
    </row>
    <row r="22" spans="2:14" ht="17" thickBot="1" x14ac:dyDescent="0.25">
      <c r="B22" s="25" t="s">
        <v>234</v>
      </c>
      <c r="C22" s="108"/>
      <c r="D22" s="234">
        <f t="shared" ref="D22:N22" si="11">SUM(D20:D21)</f>
        <v>8.2000000000000952</v>
      </c>
      <c r="E22" s="234">
        <f t="shared" si="11"/>
        <v>-64.499999999999929</v>
      </c>
      <c r="F22" s="234">
        <f t="shared" si="11"/>
        <v>63</v>
      </c>
      <c r="G22" s="234">
        <f t="shared" si="11"/>
        <v>81</v>
      </c>
      <c r="H22" s="234">
        <f t="shared" si="11"/>
        <v>60</v>
      </c>
      <c r="I22" s="234">
        <f t="shared" si="11"/>
        <v>104</v>
      </c>
      <c r="J22" s="234">
        <f t="shared" ref="J22" ca="1" si="12">SUM(J20:J21)</f>
        <v>115.32687382431178</v>
      </c>
      <c r="K22" s="234">
        <f t="shared" ref="K22" ca="1" si="13">SUM(K20:K21)</f>
        <v>-225.50951971760617</v>
      </c>
      <c r="L22" s="234">
        <f t="shared" ref="L22" ca="1" si="14">SUM(L20:L21)</f>
        <v>-309.96230829067531</v>
      </c>
      <c r="M22" s="234">
        <f t="shared" ref="M22" ca="1" si="15">SUM(M20:M21)</f>
        <v>-377.40092882717738</v>
      </c>
      <c r="N22" s="234">
        <f t="shared" ref="N22" ca="1" si="16">SUM(N20:N21)</f>
        <v>-463.18134947016074</v>
      </c>
    </row>
    <row r="23" spans="2:14" x14ac:dyDescent="0.2">
      <c r="B23" s="58" t="s">
        <v>386</v>
      </c>
      <c r="C23" s="134">
        <v>0.28299999999999997</v>
      </c>
      <c r="D23" s="166">
        <f>D21/D20</f>
        <v>-0.76966292134831249</v>
      </c>
      <c r="E23" s="166">
        <f t="shared" ref="E23:N23" si="17">E21/E20</f>
        <v>-0.14228723404255331</v>
      </c>
      <c r="F23" s="166">
        <f t="shared" si="17"/>
        <v>-0.25882352941176473</v>
      </c>
      <c r="G23" s="166">
        <f t="shared" si="17"/>
        <v>-0.37692307692307692</v>
      </c>
      <c r="H23" s="166">
        <f t="shared" si="17"/>
        <v>-0.375</v>
      </c>
      <c r="I23" s="166">
        <f t="shared" si="17"/>
        <v>-0.10344827586206896</v>
      </c>
      <c r="J23" s="166">
        <f t="shared" ca="1" si="17"/>
        <v>-0.28299999999999997</v>
      </c>
      <c r="K23" s="166">
        <f t="shared" ca="1" si="17"/>
        <v>0</v>
      </c>
      <c r="L23" s="166">
        <f t="shared" ca="1" si="17"/>
        <v>0</v>
      </c>
      <c r="M23" s="166">
        <f t="shared" ca="1" si="17"/>
        <v>0</v>
      </c>
      <c r="N23" s="166">
        <f t="shared" ca="1" si="17"/>
        <v>0</v>
      </c>
    </row>
    <row r="24" spans="2:14" x14ac:dyDescent="0.2">
      <c r="D24" s="32"/>
      <c r="I24" s="36"/>
    </row>
    <row r="25" spans="2:14" ht="25" thickBot="1" x14ac:dyDescent="0.35">
      <c r="B25" s="30" t="s">
        <v>13</v>
      </c>
      <c r="C25" s="11"/>
      <c r="D25" s="32"/>
      <c r="I25" s="36"/>
    </row>
    <row r="26" spans="2:14" x14ac:dyDescent="0.2">
      <c r="D26" s="32"/>
      <c r="I26" s="36"/>
    </row>
    <row r="27" spans="2:14" x14ac:dyDescent="0.2">
      <c r="B27" t="s">
        <v>36</v>
      </c>
      <c r="D27" s="32">
        <v>2019</v>
      </c>
      <c r="E27">
        <v>2020</v>
      </c>
      <c r="F27">
        <v>2021</v>
      </c>
      <c r="G27">
        <v>2022</v>
      </c>
      <c r="H27">
        <v>2023</v>
      </c>
      <c r="I27" s="36">
        <v>2024</v>
      </c>
    </row>
    <row r="28" spans="2:14" x14ac:dyDescent="0.2">
      <c r="B28" t="s">
        <v>14</v>
      </c>
      <c r="D28" s="42">
        <v>1114.2</v>
      </c>
      <c r="E28" s="16">
        <v>1206.9000000000001</v>
      </c>
      <c r="F28">
        <v>1474</v>
      </c>
      <c r="G28">
        <v>1707</v>
      </c>
      <c r="H28">
        <v>1847</v>
      </c>
      <c r="I28" s="36">
        <v>2240</v>
      </c>
      <c r="J28" t="s">
        <v>222</v>
      </c>
    </row>
    <row r="29" spans="2:14" x14ac:dyDescent="0.2">
      <c r="B29" t="s">
        <v>15</v>
      </c>
      <c r="D29" s="42">
        <v>-859.3</v>
      </c>
      <c r="E29" s="16">
        <v>-936.1</v>
      </c>
      <c r="F29">
        <v>-1144</v>
      </c>
      <c r="G29">
        <v>-1314</v>
      </c>
      <c r="H29">
        <v>-1427</v>
      </c>
      <c r="I29" s="36">
        <v>-1732</v>
      </c>
      <c r="J29" t="s">
        <v>223</v>
      </c>
    </row>
    <row r="30" spans="2:14" x14ac:dyDescent="0.2">
      <c r="B30" s="14" t="s">
        <v>16</v>
      </c>
      <c r="C30" s="15"/>
      <c r="D30" s="43">
        <v>254.9</v>
      </c>
      <c r="E30" s="19">
        <v>270.8</v>
      </c>
      <c r="F30" s="14">
        <v>330</v>
      </c>
      <c r="G30" s="14">
        <v>393</v>
      </c>
      <c r="H30" s="14">
        <v>420</v>
      </c>
      <c r="I30" s="40">
        <v>508</v>
      </c>
      <c r="J30" s="58" t="s">
        <v>224</v>
      </c>
    </row>
    <row r="31" spans="2:14" x14ac:dyDescent="0.2">
      <c r="B31" t="s">
        <v>17</v>
      </c>
      <c r="D31" s="42">
        <v>-84.8</v>
      </c>
      <c r="E31" s="16">
        <v>-90.2</v>
      </c>
      <c r="F31">
        <v>-99</v>
      </c>
      <c r="G31">
        <v>-107</v>
      </c>
      <c r="H31">
        <v>-111</v>
      </c>
      <c r="I31" s="36">
        <v>-128</v>
      </c>
      <c r="J31" t="s">
        <v>226</v>
      </c>
    </row>
    <row r="32" spans="2:14" x14ac:dyDescent="0.2">
      <c r="B32" t="s">
        <v>18</v>
      </c>
      <c r="D32" s="42">
        <v>-76.3</v>
      </c>
      <c r="E32" s="16">
        <v>-87.2</v>
      </c>
      <c r="F32">
        <v>-83</v>
      </c>
      <c r="G32">
        <v>-92</v>
      </c>
      <c r="H32">
        <v>-118</v>
      </c>
      <c r="I32" s="36">
        <v>-162</v>
      </c>
      <c r="J32" t="s">
        <v>226</v>
      </c>
    </row>
    <row r="33" spans="2:10" x14ac:dyDescent="0.2">
      <c r="B33" t="s">
        <v>19</v>
      </c>
      <c r="D33" s="42">
        <v>-31</v>
      </c>
      <c r="E33" s="16">
        <v>-25.1</v>
      </c>
      <c r="F33">
        <v>-31</v>
      </c>
      <c r="G33">
        <v>-36</v>
      </c>
      <c r="H33">
        <v>-30</v>
      </c>
      <c r="I33" s="36">
        <v>-32</v>
      </c>
      <c r="J33" t="s">
        <v>225</v>
      </c>
    </row>
    <row r="34" spans="2:10" x14ac:dyDescent="0.2">
      <c r="B34" t="s">
        <v>20</v>
      </c>
      <c r="D34" s="42">
        <v>25.3</v>
      </c>
      <c r="E34" s="16">
        <v>18.899999999999999</v>
      </c>
      <c r="F34">
        <v>29</v>
      </c>
      <c r="G34">
        <v>21</v>
      </c>
      <c r="H34">
        <v>22</v>
      </c>
      <c r="I34" s="36">
        <v>22</v>
      </c>
      <c r="J34" t="s">
        <v>230</v>
      </c>
    </row>
    <row r="35" spans="2:10" x14ac:dyDescent="0.2">
      <c r="B35" t="s">
        <v>21</v>
      </c>
      <c r="D35" s="42">
        <v>-24.8</v>
      </c>
      <c r="E35" s="16">
        <v>-16.100000000000001</v>
      </c>
      <c r="F35">
        <v>-18</v>
      </c>
      <c r="G35">
        <v>-21</v>
      </c>
      <c r="H35">
        <v>-21</v>
      </c>
      <c r="I35" s="36">
        <v>-24</v>
      </c>
      <c r="J35" t="s">
        <v>230</v>
      </c>
    </row>
    <row r="36" spans="2:10" x14ac:dyDescent="0.2">
      <c r="B36" t="s">
        <v>30</v>
      </c>
      <c r="D36" s="42">
        <v>-1.2</v>
      </c>
      <c r="E36" s="16">
        <v>-2.6</v>
      </c>
      <c r="F36">
        <v>-2</v>
      </c>
      <c r="G36">
        <v>0</v>
      </c>
      <c r="H36">
        <v>0</v>
      </c>
      <c r="I36" s="36">
        <v>3</v>
      </c>
      <c r="J36" t="s">
        <v>230</v>
      </c>
    </row>
    <row r="37" spans="2:10" x14ac:dyDescent="0.2">
      <c r="B37" t="s">
        <v>31</v>
      </c>
      <c r="C37" s="12"/>
      <c r="D37" s="42">
        <v>0</v>
      </c>
      <c r="E37" s="16">
        <v>0</v>
      </c>
      <c r="F37">
        <v>0</v>
      </c>
      <c r="G37">
        <v>8</v>
      </c>
      <c r="H37">
        <v>5</v>
      </c>
      <c r="I37" s="36">
        <v>-3</v>
      </c>
      <c r="J37" t="s">
        <v>230</v>
      </c>
    </row>
    <row r="38" spans="2:10" x14ac:dyDescent="0.2">
      <c r="B38" s="14" t="s">
        <v>32</v>
      </c>
      <c r="C38" s="15"/>
      <c r="D38" s="43">
        <v>62.1</v>
      </c>
      <c r="E38" s="19">
        <v>68.5</v>
      </c>
      <c r="F38" s="14">
        <v>126</v>
      </c>
      <c r="G38" s="14">
        <v>166</v>
      </c>
      <c r="H38" s="14">
        <v>166</v>
      </c>
      <c r="I38" s="40">
        <v>185</v>
      </c>
    </row>
    <row r="39" spans="2:10" x14ac:dyDescent="0.2">
      <c r="B39" t="s">
        <v>22</v>
      </c>
      <c r="D39" s="42">
        <v>58.9</v>
      </c>
      <c r="E39" s="16">
        <v>4</v>
      </c>
      <c r="F39">
        <v>4</v>
      </c>
      <c r="G39">
        <v>9</v>
      </c>
      <c r="H39">
        <v>18</v>
      </c>
      <c r="I39" s="36">
        <v>31</v>
      </c>
      <c r="J39" t="s">
        <v>231</v>
      </c>
    </row>
    <row r="40" spans="2:10" x14ac:dyDescent="0.2">
      <c r="B40" t="s">
        <v>23</v>
      </c>
      <c r="D40" s="42">
        <v>-83.5</v>
      </c>
      <c r="E40" s="16">
        <v>-137.69999999999999</v>
      </c>
      <c r="F40">
        <v>-42</v>
      </c>
      <c r="G40">
        <v>-44</v>
      </c>
      <c r="H40">
        <v>-82</v>
      </c>
      <c r="I40" s="36">
        <v>-100</v>
      </c>
      <c r="J40" t="s">
        <v>231</v>
      </c>
    </row>
    <row r="41" spans="2:10" x14ac:dyDescent="0.2">
      <c r="B41" t="s">
        <v>34</v>
      </c>
      <c r="D41" s="42">
        <v>-1.9</v>
      </c>
      <c r="E41" s="16">
        <v>-10</v>
      </c>
      <c r="F41">
        <v>-3</v>
      </c>
      <c r="G41">
        <v>-1</v>
      </c>
      <c r="H41">
        <v>-7</v>
      </c>
      <c r="I41" s="36">
        <v>1</v>
      </c>
      <c r="J41" t="s">
        <v>230</v>
      </c>
    </row>
    <row r="42" spans="2:10" x14ac:dyDescent="0.2">
      <c r="B42" s="13" t="s">
        <v>24</v>
      </c>
      <c r="D42" s="42">
        <v>-26.5</v>
      </c>
      <c r="E42" s="16">
        <v>-143.69999999999999</v>
      </c>
      <c r="F42">
        <v>-41</v>
      </c>
      <c r="G42">
        <v>-37</v>
      </c>
      <c r="H42">
        <v>-72</v>
      </c>
      <c r="I42" s="36">
        <v>-68</v>
      </c>
    </row>
    <row r="43" spans="2:10" x14ac:dyDescent="0.2">
      <c r="B43" s="14" t="s">
        <v>26</v>
      </c>
      <c r="C43" s="15"/>
      <c r="D43" s="43">
        <v>35.6</v>
      </c>
      <c r="E43" s="19">
        <v>-75.2</v>
      </c>
      <c r="F43" s="14">
        <v>85</v>
      </c>
      <c r="G43" s="14">
        <v>130</v>
      </c>
      <c r="H43" s="14">
        <v>94</v>
      </c>
      <c r="I43" s="40">
        <v>117</v>
      </c>
    </row>
    <row r="44" spans="2:10" x14ac:dyDescent="0.2">
      <c r="B44" t="s">
        <v>25</v>
      </c>
      <c r="D44" s="42">
        <v>-27.4</v>
      </c>
      <c r="E44" s="16">
        <v>10.7</v>
      </c>
      <c r="F44">
        <v>-22</v>
      </c>
      <c r="G44">
        <v>-49</v>
      </c>
      <c r="H44">
        <v>-36</v>
      </c>
      <c r="I44" s="36">
        <v>-12</v>
      </c>
      <c r="J44" t="s">
        <v>233</v>
      </c>
    </row>
    <row r="45" spans="2:10" x14ac:dyDescent="0.2">
      <c r="B45" s="14" t="s">
        <v>35</v>
      </c>
      <c r="C45" s="15"/>
      <c r="D45" s="43">
        <v>8.1999999999999993</v>
      </c>
      <c r="E45" s="19">
        <v>-64.5</v>
      </c>
      <c r="F45" s="14">
        <v>63</v>
      </c>
      <c r="G45" s="14">
        <v>80</v>
      </c>
      <c r="H45" s="14">
        <v>58</v>
      </c>
      <c r="I45" s="40">
        <v>106</v>
      </c>
    </row>
    <row r="46" spans="2:10" x14ac:dyDescent="0.2">
      <c r="B46" t="s">
        <v>33</v>
      </c>
      <c r="D46" s="42">
        <v>5.9</v>
      </c>
      <c r="E46" s="16">
        <v>-65.2</v>
      </c>
      <c r="F46">
        <v>63</v>
      </c>
      <c r="G46">
        <v>78</v>
      </c>
      <c r="H46">
        <v>56</v>
      </c>
      <c r="I46" s="36">
        <v>108</v>
      </c>
    </row>
    <row r="47" spans="2:10" x14ac:dyDescent="0.2">
      <c r="B47" t="s">
        <v>27</v>
      </c>
      <c r="D47" s="42">
        <v>2.2999999999999998</v>
      </c>
      <c r="E47" s="16">
        <v>0.7</v>
      </c>
      <c r="F47">
        <v>0</v>
      </c>
      <c r="G47">
        <v>2</v>
      </c>
      <c r="H47">
        <v>2</v>
      </c>
      <c r="I47" s="36">
        <v>-2</v>
      </c>
    </row>
    <row r="48" spans="2:10" x14ac:dyDescent="0.2">
      <c r="B48" s="14" t="s">
        <v>28</v>
      </c>
      <c r="C48" s="15"/>
      <c r="D48" s="60"/>
      <c r="E48" s="15"/>
      <c r="F48" s="15"/>
      <c r="G48" s="15"/>
      <c r="H48" s="15"/>
      <c r="I48" s="61"/>
    </row>
    <row r="49" spans="2:9" x14ac:dyDescent="0.2">
      <c r="B49" t="s">
        <v>29</v>
      </c>
      <c r="D49" s="64">
        <v>7.0000000000000007E-2</v>
      </c>
      <c r="E49" s="13">
        <v>-0.75</v>
      </c>
      <c r="F49" s="13">
        <v>0.6</v>
      </c>
      <c r="G49" s="13">
        <v>0.75</v>
      </c>
      <c r="H49" s="13">
        <v>0.53</v>
      </c>
      <c r="I49" s="41">
        <v>0.93</v>
      </c>
    </row>
  </sheetData>
  <phoneticPr fontId="5" type="noConversion"/>
  <conditionalFormatting sqref="A29:A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{A2E8F0F0-17B2-374E-BBE1-5008B4E432EC}</x14:id>
        </ext>
      </extLst>
    </cfRule>
  </conditionalFormatting>
  <dataValidations count="1">
    <dataValidation type="list" allowBlank="1" showInputMessage="1" showErrorMessage="1" sqref="J28:J49" xr:uid="{7BFD6891-CC60-7A42-AF03-32D49AA4C751}">
      <formula1>$B$10:$B$22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E8F0F0-17B2-374E-BBE1-5008B4E43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A29:A51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F064-3B01-C043-AEDC-55DA76F10114}">
  <dimension ref="A1:P53"/>
  <sheetViews>
    <sheetView showGridLines="0" tabSelected="1" zoomScale="106" zoomScaleNormal="130" workbookViewId="0">
      <selection activeCell="K20" sqref="K20"/>
    </sheetView>
  </sheetViews>
  <sheetFormatPr baseColWidth="10" defaultRowHeight="16" x14ac:dyDescent="0.2"/>
  <cols>
    <col min="2" max="2" width="63.1640625" bestFit="1" customWidth="1"/>
    <col min="3" max="3" width="9" customWidth="1"/>
    <col min="4" max="13" width="12.33203125" bestFit="1" customWidth="1"/>
    <col min="14" max="14" width="12.33203125" customWidth="1"/>
    <col min="15" max="16" width="12.33203125" bestFit="1" customWidth="1"/>
  </cols>
  <sheetData>
    <row r="1" spans="1:16" ht="25" thickBot="1" x14ac:dyDescent="0.35">
      <c r="A1" s="10" t="str">
        <f>_xlfn.CONCAT(Inputs!C7, " - ", "Income Statement", " - ", "in ", Inputs!C9, " ", Inputs!C10)</f>
        <v>HAG - Income Statement - in Euro millions</v>
      </c>
      <c r="B1" s="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7" thickTop="1" x14ac:dyDescent="0.2"/>
    <row r="4" spans="1:16" x14ac:dyDescent="0.2">
      <c r="B4" t="s">
        <v>9</v>
      </c>
      <c r="D4" s="33">
        <f>EDATE(Inputs!$C$8, D5*12)</f>
        <v>43830</v>
      </c>
      <c r="E4" s="9">
        <f>EDATE(Inputs!$C$8, E5*12)</f>
        <v>44196</v>
      </c>
      <c r="F4" s="9">
        <f>EDATE(Inputs!$C$8, F5*12)</f>
        <v>44561</v>
      </c>
      <c r="G4" s="9">
        <f>EDATE(Inputs!$C$8, G5*12)</f>
        <v>44926</v>
      </c>
      <c r="H4" s="9">
        <f>EDATE(Inputs!$C$8, H5*12)</f>
        <v>45291</v>
      </c>
      <c r="I4" s="37">
        <f>EDATE(Inputs!$C$8, I5*12)</f>
        <v>45657</v>
      </c>
      <c r="J4" s="9">
        <f>EDATE(Inputs!$C$8, J5*12)</f>
        <v>46022</v>
      </c>
      <c r="K4" s="9">
        <f>EDATE(Inputs!$C$8, K5*12)</f>
        <v>46387</v>
      </c>
      <c r="L4" s="9">
        <f>EDATE(Inputs!$C$8, L5*12)</f>
        <v>46752</v>
      </c>
      <c r="M4" s="9">
        <f>EDATE(Inputs!$C$8, M5*12)</f>
        <v>47118</v>
      </c>
      <c r="N4" s="9">
        <f>EDATE(Inputs!$C$8, N5*12)</f>
        <v>47483</v>
      </c>
      <c r="P4" s="13" t="s">
        <v>417</v>
      </c>
    </row>
    <row r="5" spans="1:16" x14ac:dyDescent="0.2">
      <c r="B5" t="s">
        <v>10</v>
      </c>
      <c r="D5" s="34">
        <v>-5</v>
      </c>
      <c r="E5" s="8">
        <v>-4</v>
      </c>
      <c r="F5" s="8">
        <v>-3</v>
      </c>
      <c r="G5" s="8">
        <v>-2</v>
      </c>
      <c r="H5" s="8">
        <v>-1</v>
      </c>
      <c r="I5" s="38">
        <v>0</v>
      </c>
      <c r="J5" s="8">
        <v>1</v>
      </c>
      <c r="K5" s="8">
        <v>2</v>
      </c>
      <c r="L5" s="8">
        <v>3</v>
      </c>
      <c r="M5" s="8">
        <v>4</v>
      </c>
      <c r="N5" s="8">
        <v>5</v>
      </c>
      <c r="P5" t="s">
        <v>418</v>
      </c>
    </row>
    <row r="6" spans="1:16" x14ac:dyDescent="0.2">
      <c r="B6" t="s">
        <v>11</v>
      </c>
      <c r="D6" s="34" t="str">
        <f>_xlfn.CONCAT(Inputs!$C$9, " ", Inputs!$C$10)</f>
        <v>Euro millions</v>
      </c>
      <c r="E6" s="8" t="str">
        <f>_xlfn.CONCAT(Inputs!$C$9, " ", Inputs!$C$10)</f>
        <v>Euro millions</v>
      </c>
      <c r="F6" s="8" t="str">
        <f>_xlfn.CONCAT(Inputs!$C$9, " ", Inputs!$C$10)</f>
        <v>Euro millions</v>
      </c>
      <c r="G6" s="8" t="str">
        <f>_xlfn.CONCAT(Inputs!$C$9, " ", Inputs!$C$10)</f>
        <v>Euro millions</v>
      </c>
      <c r="H6" s="8" t="str">
        <f>_xlfn.CONCAT(Inputs!$C$9, " ", Inputs!$C$10)</f>
        <v>Euro millions</v>
      </c>
      <c r="I6" s="38" t="str">
        <f>_xlfn.CONCAT(Inputs!$C$9, " ", Inputs!$C$10)</f>
        <v>Euro millions</v>
      </c>
      <c r="J6" s="8" t="str">
        <f>_xlfn.CONCAT(Inputs!$C$9, " ", Inputs!$C$10)</f>
        <v>Euro millions</v>
      </c>
      <c r="K6" s="8" t="str">
        <f>_xlfn.CONCAT(Inputs!$C$9, " ", Inputs!$C$10)</f>
        <v>Euro millions</v>
      </c>
      <c r="L6" s="8" t="str">
        <f>_xlfn.CONCAT(Inputs!$C$9, " ", Inputs!$C$10)</f>
        <v>Euro millions</v>
      </c>
      <c r="M6" s="8" t="str">
        <f>_xlfn.CONCAT(Inputs!$C$9, " ", Inputs!$C$10)</f>
        <v>Euro millions</v>
      </c>
      <c r="N6" s="8" t="str">
        <f>_xlfn.CONCAT(Inputs!$C$9, " ", Inputs!$C$10)</f>
        <v>Euro millions</v>
      </c>
      <c r="P6" t="s">
        <v>419</v>
      </c>
    </row>
    <row r="7" spans="1:16" x14ac:dyDescent="0.2">
      <c r="B7" t="s">
        <v>12</v>
      </c>
      <c r="D7" s="34" t="str">
        <f>IF(D5&lt;=0, "Historical", "Forecasted")</f>
        <v>Historical</v>
      </c>
      <c r="E7" s="8" t="str">
        <f>IF(E5&lt;=0, "Historical", "Forecasted")</f>
        <v>Historical</v>
      </c>
      <c r="F7" s="8" t="str">
        <f t="shared" ref="F7:N7" si="0">IF(F5&lt;=0, "Historical", "Forecasted")</f>
        <v>Historical</v>
      </c>
      <c r="G7" s="8" t="str">
        <f t="shared" si="0"/>
        <v>Historical</v>
      </c>
      <c r="H7" s="8" t="str">
        <f t="shared" si="0"/>
        <v>Historical</v>
      </c>
      <c r="I7" s="38" t="str">
        <f t="shared" si="0"/>
        <v>Historical</v>
      </c>
      <c r="J7" s="8" t="str">
        <f t="shared" si="0"/>
        <v>Forecasted</v>
      </c>
      <c r="K7" s="8" t="str">
        <f t="shared" si="0"/>
        <v>Forecasted</v>
      </c>
      <c r="L7" s="8" t="str">
        <f t="shared" si="0"/>
        <v>Forecasted</v>
      </c>
      <c r="M7" s="8" t="str">
        <f t="shared" si="0"/>
        <v>Forecasted</v>
      </c>
      <c r="N7" s="8" t="str">
        <f t="shared" si="0"/>
        <v>Forecasted</v>
      </c>
    </row>
    <row r="8" spans="1:16" x14ac:dyDescent="0.2">
      <c r="D8" s="32"/>
      <c r="I8" s="36"/>
      <c r="P8" t="s">
        <v>503</v>
      </c>
    </row>
    <row r="9" spans="1:16" ht="25" thickBot="1" x14ac:dyDescent="0.35">
      <c r="B9" s="17" t="s">
        <v>88</v>
      </c>
      <c r="D9" s="32"/>
      <c r="I9" s="36"/>
    </row>
    <row r="10" spans="1:16" x14ac:dyDescent="0.2">
      <c r="D10" s="32"/>
      <c r="I10" s="36"/>
    </row>
    <row r="11" spans="1:16" x14ac:dyDescent="0.2">
      <c r="B11" s="248" t="s">
        <v>576</v>
      </c>
      <c r="C11" s="22"/>
      <c r="D11" s="110"/>
      <c r="E11" s="22"/>
      <c r="F11" s="22"/>
      <c r="G11" s="22"/>
      <c r="H11" s="22"/>
      <c r="I11" s="22"/>
      <c r="J11" s="110"/>
      <c r="K11" s="22"/>
      <c r="L11" s="22"/>
      <c r="M11" s="22"/>
      <c r="N11" s="22"/>
      <c r="P11" s="13"/>
    </row>
    <row r="12" spans="1:16" x14ac:dyDescent="0.2">
      <c r="B12" s="247" t="s">
        <v>14</v>
      </c>
      <c r="D12" s="32">
        <f>SUMIF($J$32:$J$53,$B$12,D32:D53)</f>
        <v>1114.2</v>
      </c>
      <c r="E12" s="32">
        <f>SUMIF($J$32:$J$53,$B$12,E32:E53)</f>
        <v>1206.9000000000001</v>
      </c>
      <c r="F12" s="32">
        <f>SUMIF($J$32:$J$53,$B$12,F32:F53)</f>
        <v>1474</v>
      </c>
      <c r="G12" s="32">
        <f>SUMIF($J$32:$J$53,$B$12,G32:G53)</f>
        <v>1707</v>
      </c>
      <c r="H12" s="32">
        <f>SUMIF($J$32:$J$53,$B$12,H32:H53)</f>
        <v>1847</v>
      </c>
      <c r="I12" s="32">
        <f>SUMIF($J$32:$J$53,$B$12,I32:I53)</f>
        <v>2240</v>
      </c>
      <c r="J12" s="32"/>
      <c r="P12" s="13"/>
    </row>
    <row r="13" spans="1:16" x14ac:dyDescent="0.2">
      <c r="B13" s="247" t="s">
        <v>577</v>
      </c>
      <c r="D13" s="32">
        <f>SUMIF($J$32:$J$53,$B$13,D32:D53)</f>
        <v>-859.3</v>
      </c>
      <c r="E13" s="32">
        <f>SUMIF($J$32:$J$53,$B$13,E32:E53)</f>
        <v>-936.1</v>
      </c>
      <c r="F13" s="32">
        <f>SUMIF($J$32:$J$53,$B$13,F32:F53)</f>
        <v>-1144</v>
      </c>
      <c r="G13" s="32">
        <f>SUMIF($J$32:$J$53,$B$13,G32:G53)</f>
        <v>-1314</v>
      </c>
      <c r="H13" s="32">
        <f>SUMIF($J$32:$J$53,$B$13,H32:H53)</f>
        <v>-1427</v>
      </c>
      <c r="I13" s="32">
        <f>SUMIF($J$32:$J$53,$B$13,I32:I53)</f>
        <v>-1732</v>
      </c>
      <c r="J13" s="32"/>
      <c r="P13" s="13"/>
    </row>
    <row r="14" spans="1:16" ht="17" thickBot="1" x14ac:dyDescent="0.25">
      <c r="B14" s="256" t="s">
        <v>224</v>
      </c>
      <c r="C14" s="26"/>
      <c r="D14" s="264">
        <f>SUM(D12:D13)</f>
        <v>254.90000000000009</v>
      </c>
      <c r="E14" s="264">
        <f t="shared" ref="E14:I14" si="1">SUM(E12:E13)</f>
        <v>270.80000000000007</v>
      </c>
      <c r="F14" s="264">
        <f t="shared" si="1"/>
        <v>330</v>
      </c>
      <c r="G14" s="264">
        <f t="shared" si="1"/>
        <v>393</v>
      </c>
      <c r="H14" s="264">
        <f t="shared" si="1"/>
        <v>420</v>
      </c>
      <c r="I14" s="264">
        <f t="shared" si="1"/>
        <v>508</v>
      </c>
      <c r="J14" s="264"/>
      <c r="K14" s="26"/>
      <c r="L14" s="26"/>
      <c r="M14" s="26"/>
      <c r="N14" s="26"/>
      <c r="P14" s="13"/>
    </row>
    <row r="15" spans="1:16" x14ac:dyDescent="0.2">
      <c r="B15" s="247" t="s">
        <v>578</v>
      </c>
      <c r="D15" s="32">
        <f>SUMIF($J$32:$J$53,$B$15,D32:D53)</f>
        <v>0</v>
      </c>
      <c r="E15" s="32">
        <f>SUMIF($J$32:$J$53,$B$15,E32:E53)</f>
        <v>0</v>
      </c>
      <c r="F15" s="32">
        <f>SUMIF($J$32:$J$53,$B$15,F32:F53)</f>
        <v>0</v>
      </c>
      <c r="G15" s="32">
        <f>SUMIF($J$32:$J$53,$B$15,G32:G53)</f>
        <v>0</v>
      </c>
      <c r="H15" s="32">
        <f>SUMIF($J$32:$J$53,$B$15,H32:H53)</f>
        <v>0</v>
      </c>
      <c r="I15" s="32">
        <f>SUMIF($J$32:$J$53,$B$15,I32:I53)</f>
        <v>0</v>
      </c>
      <c r="J15" s="32"/>
      <c r="P15" s="13"/>
    </row>
    <row r="16" spans="1:16" x14ac:dyDescent="0.2">
      <c r="B16" s="247" t="s">
        <v>255</v>
      </c>
      <c r="D16" s="32">
        <f>SUMIF($J$32:$J$53,$B$16,D32:D53)</f>
        <v>-161.1</v>
      </c>
      <c r="E16" s="32">
        <f>SUMIF($J$32:$J$53,$B$16,E32:E53)</f>
        <v>-177.4</v>
      </c>
      <c r="F16" s="32">
        <f>SUMIF($J$32:$J$53,$B$16,F32:F53)</f>
        <v>-182</v>
      </c>
      <c r="G16" s="32">
        <f>SUMIF($J$32:$J$53,$B$16,G32:G53)</f>
        <v>-199</v>
      </c>
      <c r="H16" s="32">
        <f>SUMIF($J$32:$J$53,$B$16,H32:H53)</f>
        <v>-229</v>
      </c>
      <c r="I16" s="32">
        <f>SUMIF($J$32:$J$53,$B$16,I32:I53)</f>
        <v>-290</v>
      </c>
      <c r="J16" s="32"/>
      <c r="P16" s="13"/>
    </row>
    <row r="17" spans="2:16" x14ac:dyDescent="0.2">
      <c r="B17" s="247" t="s">
        <v>261</v>
      </c>
      <c r="D17" s="32">
        <f>SUMIF($J$32:$J$53,$B$17,D32:D53)</f>
        <v>-31</v>
      </c>
      <c r="E17" s="32">
        <f>SUMIF($J$32:$J$53,$B$17,E32:E53)</f>
        <v>-25.1</v>
      </c>
      <c r="F17" s="32">
        <f>SUMIF($J$32:$J$53,$B$17,F32:F53)</f>
        <v>-31</v>
      </c>
      <c r="G17" s="32">
        <f>SUMIF($J$32:$J$53,$B$17,G32:G53)</f>
        <v>-36</v>
      </c>
      <c r="H17" s="32">
        <f>SUMIF($J$32:$J$53,$B$17,H32:H53)</f>
        <v>-30</v>
      </c>
      <c r="I17" s="32">
        <f>SUMIF($J$32:$J$53,$B$17,I32:I53)</f>
        <v>-32</v>
      </c>
      <c r="J17" s="32"/>
      <c r="P17" s="13"/>
    </row>
    <row r="18" spans="2:16" x14ac:dyDescent="0.2">
      <c r="B18" s="247" t="s">
        <v>579</v>
      </c>
      <c r="D18" s="32">
        <f>SUMIF($J$32:$J$53,$B$18,D32:D53)</f>
        <v>-0.7</v>
      </c>
      <c r="E18" s="32">
        <f>SUMIF($J$32:$J$53,$B$18,E32:E53)</f>
        <v>0.19999999999999707</v>
      </c>
      <c r="F18" s="32">
        <f>SUMIF($J$32:$J$53,$B$18,F32:F53)</f>
        <v>9</v>
      </c>
      <c r="G18" s="32">
        <f>SUMIF($J$32:$J$53,$B$18,G32:G53)</f>
        <v>8</v>
      </c>
      <c r="H18" s="32">
        <f>SUMIF($J$32:$J$53,$B$18,H32:H53)</f>
        <v>6</v>
      </c>
      <c r="I18" s="32">
        <f>SUMIF($J$32:$J$53,$B$18,I32:I53)</f>
        <v>-2</v>
      </c>
      <c r="J18" s="32"/>
      <c r="P18" s="13"/>
    </row>
    <row r="19" spans="2:16" ht="17" thickBot="1" x14ac:dyDescent="0.25">
      <c r="B19" s="256" t="s">
        <v>580</v>
      </c>
      <c r="C19" s="26"/>
      <c r="D19" s="264">
        <f>SUM(D14:D18)</f>
        <v>62.100000000000094</v>
      </c>
      <c r="E19" s="264">
        <f t="shared" ref="E19:I19" si="2">SUM(E14:E18)</f>
        <v>68.500000000000071</v>
      </c>
      <c r="F19" s="264">
        <f t="shared" si="2"/>
        <v>126</v>
      </c>
      <c r="G19" s="264">
        <f t="shared" si="2"/>
        <v>166</v>
      </c>
      <c r="H19" s="264">
        <f t="shared" si="2"/>
        <v>167</v>
      </c>
      <c r="I19" s="264">
        <f t="shared" si="2"/>
        <v>184</v>
      </c>
      <c r="J19" s="264"/>
      <c r="K19" s="26"/>
      <c r="L19" s="26"/>
      <c r="M19" s="26"/>
      <c r="N19" s="26"/>
    </row>
    <row r="20" spans="2:16" x14ac:dyDescent="0.2">
      <c r="B20" s="247" t="s">
        <v>588</v>
      </c>
      <c r="D20" s="32">
        <f>SUMIF($J$32:$J$53,$B$20,D32:D53)</f>
        <v>-83.5</v>
      </c>
      <c r="E20" s="32">
        <f>SUMIF($J$32:$J$53,$B$20,E32:E53)</f>
        <v>-137.69999999999999</v>
      </c>
      <c r="F20" s="32">
        <f>SUMIF($J$32:$J$53,$B$20,F32:F53)</f>
        <v>-42</v>
      </c>
      <c r="G20" s="32">
        <f>SUMIF($J$32:$J$53,$B$20,G32:G53)</f>
        <v>-44</v>
      </c>
      <c r="H20" s="32">
        <f>SUMIF($J$32:$J$53,$B$20,H32:H53)</f>
        <v>-82</v>
      </c>
      <c r="I20" s="32">
        <f>SUMIF($J$32:$J$53,$B$20,I32:I53)</f>
        <v>-100</v>
      </c>
      <c r="J20" s="32"/>
      <c r="K20" t="s">
        <v>592</v>
      </c>
    </row>
    <row r="21" spans="2:16" x14ac:dyDescent="0.2">
      <c r="B21" s="247" t="s">
        <v>589</v>
      </c>
      <c r="D21" s="32">
        <f>SUMIF($J$32:$J$53,$B$21,D32:D53)</f>
        <v>58.9</v>
      </c>
      <c r="E21" s="32">
        <f>SUMIF($J$32:$J$53,$B$21,E32:E53)</f>
        <v>4</v>
      </c>
      <c r="F21" s="32">
        <f>SUMIF($J$32:$J$53,$B$21,F32:F53)</f>
        <v>4</v>
      </c>
      <c r="G21" s="32">
        <f>SUMIF($J$32:$J$53,$B$21,G32:G53)</f>
        <v>9</v>
      </c>
      <c r="H21" s="32">
        <f>SUMIF($J$32:$J$53,$B$21,H32:H53)</f>
        <v>18</v>
      </c>
      <c r="I21" s="32">
        <f>SUMIF($J$32:$J$53,$B$21,I32:I53)</f>
        <v>31</v>
      </c>
      <c r="J21" s="32"/>
    </row>
    <row r="22" spans="2:16" x14ac:dyDescent="0.2">
      <c r="B22" s="247" t="s">
        <v>590</v>
      </c>
      <c r="D22" s="32">
        <f>SUMIF($J$32:$J$53,$B$22,D32:D53)</f>
        <v>-28.4</v>
      </c>
      <c r="E22" s="32">
        <f>SUMIF($J$32:$J$53,$B$22,E32:E53)</f>
        <v>-153.69999999999999</v>
      </c>
      <c r="F22" s="32">
        <f>SUMIF($J$32:$J$53,$B$22,F32:F53)</f>
        <v>-44</v>
      </c>
      <c r="G22" s="32">
        <f>SUMIF($J$32:$J$53,$B$22,G32:G53)</f>
        <v>-38</v>
      </c>
      <c r="H22" s="32">
        <f>SUMIF($J$32:$J$53,$B$22,H32:H53)</f>
        <v>-79</v>
      </c>
      <c r="I22" s="32">
        <f>SUMIF($J$32:$J$53,$B$22,I32:I53)</f>
        <v>-67</v>
      </c>
      <c r="J22" s="32"/>
    </row>
    <row r="23" spans="2:16" ht="17" thickBot="1" x14ac:dyDescent="0.25">
      <c r="B23" s="256" t="s">
        <v>581</v>
      </c>
      <c r="C23" s="26"/>
      <c r="D23" s="264">
        <f>SUM(D19:D22)</f>
        <v>9.1000000000000938</v>
      </c>
      <c r="E23" s="264">
        <f>SUM(E19:E22)</f>
        <v>-218.89999999999992</v>
      </c>
      <c r="F23" s="264">
        <f t="shared" ref="E23:I23" si="3">SUM(F19:F22)</f>
        <v>44</v>
      </c>
      <c r="G23" s="264">
        <f t="shared" si="3"/>
        <v>93</v>
      </c>
      <c r="H23" s="264">
        <f t="shared" si="3"/>
        <v>24</v>
      </c>
      <c r="I23" s="264">
        <f t="shared" si="3"/>
        <v>48</v>
      </c>
      <c r="J23" s="264"/>
      <c r="K23" s="26"/>
      <c r="L23" s="26"/>
      <c r="M23" s="26"/>
      <c r="N23" s="26"/>
    </row>
    <row r="24" spans="2:16" x14ac:dyDescent="0.2">
      <c r="B24" s="247" t="s">
        <v>233</v>
      </c>
      <c r="D24" s="32">
        <f>SUMIF($J$32:$J$53,$B$24,D32:D53)</f>
        <v>-27.4</v>
      </c>
      <c r="E24" s="32">
        <f t="shared" ref="E24:I24" si="4">SUMIF($J$32:$J$53,$B$24,E32:E53)</f>
        <v>10.7</v>
      </c>
      <c r="F24" s="32">
        <f t="shared" si="4"/>
        <v>-22</v>
      </c>
      <c r="G24" s="32">
        <f t="shared" si="4"/>
        <v>-49</v>
      </c>
      <c r="H24" s="32">
        <f t="shared" si="4"/>
        <v>-36</v>
      </c>
      <c r="I24" s="32">
        <f t="shared" si="4"/>
        <v>-12</v>
      </c>
      <c r="J24" s="32"/>
    </row>
    <row r="25" spans="2:16" ht="17" thickBot="1" x14ac:dyDescent="0.25">
      <c r="B25" s="256" t="s">
        <v>582</v>
      </c>
      <c r="C25" s="26"/>
      <c r="D25" s="264"/>
      <c r="E25" s="264"/>
      <c r="F25" s="264"/>
      <c r="G25" s="264"/>
      <c r="H25" s="264"/>
      <c r="I25" s="264"/>
      <c r="J25" s="264"/>
      <c r="K25" s="26"/>
      <c r="L25" s="26"/>
      <c r="M25" s="26"/>
      <c r="N25" s="26"/>
    </row>
    <row r="26" spans="2:16" x14ac:dyDescent="0.2">
      <c r="B26" s="247" t="s">
        <v>583</v>
      </c>
      <c r="D26" s="32">
        <f>SUMIF($J$32:$J$53,$B$26,D32:D53)</f>
        <v>5.9</v>
      </c>
      <c r="E26" s="32">
        <f t="shared" ref="E26:I26" si="5">SUMIF($J$32:$J$53,$B$26,E32:E53)</f>
        <v>-65.2</v>
      </c>
      <c r="F26" s="32">
        <f t="shared" si="5"/>
        <v>63</v>
      </c>
      <c r="G26" s="32">
        <f t="shared" si="5"/>
        <v>78</v>
      </c>
      <c r="H26" s="32">
        <f t="shared" si="5"/>
        <v>56</v>
      </c>
      <c r="I26" s="32">
        <f t="shared" si="5"/>
        <v>108</v>
      </c>
      <c r="J26" s="32"/>
    </row>
    <row r="27" spans="2:16" x14ac:dyDescent="0.2">
      <c r="B27" s="247" t="s">
        <v>584</v>
      </c>
      <c r="D27" s="32">
        <f>SUMIF($J$32:$J$53,$B$27,D32:D53)</f>
        <v>2.2999999999999998</v>
      </c>
      <c r="E27" s="32">
        <f t="shared" ref="E27:I27" si="6">SUMIF($J$32:$J$53,$B$27,E32:E53)</f>
        <v>0.7</v>
      </c>
      <c r="F27" s="32">
        <f t="shared" si="6"/>
        <v>0</v>
      </c>
      <c r="G27" s="32">
        <f t="shared" si="6"/>
        <v>2</v>
      </c>
      <c r="H27" s="32">
        <f t="shared" si="6"/>
        <v>2</v>
      </c>
      <c r="I27" s="32">
        <f t="shared" si="6"/>
        <v>-2</v>
      </c>
      <c r="J27" s="32"/>
    </row>
    <row r="28" spans="2:16" ht="17" thickBot="1" x14ac:dyDescent="0.25">
      <c r="B28" s="251" t="s">
        <v>585</v>
      </c>
      <c r="C28" s="260"/>
      <c r="D28" s="262"/>
      <c r="E28" s="262"/>
      <c r="F28" s="262"/>
      <c r="G28" s="262"/>
      <c r="H28" s="262"/>
      <c r="I28" s="262"/>
      <c r="J28" s="262"/>
      <c r="K28" s="253"/>
      <c r="L28" s="253"/>
      <c r="M28" s="253"/>
      <c r="N28" s="253"/>
    </row>
    <row r="29" spans="2:16" ht="17" thickTop="1" x14ac:dyDescent="0.2">
      <c r="B29" s="247" t="s">
        <v>591</v>
      </c>
      <c r="C29" s="277">
        <v>116</v>
      </c>
      <c r="D29">
        <f>D53</f>
        <v>7.0000000000000007E-2</v>
      </c>
      <c r="E29">
        <f t="shared" ref="E29:I29" si="7">E53</f>
        <v>-0.75</v>
      </c>
      <c r="F29">
        <f t="shared" si="7"/>
        <v>0.6</v>
      </c>
      <c r="G29">
        <f t="shared" si="7"/>
        <v>0.75</v>
      </c>
      <c r="H29">
        <f t="shared" si="7"/>
        <v>0.53</v>
      </c>
      <c r="I29" s="230">
        <f t="shared" si="7"/>
        <v>0.93</v>
      </c>
      <c r="J29" s="32"/>
    </row>
    <row r="31" spans="2:16" x14ac:dyDescent="0.2">
      <c r="B31" s="108" t="s">
        <v>587</v>
      </c>
      <c r="C31" s="108"/>
      <c r="D31" s="263">
        <v>2019</v>
      </c>
      <c r="E31" s="108">
        <v>2020</v>
      </c>
      <c r="F31" s="108">
        <v>2021</v>
      </c>
      <c r="G31" s="108">
        <v>2022</v>
      </c>
      <c r="H31" s="108">
        <v>2023</v>
      </c>
      <c r="I31" s="109">
        <v>2024</v>
      </c>
    </row>
    <row r="32" spans="2:16" x14ac:dyDescent="0.2">
      <c r="B32" t="s">
        <v>14</v>
      </c>
      <c r="D32" s="42">
        <v>1114.2</v>
      </c>
      <c r="E32" s="16">
        <v>1206.9000000000001</v>
      </c>
      <c r="F32">
        <v>1474</v>
      </c>
      <c r="G32">
        <v>1707</v>
      </c>
      <c r="H32">
        <v>1847</v>
      </c>
      <c r="I32" s="36">
        <v>2240</v>
      </c>
      <c r="J32" t="s">
        <v>14</v>
      </c>
    </row>
    <row r="33" spans="2:10" x14ac:dyDescent="0.2">
      <c r="B33" t="s">
        <v>15</v>
      </c>
      <c r="D33" s="42">
        <v>-859.3</v>
      </c>
      <c r="E33" s="16">
        <v>-936.1</v>
      </c>
      <c r="F33">
        <v>-1144</v>
      </c>
      <c r="G33">
        <v>-1314</v>
      </c>
      <c r="H33">
        <v>-1427</v>
      </c>
      <c r="I33" s="36">
        <v>-1732</v>
      </c>
      <c r="J33" t="s">
        <v>577</v>
      </c>
    </row>
    <row r="34" spans="2:10" x14ac:dyDescent="0.2">
      <c r="B34" s="14" t="s">
        <v>16</v>
      </c>
      <c r="C34" s="15"/>
      <c r="D34" s="43">
        <v>254.9</v>
      </c>
      <c r="E34" s="19">
        <v>270.8</v>
      </c>
      <c r="F34" s="14">
        <v>330</v>
      </c>
      <c r="G34" s="14">
        <v>393</v>
      </c>
      <c r="H34" s="14">
        <v>420</v>
      </c>
      <c r="I34" s="40">
        <v>508</v>
      </c>
      <c r="J34" t="s">
        <v>224</v>
      </c>
    </row>
    <row r="35" spans="2:10" x14ac:dyDescent="0.2">
      <c r="B35" t="s">
        <v>17</v>
      </c>
      <c r="D35" s="42">
        <v>-84.8</v>
      </c>
      <c r="E35" s="16">
        <v>-90.2</v>
      </c>
      <c r="F35">
        <v>-99</v>
      </c>
      <c r="G35">
        <v>-107</v>
      </c>
      <c r="H35">
        <v>-111</v>
      </c>
      <c r="I35" s="36">
        <v>-128</v>
      </c>
      <c r="J35" t="s">
        <v>255</v>
      </c>
    </row>
    <row r="36" spans="2:10" x14ac:dyDescent="0.2">
      <c r="B36" t="s">
        <v>18</v>
      </c>
      <c r="D36" s="42">
        <v>-76.3</v>
      </c>
      <c r="E36" s="16">
        <v>-87.2</v>
      </c>
      <c r="F36">
        <v>-83</v>
      </c>
      <c r="G36">
        <v>-92</v>
      </c>
      <c r="H36">
        <v>-118</v>
      </c>
      <c r="I36" s="36">
        <v>-162</v>
      </c>
      <c r="J36" t="s">
        <v>255</v>
      </c>
    </row>
    <row r="37" spans="2:10" x14ac:dyDescent="0.2">
      <c r="B37" t="s">
        <v>19</v>
      </c>
      <c r="D37" s="42">
        <v>-31</v>
      </c>
      <c r="E37" s="16">
        <v>-25.1</v>
      </c>
      <c r="F37">
        <v>-31</v>
      </c>
      <c r="G37">
        <v>-36</v>
      </c>
      <c r="H37">
        <v>-30</v>
      </c>
      <c r="I37" s="36">
        <v>-32</v>
      </c>
      <c r="J37" t="s">
        <v>261</v>
      </c>
    </row>
    <row r="38" spans="2:10" x14ac:dyDescent="0.2">
      <c r="B38" t="s">
        <v>20</v>
      </c>
      <c r="D38" s="42">
        <v>25.3</v>
      </c>
      <c r="E38" s="16">
        <v>18.899999999999999</v>
      </c>
      <c r="F38">
        <v>29</v>
      </c>
      <c r="G38">
        <v>21</v>
      </c>
      <c r="H38">
        <v>22</v>
      </c>
      <c r="I38" s="36">
        <v>22</v>
      </c>
      <c r="J38" t="s">
        <v>579</v>
      </c>
    </row>
    <row r="39" spans="2:10" x14ac:dyDescent="0.2">
      <c r="B39" t="s">
        <v>21</v>
      </c>
      <c r="D39" s="42">
        <v>-24.8</v>
      </c>
      <c r="E39" s="16">
        <v>-16.100000000000001</v>
      </c>
      <c r="F39">
        <v>-18</v>
      </c>
      <c r="G39">
        <v>-21</v>
      </c>
      <c r="H39">
        <v>-21</v>
      </c>
      <c r="I39" s="36">
        <v>-24</v>
      </c>
      <c r="J39" t="s">
        <v>579</v>
      </c>
    </row>
    <row r="40" spans="2:10" x14ac:dyDescent="0.2">
      <c r="B40" t="s">
        <v>30</v>
      </c>
      <c r="D40" s="42">
        <v>-1.2</v>
      </c>
      <c r="E40" s="16">
        <v>-2.6</v>
      </c>
      <c r="F40">
        <v>-2</v>
      </c>
      <c r="G40">
        <v>0</v>
      </c>
      <c r="H40">
        <v>0</v>
      </c>
      <c r="I40" s="36">
        <v>3</v>
      </c>
      <c r="J40" t="s">
        <v>579</v>
      </c>
    </row>
    <row r="41" spans="2:10" x14ac:dyDescent="0.2">
      <c r="B41" t="s">
        <v>31</v>
      </c>
      <c r="C41" s="12"/>
      <c r="D41" s="42">
        <v>0</v>
      </c>
      <c r="E41" s="16">
        <v>0</v>
      </c>
      <c r="F41">
        <v>0</v>
      </c>
      <c r="G41">
        <v>8</v>
      </c>
      <c r="H41">
        <v>5</v>
      </c>
      <c r="I41" s="36">
        <v>-3</v>
      </c>
      <c r="J41" t="s">
        <v>579</v>
      </c>
    </row>
    <row r="42" spans="2:10" x14ac:dyDescent="0.2">
      <c r="B42" s="14" t="s">
        <v>32</v>
      </c>
      <c r="C42" s="15"/>
      <c r="D42" s="43">
        <v>62.1</v>
      </c>
      <c r="E42" s="19">
        <v>68.5</v>
      </c>
      <c r="F42" s="14">
        <v>126</v>
      </c>
      <c r="G42" s="14">
        <v>166</v>
      </c>
      <c r="H42" s="14">
        <v>166</v>
      </c>
      <c r="I42" s="40">
        <v>185</v>
      </c>
      <c r="J42" t="s">
        <v>580</v>
      </c>
    </row>
    <row r="43" spans="2:10" x14ac:dyDescent="0.2">
      <c r="B43" t="s">
        <v>22</v>
      </c>
      <c r="D43" s="42">
        <v>58.9</v>
      </c>
      <c r="E43" s="16">
        <v>4</v>
      </c>
      <c r="F43">
        <v>4</v>
      </c>
      <c r="G43">
        <v>9</v>
      </c>
      <c r="H43">
        <v>18</v>
      </c>
      <c r="I43" s="36">
        <v>31</v>
      </c>
      <c r="J43" t="s">
        <v>589</v>
      </c>
    </row>
    <row r="44" spans="2:10" x14ac:dyDescent="0.2">
      <c r="B44" t="s">
        <v>23</v>
      </c>
      <c r="D44" s="42">
        <v>-83.5</v>
      </c>
      <c r="E44" s="16">
        <v>-137.69999999999999</v>
      </c>
      <c r="F44">
        <v>-42</v>
      </c>
      <c r="G44">
        <v>-44</v>
      </c>
      <c r="H44">
        <v>-82</v>
      </c>
      <c r="I44" s="36">
        <v>-100</v>
      </c>
      <c r="J44" t="s">
        <v>588</v>
      </c>
    </row>
    <row r="45" spans="2:10" x14ac:dyDescent="0.2">
      <c r="B45" t="s">
        <v>34</v>
      </c>
      <c r="D45" s="42">
        <v>-1.9</v>
      </c>
      <c r="E45" s="16">
        <v>-10</v>
      </c>
      <c r="F45">
        <v>-3</v>
      </c>
      <c r="G45">
        <v>-1</v>
      </c>
      <c r="H45">
        <v>-7</v>
      </c>
      <c r="I45" s="36">
        <v>1</v>
      </c>
      <c r="J45" t="s">
        <v>590</v>
      </c>
    </row>
    <row r="46" spans="2:10" x14ac:dyDescent="0.2">
      <c r="B46" s="58" t="s">
        <v>24</v>
      </c>
      <c r="D46" s="42">
        <v>-26.5</v>
      </c>
      <c r="E46" s="16">
        <v>-143.69999999999999</v>
      </c>
      <c r="F46">
        <v>-41</v>
      </c>
      <c r="G46">
        <v>-37</v>
      </c>
      <c r="H46">
        <v>-72</v>
      </c>
      <c r="I46" s="36">
        <v>-68</v>
      </c>
      <c r="J46" t="s">
        <v>590</v>
      </c>
    </row>
    <row r="47" spans="2:10" x14ac:dyDescent="0.2">
      <c r="B47" s="14" t="s">
        <v>26</v>
      </c>
      <c r="C47" s="15"/>
      <c r="D47" s="43">
        <v>35.6</v>
      </c>
      <c r="E47" s="19">
        <v>-75.2</v>
      </c>
      <c r="F47" s="14">
        <v>85</v>
      </c>
      <c r="G47" s="14">
        <v>130</v>
      </c>
      <c r="H47" s="14">
        <v>94</v>
      </c>
      <c r="I47" s="40">
        <v>117</v>
      </c>
      <c r="J47" t="s">
        <v>581</v>
      </c>
    </row>
    <row r="48" spans="2:10" x14ac:dyDescent="0.2">
      <c r="B48" t="s">
        <v>25</v>
      </c>
      <c r="D48" s="42">
        <v>-27.4</v>
      </c>
      <c r="E48" s="16">
        <v>10.7</v>
      </c>
      <c r="F48">
        <v>-22</v>
      </c>
      <c r="G48">
        <v>-49</v>
      </c>
      <c r="H48">
        <v>-36</v>
      </c>
      <c r="I48" s="36">
        <v>-12</v>
      </c>
      <c r="J48" t="s">
        <v>233</v>
      </c>
    </row>
    <row r="49" spans="2:10" x14ac:dyDescent="0.2">
      <c r="B49" s="14" t="s">
        <v>35</v>
      </c>
      <c r="C49" s="15"/>
      <c r="D49" s="43">
        <v>8.1999999999999993</v>
      </c>
      <c r="E49" s="19">
        <v>-64.5</v>
      </c>
      <c r="F49" s="14">
        <v>63</v>
      </c>
      <c r="G49" s="14">
        <v>80</v>
      </c>
      <c r="H49" s="14">
        <v>58</v>
      </c>
      <c r="I49" s="40">
        <v>106</v>
      </c>
      <c r="J49" t="s">
        <v>581</v>
      </c>
    </row>
    <row r="50" spans="2:10" x14ac:dyDescent="0.2">
      <c r="B50" t="s">
        <v>33</v>
      </c>
      <c r="D50" s="42">
        <v>5.9</v>
      </c>
      <c r="E50" s="16">
        <v>-65.2</v>
      </c>
      <c r="F50">
        <v>63</v>
      </c>
      <c r="G50">
        <v>78</v>
      </c>
      <c r="H50">
        <v>56</v>
      </c>
      <c r="I50" s="36">
        <v>108</v>
      </c>
      <c r="J50" t="s">
        <v>583</v>
      </c>
    </row>
    <row r="51" spans="2:10" x14ac:dyDescent="0.2">
      <c r="B51" t="s">
        <v>27</v>
      </c>
      <c r="D51" s="42">
        <v>2.2999999999999998</v>
      </c>
      <c r="E51" s="16">
        <v>0.7</v>
      </c>
      <c r="F51">
        <v>0</v>
      </c>
      <c r="G51">
        <v>2</v>
      </c>
      <c r="H51">
        <v>2</v>
      </c>
      <c r="I51" s="36">
        <v>-2</v>
      </c>
      <c r="J51" t="s">
        <v>584</v>
      </c>
    </row>
    <row r="52" spans="2:10" x14ac:dyDescent="0.2">
      <c r="B52" s="14" t="s">
        <v>28</v>
      </c>
      <c r="C52" s="15"/>
      <c r="D52" s="60"/>
      <c r="E52" s="15"/>
      <c r="F52" s="15"/>
      <c r="G52" s="15"/>
      <c r="H52" s="15"/>
      <c r="I52" s="61"/>
    </row>
    <row r="53" spans="2:10" x14ac:dyDescent="0.2">
      <c r="B53" t="s">
        <v>29</v>
      </c>
      <c r="D53" s="64">
        <v>7.0000000000000007E-2</v>
      </c>
      <c r="E53" s="13">
        <v>-0.75</v>
      </c>
      <c r="F53" s="13">
        <v>0.6</v>
      </c>
      <c r="G53" s="13">
        <v>0.75</v>
      </c>
      <c r="H53" s="13">
        <v>0.53</v>
      </c>
      <c r="I53" s="41">
        <v>0.93</v>
      </c>
      <c r="J53" t="s">
        <v>586</v>
      </c>
    </row>
  </sheetData>
  <conditionalFormatting sqref="A33:A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{95415A50-43EA-C340-AD3E-CB55D27E7C09}</x14:id>
        </ext>
      </extLst>
    </cfRule>
  </conditionalFormatting>
  <dataValidations count="1">
    <dataValidation type="list" allowBlank="1" showInputMessage="1" showErrorMessage="1" sqref="J32:J53" xr:uid="{9EC354BB-E8EA-F34F-9C67-2002E1B50E0A}">
      <formula1>$B$11:$B$29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415A50-43EA-C340-AD3E-CB55D27E7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A33:A55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16D8-288A-194A-9F06-6F52C6AC2068}">
  <dimension ref="A1:N156"/>
  <sheetViews>
    <sheetView showGridLines="0" zoomScale="89" zoomScaleNormal="110" workbookViewId="0">
      <selection activeCell="J17" sqref="J17:N19"/>
    </sheetView>
  </sheetViews>
  <sheetFormatPr baseColWidth="10" defaultRowHeight="16" x14ac:dyDescent="0.2"/>
  <cols>
    <col min="2" max="2" width="50.83203125" customWidth="1"/>
    <col min="5" max="14" width="11.5" bestFit="1" customWidth="1"/>
  </cols>
  <sheetData>
    <row r="1" spans="1:14" ht="25" thickBot="1" x14ac:dyDescent="0.35">
      <c r="A1" s="10" t="str">
        <f>_xlfn.CONCAT(Inputs!C7, " - ", "Balance Sheet", " - ", "in ", Inputs!C9, " ", Inputs!C10)</f>
        <v>HAG - Balance Sheet - in Euro millions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7" thickTop="1" x14ac:dyDescent="0.2"/>
    <row r="4" spans="1:14" x14ac:dyDescent="0.2">
      <c r="B4" t="s">
        <v>9</v>
      </c>
      <c r="C4" s="7"/>
      <c r="D4" s="33">
        <f>EDATE(Inputs!$C$8, D5*12)</f>
        <v>43830</v>
      </c>
      <c r="E4" s="9">
        <f>EDATE(Inputs!$C$8, E5*12)</f>
        <v>44196</v>
      </c>
      <c r="F4" s="9">
        <f>EDATE(Inputs!$C$8, F5*12)</f>
        <v>44561</v>
      </c>
      <c r="G4" s="9">
        <f>EDATE(Inputs!$C$8, G5*12)</f>
        <v>44926</v>
      </c>
      <c r="H4" s="9">
        <f>EDATE(Inputs!$C$8, H5*12)</f>
        <v>45291</v>
      </c>
      <c r="I4" s="37">
        <f>EDATE(Inputs!$C$8, I5*12)</f>
        <v>45657</v>
      </c>
      <c r="J4" s="9">
        <f>EDATE(Inputs!$C$8, J5*12)</f>
        <v>46022</v>
      </c>
      <c r="K4" s="9">
        <f>EDATE(Inputs!$C$8, K5*12)</f>
        <v>46387</v>
      </c>
      <c r="L4" s="9">
        <f>EDATE(Inputs!$C$8, L5*12)</f>
        <v>46752</v>
      </c>
      <c r="M4" s="9">
        <f>EDATE(Inputs!$C$8, M5*12)</f>
        <v>47118</v>
      </c>
      <c r="N4" s="9">
        <f>EDATE(Inputs!$C$8, N5*12)</f>
        <v>47483</v>
      </c>
    </row>
    <row r="5" spans="1:14" x14ac:dyDescent="0.2">
      <c r="B5" t="s">
        <v>10</v>
      </c>
      <c r="C5" s="8"/>
      <c r="D5" s="34">
        <v>-5</v>
      </c>
      <c r="E5" s="8">
        <v>-4</v>
      </c>
      <c r="F5" s="8">
        <v>-3</v>
      </c>
      <c r="G5" s="8">
        <v>-2</v>
      </c>
      <c r="H5" s="8">
        <v>-1</v>
      </c>
      <c r="I5" s="38">
        <v>0</v>
      </c>
      <c r="J5" s="8">
        <v>1</v>
      </c>
      <c r="K5" s="8">
        <v>2</v>
      </c>
      <c r="L5" s="8">
        <v>3</v>
      </c>
      <c r="M5" s="8">
        <v>4</v>
      </c>
      <c r="N5" s="8">
        <v>5</v>
      </c>
    </row>
    <row r="6" spans="1:14" x14ac:dyDescent="0.2">
      <c r="B6" t="s">
        <v>11</v>
      </c>
      <c r="C6" s="8"/>
      <c r="D6" s="34" t="str">
        <f>_xlfn.CONCAT(Inputs!$C$9, " ", Inputs!$C$10)</f>
        <v>Euro millions</v>
      </c>
      <c r="E6" s="8" t="str">
        <f>_xlfn.CONCAT(Inputs!$C$9, " ", Inputs!$C$10)</f>
        <v>Euro millions</v>
      </c>
      <c r="F6" s="8" t="str">
        <f>_xlfn.CONCAT(Inputs!$C$9, " ", Inputs!$C$10)</f>
        <v>Euro millions</v>
      </c>
      <c r="G6" s="8" t="str">
        <f>_xlfn.CONCAT(Inputs!$C$9, " ", Inputs!$C$10)</f>
        <v>Euro millions</v>
      </c>
      <c r="H6" s="8" t="str">
        <f>_xlfn.CONCAT(Inputs!$C$9, " ", Inputs!$C$10)</f>
        <v>Euro millions</v>
      </c>
      <c r="I6" s="38" t="str">
        <f>_xlfn.CONCAT(Inputs!$C$9, " ", Inputs!$C$10)</f>
        <v>Euro millions</v>
      </c>
      <c r="J6" s="8" t="str">
        <f>_xlfn.CONCAT(Inputs!$C$9, " ", Inputs!$C$10)</f>
        <v>Euro millions</v>
      </c>
      <c r="K6" s="8" t="str">
        <f>_xlfn.CONCAT(Inputs!$C$9, " ", Inputs!$C$10)</f>
        <v>Euro millions</v>
      </c>
      <c r="L6" s="8" t="str">
        <f>_xlfn.CONCAT(Inputs!$C$9, " ", Inputs!$C$10)</f>
        <v>Euro millions</v>
      </c>
      <c r="M6" s="8" t="str">
        <f>_xlfn.CONCAT(Inputs!$C$9, " ", Inputs!$C$10)</f>
        <v>Euro millions</v>
      </c>
      <c r="N6" s="8" t="str">
        <f>_xlfn.CONCAT(Inputs!$C$9, " ", Inputs!$C$10)</f>
        <v>Euro millions</v>
      </c>
    </row>
    <row r="7" spans="1:14" x14ac:dyDescent="0.2">
      <c r="B7" t="s">
        <v>12</v>
      </c>
      <c r="C7" s="8"/>
      <c r="D7" s="34" t="str">
        <f>IF(D5&lt;=0, "Historical", "Forecasted")</f>
        <v>Historical</v>
      </c>
      <c r="E7" s="8" t="str">
        <f>IF(E5&lt;=0, "Historical", "Forecasted")</f>
        <v>Historical</v>
      </c>
      <c r="F7" s="8" t="str">
        <f t="shared" ref="F7:N7" si="0">IF(F5&lt;=0, "Historical", "Forecasted")</f>
        <v>Historical</v>
      </c>
      <c r="G7" s="8" t="str">
        <f t="shared" si="0"/>
        <v>Historical</v>
      </c>
      <c r="H7" s="8" t="str">
        <f t="shared" si="0"/>
        <v>Historical</v>
      </c>
      <c r="I7" s="38" t="str">
        <f t="shared" si="0"/>
        <v>Historical</v>
      </c>
      <c r="J7" s="8" t="str">
        <f t="shared" si="0"/>
        <v>Forecasted</v>
      </c>
      <c r="K7" s="8" t="str">
        <f t="shared" si="0"/>
        <v>Forecasted</v>
      </c>
      <c r="L7" s="8" t="str">
        <f t="shared" si="0"/>
        <v>Forecasted</v>
      </c>
      <c r="M7" s="8" t="str">
        <f t="shared" si="0"/>
        <v>Forecasted</v>
      </c>
      <c r="N7" s="8" t="str">
        <f t="shared" si="0"/>
        <v>Forecasted</v>
      </c>
    </row>
    <row r="8" spans="1:14" x14ac:dyDescent="0.2">
      <c r="B8" s="8"/>
      <c r="C8" s="8"/>
      <c r="D8" s="34"/>
      <c r="E8" s="8"/>
      <c r="F8" s="8"/>
      <c r="G8" s="8"/>
      <c r="H8" s="8"/>
      <c r="I8" s="38"/>
      <c r="J8" s="8"/>
      <c r="K8" s="8"/>
      <c r="L8" s="8"/>
      <c r="M8" s="8"/>
      <c r="N8" s="8"/>
    </row>
    <row r="9" spans="1:14" x14ac:dyDescent="0.2">
      <c r="B9" s="8"/>
      <c r="C9" s="8"/>
      <c r="D9" s="34"/>
      <c r="E9" s="8"/>
      <c r="F9" s="8"/>
      <c r="G9" s="8"/>
      <c r="H9" s="8"/>
      <c r="I9" s="38"/>
      <c r="J9" s="8"/>
      <c r="K9" s="8"/>
      <c r="L9" s="8"/>
      <c r="M9" s="8"/>
      <c r="N9" s="8"/>
    </row>
    <row r="10" spans="1:14" ht="25" thickBot="1" x14ac:dyDescent="0.35">
      <c r="B10" s="17" t="s">
        <v>87</v>
      </c>
      <c r="C10" s="8"/>
      <c r="D10" s="34"/>
      <c r="E10" s="8"/>
      <c r="F10" s="8"/>
      <c r="G10" s="8"/>
      <c r="H10" s="8"/>
      <c r="I10" s="38"/>
      <c r="J10" s="8"/>
      <c r="K10" s="8"/>
      <c r="L10" s="8"/>
      <c r="M10" s="8"/>
      <c r="N10" s="8"/>
    </row>
    <row r="11" spans="1:14" x14ac:dyDescent="0.2">
      <c r="B11" s="8"/>
      <c r="C11" s="8"/>
      <c r="D11" s="34"/>
      <c r="E11" s="8"/>
      <c r="F11" s="8"/>
      <c r="G11" s="8"/>
      <c r="H11" s="8"/>
      <c r="I11" s="38"/>
      <c r="J11" s="8"/>
      <c r="K11" s="8"/>
      <c r="L11" s="8"/>
      <c r="M11" s="8"/>
      <c r="N11" s="8"/>
    </row>
    <row r="12" spans="1:14" x14ac:dyDescent="0.2">
      <c r="B12" t="s">
        <v>41</v>
      </c>
      <c r="D12" s="42">
        <f>SUMIF($J$46:$J$91, B12, $D$46:$D$91)</f>
        <v>247.8</v>
      </c>
      <c r="E12" s="42">
        <f>SUMIF($J$46:$J$91, B12, $E$46:$E$91)</f>
        <v>246.6</v>
      </c>
      <c r="F12" s="42">
        <f>SUMIF($J$46:$J$91, B12, $F$46:$F$91)</f>
        <v>249</v>
      </c>
      <c r="G12" s="42">
        <f>SUMIF($J$46:$J$91, B12, $G$46:$G$91)</f>
        <v>261</v>
      </c>
      <c r="H12" s="42">
        <f>SUMIF($J$46:$J$91, B12, $H$46:$H$91)</f>
        <v>329</v>
      </c>
      <c r="I12" s="74">
        <f>SUMIF($J$46:$J$91, B12, $I$46:$I$91)</f>
        <v>451</v>
      </c>
      <c r="J12" s="146">
        <f>'FA-Forecast'!M51</f>
        <v>550.95325000000003</v>
      </c>
      <c r="K12" s="146">
        <f>'FA-Forecast'!N51</f>
        <v>490.48138275000008</v>
      </c>
      <c r="L12" s="146">
        <f>'FA-Forecast'!O51</f>
        <v>394.67367510874999</v>
      </c>
      <c r="M12" s="146">
        <f>'FA-Forecast'!P51</f>
        <v>281.99082306131868</v>
      </c>
      <c r="N12" s="146">
        <f>'FA-Forecast'!Q51</f>
        <v>138.67844584831096</v>
      </c>
    </row>
    <row r="13" spans="1:14" x14ac:dyDescent="0.2">
      <c r="B13" t="s">
        <v>174</v>
      </c>
      <c r="D13" s="42">
        <f>SUMIF($J$46:$J$91, B13, $D$46:$D$91)</f>
        <v>1040.5</v>
      </c>
      <c r="E13" s="42">
        <f>SUMIF($J$46:$J$91, B13, $E$46:$E$91)</f>
        <v>1023.4000000000001</v>
      </c>
      <c r="F13" s="42">
        <f>SUMIF($J$46:$J$91, B13, $F$46:$F$91)</f>
        <v>1043</v>
      </c>
      <c r="G13" s="42">
        <f>SUMIF($J$46:$J$91, B13, $G$46:$G$91)</f>
        <v>1042</v>
      </c>
      <c r="H13" s="42">
        <f>SUMIF($J$46:$J$91, B13, $H$46:$H$91)</f>
        <v>1057</v>
      </c>
      <c r="I13" s="74">
        <f>SUMIF($J$46:$J$91, B13, $I$46:$I$91)</f>
        <v>1782</v>
      </c>
      <c r="J13" s="146">
        <f>'FA-Forecast'!M41</f>
        <v>1812.8914</v>
      </c>
      <c r="K13" s="146">
        <f>'FA-Forecast'!N41</f>
        <v>1640.346096</v>
      </c>
      <c r="L13" s="146">
        <f>'FA-Forecast'!O41</f>
        <v>1414.5529013600001</v>
      </c>
      <c r="M13" s="146">
        <f>'FA-Forecast'!P41</f>
        <v>1165.0727217144001</v>
      </c>
      <c r="N13" s="146">
        <f>'FA-Forecast'!Q41</f>
        <v>870.6705460350322</v>
      </c>
    </row>
    <row r="14" spans="1:14" x14ac:dyDescent="0.2">
      <c r="B14" t="s">
        <v>175</v>
      </c>
      <c r="D14" s="42">
        <f>SUMIF($J$46:$J$91, B14, $D$46:$D$91)</f>
        <v>104.4</v>
      </c>
      <c r="E14" s="42">
        <f>SUMIF($J$46:$J$91, B14, $E$46:$E$91)</f>
        <v>43.400000000000006</v>
      </c>
      <c r="F14" s="42">
        <f>SUMIF($J$46:$J$91, B14, $F$46:$F$91)</f>
        <v>36</v>
      </c>
      <c r="G14" s="42">
        <f>SUMIF($J$46:$J$91, B14, $G$46:$G$91)</f>
        <v>32</v>
      </c>
      <c r="H14" s="42">
        <f>SUMIF($J$46:$J$91, B14, $H$46:$H$91)</f>
        <v>38</v>
      </c>
      <c r="I14" s="74">
        <f>SUMIF($J$46:$J$91, B14, $I$46:$I$91)</f>
        <v>56</v>
      </c>
      <c r="J14" s="146">
        <f>'WC &amp; other Assets '!M58</f>
        <v>94.08</v>
      </c>
      <c r="K14" s="146">
        <f>'WC &amp; other Assets '!N58</f>
        <v>80.923919999999981</v>
      </c>
      <c r="L14" s="146">
        <f>'WC &amp; other Assets '!O58</f>
        <v>107.11140719999997</v>
      </c>
      <c r="M14" s="146">
        <f>'WC &amp; other Assets '!P58</f>
        <v>118.76074408799997</v>
      </c>
      <c r="N14" s="146">
        <f>'WC &amp; other Assets '!Q58</f>
        <v>140.85352902263995</v>
      </c>
    </row>
    <row r="15" spans="1:14" x14ac:dyDescent="0.2">
      <c r="B15" s="57" t="s">
        <v>176</v>
      </c>
      <c r="C15" s="57"/>
      <c r="D15" s="72">
        <f t="shared" ref="D15:N15" si="1">SUM(D12:D14)</f>
        <v>1392.7</v>
      </c>
      <c r="E15" s="72">
        <f t="shared" si="1"/>
        <v>1313.4</v>
      </c>
      <c r="F15" s="72">
        <f t="shared" si="1"/>
        <v>1328</v>
      </c>
      <c r="G15" s="72">
        <f t="shared" si="1"/>
        <v>1335</v>
      </c>
      <c r="H15" s="72">
        <f t="shared" si="1"/>
        <v>1424</v>
      </c>
      <c r="I15" s="75">
        <f t="shared" si="1"/>
        <v>2289</v>
      </c>
      <c r="J15" s="144">
        <f>SUM(J14,J13,J12)</f>
        <v>2457.9246499999999</v>
      </c>
      <c r="K15" s="144">
        <f t="shared" ref="K15:N15" si="2">SUM(K14,K13,K12)</f>
        <v>2211.7513987500001</v>
      </c>
      <c r="L15" s="144">
        <f t="shared" si="2"/>
        <v>1916.33798366875</v>
      </c>
      <c r="M15" s="144">
        <f t="shared" si="2"/>
        <v>1565.8242888637187</v>
      </c>
      <c r="N15" s="144">
        <f t="shared" si="2"/>
        <v>1150.202520905983</v>
      </c>
    </row>
    <row r="16" spans="1:14" x14ac:dyDescent="0.2">
      <c r="D16" s="32"/>
      <c r="I16" s="36"/>
      <c r="J16" s="8"/>
      <c r="K16" s="8"/>
      <c r="L16" s="8"/>
      <c r="M16" s="8"/>
      <c r="N16" s="8"/>
    </row>
    <row r="17" spans="2:14" x14ac:dyDescent="0.2">
      <c r="B17" t="s">
        <v>177</v>
      </c>
      <c r="D17" s="42">
        <f>SUMIF($J$46:$J$91, B17, $D$46:$D$91)</f>
        <v>411.1</v>
      </c>
      <c r="E17" s="42">
        <f>SUMIF($J$46:$J$91, B17, $E$46:$E$91)</f>
        <v>403.7</v>
      </c>
      <c r="F17" s="42">
        <f>SUMIF($J$46:$J$91, B17, $F$46:$F$91)</f>
        <v>444</v>
      </c>
      <c r="G17" s="42">
        <f>SUMIF($J$46:$J$91, B17, $G$46:$G$91)</f>
        <v>516</v>
      </c>
      <c r="H17" s="42">
        <f>SUMIF($J$46:$J$91, B17, $H$46:$H$91)</f>
        <v>625</v>
      </c>
      <c r="I17" s="74">
        <f>SUMIF($J$46:$J$91, B17, $I$46:$I$91)</f>
        <v>719</v>
      </c>
      <c r="J17" s="148">
        <f>'WC &amp; other Assets '!M14</f>
        <v>909.43999999999983</v>
      </c>
      <c r="K17" s="148">
        <f>'WC &amp; other Assets '!N14</f>
        <v>755.28991999999982</v>
      </c>
      <c r="L17" s="148">
        <f>'WC &amp; other Assets '!O14</f>
        <v>964.00266479999971</v>
      </c>
      <c r="M17" s="148">
        <f>'WC &amp; other Assets '!P14</f>
        <v>1068.8466967919996</v>
      </c>
      <c r="N17" s="148">
        <f>'WC &amp; other Assets '!Q14</f>
        <v>1267.6817612037594</v>
      </c>
    </row>
    <row r="18" spans="2:14" x14ac:dyDescent="0.2">
      <c r="B18" t="s">
        <v>178</v>
      </c>
      <c r="D18" s="42">
        <f>SUMIF($J$46:$J$91, B18, $D$46:$D$91)</f>
        <v>456.70000000000005</v>
      </c>
      <c r="E18" s="42">
        <f>SUMIF($J$46:$J$91, B18, $E$46:$E$91)</f>
        <v>486.4</v>
      </c>
      <c r="F18" s="42">
        <f>SUMIF($J$46:$J$91, B18, $F$46:$F$91)</f>
        <v>479</v>
      </c>
      <c r="G18" s="42">
        <f>SUMIF($J$46:$J$91, B18, $G$46:$G$91)</f>
        <v>505</v>
      </c>
      <c r="H18" s="42">
        <f>SUMIF($J$46:$J$91, B18, $H$46:$H$91)</f>
        <v>578</v>
      </c>
      <c r="I18" s="74">
        <f>SUMIF($J$46:$J$91, B18, $I$46:$I$91)</f>
        <v>811</v>
      </c>
      <c r="J18" s="148">
        <f>'WC &amp; other Assets '!M19</f>
        <v>902.1369863013698</v>
      </c>
      <c r="K18" s="148">
        <f>'WC &amp; other Assets '!N19</f>
        <v>775.98279452054771</v>
      </c>
      <c r="L18" s="148">
        <f>'WC &amp; other Assets '!O19</f>
        <v>1027.0956854794517</v>
      </c>
      <c r="M18" s="148">
        <f>'WC &amp; other Assets '!P19</f>
        <v>1138.8016556383559</v>
      </c>
      <c r="N18" s="148">
        <f>'WC &amp; other Assets '!Q19</f>
        <v>1350.650278299287</v>
      </c>
    </row>
    <row r="19" spans="2:14" x14ac:dyDescent="0.2">
      <c r="B19" t="s">
        <v>179</v>
      </c>
      <c r="D19" s="42">
        <f>SUMIF($J$46:$J$91, B19, $D$46:$D$91)</f>
        <v>58.100000000000009</v>
      </c>
      <c r="E19" s="42">
        <f>SUMIF($J$46:$J$91, B19, $E$46:$E$91)</f>
        <v>98.6</v>
      </c>
      <c r="F19" s="42">
        <f>SUMIF($J$46:$J$91, B19, $F$46:$F$91)</f>
        <v>177</v>
      </c>
      <c r="G19" s="42">
        <f>SUMIF($J$46:$J$91, B19, $G$46:$G$91)</f>
        <v>163</v>
      </c>
      <c r="H19" s="42">
        <f>SUMIF($J$46:$J$91, B19, $H$46:$H$91)</f>
        <v>150</v>
      </c>
      <c r="I19" s="74">
        <f>SUMIF($J$46:$J$91, B19, $I$46:$I$91)</f>
        <v>143</v>
      </c>
      <c r="J19" s="148">
        <f>'WC &amp; other Assets '!M53</f>
        <v>188.16</v>
      </c>
      <c r="K19" s="148">
        <f>'WC &amp; other Assets '!N53</f>
        <v>161.84783999999996</v>
      </c>
      <c r="L19" s="148">
        <f>'WC &amp; other Assets '!O53</f>
        <v>214.22281439999995</v>
      </c>
      <c r="M19" s="148">
        <f>'WC &amp; other Assets '!P53</f>
        <v>237.52148817599993</v>
      </c>
      <c r="N19" s="148">
        <f>'WC &amp; other Assets '!Q53</f>
        <v>281.70705804527989</v>
      </c>
    </row>
    <row r="20" spans="2:14" x14ac:dyDescent="0.2">
      <c r="B20" s="57" t="s">
        <v>180</v>
      </c>
      <c r="C20" s="57"/>
      <c r="D20" s="72">
        <f>SUM(D17:D19)</f>
        <v>925.90000000000009</v>
      </c>
      <c r="E20" s="72">
        <f t="shared" ref="E20:N20" si="3">SUM(E17:E19)</f>
        <v>988.69999999999993</v>
      </c>
      <c r="F20" s="72">
        <f t="shared" si="3"/>
        <v>1100</v>
      </c>
      <c r="G20" s="72">
        <f t="shared" si="3"/>
        <v>1184</v>
      </c>
      <c r="H20" s="72">
        <f t="shared" si="3"/>
        <v>1353</v>
      </c>
      <c r="I20" s="75">
        <f t="shared" si="3"/>
        <v>1673</v>
      </c>
      <c r="J20" s="75">
        <f>SUM(J17:J19)</f>
        <v>1999.7369863013698</v>
      </c>
      <c r="K20" s="75">
        <f t="shared" ref="K20:N20" si="4">SUM(K17:K19)</f>
        <v>1693.1205545205476</v>
      </c>
      <c r="L20" s="75">
        <f t="shared" si="4"/>
        <v>2205.3211646794516</v>
      </c>
      <c r="M20" s="75">
        <f t="shared" si="4"/>
        <v>2445.1698406063556</v>
      </c>
      <c r="N20" s="75">
        <f t="shared" si="4"/>
        <v>2900.0390975483265</v>
      </c>
    </row>
    <row r="21" spans="2:14" x14ac:dyDescent="0.2">
      <c r="D21" s="32"/>
      <c r="I21" s="36"/>
      <c r="J21" s="8"/>
      <c r="K21" s="8"/>
      <c r="L21" s="8"/>
      <c r="M21" s="8"/>
      <c r="N21" s="8"/>
    </row>
    <row r="22" spans="2:14" x14ac:dyDescent="0.2">
      <c r="B22" s="13" t="s">
        <v>181</v>
      </c>
      <c r="C22" s="13"/>
      <c r="D22" s="44">
        <f>SUMIF($J$46:$J$91, $B$22, $D$46:$D$91)</f>
        <v>137.4</v>
      </c>
      <c r="E22" s="44">
        <f>SUMIF($J$46:$J$91, $B$22, $E$46:$E$91)</f>
        <v>645.5</v>
      </c>
      <c r="F22" s="64">
        <f>SUMIF($J$46:$J$91, $B$22, $F$46:$F$91)</f>
        <v>529</v>
      </c>
      <c r="G22" s="64">
        <f>SUMIF($J$46:$J$91, $B$22, $G$46:$G$91)</f>
        <v>460</v>
      </c>
      <c r="H22" s="64">
        <f>SUMIF($J$46:$J$91, $B$22, $H$46:$H$91)</f>
        <v>802</v>
      </c>
      <c r="I22" s="66">
        <f>SUMIF($J$46:$J$91, $B$22, $I$46:$I$91)</f>
        <v>733</v>
      </c>
      <c r="J22" s="139">
        <f ca="1">I22+CF!M33</f>
        <v>610.72599006335759</v>
      </c>
      <c r="K22" s="139">
        <f ca="1">J22+CF!N33</f>
        <v>563.35126298468526</v>
      </c>
      <c r="L22" s="139">
        <f ca="1">K22+CF!O33</f>
        <v>521.46193313847402</v>
      </c>
      <c r="M22" s="139">
        <f ca="1">L22+CF!P33</f>
        <v>404.98970938139826</v>
      </c>
      <c r="N22" s="139">
        <f ca="1">M22+CF!Q33</f>
        <v>267.10637083606076</v>
      </c>
    </row>
    <row r="23" spans="2:14" x14ac:dyDescent="0.2">
      <c r="D23" s="32"/>
      <c r="I23" s="36"/>
      <c r="J23" s="8"/>
      <c r="K23" s="8"/>
      <c r="L23" s="8"/>
      <c r="M23" s="8"/>
      <c r="N23" s="8"/>
    </row>
    <row r="24" spans="2:14" ht="17" thickBot="1" x14ac:dyDescent="0.25">
      <c r="B24" s="25" t="s">
        <v>182</v>
      </c>
      <c r="C24" s="25"/>
      <c r="D24" s="73">
        <f>SUM(D22, D20, D15)</f>
        <v>2456</v>
      </c>
      <c r="E24" s="73">
        <f t="shared" ref="E24:N24" si="5">SUM(E22, E20, E15)</f>
        <v>2947.6</v>
      </c>
      <c r="F24" s="73">
        <f t="shared" si="5"/>
        <v>2957</v>
      </c>
      <c r="G24" s="73">
        <f t="shared" si="5"/>
        <v>2979</v>
      </c>
      <c r="H24" s="73">
        <f t="shared" si="5"/>
        <v>3579</v>
      </c>
      <c r="I24" s="76">
        <f t="shared" si="5"/>
        <v>4695</v>
      </c>
      <c r="J24" s="76">
        <f t="shared" ca="1" si="5"/>
        <v>5068.3876263647271</v>
      </c>
      <c r="K24" s="76">
        <f t="shared" ca="1" si="5"/>
        <v>4468.2232162552336</v>
      </c>
      <c r="L24" s="76">
        <f t="shared" ca="1" si="5"/>
        <v>4643.1210814866754</v>
      </c>
      <c r="M24" s="76">
        <f t="shared" ca="1" si="5"/>
        <v>4415.9838388514727</v>
      </c>
      <c r="N24" s="76">
        <f t="shared" ca="1" si="5"/>
        <v>4317.3479892903706</v>
      </c>
    </row>
    <row r="25" spans="2:14" x14ac:dyDescent="0.2">
      <c r="D25" s="32"/>
      <c r="I25" s="36"/>
      <c r="J25" s="8"/>
      <c r="K25" s="8"/>
      <c r="L25" s="8"/>
      <c r="M25" s="8"/>
      <c r="N25" s="8"/>
    </row>
    <row r="26" spans="2:14" x14ac:dyDescent="0.2">
      <c r="B26" t="s">
        <v>497</v>
      </c>
      <c r="D26" s="42">
        <f>SUMIF($J$46:$J$91, B26, $D$46:$D$91)</f>
        <v>1645.2</v>
      </c>
      <c r="E26" s="42">
        <f>SUMIF($J$46:$J$91, B26, $E$46:$E$91)</f>
        <v>1781.1</v>
      </c>
      <c r="F26" s="42">
        <f>SUMIF($J$46:$J$91, B26, $F$46:$F$91)</f>
        <v>1612</v>
      </c>
      <c r="G26" s="42">
        <f>SUMIF($J$46:$J$91, B26, $G$46:$G$91)</f>
        <v>1234</v>
      </c>
      <c r="H26" s="42">
        <f>SUMIF($J$46:$J$91, B26, $H$46:$H$91)</f>
        <v>1413</v>
      </c>
      <c r="I26" s="74">
        <f>SUMIF($J$46:$J$91, B26, $I$46:$I$91)</f>
        <v>2025</v>
      </c>
      <c r="J26" s="131"/>
      <c r="K26" s="131"/>
      <c r="L26" s="131"/>
      <c r="M26" s="131"/>
      <c r="N26" s="131"/>
    </row>
    <row r="27" spans="2:14" x14ac:dyDescent="0.2">
      <c r="B27" t="s">
        <v>183</v>
      </c>
      <c r="D27" s="42">
        <f>SUMIF($J$46:$J$91, B27, $D$46:$D$91)</f>
        <v>69</v>
      </c>
      <c r="E27" s="42">
        <f>SUMIF($J$46:$J$91, B27, $E$46:$E$91)</f>
        <v>32.800000000000004</v>
      </c>
      <c r="F27" s="42">
        <f>SUMIF($J$46:$J$91, B27, $F$46:$F$91)</f>
        <v>26</v>
      </c>
      <c r="G27" s="42">
        <f>SUMIF($J$46:$J$91, B27, $G$46:$G$91)</f>
        <v>119</v>
      </c>
      <c r="H27" s="42">
        <f>SUMIF($J$46:$J$91, B27, $H$46:$H$91)</f>
        <v>103</v>
      </c>
      <c r="I27" s="74">
        <f>SUMIF($J$46:$J$91, B27, $I$46:$I$91)</f>
        <v>182</v>
      </c>
      <c r="J27" s="131">
        <f>'WC &amp; other Assets '!M69</f>
        <v>251.82079999999996</v>
      </c>
      <c r="K27" s="131">
        <f>'WC &amp; other Assets '!N69</f>
        <v>216.60635919999996</v>
      </c>
      <c r="L27" s="131">
        <f>'WC &amp; other Assets '!O69</f>
        <v>286.70153327199989</v>
      </c>
      <c r="M27" s="131">
        <f>'WC &amp; other Assets '!P69</f>
        <v>317.88292500887991</v>
      </c>
      <c r="N27" s="131">
        <f>'WC &amp; other Assets '!Q69</f>
        <v>377.01794601726624</v>
      </c>
    </row>
    <row r="28" spans="2:14" x14ac:dyDescent="0.2">
      <c r="B28" s="57" t="s">
        <v>184</v>
      </c>
      <c r="C28" s="57"/>
      <c r="D28" s="72">
        <f>SUM(D26:D27)</f>
        <v>1714.2</v>
      </c>
      <c r="E28" s="77">
        <f>SUM(E26:E27)</f>
        <v>1813.8999999999999</v>
      </c>
      <c r="F28" s="77">
        <f>SUM(F26:F27)</f>
        <v>1638</v>
      </c>
      <c r="G28" s="77">
        <f>SUM(G26:G27)</f>
        <v>1353</v>
      </c>
      <c r="H28" s="77">
        <f>SUM(H26:H27)</f>
        <v>1516</v>
      </c>
      <c r="I28" s="78">
        <f>SUM(I26:I27)</f>
        <v>2207</v>
      </c>
      <c r="J28" s="78">
        <f t="shared" ref="J28:N28" si="6">SUM(J26:J27)</f>
        <v>251.82079999999996</v>
      </c>
      <c r="K28" s="78">
        <f t="shared" si="6"/>
        <v>216.60635919999996</v>
      </c>
      <c r="L28" s="78">
        <f t="shared" si="6"/>
        <v>286.70153327199989</v>
      </c>
      <c r="M28" s="78">
        <f t="shared" si="6"/>
        <v>317.88292500887991</v>
      </c>
      <c r="N28" s="78">
        <f t="shared" si="6"/>
        <v>377.01794601726624</v>
      </c>
    </row>
    <row r="29" spans="2:14" x14ac:dyDescent="0.2">
      <c r="D29" s="32"/>
      <c r="I29" s="36"/>
      <c r="J29" s="8"/>
      <c r="K29" s="8"/>
      <c r="L29" s="8"/>
      <c r="M29" s="8"/>
      <c r="N29" s="8"/>
    </row>
    <row r="30" spans="2:14" x14ac:dyDescent="0.2">
      <c r="B30" t="s">
        <v>185</v>
      </c>
      <c r="D30" s="42">
        <f>SUMIF($J$46:$J$91, B30, $D$46:$D$91)</f>
        <v>485.90000000000003</v>
      </c>
      <c r="E30" s="42">
        <f>SUMIF($J$46:$J$91, B30, $E$46:$E$91)</f>
        <v>580.79999999999995</v>
      </c>
      <c r="F30" s="42">
        <f>SUMIF($J$46:$J$91, B30, $F$46:$F$91)</f>
        <v>769</v>
      </c>
      <c r="G30" s="42">
        <f>SUMIF($J$46:$J$91, B30, $G$46:$G$91)</f>
        <v>867</v>
      </c>
      <c r="H30" s="42">
        <f>SUMIF($J$46:$J$91, B30, $H$46:$H$91)</f>
        <v>1035</v>
      </c>
      <c r="I30" s="74">
        <f>SUMIF($J$46:$J$91, B30, $I$46:$I$91)</f>
        <v>1322</v>
      </c>
      <c r="J30" s="148">
        <f>'WC &amp; other Assets '!M25</f>
        <v>1473.9199999999998</v>
      </c>
      <c r="K30" s="148">
        <f>'WC &amp; other Assets '!N25</f>
        <v>1267.8080799999998</v>
      </c>
      <c r="L30" s="148">
        <f>'WC &amp; other Assets '!O25</f>
        <v>1678.0787127999995</v>
      </c>
      <c r="M30" s="148">
        <f>'WC &amp; other Assets '!P25</f>
        <v>1860.5849907119996</v>
      </c>
      <c r="N30" s="148">
        <f>'WC &amp; other Assets '!Q25</f>
        <v>2206.7052880213591</v>
      </c>
    </row>
    <row r="31" spans="2:14" x14ac:dyDescent="0.2">
      <c r="B31" t="s">
        <v>186</v>
      </c>
      <c r="D31" s="42">
        <f>SUMIF($J$46:$J$91, B31, $D$46:$D$91)</f>
        <v>100.69999999999999</v>
      </c>
      <c r="E31" s="42">
        <f>SUMIF($J$46:$J$91, B31, $E$46:$E$91)</f>
        <v>206</v>
      </c>
      <c r="F31" s="42">
        <f>SUMIF($J$46:$J$91, B31, $F$46:$F$91)</f>
        <v>131</v>
      </c>
      <c r="G31" s="42">
        <f>SUMIF($J$46:$J$91, B31, $G$46:$G$91)</f>
        <v>142</v>
      </c>
      <c r="H31" s="42">
        <f>SUMIF($J$46:$J$91, B31, $H$46:$H$91)</f>
        <v>202</v>
      </c>
      <c r="I31" s="74">
        <f>SUMIF($J$46:$J$91, B31, $I$46:$I$91)</f>
        <v>283</v>
      </c>
      <c r="J31" s="148">
        <f>'WC &amp; other Assets '!M63</f>
        <v>364.70530254041569</v>
      </c>
      <c r="K31" s="148">
        <f>'WC &amp; other Assets '!N63</f>
        <v>305.86254419852764</v>
      </c>
      <c r="L31" s="148">
        <f>'WC &amp; other Assets '!O63</f>
        <v>394.720539129896</v>
      </c>
      <c r="M31" s="148">
        <f>'WC &amp; other Assets '!P63</f>
        <v>426.70872790602169</v>
      </c>
      <c r="N31" s="148">
        <f>'WC &amp; other Assets '!Q63</f>
        <v>493.43615085591011</v>
      </c>
    </row>
    <row r="32" spans="2:14" x14ac:dyDescent="0.2">
      <c r="B32" s="57" t="s">
        <v>187</v>
      </c>
      <c r="C32" s="57"/>
      <c r="D32" s="72">
        <f>SUM(D30:D31)</f>
        <v>586.6</v>
      </c>
      <c r="E32" s="72">
        <f t="shared" ref="E32:N32" si="7">SUM(E30:E31)</f>
        <v>786.8</v>
      </c>
      <c r="F32" s="72">
        <f t="shared" si="7"/>
        <v>900</v>
      </c>
      <c r="G32" s="72">
        <f t="shared" si="7"/>
        <v>1009</v>
      </c>
      <c r="H32" s="72">
        <f t="shared" si="7"/>
        <v>1237</v>
      </c>
      <c r="I32" s="72">
        <f t="shared" si="7"/>
        <v>1605</v>
      </c>
      <c r="J32" s="72">
        <f t="shared" si="7"/>
        <v>1838.6253025404155</v>
      </c>
      <c r="K32" s="72">
        <f t="shared" si="7"/>
        <v>1573.6706241985275</v>
      </c>
      <c r="L32" s="72">
        <f t="shared" si="7"/>
        <v>2072.7992519298955</v>
      </c>
      <c r="M32" s="72">
        <f t="shared" si="7"/>
        <v>2287.2937186180211</v>
      </c>
      <c r="N32" s="72">
        <f t="shared" si="7"/>
        <v>2700.1414388772691</v>
      </c>
    </row>
    <row r="33" spans="2:14" ht="17" thickBot="1" x14ac:dyDescent="0.25">
      <c r="B33" s="25" t="s">
        <v>188</v>
      </c>
      <c r="C33" s="25"/>
      <c r="D33" s="73">
        <f>SUM(D32, D28)</f>
        <v>2300.8000000000002</v>
      </c>
      <c r="E33" s="73">
        <f t="shared" ref="E33:N33" si="8">SUM(E32, E28)</f>
        <v>2600.6999999999998</v>
      </c>
      <c r="F33" s="73">
        <f t="shared" si="8"/>
        <v>2538</v>
      </c>
      <c r="G33" s="73">
        <f t="shared" si="8"/>
        <v>2362</v>
      </c>
      <c r="H33" s="73">
        <f t="shared" si="8"/>
        <v>2753</v>
      </c>
      <c r="I33" s="73">
        <f t="shared" si="8"/>
        <v>3812</v>
      </c>
      <c r="J33" s="73">
        <f t="shared" si="8"/>
        <v>2090.4461025404153</v>
      </c>
      <c r="K33" s="73">
        <f t="shared" si="8"/>
        <v>1790.2769833985276</v>
      </c>
      <c r="L33" s="73">
        <f t="shared" si="8"/>
        <v>2359.5007852018953</v>
      </c>
      <c r="M33" s="73">
        <f t="shared" si="8"/>
        <v>2605.1766436269008</v>
      </c>
      <c r="N33" s="73">
        <f t="shared" si="8"/>
        <v>3077.1593848945354</v>
      </c>
    </row>
    <row r="34" spans="2:14" x14ac:dyDescent="0.2">
      <c r="B34" s="13"/>
      <c r="C34" s="13"/>
      <c r="D34" s="172"/>
      <c r="E34" s="172"/>
      <c r="F34" s="172"/>
      <c r="G34" s="172"/>
      <c r="H34" s="172"/>
      <c r="I34" s="172"/>
      <c r="J34" s="8"/>
      <c r="K34" s="8"/>
      <c r="L34" s="8"/>
      <c r="M34" s="8"/>
      <c r="N34" s="8"/>
    </row>
    <row r="35" spans="2:14" x14ac:dyDescent="0.2">
      <c r="B35" s="58" t="s">
        <v>189</v>
      </c>
      <c r="C35" s="58"/>
      <c r="D35" s="42">
        <f>SUMIF($J$46:$J$91, B35, $D$46:$D$91)</f>
        <v>10</v>
      </c>
      <c r="E35" s="42">
        <f>SUMIF($J$46:$J$91, B35, $E$46:$E$91)</f>
        <v>105</v>
      </c>
      <c r="F35" s="42">
        <f>SUMIF($J$46:$J$91, B35, $F$46:$F$91)</f>
        <v>105</v>
      </c>
      <c r="G35" s="42">
        <f>SUMIF($J$46:$J$91, B35, $G$46:$G$91)</f>
        <v>105</v>
      </c>
      <c r="H35" s="42">
        <f>SUMIF($J$46:$J$91, B35, $H$46:$H$91)</f>
        <v>116</v>
      </c>
      <c r="I35" s="74">
        <f>SUMIF($J$46:$J$91, B35, $I$46:$I$91)</f>
        <v>116</v>
      </c>
      <c r="J35" s="97">
        <v>116</v>
      </c>
      <c r="K35" s="97">
        <v>116</v>
      </c>
      <c r="L35" s="97">
        <v>116</v>
      </c>
      <c r="M35" s="97">
        <v>116</v>
      </c>
      <c r="N35" s="97">
        <v>116</v>
      </c>
    </row>
    <row r="36" spans="2:14" x14ac:dyDescent="0.2">
      <c r="B36" s="58" t="s">
        <v>190</v>
      </c>
      <c r="C36" s="58"/>
      <c r="D36" s="42">
        <f>SUMIF($J$46:$J$91, B36, $D$46:$D$91)</f>
        <v>144.69999999999996</v>
      </c>
      <c r="E36" s="42">
        <f>SUMIF($J$46:$J$91, B36, $E$46:$E$91)</f>
        <v>241.79999999999993</v>
      </c>
      <c r="F36" s="42">
        <f>SUMIF($J$46:$J$91, B36, $F$46:$F$91)</f>
        <v>312</v>
      </c>
      <c r="G36" s="42">
        <f>SUMIF($J$46:$J$91, B36, $G$46:$G$91)</f>
        <v>512</v>
      </c>
      <c r="H36" s="42">
        <f>SUMIF($J$46:$J$91, B36, $H$46:$H$91)</f>
        <v>723</v>
      </c>
      <c r="I36" s="74">
        <f>SUMIF($J$46:$J$91, B36, $I$46:$I$91)</f>
        <v>770</v>
      </c>
      <c r="J36" s="131">
        <f ca="1">I36+IS!J22-'Debt &amp; Cash'!K22</f>
        <v>837.02687382431179</v>
      </c>
      <c r="K36" s="131">
        <f ca="1">J36+IS!K22-'Debt &amp; Cash'!L22</f>
        <v>560.80235410670559</v>
      </c>
      <c r="L36" s="131">
        <f ca="1">K36+IS!L22-'Debt &amp; Cash'!M22</f>
        <v>197.58929581603027</v>
      </c>
      <c r="M36" s="131">
        <f ca="1">L36+IS!M22-'Debt &amp; Cash'!N22</f>
        <v>-235.7249205111471</v>
      </c>
      <c r="N36" s="131">
        <f ca="1">M36+IS!N22-'Debt &amp; Cash'!O22</f>
        <v>-757.61522185630781</v>
      </c>
    </row>
    <row r="37" spans="2:14" x14ac:dyDescent="0.2">
      <c r="B37" s="57" t="s">
        <v>191</v>
      </c>
      <c r="C37" s="57"/>
      <c r="D37" s="72">
        <f t="shared" ref="D37:I37" si="9">SUM(D35:D36)</f>
        <v>154.69999999999996</v>
      </c>
      <c r="E37" s="72">
        <f t="shared" si="9"/>
        <v>346.79999999999995</v>
      </c>
      <c r="F37" s="72">
        <f t="shared" si="9"/>
        <v>417</v>
      </c>
      <c r="G37" s="72">
        <f t="shared" si="9"/>
        <v>617</v>
      </c>
      <c r="H37" s="72">
        <f t="shared" si="9"/>
        <v>839</v>
      </c>
      <c r="I37" s="72">
        <f t="shared" si="9"/>
        <v>886</v>
      </c>
      <c r="J37" s="131">
        <f ca="1">SUM(J35:J36)</f>
        <v>953.02687382431179</v>
      </c>
      <c r="K37" s="131">
        <f t="shared" ref="K37:N37" ca="1" si="10">SUM(K35:K36)</f>
        <v>676.80235410670559</v>
      </c>
      <c r="L37" s="131">
        <f t="shared" ca="1" si="10"/>
        <v>313.58929581603024</v>
      </c>
      <c r="M37" s="131">
        <f t="shared" ca="1" si="10"/>
        <v>-119.7249205111471</v>
      </c>
      <c r="N37" s="131">
        <f t="shared" ca="1" si="10"/>
        <v>-641.61522185630781</v>
      </c>
    </row>
    <row r="38" spans="2:14" x14ac:dyDescent="0.2">
      <c r="D38" s="32"/>
      <c r="I38" s="36"/>
      <c r="J38" s="8"/>
      <c r="K38" s="8"/>
    </row>
    <row r="39" spans="2:14" ht="17" thickBot="1" x14ac:dyDescent="0.25">
      <c r="B39" s="59" t="s">
        <v>192</v>
      </c>
      <c r="C39" s="59"/>
      <c r="D39" s="79">
        <f>SUM(D37,D33)</f>
        <v>2455.5</v>
      </c>
      <c r="E39" s="79">
        <f t="shared" ref="E39:N39" si="11">SUM(E37,E33)</f>
        <v>2947.5</v>
      </c>
      <c r="F39" s="79">
        <f t="shared" si="11"/>
        <v>2955</v>
      </c>
      <c r="G39" s="79">
        <f t="shared" si="11"/>
        <v>2979</v>
      </c>
      <c r="H39" s="79">
        <f t="shared" si="11"/>
        <v>3592</v>
      </c>
      <c r="I39" s="79">
        <f>SUM(I37,I33)</f>
        <v>4698</v>
      </c>
      <c r="J39" s="79">
        <f t="shared" ca="1" si="11"/>
        <v>3043.4729763647269</v>
      </c>
      <c r="K39" s="79">
        <f t="shared" ca="1" si="11"/>
        <v>2467.0793375052331</v>
      </c>
      <c r="L39" s="79">
        <f t="shared" ca="1" si="11"/>
        <v>2673.0900810179255</v>
      </c>
      <c r="M39" s="79">
        <f t="shared" ca="1" si="11"/>
        <v>2485.4517231157538</v>
      </c>
      <c r="N39" s="79">
        <f t="shared" ca="1" si="11"/>
        <v>2435.5441630382275</v>
      </c>
    </row>
    <row r="40" spans="2:14" ht="17" thickTop="1" x14ac:dyDescent="0.2">
      <c r="B40" s="81" t="s">
        <v>200</v>
      </c>
      <c r="D40" s="82">
        <f>SUM(D39, -D24)</f>
        <v>-0.5</v>
      </c>
      <c r="E40" s="82">
        <f>SUM(E39, -E24)</f>
        <v>-9.9999999999909051E-2</v>
      </c>
      <c r="F40" s="82">
        <f>SUM(F39, -F24)</f>
        <v>-2</v>
      </c>
      <c r="G40" s="82">
        <f>SUM(G39, -G24)</f>
        <v>0</v>
      </c>
      <c r="H40" s="82">
        <f>SUM(H39, -H24)</f>
        <v>13</v>
      </c>
      <c r="I40" s="82">
        <f>SUM(I39, -I24)</f>
        <v>3</v>
      </c>
      <c r="J40" s="82">
        <f t="shared" ref="J40:N40" ca="1" si="12">SUM(J39, -J24)</f>
        <v>-2024.9146500000002</v>
      </c>
      <c r="K40" s="82">
        <f t="shared" ca="1" si="12"/>
        <v>-2001.1438787500006</v>
      </c>
      <c r="L40" s="82">
        <f t="shared" ca="1" si="12"/>
        <v>-1970.0310004687499</v>
      </c>
      <c r="M40" s="82">
        <f t="shared" ca="1" si="12"/>
        <v>-1930.5321157357189</v>
      </c>
      <c r="N40" s="82">
        <f t="shared" ca="1" si="12"/>
        <v>-1881.8038262521432</v>
      </c>
    </row>
    <row r="42" spans="2:14" ht="25" thickBot="1" x14ac:dyDescent="0.35">
      <c r="B42" s="30" t="s">
        <v>86</v>
      </c>
    </row>
    <row r="43" spans="2:14" x14ac:dyDescent="0.2">
      <c r="D43">
        <v>2019</v>
      </c>
      <c r="E43">
        <v>2020</v>
      </c>
      <c r="F43">
        <v>2021</v>
      </c>
      <c r="G43">
        <v>2022</v>
      </c>
      <c r="H43">
        <v>2023</v>
      </c>
      <c r="I43" s="58">
        <v>2024</v>
      </c>
    </row>
    <row r="44" spans="2:14" ht="22" x14ac:dyDescent="0.3">
      <c r="B44" s="23" t="s">
        <v>85</v>
      </c>
    </row>
    <row r="45" spans="2:14" x14ac:dyDescent="0.2">
      <c r="B45" s="14" t="s">
        <v>38</v>
      </c>
      <c r="C45" s="15"/>
      <c r="D45" s="19">
        <v>1392.6</v>
      </c>
      <c r="E45" s="19">
        <v>1313.4</v>
      </c>
      <c r="F45" s="19">
        <v>1326</v>
      </c>
      <c r="G45" s="19">
        <v>1335</v>
      </c>
      <c r="H45" s="19">
        <v>1424</v>
      </c>
      <c r="I45" s="19">
        <v>2289</v>
      </c>
      <c r="J45" s="15"/>
      <c r="K45" s="15"/>
      <c r="L45" s="15"/>
      <c r="M45" s="15"/>
      <c r="N45" s="15"/>
    </row>
    <row r="46" spans="2:14" x14ac:dyDescent="0.2">
      <c r="B46" t="s">
        <v>39</v>
      </c>
      <c r="D46" s="16">
        <v>637.20000000000005</v>
      </c>
      <c r="E46" s="16">
        <v>637.20000000000005</v>
      </c>
      <c r="F46" s="16">
        <v>658</v>
      </c>
      <c r="G46" s="16">
        <v>658</v>
      </c>
      <c r="H46" s="16">
        <v>658</v>
      </c>
      <c r="I46" s="16">
        <v>1115</v>
      </c>
      <c r="J46" t="s">
        <v>174</v>
      </c>
    </row>
    <row r="47" spans="2:14" x14ac:dyDescent="0.2">
      <c r="B47" t="s">
        <v>40</v>
      </c>
      <c r="D47" s="16">
        <v>403.3</v>
      </c>
      <c r="E47" s="16">
        <v>386.2</v>
      </c>
      <c r="F47" s="16">
        <v>385</v>
      </c>
      <c r="G47" s="16">
        <v>384</v>
      </c>
      <c r="H47" s="16">
        <v>399</v>
      </c>
      <c r="I47" s="16">
        <v>667</v>
      </c>
      <c r="J47" t="s">
        <v>174</v>
      </c>
    </row>
    <row r="48" spans="2:14" x14ac:dyDescent="0.2">
      <c r="B48" t="s">
        <v>41</v>
      </c>
      <c r="D48" s="16">
        <v>92.9</v>
      </c>
      <c r="E48" s="16">
        <v>103.1</v>
      </c>
      <c r="F48" s="16">
        <v>108</v>
      </c>
      <c r="G48" s="16">
        <v>121</v>
      </c>
      <c r="H48" s="16">
        <v>140</v>
      </c>
      <c r="I48" s="16">
        <v>202</v>
      </c>
      <c r="J48" t="s">
        <v>41</v>
      </c>
    </row>
    <row r="49" spans="2:14" x14ac:dyDescent="0.2">
      <c r="B49" t="s">
        <v>42</v>
      </c>
      <c r="D49" s="16">
        <v>154.9</v>
      </c>
      <c r="E49" s="16">
        <v>143.5</v>
      </c>
      <c r="F49" s="16">
        <v>141</v>
      </c>
      <c r="G49" s="16">
        <v>140</v>
      </c>
      <c r="H49" s="16">
        <v>189</v>
      </c>
      <c r="I49" s="16">
        <v>249</v>
      </c>
      <c r="J49" t="s">
        <v>41</v>
      </c>
    </row>
    <row r="50" spans="2:14" x14ac:dyDescent="0.2">
      <c r="B50" t="s">
        <v>43</v>
      </c>
      <c r="D50" s="16">
        <v>1.2</v>
      </c>
      <c r="E50" s="16">
        <v>0</v>
      </c>
      <c r="F50" s="16">
        <v>0</v>
      </c>
      <c r="G50" s="16">
        <v>1</v>
      </c>
      <c r="H50" s="16">
        <v>0</v>
      </c>
      <c r="I50" s="16">
        <v>4</v>
      </c>
      <c r="J50" t="s">
        <v>175</v>
      </c>
    </row>
    <row r="51" spans="2:14" x14ac:dyDescent="0.2">
      <c r="B51" t="s">
        <v>44</v>
      </c>
      <c r="D51" s="16">
        <v>14.7</v>
      </c>
      <c r="E51" s="16">
        <v>11.3</v>
      </c>
      <c r="F51" s="16">
        <v>21</v>
      </c>
      <c r="G51" s="16">
        <v>22</v>
      </c>
      <c r="H51" s="16">
        <v>25</v>
      </c>
      <c r="I51" s="16">
        <v>24</v>
      </c>
      <c r="J51" t="s">
        <v>175</v>
      </c>
    </row>
    <row r="52" spans="2:14" x14ac:dyDescent="0.2">
      <c r="B52" t="s">
        <v>45</v>
      </c>
      <c r="D52" s="16">
        <v>53.2</v>
      </c>
      <c r="E52" s="16">
        <v>1</v>
      </c>
      <c r="F52" s="16">
        <v>1</v>
      </c>
      <c r="G52" s="16">
        <v>1</v>
      </c>
      <c r="H52" s="16">
        <v>1</v>
      </c>
      <c r="I52" s="16">
        <v>7</v>
      </c>
      <c r="J52" t="s">
        <v>175</v>
      </c>
    </row>
    <row r="53" spans="2:14" x14ac:dyDescent="0.2">
      <c r="B53" t="s">
        <v>80</v>
      </c>
      <c r="D53" s="16">
        <v>4.9000000000000004</v>
      </c>
      <c r="E53" s="16">
        <v>4.8</v>
      </c>
      <c r="F53" s="16">
        <v>3</v>
      </c>
      <c r="G53" s="16">
        <v>2</v>
      </c>
      <c r="H53" s="16">
        <v>3</v>
      </c>
      <c r="I53" s="16">
        <v>20</v>
      </c>
      <c r="J53" t="s">
        <v>175</v>
      </c>
    </row>
    <row r="54" spans="2:14" x14ac:dyDescent="0.2">
      <c r="B54" t="s">
        <v>79</v>
      </c>
      <c r="D54" s="16">
        <v>30.4</v>
      </c>
      <c r="E54" s="16">
        <v>26.3</v>
      </c>
      <c r="F54" s="16">
        <v>11</v>
      </c>
      <c r="G54" s="16">
        <v>6</v>
      </c>
      <c r="H54" s="16">
        <v>9</v>
      </c>
      <c r="I54" s="16">
        <v>1</v>
      </c>
      <c r="J54" t="s">
        <v>175</v>
      </c>
    </row>
    <row r="55" spans="2:14" x14ac:dyDescent="0.2">
      <c r="B55" s="14" t="s">
        <v>81</v>
      </c>
      <c r="C55" s="15"/>
      <c r="D55" s="19">
        <v>1063.0999999999999</v>
      </c>
      <c r="E55" s="19">
        <v>1634.2</v>
      </c>
      <c r="F55" s="19">
        <v>1629</v>
      </c>
      <c r="G55" s="19">
        <v>1644</v>
      </c>
      <c r="H55" s="19">
        <v>2155</v>
      </c>
      <c r="I55" s="19">
        <v>2407</v>
      </c>
      <c r="J55" s="15"/>
      <c r="K55" s="15"/>
      <c r="L55" s="15"/>
      <c r="M55" s="15"/>
      <c r="N55" s="15"/>
    </row>
    <row r="56" spans="2:14" x14ac:dyDescent="0.2">
      <c r="B56" t="s">
        <v>46</v>
      </c>
      <c r="D56" s="16">
        <v>3</v>
      </c>
      <c r="E56" s="16">
        <v>11.2</v>
      </c>
      <c r="F56" s="16">
        <v>1</v>
      </c>
      <c r="G56" s="16">
        <v>0</v>
      </c>
      <c r="H56" s="16">
        <v>0</v>
      </c>
      <c r="I56" s="16">
        <v>0</v>
      </c>
      <c r="J56" t="s">
        <v>179</v>
      </c>
    </row>
    <row r="57" spans="2:14" x14ac:dyDescent="0.2">
      <c r="B57" t="s">
        <v>47</v>
      </c>
      <c r="D57" s="16">
        <v>411.1</v>
      </c>
      <c r="E57" s="16">
        <v>403.7</v>
      </c>
      <c r="F57" s="16">
        <v>444</v>
      </c>
      <c r="G57" s="16">
        <v>516</v>
      </c>
      <c r="H57" s="16">
        <v>625</v>
      </c>
      <c r="I57" s="16">
        <v>719</v>
      </c>
      <c r="J57" t="s">
        <v>177</v>
      </c>
    </row>
    <row r="58" spans="2:14" x14ac:dyDescent="0.2">
      <c r="B58" t="s">
        <v>48</v>
      </c>
      <c r="D58" s="16">
        <v>165.9</v>
      </c>
      <c r="E58" s="16">
        <v>204.4</v>
      </c>
      <c r="F58" s="16">
        <v>170</v>
      </c>
      <c r="G58" s="16">
        <v>182</v>
      </c>
      <c r="H58" s="16">
        <v>196</v>
      </c>
      <c r="I58" s="16">
        <v>385</v>
      </c>
      <c r="J58" t="s">
        <v>178</v>
      </c>
    </row>
    <row r="59" spans="2:14" x14ac:dyDescent="0.2">
      <c r="B59" t="s">
        <v>49</v>
      </c>
      <c r="D59" s="16">
        <v>290.8</v>
      </c>
      <c r="E59" s="16">
        <v>282</v>
      </c>
      <c r="F59" s="16">
        <v>309</v>
      </c>
      <c r="G59" s="16">
        <v>323</v>
      </c>
      <c r="H59" s="16">
        <v>382</v>
      </c>
      <c r="I59" s="16">
        <v>426</v>
      </c>
      <c r="J59" t="s">
        <v>178</v>
      </c>
    </row>
    <row r="60" spans="2:14" x14ac:dyDescent="0.2">
      <c r="B60" t="s">
        <v>50</v>
      </c>
      <c r="D60" s="16">
        <v>5.8</v>
      </c>
      <c r="E60" s="16">
        <v>7.1</v>
      </c>
      <c r="F60" s="16">
        <v>7</v>
      </c>
      <c r="G60" s="16">
        <v>20</v>
      </c>
      <c r="H60" s="16">
        <v>19</v>
      </c>
      <c r="I60" s="16">
        <v>8</v>
      </c>
      <c r="J60" t="s">
        <v>179</v>
      </c>
    </row>
    <row r="61" spans="2:14" x14ac:dyDescent="0.2">
      <c r="B61" t="s">
        <v>51</v>
      </c>
      <c r="D61" s="16">
        <v>46.1</v>
      </c>
      <c r="E61" s="16">
        <v>78.7</v>
      </c>
      <c r="F61" s="16">
        <v>167</v>
      </c>
      <c r="G61" s="16">
        <v>133</v>
      </c>
      <c r="H61" s="16">
        <v>116</v>
      </c>
      <c r="I61" s="16">
        <v>115</v>
      </c>
      <c r="J61" t="s">
        <v>179</v>
      </c>
    </row>
    <row r="62" spans="2:14" x14ac:dyDescent="0.2">
      <c r="B62" t="s">
        <v>52</v>
      </c>
      <c r="D62" s="16">
        <v>3.2</v>
      </c>
      <c r="E62" s="16">
        <v>1.6</v>
      </c>
      <c r="F62" s="16">
        <v>2</v>
      </c>
      <c r="G62" s="16">
        <v>10</v>
      </c>
      <c r="H62" s="16">
        <v>15</v>
      </c>
      <c r="I62" s="16">
        <v>20</v>
      </c>
      <c r="J62" t="s">
        <v>179</v>
      </c>
    </row>
    <row r="63" spans="2:14" x14ac:dyDescent="0.2">
      <c r="B63" t="s">
        <v>53</v>
      </c>
      <c r="D63" s="16">
        <v>137.4</v>
      </c>
      <c r="E63" s="16">
        <v>645.5</v>
      </c>
      <c r="F63" s="16">
        <v>529</v>
      </c>
      <c r="G63" s="16">
        <v>460</v>
      </c>
      <c r="H63" s="16">
        <v>802</v>
      </c>
      <c r="I63" s="16">
        <v>733</v>
      </c>
      <c r="J63" t="s">
        <v>181</v>
      </c>
    </row>
    <row r="64" spans="2:14" x14ac:dyDescent="0.2">
      <c r="B64" s="14" t="s">
        <v>54</v>
      </c>
      <c r="C64" s="15"/>
      <c r="D64" s="19">
        <v>2455.6999999999998</v>
      </c>
      <c r="E64" s="19">
        <v>2947.6</v>
      </c>
      <c r="F64" s="19">
        <v>2956</v>
      </c>
      <c r="G64" s="19">
        <v>2979</v>
      </c>
      <c r="H64" s="19">
        <v>3579</v>
      </c>
      <c r="I64" s="19">
        <v>4696</v>
      </c>
      <c r="J64" s="15"/>
      <c r="K64" s="15"/>
      <c r="L64" s="15"/>
      <c r="M64" s="15"/>
      <c r="N64" s="15"/>
    </row>
    <row r="65" spans="2:14" x14ac:dyDescent="0.2">
      <c r="B65" s="13"/>
      <c r="D65" s="20"/>
      <c r="E65" s="20"/>
      <c r="F65" s="20"/>
      <c r="G65" s="20"/>
      <c r="H65" s="20"/>
      <c r="I65" s="20"/>
    </row>
    <row r="66" spans="2:14" ht="22" x14ac:dyDescent="0.3">
      <c r="B66" s="24" t="s">
        <v>84</v>
      </c>
      <c r="C66" s="22"/>
      <c r="D66" s="27"/>
      <c r="E66" s="27"/>
      <c r="F66" s="27"/>
      <c r="G66" s="27"/>
      <c r="H66" s="27"/>
      <c r="I66" s="27"/>
      <c r="J66" s="22"/>
      <c r="K66" s="22"/>
      <c r="L66" s="22"/>
      <c r="M66" s="22"/>
      <c r="N66" s="22"/>
    </row>
    <row r="67" spans="2:14" x14ac:dyDescent="0.2">
      <c r="B67" t="s">
        <v>55</v>
      </c>
      <c r="D67" s="16">
        <v>10</v>
      </c>
      <c r="E67" s="16">
        <v>105</v>
      </c>
      <c r="F67" s="16">
        <v>105</v>
      </c>
      <c r="G67" s="16">
        <v>105</v>
      </c>
      <c r="H67" s="16">
        <v>116</v>
      </c>
      <c r="I67" s="16">
        <v>116</v>
      </c>
      <c r="J67" t="s">
        <v>189</v>
      </c>
    </row>
    <row r="68" spans="2:14" x14ac:dyDescent="0.2">
      <c r="B68" t="s">
        <v>57</v>
      </c>
      <c r="D68" s="16">
        <v>396.7</v>
      </c>
      <c r="E68" s="16">
        <v>596.79999999999995</v>
      </c>
      <c r="F68" s="16">
        <v>537</v>
      </c>
      <c r="G68" s="16">
        <v>472</v>
      </c>
      <c r="H68" s="16">
        <v>613</v>
      </c>
      <c r="I68" s="16">
        <v>474</v>
      </c>
      <c r="J68" t="s">
        <v>190</v>
      </c>
    </row>
    <row r="69" spans="2:14" x14ac:dyDescent="0.2">
      <c r="B69" t="s">
        <v>56</v>
      </c>
      <c r="D69" s="16">
        <v>-49.8</v>
      </c>
      <c r="E69" s="16">
        <v>-86.3</v>
      </c>
      <c r="F69" s="16">
        <v>-65</v>
      </c>
      <c r="G69" s="16">
        <v>82</v>
      </c>
      <c r="H69" s="16">
        <v>32</v>
      </c>
      <c r="I69" s="16">
        <v>37</v>
      </c>
      <c r="J69" t="s">
        <v>190</v>
      </c>
    </row>
    <row r="70" spans="2:14" x14ac:dyDescent="0.2">
      <c r="B70" t="s">
        <v>58</v>
      </c>
      <c r="D70" s="16">
        <v>-215.8</v>
      </c>
      <c r="E70" s="16">
        <v>-281.60000000000002</v>
      </c>
      <c r="F70" s="16">
        <v>-171</v>
      </c>
      <c r="G70" s="16">
        <v>-55</v>
      </c>
      <c r="H70" s="16">
        <v>62</v>
      </c>
      <c r="I70" s="16">
        <v>245</v>
      </c>
      <c r="J70" t="s">
        <v>190</v>
      </c>
    </row>
    <row r="71" spans="2:14" x14ac:dyDescent="0.2">
      <c r="B71" s="14" t="s">
        <v>59</v>
      </c>
      <c r="C71" s="15"/>
      <c r="D71" s="19">
        <v>141.19999999999999</v>
      </c>
      <c r="E71" s="19">
        <v>333.9</v>
      </c>
      <c r="F71" s="19">
        <v>406</v>
      </c>
      <c r="G71" s="19">
        <v>604</v>
      </c>
      <c r="H71" s="19">
        <v>822</v>
      </c>
      <c r="I71" s="19">
        <v>873</v>
      </c>
      <c r="J71" s="15"/>
      <c r="K71" s="15"/>
      <c r="L71" s="15"/>
      <c r="M71" s="15"/>
      <c r="N71" s="15"/>
    </row>
    <row r="72" spans="2:14" x14ac:dyDescent="0.2">
      <c r="B72" t="s">
        <v>60</v>
      </c>
      <c r="D72" s="16">
        <v>13.6</v>
      </c>
      <c r="E72" s="16">
        <v>12.9</v>
      </c>
      <c r="F72" s="16">
        <v>11</v>
      </c>
      <c r="G72" s="16">
        <v>13</v>
      </c>
      <c r="H72" s="16">
        <v>16</v>
      </c>
      <c r="I72" s="16">
        <v>14</v>
      </c>
      <c r="J72" s="15" t="s">
        <v>190</v>
      </c>
    </row>
    <row r="73" spans="2:14" ht="17" thickBot="1" x14ac:dyDescent="0.25">
      <c r="B73" s="25" t="s">
        <v>61</v>
      </c>
      <c r="C73" s="26"/>
      <c r="D73" s="28">
        <v>154.80000000000001</v>
      </c>
      <c r="E73" s="28">
        <v>346.8</v>
      </c>
      <c r="F73" s="28">
        <v>417</v>
      </c>
      <c r="G73" s="28">
        <v>616</v>
      </c>
      <c r="H73" s="28">
        <v>838</v>
      </c>
      <c r="I73" s="28">
        <v>886</v>
      </c>
      <c r="J73" s="26"/>
      <c r="K73" s="26"/>
      <c r="L73" s="26"/>
      <c r="M73" s="26"/>
      <c r="N73" s="26"/>
    </row>
    <row r="74" spans="2:14" x14ac:dyDescent="0.2">
      <c r="B74" s="21" t="s">
        <v>62</v>
      </c>
      <c r="C74" s="22"/>
      <c r="D74" s="29">
        <v>1517.9</v>
      </c>
      <c r="E74" s="29">
        <v>1257.0999999999999</v>
      </c>
      <c r="F74" s="29">
        <v>1284</v>
      </c>
      <c r="G74" s="29">
        <v>1160</v>
      </c>
      <c r="H74" s="29">
        <v>1271</v>
      </c>
      <c r="I74" s="29">
        <v>1927</v>
      </c>
      <c r="J74" s="22"/>
      <c r="K74" s="22"/>
      <c r="L74" s="22"/>
      <c r="M74" s="22"/>
      <c r="N74" s="22"/>
    </row>
    <row r="75" spans="2:14" x14ac:dyDescent="0.2">
      <c r="B75" t="s">
        <v>63</v>
      </c>
      <c r="D75" s="16">
        <v>413.6</v>
      </c>
      <c r="E75" s="16">
        <v>482.6</v>
      </c>
      <c r="F75" s="16">
        <v>497</v>
      </c>
      <c r="G75" s="16">
        <v>282</v>
      </c>
      <c r="H75" s="16">
        <v>357</v>
      </c>
      <c r="I75" s="16">
        <v>418</v>
      </c>
      <c r="J75" t="s">
        <v>497</v>
      </c>
    </row>
    <row r="76" spans="2:14" x14ac:dyDescent="0.2">
      <c r="B76" t="s">
        <v>64</v>
      </c>
      <c r="D76" s="16">
        <v>887.7</v>
      </c>
      <c r="E76" s="16">
        <v>601.29999999999995</v>
      </c>
      <c r="F76" s="16">
        <v>622</v>
      </c>
      <c r="G76" s="16">
        <v>619</v>
      </c>
      <c r="H76" s="16">
        <v>621</v>
      </c>
      <c r="I76" s="16">
        <v>1072</v>
      </c>
      <c r="J76" t="s">
        <v>497</v>
      </c>
    </row>
    <row r="77" spans="2:14" x14ac:dyDescent="0.2">
      <c r="B77" t="s">
        <v>65</v>
      </c>
      <c r="D77" s="16">
        <v>16.3</v>
      </c>
      <c r="E77" s="16">
        <v>16</v>
      </c>
      <c r="F77" s="16">
        <v>12</v>
      </c>
      <c r="G77" s="16">
        <v>11</v>
      </c>
      <c r="H77" s="16">
        <v>0</v>
      </c>
      <c r="I77" s="16">
        <v>4</v>
      </c>
      <c r="J77" t="s">
        <v>183</v>
      </c>
    </row>
    <row r="78" spans="2:14" x14ac:dyDescent="0.2">
      <c r="B78" t="s">
        <v>66</v>
      </c>
      <c r="D78" s="16">
        <v>147.5</v>
      </c>
      <c r="E78" s="16">
        <v>140.30000000000001</v>
      </c>
      <c r="F78" s="16">
        <v>139</v>
      </c>
      <c r="G78" s="16">
        <v>140</v>
      </c>
      <c r="H78" s="16">
        <v>191</v>
      </c>
      <c r="I78" s="16">
        <v>256</v>
      </c>
      <c r="J78" t="s">
        <v>497</v>
      </c>
    </row>
    <row r="79" spans="2:14" x14ac:dyDescent="0.2">
      <c r="B79" t="s">
        <v>67</v>
      </c>
      <c r="D79" s="16">
        <v>0.2</v>
      </c>
      <c r="E79" s="16">
        <v>0.2</v>
      </c>
      <c r="F79" s="16">
        <v>0</v>
      </c>
      <c r="G79" s="16">
        <v>3</v>
      </c>
      <c r="H79" s="16">
        <v>10</v>
      </c>
      <c r="I79" s="16">
        <v>13</v>
      </c>
      <c r="J79" t="s">
        <v>183</v>
      </c>
    </row>
    <row r="80" spans="2:14" x14ac:dyDescent="0.2">
      <c r="B80" t="s">
        <v>68</v>
      </c>
      <c r="D80" s="16">
        <v>7.7</v>
      </c>
      <c r="E80" s="16">
        <v>8.9</v>
      </c>
      <c r="F80" s="16">
        <v>10</v>
      </c>
      <c r="G80" s="16">
        <v>11</v>
      </c>
      <c r="H80" s="16">
        <v>14</v>
      </c>
      <c r="I80" s="16">
        <v>15</v>
      </c>
      <c r="J80" t="s">
        <v>183</v>
      </c>
    </row>
    <row r="81" spans="2:14" x14ac:dyDescent="0.2">
      <c r="B81" t="s">
        <v>69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27</v>
      </c>
      <c r="J81" t="s">
        <v>183</v>
      </c>
    </row>
    <row r="82" spans="2:14" x14ac:dyDescent="0.2">
      <c r="B82" t="s">
        <v>70</v>
      </c>
      <c r="D82" s="16">
        <v>44.8</v>
      </c>
      <c r="E82" s="16">
        <v>7.7</v>
      </c>
      <c r="F82" s="16">
        <v>4</v>
      </c>
      <c r="G82" s="16">
        <v>94</v>
      </c>
      <c r="H82" s="16">
        <v>79</v>
      </c>
      <c r="I82" s="16">
        <v>123</v>
      </c>
      <c r="J82" t="s">
        <v>183</v>
      </c>
    </row>
    <row r="83" spans="2:14" x14ac:dyDescent="0.2">
      <c r="B83" s="14" t="s">
        <v>82</v>
      </c>
      <c r="C83" s="14"/>
      <c r="D83" s="19">
        <v>783</v>
      </c>
      <c r="E83" s="19">
        <v>1343.7</v>
      </c>
      <c r="F83" s="19">
        <v>1255</v>
      </c>
      <c r="G83" s="19">
        <v>1203</v>
      </c>
      <c r="H83" s="19">
        <v>1470</v>
      </c>
      <c r="I83" s="19">
        <v>1883</v>
      </c>
      <c r="J83" s="15"/>
      <c r="K83" s="15"/>
      <c r="L83" s="15"/>
      <c r="M83" s="15"/>
      <c r="N83" s="15"/>
    </row>
    <row r="84" spans="2:14" x14ac:dyDescent="0.2">
      <c r="B84" t="s">
        <v>71</v>
      </c>
      <c r="D84" s="16">
        <v>185.1</v>
      </c>
      <c r="E84" s="16">
        <v>193.6</v>
      </c>
      <c r="F84" s="16">
        <v>188</v>
      </c>
      <c r="G84" s="16">
        <v>181</v>
      </c>
      <c r="H84" s="16">
        <v>221</v>
      </c>
      <c r="I84" s="16">
        <v>257</v>
      </c>
      <c r="J84" t="s">
        <v>497</v>
      </c>
    </row>
    <row r="85" spans="2:14" x14ac:dyDescent="0.2">
      <c r="B85" t="s">
        <v>72</v>
      </c>
      <c r="D85" s="16">
        <v>11.3</v>
      </c>
      <c r="E85" s="16">
        <v>363.3</v>
      </c>
      <c r="F85" s="16">
        <v>166</v>
      </c>
      <c r="G85" s="16">
        <v>12</v>
      </c>
      <c r="H85" s="16">
        <v>23</v>
      </c>
      <c r="I85" s="16">
        <v>22</v>
      </c>
      <c r="J85" t="s">
        <v>497</v>
      </c>
    </row>
    <row r="86" spans="2:14" x14ac:dyDescent="0.2">
      <c r="B86" t="s">
        <v>73</v>
      </c>
      <c r="D86" s="16">
        <v>317.10000000000002</v>
      </c>
      <c r="E86" s="16">
        <v>416.8</v>
      </c>
      <c r="F86" s="16">
        <v>500</v>
      </c>
      <c r="G86" s="16">
        <v>488</v>
      </c>
      <c r="H86" s="16">
        <v>578</v>
      </c>
      <c r="I86" s="16">
        <v>776</v>
      </c>
      <c r="J86" t="s">
        <v>185</v>
      </c>
    </row>
    <row r="87" spans="2:14" x14ac:dyDescent="0.2">
      <c r="B87" t="s">
        <v>74</v>
      </c>
      <c r="D87" s="16">
        <v>13</v>
      </c>
      <c r="E87" s="16">
        <v>13.7</v>
      </c>
      <c r="F87" s="16">
        <v>16</v>
      </c>
      <c r="G87" s="16">
        <v>18</v>
      </c>
      <c r="H87" s="16">
        <v>20</v>
      </c>
      <c r="I87" s="16">
        <v>25</v>
      </c>
      <c r="J87" t="s">
        <v>186</v>
      </c>
    </row>
    <row r="88" spans="2:14" x14ac:dyDescent="0.2">
      <c r="B88" t="s">
        <v>75</v>
      </c>
      <c r="D88" s="16">
        <v>168.8</v>
      </c>
      <c r="E88" s="16">
        <v>164</v>
      </c>
      <c r="F88" s="16">
        <v>269</v>
      </c>
      <c r="G88" s="16">
        <v>379</v>
      </c>
      <c r="H88" s="16">
        <v>457</v>
      </c>
      <c r="I88" s="16">
        <v>546</v>
      </c>
      <c r="J88" t="s">
        <v>185</v>
      </c>
    </row>
    <row r="89" spans="2:14" x14ac:dyDescent="0.2">
      <c r="B89" t="s">
        <v>76</v>
      </c>
      <c r="D89" s="16">
        <v>20.5</v>
      </c>
      <c r="E89" s="16">
        <v>97.8</v>
      </c>
      <c r="F89" s="16">
        <v>10</v>
      </c>
      <c r="G89" s="16">
        <v>4</v>
      </c>
      <c r="H89" s="16">
        <v>7</v>
      </c>
      <c r="I89" s="16">
        <v>74</v>
      </c>
      <c r="J89" t="s">
        <v>186</v>
      </c>
    </row>
    <row r="90" spans="2:14" x14ac:dyDescent="0.2">
      <c r="B90" t="s">
        <v>77</v>
      </c>
      <c r="D90" s="16">
        <v>67.099999999999994</v>
      </c>
      <c r="E90" s="16">
        <v>86.9</v>
      </c>
      <c r="F90" s="16">
        <v>94</v>
      </c>
      <c r="G90" s="16">
        <v>101</v>
      </c>
      <c r="H90" s="16">
        <v>136</v>
      </c>
      <c r="I90" s="16">
        <v>151</v>
      </c>
      <c r="J90" t="s">
        <v>186</v>
      </c>
    </row>
    <row r="91" spans="2:14" x14ac:dyDescent="0.2">
      <c r="B91" t="s">
        <v>78</v>
      </c>
      <c r="D91" s="16">
        <v>0.1</v>
      </c>
      <c r="E91" s="16">
        <v>7.6</v>
      </c>
      <c r="F91" s="16">
        <v>11</v>
      </c>
      <c r="G91" s="16">
        <v>19</v>
      </c>
      <c r="H91" s="16">
        <v>39</v>
      </c>
      <c r="I91" s="16">
        <v>33</v>
      </c>
      <c r="J91" t="s">
        <v>186</v>
      </c>
    </row>
    <row r="92" spans="2:14" x14ac:dyDescent="0.2">
      <c r="B92" s="14" t="s">
        <v>83</v>
      </c>
      <c r="C92" s="14"/>
      <c r="D92" s="19">
        <v>2455.6999999999998</v>
      </c>
      <c r="E92" s="19">
        <v>2947.6</v>
      </c>
      <c r="F92" s="19">
        <v>2956</v>
      </c>
      <c r="G92" s="19">
        <v>2979</v>
      </c>
      <c r="H92" s="19">
        <v>3579</v>
      </c>
      <c r="I92" s="19">
        <v>4696</v>
      </c>
      <c r="J92" s="15"/>
      <c r="K92" s="15"/>
      <c r="L92" s="15"/>
      <c r="M92" s="15"/>
      <c r="N92" s="15"/>
    </row>
    <row r="93" spans="2:14" x14ac:dyDescent="0.2">
      <c r="D93" s="16"/>
      <c r="E93" s="16"/>
      <c r="F93" s="16"/>
      <c r="G93" s="16"/>
      <c r="H93" s="16"/>
      <c r="I93" s="16"/>
    </row>
    <row r="95" spans="2:14" ht="30" x14ac:dyDescent="0.3">
      <c r="B95" s="240"/>
    </row>
    <row r="97" spans="2:8" x14ac:dyDescent="0.2">
      <c r="B97" s="241"/>
    </row>
    <row r="99" spans="2:8" x14ac:dyDescent="0.2">
      <c r="B99" s="242"/>
      <c r="C99" s="242"/>
      <c r="D99" s="242"/>
      <c r="E99" s="242"/>
      <c r="F99" s="242"/>
      <c r="G99" s="242"/>
      <c r="H99" s="242"/>
    </row>
    <row r="100" spans="2:8" x14ac:dyDescent="0.2">
      <c r="B100" s="242"/>
      <c r="C100" s="243"/>
      <c r="D100" s="243"/>
      <c r="E100" s="243"/>
      <c r="F100" s="243"/>
      <c r="G100" s="243"/>
      <c r="H100" s="243"/>
    </row>
    <row r="101" spans="2:8" x14ac:dyDescent="0.2">
      <c r="B101" s="242"/>
      <c r="C101" s="243"/>
      <c r="D101" s="243"/>
      <c r="E101" s="243"/>
      <c r="F101" s="243"/>
      <c r="G101" s="243"/>
      <c r="H101" s="243"/>
    </row>
    <row r="102" spans="2:8" x14ac:dyDescent="0.2">
      <c r="B102" s="243"/>
      <c r="C102" s="243"/>
      <c r="D102" s="243"/>
      <c r="E102" s="243"/>
      <c r="F102" s="243"/>
      <c r="G102" s="243"/>
      <c r="H102" s="243"/>
    </row>
    <row r="103" spans="2:8" x14ac:dyDescent="0.2">
      <c r="B103" s="243"/>
      <c r="C103" s="243"/>
      <c r="D103" s="243"/>
      <c r="E103" s="243"/>
      <c r="F103" s="243"/>
      <c r="G103" s="243"/>
      <c r="H103" s="243"/>
    </row>
    <row r="104" spans="2:8" x14ac:dyDescent="0.2">
      <c r="B104" s="243"/>
      <c r="C104" s="243"/>
      <c r="D104" s="243"/>
      <c r="E104" s="243"/>
      <c r="F104" s="243"/>
      <c r="G104" s="243"/>
      <c r="H104" s="243"/>
    </row>
    <row r="105" spans="2:8" x14ac:dyDescent="0.2">
      <c r="B105" s="243"/>
      <c r="C105" s="243"/>
      <c r="D105" s="243"/>
      <c r="E105" s="243"/>
      <c r="F105" s="243"/>
      <c r="G105" s="244"/>
      <c r="H105" s="244"/>
    </row>
    <row r="106" spans="2:8" x14ac:dyDescent="0.2">
      <c r="B106" s="243"/>
      <c r="C106" s="243"/>
      <c r="D106" s="243"/>
      <c r="E106" s="243"/>
      <c r="F106" s="243"/>
      <c r="G106" s="243"/>
      <c r="H106" s="243"/>
    </row>
    <row r="107" spans="2:8" x14ac:dyDescent="0.2">
      <c r="B107" s="243"/>
      <c r="C107" s="245"/>
      <c r="D107" s="245"/>
      <c r="E107" s="245"/>
      <c r="F107" s="245"/>
      <c r="G107" s="245"/>
      <c r="H107" s="245"/>
    </row>
    <row r="108" spans="2:8" x14ac:dyDescent="0.2">
      <c r="B108" s="243"/>
      <c r="C108" s="243"/>
      <c r="D108" s="243"/>
      <c r="E108" s="243"/>
      <c r="F108" s="243"/>
      <c r="G108" s="243"/>
      <c r="H108" s="243"/>
    </row>
    <row r="109" spans="2:8" x14ac:dyDescent="0.2">
      <c r="B109" s="242"/>
      <c r="C109" s="242"/>
      <c r="D109" s="242"/>
      <c r="E109" s="242"/>
      <c r="F109" s="242"/>
      <c r="G109" s="242"/>
      <c r="H109" s="242"/>
    </row>
    <row r="110" spans="2:8" x14ac:dyDescent="0.2">
      <c r="B110" s="243"/>
      <c r="C110" s="243"/>
      <c r="D110" s="243"/>
      <c r="E110" s="243"/>
      <c r="F110" s="243"/>
      <c r="G110" s="243"/>
      <c r="H110" s="243"/>
    </row>
    <row r="111" spans="2:8" x14ac:dyDescent="0.2">
      <c r="B111" s="242"/>
      <c r="C111" s="243"/>
      <c r="D111" s="243"/>
      <c r="E111" s="243"/>
      <c r="F111" s="243"/>
      <c r="G111" s="243"/>
      <c r="H111" s="243"/>
    </row>
    <row r="112" spans="2:8" x14ac:dyDescent="0.2">
      <c r="B112" s="243"/>
      <c r="C112" s="243"/>
      <c r="D112" s="243"/>
      <c r="E112" s="243"/>
      <c r="F112" s="243"/>
      <c r="G112" s="243"/>
      <c r="H112" s="243"/>
    </row>
    <row r="113" spans="2:8" x14ac:dyDescent="0.2">
      <c r="B113" s="243"/>
      <c r="C113" s="243"/>
      <c r="D113" s="243"/>
      <c r="E113" s="243"/>
      <c r="F113" s="243"/>
      <c r="G113" s="243"/>
      <c r="H113" s="243"/>
    </row>
    <row r="114" spans="2:8" x14ac:dyDescent="0.2">
      <c r="B114" s="243"/>
      <c r="C114" s="243"/>
      <c r="D114" s="243"/>
      <c r="E114" s="243"/>
      <c r="F114" s="243"/>
      <c r="G114" s="243"/>
      <c r="H114" s="243"/>
    </row>
    <row r="115" spans="2:8" x14ac:dyDescent="0.2">
      <c r="B115" s="243"/>
      <c r="C115" s="243"/>
      <c r="D115" s="243"/>
      <c r="E115" s="243"/>
      <c r="F115" s="243"/>
      <c r="G115" s="243"/>
      <c r="H115" s="243"/>
    </row>
    <row r="116" spans="2:8" x14ac:dyDescent="0.2">
      <c r="B116" s="243"/>
      <c r="C116" s="243"/>
      <c r="D116" s="243"/>
      <c r="E116" s="243"/>
      <c r="F116" s="243"/>
      <c r="G116" s="243"/>
      <c r="H116" s="243"/>
    </row>
    <row r="117" spans="2:8" x14ac:dyDescent="0.2">
      <c r="B117" s="243"/>
      <c r="C117" s="244"/>
      <c r="D117" s="244"/>
      <c r="E117" s="244"/>
      <c r="F117" s="244"/>
      <c r="G117" s="244"/>
      <c r="H117" s="244"/>
    </row>
    <row r="118" spans="2:8" x14ac:dyDescent="0.2">
      <c r="B118" s="243"/>
      <c r="C118" s="243"/>
      <c r="D118" s="243"/>
      <c r="E118" s="243"/>
      <c r="F118" s="243"/>
      <c r="G118" s="243"/>
      <c r="H118" s="243"/>
    </row>
    <row r="119" spans="2:8" x14ac:dyDescent="0.2">
      <c r="B119" s="242"/>
      <c r="C119" s="242"/>
      <c r="D119" s="242"/>
      <c r="E119" s="242"/>
      <c r="F119" s="242"/>
      <c r="G119" s="242"/>
      <c r="H119" s="242"/>
    </row>
    <row r="120" spans="2:8" x14ac:dyDescent="0.2">
      <c r="B120" s="243"/>
      <c r="C120" s="243"/>
      <c r="D120" s="243"/>
      <c r="E120" s="243"/>
      <c r="F120" s="243"/>
      <c r="G120" s="243"/>
      <c r="H120" s="243"/>
    </row>
    <row r="121" spans="2:8" x14ac:dyDescent="0.2">
      <c r="B121" s="242"/>
      <c r="C121" s="242"/>
      <c r="D121" s="242"/>
      <c r="E121" s="242"/>
      <c r="F121" s="242"/>
      <c r="G121" s="242"/>
      <c r="H121" s="242"/>
    </row>
    <row r="122" spans="2:8" x14ac:dyDescent="0.2">
      <c r="B122" s="243"/>
      <c r="C122" s="243"/>
      <c r="D122" s="243"/>
      <c r="E122" s="243"/>
      <c r="F122" s="243"/>
      <c r="G122" s="243"/>
      <c r="H122" s="243"/>
    </row>
    <row r="123" spans="2:8" x14ac:dyDescent="0.2">
      <c r="B123" s="242"/>
      <c r="C123" s="243"/>
      <c r="D123" s="243"/>
      <c r="E123" s="243"/>
      <c r="F123" s="243"/>
      <c r="G123" s="243"/>
      <c r="H123" s="243"/>
    </row>
    <row r="124" spans="2:8" x14ac:dyDescent="0.2">
      <c r="B124" s="242"/>
      <c r="C124" s="243"/>
      <c r="D124" s="243"/>
      <c r="E124" s="243"/>
      <c r="F124" s="243"/>
      <c r="G124" s="243"/>
      <c r="H124" s="243"/>
    </row>
    <row r="125" spans="2:8" x14ac:dyDescent="0.2">
      <c r="B125" s="243"/>
      <c r="C125" s="243"/>
      <c r="D125" s="243"/>
      <c r="E125" s="243"/>
      <c r="F125" s="243"/>
      <c r="G125" s="243"/>
      <c r="H125" s="243"/>
    </row>
    <row r="126" spans="2:8" x14ac:dyDescent="0.2">
      <c r="B126" s="243"/>
      <c r="C126" s="243"/>
      <c r="D126" s="243"/>
      <c r="E126" s="243"/>
      <c r="F126" s="243"/>
      <c r="G126" s="243"/>
      <c r="H126" s="243"/>
    </row>
    <row r="127" spans="2:8" x14ac:dyDescent="0.2">
      <c r="B127" s="243"/>
      <c r="C127" s="243"/>
      <c r="D127" s="243"/>
      <c r="E127" s="243"/>
      <c r="F127" s="243"/>
      <c r="G127" s="243"/>
      <c r="H127" s="243"/>
    </row>
    <row r="128" spans="2:8" x14ac:dyDescent="0.2">
      <c r="B128" s="243"/>
      <c r="C128" s="243"/>
      <c r="D128" s="243"/>
      <c r="E128" s="243"/>
      <c r="F128" s="243"/>
      <c r="G128" s="243"/>
      <c r="H128" s="243"/>
    </row>
    <row r="129" spans="2:8" x14ac:dyDescent="0.2">
      <c r="B129" s="243"/>
      <c r="C129" s="243"/>
      <c r="D129" s="243"/>
      <c r="E129" s="243"/>
      <c r="F129" s="243"/>
      <c r="G129" s="243"/>
      <c r="H129" s="243"/>
    </row>
    <row r="130" spans="2:8" x14ac:dyDescent="0.2">
      <c r="B130" s="243"/>
      <c r="C130" s="243"/>
      <c r="D130" s="243"/>
      <c r="E130" s="243"/>
      <c r="F130" s="243"/>
      <c r="G130" s="243"/>
      <c r="H130" s="243"/>
    </row>
    <row r="131" spans="2:8" x14ac:dyDescent="0.2">
      <c r="B131" s="242"/>
      <c r="C131" s="242"/>
      <c r="D131" s="242"/>
      <c r="E131" s="242"/>
      <c r="F131" s="242"/>
      <c r="G131" s="242"/>
      <c r="H131" s="242"/>
    </row>
    <row r="132" spans="2:8" x14ac:dyDescent="0.2">
      <c r="B132" s="243"/>
      <c r="C132" s="243"/>
      <c r="D132" s="243"/>
      <c r="E132" s="243"/>
      <c r="F132" s="243"/>
      <c r="G132" s="243"/>
      <c r="H132" s="243"/>
    </row>
    <row r="133" spans="2:8" x14ac:dyDescent="0.2">
      <c r="B133" s="242"/>
      <c r="C133" s="243"/>
      <c r="D133" s="243"/>
      <c r="E133" s="243"/>
      <c r="F133" s="243"/>
      <c r="G133" s="243"/>
      <c r="H133" s="243"/>
    </row>
    <row r="134" spans="2:8" x14ac:dyDescent="0.2">
      <c r="B134" s="242"/>
      <c r="C134" s="243"/>
      <c r="D134" s="243"/>
      <c r="E134" s="243"/>
      <c r="F134" s="243"/>
      <c r="G134" s="243"/>
      <c r="H134" s="243"/>
    </row>
    <row r="135" spans="2:8" x14ac:dyDescent="0.2">
      <c r="B135" s="243"/>
      <c r="C135" s="243"/>
      <c r="D135" s="243"/>
      <c r="E135" s="243"/>
      <c r="F135" s="243"/>
      <c r="G135" s="243"/>
      <c r="H135" s="243"/>
    </row>
    <row r="136" spans="2:8" x14ac:dyDescent="0.2">
      <c r="B136" s="243"/>
      <c r="C136" s="243"/>
      <c r="D136" s="243"/>
      <c r="E136" s="243"/>
      <c r="F136" s="243"/>
      <c r="G136" s="243"/>
      <c r="H136" s="243"/>
    </row>
    <row r="137" spans="2:8" x14ac:dyDescent="0.2">
      <c r="B137" s="243"/>
      <c r="C137" s="243"/>
      <c r="D137" s="243"/>
      <c r="E137" s="243"/>
      <c r="F137" s="243"/>
      <c r="G137" s="243"/>
      <c r="H137" s="243"/>
    </row>
    <row r="138" spans="2:8" x14ac:dyDescent="0.2">
      <c r="B138" s="243"/>
      <c r="C138" s="243"/>
      <c r="D138" s="243"/>
      <c r="E138" s="243"/>
      <c r="F138" s="243"/>
      <c r="G138" s="243"/>
      <c r="H138" s="243"/>
    </row>
    <row r="139" spans="2:8" x14ac:dyDescent="0.2">
      <c r="B139" s="243"/>
      <c r="C139" s="243"/>
      <c r="D139" s="243"/>
      <c r="E139" s="243"/>
      <c r="F139" s="243"/>
      <c r="G139" s="243"/>
      <c r="H139" s="244"/>
    </row>
    <row r="140" spans="2:8" x14ac:dyDescent="0.2">
      <c r="B140" s="243"/>
      <c r="C140" s="244"/>
      <c r="D140" s="243"/>
      <c r="E140" s="244"/>
      <c r="F140" s="243"/>
      <c r="G140" s="244"/>
      <c r="H140" s="244"/>
    </row>
    <row r="141" spans="2:8" x14ac:dyDescent="0.2">
      <c r="B141" s="243"/>
      <c r="C141" s="243"/>
      <c r="D141" s="243"/>
      <c r="E141" s="243"/>
      <c r="F141" s="243"/>
      <c r="G141" s="243"/>
      <c r="H141" s="243"/>
    </row>
    <row r="142" spans="2:8" x14ac:dyDescent="0.2">
      <c r="B142" s="242"/>
      <c r="C142" s="242"/>
      <c r="D142" s="242"/>
      <c r="E142" s="242"/>
      <c r="F142" s="242"/>
      <c r="G142" s="242"/>
      <c r="H142" s="242"/>
    </row>
    <row r="143" spans="2:8" x14ac:dyDescent="0.2">
      <c r="B143" s="243"/>
      <c r="C143" s="243"/>
      <c r="D143" s="243"/>
      <c r="E143" s="243"/>
      <c r="F143" s="243"/>
      <c r="G143" s="243"/>
      <c r="H143" s="243"/>
    </row>
    <row r="144" spans="2:8" x14ac:dyDescent="0.2">
      <c r="B144" s="242"/>
      <c r="C144" s="243"/>
      <c r="D144" s="243"/>
      <c r="E144" s="243"/>
      <c r="F144" s="243"/>
      <c r="G144" s="243"/>
      <c r="H144" s="243"/>
    </row>
    <row r="145" spans="2:8" x14ac:dyDescent="0.2">
      <c r="B145" s="243"/>
      <c r="C145" s="243"/>
      <c r="D145" s="243"/>
      <c r="E145" s="243"/>
      <c r="F145" s="243"/>
      <c r="G145" s="243"/>
      <c r="H145" s="243"/>
    </row>
    <row r="146" spans="2:8" x14ac:dyDescent="0.2">
      <c r="B146" s="243"/>
      <c r="C146" s="244"/>
      <c r="D146" s="243"/>
      <c r="E146" s="244"/>
      <c r="F146" s="244"/>
      <c r="G146" s="243"/>
      <c r="H146" s="243"/>
    </row>
    <row r="147" spans="2:8" x14ac:dyDescent="0.2">
      <c r="B147" s="243"/>
      <c r="C147" s="244"/>
      <c r="D147" s="244"/>
      <c r="E147" s="244"/>
      <c r="F147" s="244"/>
      <c r="G147" s="244"/>
      <c r="H147" s="244"/>
    </row>
    <row r="148" spans="2:8" x14ac:dyDescent="0.2">
      <c r="B148" s="243"/>
      <c r="C148" s="243"/>
      <c r="D148" s="243"/>
      <c r="E148" s="243"/>
      <c r="F148" s="243"/>
      <c r="G148" s="243"/>
      <c r="H148" s="243"/>
    </row>
    <row r="149" spans="2:8" x14ac:dyDescent="0.2">
      <c r="B149" s="243"/>
      <c r="C149" s="243"/>
      <c r="D149" s="243"/>
      <c r="E149" s="243"/>
      <c r="F149" s="243"/>
      <c r="G149" s="243"/>
      <c r="H149" s="243"/>
    </row>
    <row r="150" spans="2:8" x14ac:dyDescent="0.2">
      <c r="B150" s="243"/>
      <c r="C150" s="243"/>
      <c r="D150" s="243"/>
      <c r="E150" s="243"/>
      <c r="F150" s="243"/>
      <c r="G150" s="243"/>
      <c r="H150" s="243"/>
    </row>
    <row r="151" spans="2:8" x14ac:dyDescent="0.2">
      <c r="B151" s="243"/>
      <c r="C151" s="244"/>
      <c r="D151" s="244"/>
      <c r="E151" s="243"/>
      <c r="F151" s="244"/>
      <c r="G151" s="244"/>
      <c r="H151" s="244"/>
    </row>
    <row r="152" spans="2:8" x14ac:dyDescent="0.2">
      <c r="B152" s="242"/>
      <c r="C152" s="242"/>
      <c r="D152" s="242"/>
      <c r="E152" s="242"/>
      <c r="F152" s="242"/>
      <c r="G152" s="242"/>
      <c r="H152" s="242"/>
    </row>
    <row r="153" spans="2:8" x14ac:dyDescent="0.2">
      <c r="B153" s="243"/>
      <c r="C153" s="243"/>
      <c r="D153" s="243"/>
      <c r="E153" s="243"/>
      <c r="F153" s="243"/>
      <c r="G153" s="243"/>
      <c r="H153" s="243"/>
    </row>
    <row r="154" spans="2:8" x14ac:dyDescent="0.2">
      <c r="B154" s="242"/>
      <c r="C154" s="242"/>
      <c r="D154" s="242"/>
      <c r="E154" s="242"/>
      <c r="F154" s="242"/>
      <c r="G154" s="242"/>
      <c r="H154" s="242"/>
    </row>
    <row r="155" spans="2:8" x14ac:dyDescent="0.2">
      <c r="B155" s="243"/>
      <c r="C155" s="243"/>
      <c r="D155" s="243"/>
      <c r="E155" s="243"/>
      <c r="F155" s="243"/>
      <c r="G155" s="243"/>
      <c r="H155" s="243"/>
    </row>
    <row r="156" spans="2:8" x14ac:dyDescent="0.2">
      <c r="B156" s="242"/>
      <c r="C156" s="242"/>
      <c r="D156" s="242"/>
      <c r="E156" s="242"/>
      <c r="F156" s="242"/>
      <c r="G156" s="242"/>
      <c r="H156" s="242"/>
    </row>
  </sheetData>
  <dataValidations count="1">
    <dataValidation type="list" allowBlank="1" showInputMessage="1" showErrorMessage="1" sqref="J46:J92" xr:uid="{5344EFF2-856A-3C4A-821B-37C623534943}">
      <formula1>$B$12:$B$36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6859-5DE4-2349-9B7F-4625795B1ED2}">
  <dimension ref="A1:N184"/>
  <sheetViews>
    <sheetView showGridLines="0" zoomScale="89" zoomScaleNormal="110" workbookViewId="0">
      <selection activeCell="D58" sqref="D58"/>
    </sheetView>
  </sheetViews>
  <sheetFormatPr baseColWidth="10" defaultRowHeight="16" x14ac:dyDescent="0.2"/>
  <cols>
    <col min="2" max="2" width="50.83203125" customWidth="1"/>
    <col min="4" max="8" width="12.33203125" bestFit="1" customWidth="1"/>
    <col min="9" max="9" width="12.33203125" style="230" bestFit="1" customWidth="1"/>
    <col min="10" max="10" width="24" bestFit="1" customWidth="1"/>
    <col min="11" max="14" width="12.33203125" bestFit="1" customWidth="1"/>
  </cols>
  <sheetData>
    <row r="1" spans="1:14" ht="25" thickBot="1" x14ac:dyDescent="0.35">
      <c r="A1" s="10" t="str">
        <f>_xlfn.CONCAT(Inputs!C7, " - ", "Balance Sheet", " - ", "in ", Inputs!C9, " ", Inputs!C10)</f>
        <v>HAG - Balance Sheet - in Euro millions</v>
      </c>
      <c r="B1" s="6"/>
      <c r="C1" s="6"/>
      <c r="D1" s="31"/>
      <c r="E1" s="6"/>
      <c r="F1" s="6"/>
      <c r="G1" s="6"/>
      <c r="H1" s="6"/>
      <c r="I1" s="35"/>
      <c r="J1" s="6"/>
      <c r="K1" s="6"/>
      <c r="L1" s="6"/>
      <c r="M1" s="6"/>
      <c r="N1" s="6"/>
    </row>
    <row r="2" spans="1:14" ht="17" thickTop="1" x14ac:dyDescent="0.2">
      <c r="D2" s="32"/>
      <c r="I2" s="36"/>
    </row>
    <row r="3" spans="1:14" x14ac:dyDescent="0.2">
      <c r="D3" s="32"/>
      <c r="I3" s="36"/>
    </row>
    <row r="4" spans="1:14" x14ac:dyDescent="0.2">
      <c r="B4" t="s">
        <v>9</v>
      </c>
      <c r="C4" s="7"/>
      <c r="D4" s="33">
        <f>EDATE(Inputs!$C$8, D5*12)</f>
        <v>43830</v>
      </c>
      <c r="E4" s="9">
        <f>EDATE(Inputs!$C$8, E5*12)</f>
        <v>44196</v>
      </c>
      <c r="F4" s="9">
        <f>EDATE(Inputs!$C$8, F5*12)</f>
        <v>44561</v>
      </c>
      <c r="G4" s="9">
        <f>EDATE(Inputs!$C$8, G5*12)</f>
        <v>44926</v>
      </c>
      <c r="H4" s="9">
        <f>EDATE(Inputs!$C$8, H5*12)</f>
        <v>45291</v>
      </c>
      <c r="I4" s="37">
        <f>EDATE(Inputs!$C$8, I5*12)</f>
        <v>45657</v>
      </c>
      <c r="J4" s="7">
        <f>EDATE(Inputs!$C$8, J5*12)</f>
        <v>46022</v>
      </c>
      <c r="K4" s="9">
        <f>EDATE(Inputs!$C$8, K5*12)</f>
        <v>46387</v>
      </c>
      <c r="L4" s="9">
        <f>EDATE(Inputs!$C$8, L5*12)</f>
        <v>46752</v>
      </c>
      <c r="M4" s="9">
        <f>EDATE(Inputs!$C$8, M5*12)</f>
        <v>47118</v>
      </c>
      <c r="N4" s="9">
        <f>EDATE(Inputs!$C$8, N5*12)</f>
        <v>47483</v>
      </c>
    </row>
    <row r="5" spans="1:14" x14ac:dyDescent="0.2">
      <c r="B5" t="s">
        <v>10</v>
      </c>
      <c r="C5" s="8"/>
      <c r="D5" s="34">
        <v>-5</v>
      </c>
      <c r="E5" s="8">
        <v>-4</v>
      </c>
      <c r="F5" s="8">
        <v>-3</v>
      </c>
      <c r="G5" s="8">
        <v>-2</v>
      </c>
      <c r="H5" s="8">
        <v>-1</v>
      </c>
      <c r="I5" s="38">
        <v>0</v>
      </c>
      <c r="J5" s="8">
        <v>1</v>
      </c>
      <c r="K5" s="8">
        <v>2</v>
      </c>
      <c r="L5" s="8">
        <v>3</v>
      </c>
      <c r="M5" s="8">
        <v>4</v>
      </c>
      <c r="N5" s="8">
        <v>5</v>
      </c>
    </row>
    <row r="6" spans="1:14" x14ac:dyDescent="0.2">
      <c r="B6" t="s">
        <v>11</v>
      </c>
      <c r="C6" s="8"/>
      <c r="D6" s="34" t="str">
        <f>_xlfn.CONCAT(Inputs!$C$9, " ", Inputs!$C$10)</f>
        <v>Euro millions</v>
      </c>
      <c r="E6" s="8" t="str">
        <f>_xlfn.CONCAT(Inputs!$C$9, " ", Inputs!$C$10)</f>
        <v>Euro millions</v>
      </c>
      <c r="F6" s="8" t="str">
        <f>_xlfn.CONCAT(Inputs!$C$9, " ", Inputs!$C$10)</f>
        <v>Euro millions</v>
      </c>
      <c r="G6" s="8" t="str">
        <f>_xlfn.CONCAT(Inputs!$C$9, " ", Inputs!$C$10)</f>
        <v>Euro millions</v>
      </c>
      <c r="H6" s="8" t="str">
        <f>_xlfn.CONCAT(Inputs!$C$9, " ", Inputs!$C$10)</f>
        <v>Euro millions</v>
      </c>
      <c r="I6" s="38" t="str">
        <f>_xlfn.CONCAT(Inputs!$C$9, " ", Inputs!$C$10)</f>
        <v>Euro millions</v>
      </c>
      <c r="J6" s="8" t="str">
        <f>_xlfn.CONCAT(Inputs!$C$9, " ", Inputs!$C$10)</f>
        <v>Euro millions</v>
      </c>
      <c r="K6" s="8" t="str">
        <f>_xlfn.CONCAT(Inputs!$C$9, " ", Inputs!$C$10)</f>
        <v>Euro millions</v>
      </c>
      <c r="L6" s="8" t="str">
        <f>_xlfn.CONCAT(Inputs!$C$9, " ", Inputs!$C$10)</f>
        <v>Euro millions</v>
      </c>
      <c r="M6" s="8" t="str">
        <f>_xlfn.CONCAT(Inputs!$C$9, " ", Inputs!$C$10)</f>
        <v>Euro millions</v>
      </c>
      <c r="N6" s="8" t="str">
        <f>_xlfn.CONCAT(Inputs!$C$9, " ", Inputs!$C$10)</f>
        <v>Euro millions</v>
      </c>
    </row>
    <row r="7" spans="1:14" x14ac:dyDescent="0.2">
      <c r="B7" t="s">
        <v>12</v>
      </c>
      <c r="C7" s="8"/>
      <c r="D7" s="34" t="str">
        <f>IF(D5&lt;=0, "Historical", "Forecasted")</f>
        <v>Historical</v>
      </c>
      <c r="E7" s="8" t="str">
        <f>IF(E5&lt;=0, "Historical", "Forecasted")</f>
        <v>Historical</v>
      </c>
      <c r="F7" s="8" t="str">
        <f t="shared" ref="F7:N7" si="0">IF(F5&lt;=0, "Historical", "Forecasted")</f>
        <v>Historical</v>
      </c>
      <c r="G7" s="8" t="str">
        <f t="shared" si="0"/>
        <v>Historical</v>
      </c>
      <c r="H7" s="8" t="str">
        <f t="shared" si="0"/>
        <v>Historical</v>
      </c>
      <c r="I7" s="38" t="str">
        <f t="shared" si="0"/>
        <v>Historical</v>
      </c>
      <c r="J7" s="8" t="str">
        <f t="shared" si="0"/>
        <v>Forecasted</v>
      </c>
      <c r="K7" s="8" t="str">
        <f t="shared" si="0"/>
        <v>Forecasted</v>
      </c>
      <c r="L7" s="8" t="str">
        <f t="shared" si="0"/>
        <v>Forecasted</v>
      </c>
      <c r="M7" s="8" t="str">
        <f t="shared" si="0"/>
        <v>Forecasted</v>
      </c>
      <c r="N7" s="8" t="str">
        <f t="shared" si="0"/>
        <v>Forecasted</v>
      </c>
    </row>
    <row r="8" spans="1:14" x14ac:dyDescent="0.2">
      <c r="B8" s="8"/>
      <c r="C8" s="8"/>
      <c r="D8" s="34"/>
      <c r="E8" s="8"/>
      <c r="F8" s="8"/>
      <c r="G8" s="8"/>
      <c r="H8" s="8"/>
      <c r="I8" s="38"/>
      <c r="J8" s="8"/>
      <c r="K8" s="8"/>
      <c r="L8" s="8"/>
      <c r="M8" s="8"/>
      <c r="N8" s="8"/>
    </row>
    <row r="9" spans="1:14" x14ac:dyDescent="0.2">
      <c r="B9" s="8"/>
      <c r="C9" s="8"/>
      <c r="D9" s="34"/>
      <c r="E9" s="8"/>
      <c r="F9" s="8"/>
      <c r="G9" s="8"/>
      <c r="H9" s="8"/>
      <c r="I9" s="38"/>
      <c r="J9" s="8"/>
      <c r="K9" s="8"/>
      <c r="L9" s="8"/>
      <c r="M9" s="8"/>
      <c r="N9" s="8"/>
    </row>
    <row r="10" spans="1:14" ht="25" thickBot="1" x14ac:dyDescent="0.35">
      <c r="B10" s="17" t="s">
        <v>87</v>
      </c>
      <c r="C10" s="8"/>
      <c r="D10" s="34"/>
      <c r="E10" s="8"/>
      <c r="F10" s="8"/>
      <c r="G10" s="8"/>
      <c r="H10" s="8"/>
      <c r="I10" s="38"/>
      <c r="J10" s="8"/>
      <c r="K10" s="8"/>
      <c r="L10" s="8"/>
      <c r="M10" s="8"/>
      <c r="N10" s="8"/>
    </row>
    <row r="11" spans="1:14" x14ac:dyDescent="0.2">
      <c r="B11" s="8"/>
      <c r="C11" s="8"/>
      <c r="D11" s="34"/>
      <c r="E11" s="8"/>
      <c r="F11" s="8"/>
      <c r="G11" s="8"/>
      <c r="H11" s="8"/>
      <c r="I11" s="38"/>
      <c r="J11" s="8"/>
      <c r="K11" s="8"/>
      <c r="L11" s="8"/>
      <c r="M11" s="8"/>
      <c r="N11" s="8"/>
    </row>
    <row r="12" spans="1:14" x14ac:dyDescent="0.2">
      <c r="B12" s="248" t="s">
        <v>85</v>
      </c>
      <c r="C12" s="248"/>
      <c r="D12" s="261"/>
      <c r="E12" s="249"/>
      <c r="F12" s="249"/>
      <c r="G12" s="249"/>
      <c r="H12" s="249"/>
      <c r="I12" s="259"/>
      <c r="J12" s="249"/>
      <c r="K12" s="249"/>
      <c r="L12" s="249"/>
      <c r="M12" s="249"/>
      <c r="N12" s="249"/>
    </row>
    <row r="13" spans="1:14" x14ac:dyDescent="0.2">
      <c r="B13" s="246" t="s">
        <v>517</v>
      </c>
      <c r="C13" s="247"/>
      <c r="D13" s="32"/>
      <c r="E13" s="8"/>
      <c r="F13" s="8"/>
      <c r="G13" s="8"/>
      <c r="H13" s="8"/>
      <c r="I13" s="38"/>
      <c r="J13" s="148"/>
      <c r="K13" s="148"/>
      <c r="L13" s="148"/>
      <c r="M13" s="148"/>
      <c r="N13" s="148"/>
    </row>
    <row r="14" spans="1:14" x14ac:dyDescent="0.2">
      <c r="B14" s="247" t="s">
        <v>518</v>
      </c>
      <c r="D14" s="42">
        <f>SUMIF($J$74:$J$119, $B$14,D74:D119)</f>
        <v>1040.5</v>
      </c>
      <c r="E14" s="16">
        <f>SUMIF($J$74:$J$119, $B$14,E74:E119)</f>
        <v>1023.4000000000001</v>
      </c>
      <c r="F14" s="16">
        <f>SUMIF($J$74:$J$119, $B$14,F74:F119)</f>
        <v>1043</v>
      </c>
      <c r="G14" s="16">
        <f>SUMIF($J$74:$J$119, $B$14,G74:G119)</f>
        <v>1042</v>
      </c>
      <c r="H14" s="16">
        <f>SUMIF($J$74:$J$119, $B$14,H74:H119)</f>
        <v>1057</v>
      </c>
      <c r="I14" s="16">
        <f>SUMIF($J$74:$J$119, $B$14,I74:I119)</f>
        <v>1782</v>
      </c>
      <c r="J14" s="148"/>
      <c r="K14" s="148"/>
      <c r="L14" s="148"/>
      <c r="M14" s="148"/>
      <c r="N14" s="148"/>
    </row>
    <row r="15" spans="1:14" x14ac:dyDescent="0.2">
      <c r="B15" s="247" t="s">
        <v>519</v>
      </c>
      <c r="C15" s="247"/>
      <c r="D15" s="42">
        <f>SUMIF($J$74:$J$119, $B$15, D74:D119)</f>
        <v>247.8</v>
      </c>
      <c r="E15" s="16">
        <f t="shared" ref="E15:I15" si="1">SUMIF($J$74:$J$119, $B$15, E74:E119)</f>
        <v>246.6</v>
      </c>
      <c r="F15" s="16">
        <f t="shared" si="1"/>
        <v>249</v>
      </c>
      <c r="G15" s="16">
        <f t="shared" si="1"/>
        <v>261</v>
      </c>
      <c r="H15" s="16">
        <f t="shared" si="1"/>
        <v>329</v>
      </c>
      <c r="I15" s="16">
        <f t="shared" si="1"/>
        <v>451</v>
      </c>
      <c r="J15" s="148"/>
      <c r="K15" s="148"/>
      <c r="L15" s="148"/>
      <c r="M15" s="148"/>
      <c r="N15" s="148"/>
    </row>
    <row r="16" spans="1:14" x14ac:dyDescent="0.2">
      <c r="B16" s="247" t="s">
        <v>520</v>
      </c>
      <c r="C16" s="247"/>
      <c r="D16" s="42">
        <f>SUMIF($J$74:$J$119, $B$16, D74:D119)</f>
        <v>69.099999999999994</v>
      </c>
      <c r="E16" s="16">
        <f t="shared" ref="E16:I16" si="2">SUMIF($J$74:$J$119, $B$16, E74:E119)</f>
        <v>12.3</v>
      </c>
      <c r="F16" s="16">
        <f t="shared" si="2"/>
        <v>22</v>
      </c>
      <c r="G16" s="16">
        <f t="shared" si="2"/>
        <v>24</v>
      </c>
      <c r="H16" s="16">
        <f t="shared" si="2"/>
        <v>26</v>
      </c>
      <c r="I16" s="16">
        <f t="shared" si="2"/>
        <v>35</v>
      </c>
      <c r="J16" s="148"/>
      <c r="K16" s="148"/>
      <c r="L16" s="148"/>
      <c r="M16" s="148"/>
      <c r="N16" s="148"/>
    </row>
    <row r="17" spans="2:14" x14ac:dyDescent="0.2">
      <c r="B17" s="247" t="s">
        <v>472</v>
      </c>
      <c r="C17" s="247"/>
      <c r="D17" s="42">
        <f>SUMIF($J$74:$J$119, $B$17, D74:D119)</f>
        <v>4.9000000000000004</v>
      </c>
      <c r="E17" s="16">
        <f t="shared" ref="E17:I17" si="3">SUMIF($J$74:$J$119, $B$17, E74:E119)</f>
        <v>4.8</v>
      </c>
      <c r="F17" s="16">
        <f t="shared" si="3"/>
        <v>3</v>
      </c>
      <c r="G17" s="16">
        <f t="shared" si="3"/>
        <v>2</v>
      </c>
      <c r="H17" s="16">
        <f t="shared" si="3"/>
        <v>3</v>
      </c>
      <c r="I17" s="16">
        <f t="shared" si="3"/>
        <v>20</v>
      </c>
      <c r="J17" s="148"/>
      <c r="K17" s="148"/>
      <c r="L17" s="148"/>
      <c r="M17" s="148"/>
      <c r="N17" s="148"/>
    </row>
    <row r="18" spans="2:14" ht="17" thickBot="1" x14ac:dyDescent="0.25">
      <c r="B18" s="247" t="s">
        <v>521</v>
      </c>
      <c r="C18" s="247"/>
      <c r="D18" s="42">
        <f>SUMIF($J$74:$J$119, $B$18, D74:D119)</f>
        <v>30.4</v>
      </c>
      <c r="E18" s="16">
        <f t="shared" ref="E18:I18" si="4">SUMIF($J$74:$J$119, $B$18, E74:E119)</f>
        <v>26.3</v>
      </c>
      <c r="F18" s="16">
        <f t="shared" si="4"/>
        <v>11</v>
      </c>
      <c r="G18" s="16">
        <f t="shared" si="4"/>
        <v>6</v>
      </c>
      <c r="H18" s="16">
        <f t="shared" si="4"/>
        <v>9</v>
      </c>
      <c r="I18" s="16">
        <f t="shared" si="4"/>
        <v>1</v>
      </c>
      <c r="J18" s="265"/>
      <c r="K18" s="266"/>
      <c r="L18" s="266"/>
      <c r="M18" s="266"/>
      <c r="N18" s="266"/>
    </row>
    <row r="19" spans="2:14" x14ac:dyDescent="0.2">
      <c r="B19" s="248" t="s">
        <v>522</v>
      </c>
      <c r="C19" s="250"/>
      <c r="D19" s="269">
        <f>SUM(D14:D18)</f>
        <v>1392.7</v>
      </c>
      <c r="E19" s="269">
        <f t="shared" ref="E19:I19" si="5">SUM(E14:E18)</f>
        <v>1313.3999999999999</v>
      </c>
      <c r="F19" s="269">
        <f t="shared" si="5"/>
        <v>1328</v>
      </c>
      <c r="G19" s="269">
        <f t="shared" si="5"/>
        <v>1335</v>
      </c>
      <c r="H19" s="269">
        <f t="shared" si="5"/>
        <v>1424</v>
      </c>
      <c r="I19" s="269">
        <f t="shared" si="5"/>
        <v>2289</v>
      </c>
      <c r="J19" s="267"/>
      <c r="K19" s="267"/>
      <c r="L19" s="267"/>
      <c r="M19" s="267"/>
      <c r="N19" s="267"/>
    </row>
    <row r="20" spans="2:14" x14ac:dyDescent="0.2">
      <c r="B20" s="246"/>
      <c r="C20" s="247"/>
      <c r="D20" s="42"/>
      <c r="E20" s="270"/>
      <c r="F20" s="270"/>
      <c r="G20" s="270"/>
      <c r="H20" s="270"/>
      <c r="I20" s="271"/>
      <c r="J20" s="8"/>
      <c r="K20" s="8"/>
      <c r="L20" s="8"/>
      <c r="M20" s="8"/>
      <c r="N20" s="8"/>
    </row>
    <row r="21" spans="2:14" x14ac:dyDescent="0.2">
      <c r="B21" s="248" t="s">
        <v>523</v>
      </c>
      <c r="C21" s="250"/>
      <c r="D21" s="225"/>
      <c r="E21" s="272"/>
      <c r="F21" s="272"/>
      <c r="G21" s="272"/>
      <c r="H21" s="272"/>
      <c r="I21" s="273"/>
      <c r="J21" s="249"/>
      <c r="K21" s="249"/>
      <c r="L21" s="249"/>
      <c r="M21" s="249"/>
      <c r="N21" s="249"/>
    </row>
    <row r="22" spans="2:14" x14ac:dyDescent="0.2">
      <c r="B22" s="247" t="s">
        <v>515</v>
      </c>
      <c r="D22" s="42">
        <f>SUMIF($J$74:$J$119, $B$22,D74:D119)</f>
        <v>411.1</v>
      </c>
      <c r="E22" s="42">
        <f t="shared" ref="E22:I22" si="6">SUMIF($J$74:$J$119, $B$22,E74:E119)</f>
        <v>403.7</v>
      </c>
      <c r="F22" s="42">
        <f t="shared" si="6"/>
        <v>444</v>
      </c>
      <c r="G22" s="42">
        <f t="shared" si="6"/>
        <v>516</v>
      </c>
      <c r="H22" s="42">
        <f t="shared" si="6"/>
        <v>625</v>
      </c>
      <c r="I22" s="42">
        <f t="shared" si="6"/>
        <v>719</v>
      </c>
      <c r="J22" s="148"/>
      <c r="K22" s="148"/>
      <c r="L22" s="148"/>
      <c r="M22" s="148"/>
      <c r="N22" s="148"/>
    </row>
    <row r="23" spans="2:14" x14ac:dyDescent="0.2">
      <c r="B23" s="247" t="s">
        <v>524</v>
      </c>
      <c r="C23" s="247"/>
      <c r="D23" s="42">
        <f>SUMIF($J$74:$J$119, $B$23,D74:D119)</f>
        <v>290.8</v>
      </c>
      <c r="E23" s="42">
        <f t="shared" ref="E23:I23" si="7">SUMIF($J$74:$J$119, $B$23,E74:E119)</f>
        <v>282</v>
      </c>
      <c r="F23" s="42">
        <f t="shared" si="7"/>
        <v>309</v>
      </c>
      <c r="G23" s="42">
        <f t="shared" si="7"/>
        <v>323</v>
      </c>
      <c r="H23" s="42">
        <f t="shared" si="7"/>
        <v>382</v>
      </c>
      <c r="I23" s="42">
        <f t="shared" si="7"/>
        <v>426</v>
      </c>
      <c r="J23" s="148"/>
      <c r="K23" s="148"/>
      <c r="L23" s="148"/>
      <c r="M23" s="148"/>
      <c r="N23" s="148"/>
    </row>
    <row r="24" spans="2:14" x14ac:dyDescent="0.2">
      <c r="B24" s="247" t="s">
        <v>525</v>
      </c>
      <c r="C24" s="247"/>
      <c r="D24" s="42">
        <f>SUMIF($J$74:$J$119, $B$24,D74:D119)</f>
        <v>165.9</v>
      </c>
      <c r="E24" s="42">
        <f t="shared" ref="E24:I24" si="8">SUMIF($J$74:$J$119, $B$24,E74:E119)</f>
        <v>204.4</v>
      </c>
      <c r="F24" s="42">
        <f t="shared" si="8"/>
        <v>170</v>
      </c>
      <c r="G24" s="42">
        <f t="shared" si="8"/>
        <v>182</v>
      </c>
      <c r="H24" s="42">
        <f t="shared" si="8"/>
        <v>196</v>
      </c>
      <c r="I24" s="42">
        <f t="shared" si="8"/>
        <v>385</v>
      </c>
      <c r="J24" s="148"/>
      <c r="K24" s="148"/>
      <c r="L24" s="148"/>
      <c r="M24" s="148"/>
      <c r="N24" s="148"/>
    </row>
    <row r="25" spans="2:14" x14ac:dyDescent="0.2">
      <c r="B25" s="247" t="s">
        <v>467</v>
      </c>
      <c r="C25" s="247"/>
      <c r="D25" s="42">
        <f>SUMIF($J$74:$J$119, $B$25,D74:D119)</f>
        <v>58.100000000000009</v>
      </c>
      <c r="E25" s="42">
        <f t="shared" ref="E25:I25" si="9">SUMIF($J$74:$J$119, $B$25,E74:E119)</f>
        <v>98.6</v>
      </c>
      <c r="F25" s="42">
        <f t="shared" si="9"/>
        <v>177</v>
      </c>
      <c r="G25" s="42">
        <f t="shared" si="9"/>
        <v>163</v>
      </c>
      <c r="H25" s="42">
        <f t="shared" si="9"/>
        <v>150</v>
      </c>
      <c r="I25" s="42">
        <f t="shared" si="9"/>
        <v>143</v>
      </c>
      <c r="J25" s="148"/>
      <c r="K25" s="148"/>
      <c r="L25" s="148"/>
      <c r="M25" s="148"/>
      <c r="N25" s="148"/>
    </row>
    <row r="26" spans="2:14" ht="17" thickBot="1" x14ac:dyDescent="0.25">
      <c r="B26" s="247" t="s">
        <v>526</v>
      </c>
      <c r="C26" s="247"/>
      <c r="D26" s="42">
        <f>SUMIF($J$74:$J$119, $B$26,D74:D119)</f>
        <v>137.4</v>
      </c>
      <c r="E26" s="42">
        <f t="shared" ref="E26:I26" si="10">SUMIF($J$74:$J$119, $B$26,E74:E119)</f>
        <v>645.5</v>
      </c>
      <c r="F26" s="42">
        <f t="shared" si="10"/>
        <v>529</v>
      </c>
      <c r="G26" s="42">
        <f t="shared" si="10"/>
        <v>460</v>
      </c>
      <c r="H26" s="42">
        <f t="shared" si="10"/>
        <v>802</v>
      </c>
      <c r="I26" s="42">
        <f t="shared" si="10"/>
        <v>733</v>
      </c>
      <c r="J26" s="265"/>
      <c r="K26" s="266"/>
      <c r="L26" s="266"/>
      <c r="M26" s="266"/>
      <c r="N26" s="266"/>
    </row>
    <row r="27" spans="2:14" x14ac:dyDescent="0.2">
      <c r="B27" s="248" t="s">
        <v>527</v>
      </c>
      <c r="C27" s="250"/>
      <c r="D27" s="269">
        <f>SUM(D22:D26)</f>
        <v>1063.3000000000002</v>
      </c>
      <c r="E27" s="269">
        <f>SUM(E22:E26)</f>
        <v>1634.2</v>
      </c>
      <c r="F27" s="269">
        <f t="shared" ref="E27:I27" si="11">SUM(F22:F26)</f>
        <v>1629</v>
      </c>
      <c r="G27" s="269">
        <f t="shared" si="11"/>
        <v>1644</v>
      </c>
      <c r="H27" s="269">
        <f t="shared" si="11"/>
        <v>2155</v>
      </c>
      <c r="I27" s="269">
        <f t="shared" si="11"/>
        <v>2406</v>
      </c>
      <c r="J27" s="267"/>
      <c r="K27" s="267"/>
      <c r="L27" s="267"/>
      <c r="M27" s="267"/>
      <c r="N27" s="267"/>
    </row>
    <row r="28" spans="2:14" x14ac:dyDescent="0.2">
      <c r="B28" s="246"/>
      <c r="C28" s="247"/>
      <c r="D28" s="42"/>
      <c r="E28" s="16"/>
      <c r="F28" s="16"/>
      <c r="G28" s="16"/>
      <c r="H28" s="16"/>
      <c r="I28" s="158"/>
    </row>
    <row r="29" spans="2:14" ht="17" thickBot="1" x14ac:dyDescent="0.25">
      <c r="B29" s="251" t="s">
        <v>528</v>
      </c>
      <c r="C29" s="252"/>
      <c r="D29" s="79">
        <f>SUM(D27,D19)</f>
        <v>2456</v>
      </c>
      <c r="E29" s="79">
        <f t="shared" ref="E29:I29" si="12">SUM(E27,E19)</f>
        <v>2947.6</v>
      </c>
      <c r="F29" s="79">
        <f t="shared" si="12"/>
        <v>2957</v>
      </c>
      <c r="G29" s="79">
        <f t="shared" si="12"/>
        <v>2979</v>
      </c>
      <c r="H29" s="79">
        <f t="shared" si="12"/>
        <v>3579</v>
      </c>
      <c r="I29" s="79">
        <f t="shared" si="12"/>
        <v>4695</v>
      </c>
      <c r="J29" s="253"/>
      <c r="K29" s="253"/>
      <c r="L29" s="253"/>
      <c r="M29" s="253"/>
      <c r="N29" s="253"/>
    </row>
    <row r="30" spans="2:14" ht="17" thickTop="1" x14ac:dyDescent="0.2">
      <c r="B30" s="247"/>
      <c r="C30" s="247"/>
      <c r="D30" s="42"/>
      <c r="E30" s="16"/>
      <c r="F30" s="16"/>
      <c r="G30" s="16"/>
      <c r="H30" s="16"/>
      <c r="I30" s="158"/>
    </row>
    <row r="31" spans="2:14" x14ac:dyDescent="0.2">
      <c r="B31" s="246" t="s">
        <v>529</v>
      </c>
      <c r="C31" s="247"/>
      <c r="D31" s="42"/>
      <c r="E31" s="16"/>
      <c r="F31" s="16"/>
      <c r="G31" s="16"/>
      <c r="H31" s="16"/>
      <c r="I31" s="158"/>
    </row>
    <row r="32" spans="2:14" x14ac:dyDescent="0.2">
      <c r="B32" s="254" t="s">
        <v>61</v>
      </c>
      <c r="C32" s="255"/>
      <c r="D32" s="220"/>
      <c r="E32" s="221"/>
      <c r="F32" s="221"/>
      <c r="G32" s="221"/>
      <c r="H32" s="221"/>
      <c r="I32" s="224"/>
      <c r="J32" s="148"/>
      <c r="K32" s="148"/>
      <c r="L32" s="148"/>
      <c r="M32" s="148"/>
      <c r="N32" s="148"/>
    </row>
    <row r="33" spans="2:14" x14ac:dyDescent="0.2">
      <c r="B33" s="247" t="s">
        <v>55</v>
      </c>
      <c r="D33" s="42">
        <f>SUMIF($J$74:$J$120, $B$33, D74:D120)</f>
        <v>10</v>
      </c>
      <c r="E33" s="42">
        <f t="shared" ref="E33:I33" si="13">SUMIF($J$74:$J$120, $B$33, E74:E120)</f>
        <v>105</v>
      </c>
      <c r="F33" s="42">
        <f t="shared" si="13"/>
        <v>105</v>
      </c>
      <c r="G33" s="42">
        <f t="shared" si="13"/>
        <v>105</v>
      </c>
      <c r="H33" s="42">
        <f t="shared" si="13"/>
        <v>116</v>
      </c>
      <c r="I33" s="42">
        <f t="shared" si="13"/>
        <v>116</v>
      </c>
      <c r="J33" s="148"/>
      <c r="K33" s="148"/>
      <c r="L33" s="148"/>
      <c r="M33" s="148"/>
      <c r="N33" s="148"/>
    </row>
    <row r="34" spans="2:14" x14ac:dyDescent="0.2">
      <c r="B34" s="247" t="s">
        <v>530</v>
      </c>
      <c r="C34" s="247"/>
      <c r="D34" s="42">
        <f>SUMIF($J$74:$J$120,$B$34, D74:D120)</f>
        <v>346.9</v>
      </c>
      <c r="E34" s="42">
        <f t="shared" ref="E34:I34" si="14">SUMIF($J$74:$J$120,$B$34, E74:E120)</f>
        <v>510.49999999999994</v>
      </c>
      <c r="F34" s="42">
        <f t="shared" si="14"/>
        <v>472</v>
      </c>
      <c r="G34" s="42">
        <f t="shared" si="14"/>
        <v>554</v>
      </c>
      <c r="H34" s="42">
        <f t="shared" si="14"/>
        <v>645</v>
      </c>
      <c r="I34" s="42">
        <f t="shared" si="14"/>
        <v>511</v>
      </c>
      <c r="J34" s="148"/>
      <c r="K34" s="148"/>
      <c r="L34" s="148"/>
      <c r="M34" s="148"/>
      <c r="N34" s="148"/>
    </row>
    <row r="35" spans="2:14" x14ac:dyDescent="0.2">
      <c r="B35" s="247" t="s">
        <v>531</v>
      </c>
      <c r="C35" s="247"/>
      <c r="D35" s="42">
        <f>SUMIF($J$74:$J$120,$B$35,D74:D120)</f>
        <v>-215.8</v>
      </c>
      <c r="E35" s="42">
        <f t="shared" ref="E35:I35" si="15">SUMIF($J$74:$J$120,$B$35,E74:E120)</f>
        <v>-281.60000000000002</v>
      </c>
      <c r="F35" s="42">
        <f t="shared" si="15"/>
        <v>-171</v>
      </c>
      <c r="G35" s="42">
        <f t="shared" si="15"/>
        <v>-55</v>
      </c>
      <c r="H35" s="42">
        <f t="shared" si="15"/>
        <v>62</v>
      </c>
      <c r="I35" s="42">
        <f t="shared" si="15"/>
        <v>245</v>
      </c>
      <c r="J35" s="148"/>
      <c r="K35" s="148"/>
      <c r="L35" s="148"/>
      <c r="M35" s="148"/>
      <c r="N35" s="148"/>
    </row>
    <row r="36" spans="2:14" x14ac:dyDescent="0.2">
      <c r="B36" s="246" t="s">
        <v>532</v>
      </c>
      <c r="C36" s="247"/>
      <c r="D36" s="42">
        <f>SUMIF($J$74:J$120,$B$36, D74:D120)</f>
        <v>141.19999999999999</v>
      </c>
      <c r="E36" s="42">
        <f ca="1">SUMIF($J$74:K$120,$B$36, E74:E120)</f>
        <v>333.9</v>
      </c>
      <c r="F36" s="42">
        <f ca="1">SUMIF($J$74:L$120,$B$36, F74:F120)</f>
        <v>406</v>
      </c>
      <c r="G36" s="42">
        <f ca="1">SUMIF($J$74:M$120,$B$36, G74:G120)</f>
        <v>604</v>
      </c>
      <c r="H36" s="42">
        <f ca="1">SUMIF($J$74:N$120,$B$36, H74:H120)</f>
        <v>822</v>
      </c>
      <c r="I36" s="42">
        <f ca="1">SUMIF($J$74:O$120,$B$36, I74:I120)</f>
        <v>873</v>
      </c>
      <c r="J36" s="148"/>
      <c r="K36" s="148"/>
      <c r="L36" s="148"/>
      <c r="M36" s="148"/>
      <c r="N36" s="148"/>
    </row>
    <row r="37" spans="2:14" ht="17" thickBot="1" x14ac:dyDescent="0.25">
      <c r="B37" s="247" t="s">
        <v>533</v>
      </c>
      <c r="C37" s="247"/>
      <c r="D37" s="42">
        <f>SUMIF($J$74:J$120,$B$37, D74:D120)</f>
        <v>13.6</v>
      </c>
      <c r="E37" s="42">
        <f ca="1">SUMIF($J$74:K$120,$B$37, E74:E120)</f>
        <v>12.9</v>
      </c>
      <c r="F37" s="42">
        <f ca="1">SUMIF($J$74:L$120,$B$37, F74:F120)</f>
        <v>11</v>
      </c>
      <c r="G37" s="42">
        <f ca="1">SUMIF($J$74:M$120,$B$37, G74:G120)</f>
        <v>13</v>
      </c>
      <c r="H37" s="42">
        <f ca="1">SUMIF($J$74:N$120,$B$37, H74:H120)</f>
        <v>16</v>
      </c>
      <c r="I37" s="42">
        <f ca="1">SUMIF($J$74:O$120,$B$37, I74:I120)</f>
        <v>14</v>
      </c>
      <c r="J37" s="265"/>
      <c r="K37" s="266"/>
      <c r="L37" s="266"/>
      <c r="M37" s="266"/>
      <c r="N37" s="266"/>
    </row>
    <row r="38" spans="2:14" x14ac:dyDescent="0.2">
      <c r="B38" s="254" t="s">
        <v>534</v>
      </c>
      <c r="C38" s="255"/>
      <c r="D38" s="72">
        <f>SUM(D36,D37)</f>
        <v>154.79999999999998</v>
      </c>
      <c r="E38" s="72">
        <f t="shared" ref="E38:I38" ca="1" si="16">SUM(E36,E37)</f>
        <v>346.79999999999995</v>
      </c>
      <c r="F38" s="72">
        <f t="shared" ca="1" si="16"/>
        <v>417</v>
      </c>
      <c r="G38" s="72">
        <f t="shared" ca="1" si="16"/>
        <v>617</v>
      </c>
      <c r="H38" s="72">
        <f t="shared" ca="1" si="16"/>
        <v>838</v>
      </c>
      <c r="I38" s="72">
        <f t="shared" ca="1" si="16"/>
        <v>887</v>
      </c>
      <c r="J38" s="268"/>
      <c r="K38" s="268"/>
      <c r="L38" s="268"/>
      <c r="M38" s="268"/>
      <c r="N38" s="268"/>
    </row>
    <row r="39" spans="2:14" x14ac:dyDescent="0.2">
      <c r="B39" s="246"/>
      <c r="C39" s="247"/>
      <c r="D39" s="32"/>
      <c r="I39" s="36"/>
    </row>
    <row r="40" spans="2:14" x14ac:dyDescent="0.2">
      <c r="B40" s="246" t="s">
        <v>535</v>
      </c>
      <c r="C40" s="247"/>
      <c r="D40" s="32"/>
      <c r="I40" s="36"/>
    </row>
    <row r="41" spans="2:14" x14ac:dyDescent="0.2">
      <c r="B41" s="254" t="s">
        <v>536</v>
      </c>
      <c r="C41" s="108"/>
      <c r="D41" s="32"/>
      <c r="I41"/>
      <c r="J41" s="148"/>
      <c r="K41" s="148"/>
      <c r="L41" s="148"/>
      <c r="M41" s="148"/>
      <c r="N41" s="148"/>
    </row>
    <row r="42" spans="2:14" x14ac:dyDescent="0.2">
      <c r="B42" s="247" t="s">
        <v>537</v>
      </c>
      <c r="C42" s="247"/>
      <c r="D42" s="42">
        <f>SUMIF($J$74:J$120,$B$42, D74:D120)</f>
        <v>1035.2</v>
      </c>
      <c r="E42" s="42">
        <f ca="1">SUMIF($J$74:K$120,$B$42, E74:E120)</f>
        <v>741.59999999999991</v>
      </c>
      <c r="F42" s="42">
        <f ca="1">SUMIF($J$74:L$120,$B$42, F74:F120)</f>
        <v>761</v>
      </c>
      <c r="G42" s="42">
        <f ca="1">SUMIF($J$74:M$120,$B$42, G74:G120)</f>
        <v>759</v>
      </c>
      <c r="H42" s="42">
        <f ca="1">SUMIF($J$74:N$120,$B$42, H74:H120)</f>
        <v>812</v>
      </c>
      <c r="I42" s="42">
        <f ca="1">SUMIF($J$74:O$120,$B$42, I74:I120)</f>
        <v>1328</v>
      </c>
      <c r="J42" s="148"/>
      <c r="K42" s="148"/>
      <c r="L42" s="148"/>
      <c r="M42" s="148"/>
      <c r="N42" s="148"/>
    </row>
    <row r="43" spans="2:14" x14ac:dyDescent="0.2">
      <c r="B43" s="247" t="s">
        <v>538</v>
      </c>
      <c r="C43" s="247"/>
      <c r="D43" s="42">
        <f>SUMIF($J$74:J$120,$B$43, D74:D120)</f>
        <v>413.6</v>
      </c>
      <c r="E43" s="42">
        <f ca="1">SUMIF($J$74:K$120,$B$43, E74:E120)</f>
        <v>482.6</v>
      </c>
      <c r="F43" s="42">
        <f ca="1">SUMIF($J$74:L$120,$B$43, F74:F120)</f>
        <v>497</v>
      </c>
      <c r="G43" s="42">
        <f ca="1">SUMIF($J$74:M$120,$B$43, G74:G120)</f>
        <v>282</v>
      </c>
      <c r="H43" s="42">
        <f ca="1">SUMIF($J$74:N$120,$B$43, H74:H120)</f>
        <v>357</v>
      </c>
      <c r="I43" s="42">
        <f ca="1">SUMIF($J$74:O$120,$B$43, I74:I120)</f>
        <v>418</v>
      </c>
      <c r="J43" s="148"/>
      <c r="K43" s="148"/>
      <c r="L43" s="148"/>
      <c r="M43" s="148"/>
      <c r="N43" s="148"/>
    </row>
    <row r="44" spans="2:14" x14ac:dyDescent="0.2">
      <c r="B44" s="247" t="s">
        <v>539</v>
      </c>
      <c r="C44" s="247"/>
      <c r="D44" s="42">
        <f>SUMIF($J$74:J$120,$B$44, D74:D120)</f>
        <v>24.2</v>
      </c>
      <c r="E44" s="42">
        <f ca="1">SUMIF($J$74:K$120,$B$44, E74:E120)</f>
        <v>25.1</v>
      </c>
      <c r="F44" s="42">
        <f ca="1">SUMIF($J$74:L$120,$B$44, F74:F120)</f>
        <v>22</v>
      </c>
      <c r="G44" s="42">
        <f ca="1">SUMIF($J$74:M$120,$B$44, G74:G120)</f>
        <v>25</v>
      </c>
      <c r="H44" s="42">
        <f ca="1">SUMIF($J$74:N$120,$B$44, H74:H120)</f>
        <v>24</v>
      </c>
      <c r="I44" s="42">
        <f ca="1">SUMIF($J$74:O$120,$B$44, I74:I120)</f>
        <v>59</v>
      </c>
      <c r="J44" s="148"/>
      <c r="K44" s="148"/>
      <c r="L44" s="148"/>
      <c r="M44" s="148"/>
      <c r="N44" s="148"/>
    </row>
    <row r="45" spans="2:14" ht="17" thickBot="1" x14ac:dyDescent="0.25">
      <c r="B45" s="247" t="s">
        <v>540</v>
      </c>
      <c r="C45" s="247"/>
      <c r="D45" s="42">
        <f>SUMIF($J$74:J$120,$B$45, D74:D120)</f>
        <v>44.8</v>
      </c>
      <c r="E45" s="42">
        <f ca="1">SUMIF($J$74:K$120,$B$45, E74:E120)</f>
        <v>7.7</v>
      </c>
      <c r="F45" s="42">
        <f ca="1">SUMIF($J$74:L$120,$B$45, F74:F120)</f>
        <v>4</v>
      </c>
      <c r="G45" s="42">
        <f ca="1">SUMIF($J$74:M$120,$B$45, G74:G120)</f>
        <v>94</v>
      </c>
      <c r="H45" s="42">
        <f ca="1">SUMIF($J$74:N$120,$B$45, H74:H120)</f>
        <v>79</v>
      </c>
      <c r="I45" s="42">
        <f ca="1">SUMIF($J$74:O$120,$B$45, I74:I120)</f>
        <v>123</v>
      </c>
      <c r="J45" s="265"/>
      <c r="K45" s="266"/>
      <c r="L45" s="266"/>
      <c r="M45" s="266"/>
      <c r="N45" s="266"/>
    </row>
    <row r="46" spans="2:14" x14ac:dyDescent="0.2">
      <c r="B46" s="254" t="s">
        <v>541</v>
      </c>
      <c r="C46" s="255"/>
      <c r="D46" s="72">
        <f>SUM(D42:D45)</f>
        <v>1517.8000000000002</v>
      </c>
      <c r="E46" s="72">
        <f t="shared" ref="E46:I46" ca="1" si="17">SUM(E42:E45)</f>
        <v>1256.9999999999998</v>
      </c>
      <c r="F46" s="72">
        <f t="shared" ca="1" si="17"/>
        <v>1284</v>
      </c>
      <c r="G46" s="72">
        <f t="shared" ca="1" si="17"/>
        <v>1160</v>
      </c>
      <c r="H46" s="72">
        <f t="shared" ca="1" si="17"/>
        <v>1272</v>
      </c>
      <c r="I46" s="72">
        <f t="shared" ca="1" si="17"/>
        <v>1928</v>
      </c>
      <c r="J46" s="268"/>
      <c r="K46" s="268"/>
      <c r="L46" s="268"/>
      <c r="M46" s="268"/>
      <c r="N46" s="268"/>
    </row>
    <row r="47" spans="2:14" x14ac:dyDescent="0.2">
      <c r="B47" s="246"/>
      <c r="C47" s="247"/>
      <c r="D47" s="32"/>
      <c r="I47" s="36"/>
    </row>
    <row r="48" spans="2:14" x14ac:dyDescent="0.2">
      <c r="B48" s="246" t="s">
        <v>542</v>
      </c>
      <c r="C48" s="247"/>
      <c r="D48" s="32"/>
      <c r="I48" s="36"/>
    </row>
    <row r="49" spans="2:14" x14ac:dyDescent="0.2">
      <c r="B49" s="255" t="s">
        <v>543</v>
      </c>
      <c r="C49" s="255"/>
      <c r="D49" s="42">
        <f>SUMIF($J$74:$J$120,$B$49,D74:D120)</f>
        <v>24.3</v>
      </c>
      <c r="E49" s="42">
        <f t="shared" ref="E49:I49" si="18">SUMIF($J$74:$J$120,$B$49,E74:E120)</f>
        <v>377</v>
      </c>
      <c r="F49" s="42">
        <f t="shared" si="18"/>
        <v>182</v>
      </c>
      <c r="G49" s="42">
        <f t="shared" si="18"/>
        <v>30</v>
      </c>
      <c r="H49" s="42">
        <f t="shared" si="18"/>
        <v>43</v>
      </c>
      <c r="I49" s="42">
        <f t="shared" si="18"/>
        <v>47</v>
      </c>
      <c r="J49" s="148"/>
      <c r="K49" s="148"/>
      <c r="L49" s="148"/>
      <c r="M49" s="148"/>
      <c r="N49" s="148"/>
    </row>
    <row r="50" spans="2:14" x14ac:dyDescent="0.2">
      <c r="B50" s="247" t="s">
        <v>544</v>
      </c>
      <c r="C50" s="247"/>
      <c r="D50" s="42">
        <f>SUMIF($J$74:$J$120,$B$50,D74:D120)</f>
        <v>168.8</v>
      </c>
      <c r="E50" s="42">
        <f t="shared" ref="E50:I50" si="19">SUMIF($J$74:$J$120,$B$50,E74:E120)</f>
        <v>164</v>
      </c>
      <c r="F50" s="42">
        <f t="shared" si="19"/>
        <v>269</v>
      </c>
      <c r="G50" s="42">
        <f t="shared" si="19"/>
        <v>379</v>
      </c>
      <c r="H50" s="42">
        <f t="shared" si="19"/>
        <v>457</v>
      </c>
      <c r="I50" s="42">
        <f t="shared" si="19"/>
        <v>546</v>
      </c>
      <c r="J50" s="148"/>
      <c r="K50" s="148"/>
      <c r="L50" s="148"/>
      <c r="M50" s="148"/>
      <c r="N50" s="148"/>
    </row>
    <row r="51" spans="2:14" x14ac:dyDescent="0.2">
      <c r="B51" s="247" t="s">
        <v>545</v>
      </c>
      <c r="C51" s="247"/>
      <c r="D51" s="42">
        <f>SUMIF($J$74:$J$120,$B$51,D74:D120)</f>
        <v>317.10000000000002</v>
      </c>
      <c r="E51" s="42">
        <f t="shared" ref="E51:I51" si="20">SUMIF($J$74:$J$120,$B$51,E74:E120)</f>
        <v>416.8</v>
      </c>
      <c r="F51" s="42">
        <f t="shared" si="20"/>
        <v>500</v>
      </c>
      <c r="G51" s="42">
        <f t="shared" si="20"/>
        <v>488</v>
      </c>
      <c r="H51" s="42">
        <f t="shared" si="20"/>
        <v>578</v>
      </c>
      <c r="I51" s="42">
        <f t="shared" si="20"/>
        <v>776</v>
      </c>
      <c r="J51" s="148"/>
      <c r="K51" s="148"/>
      <c r="L51" s="148"/>
      <c r="M51" s="148"/>
      <c r="N51" s="148"/>
    </row>
    <row r="52" spans="2:14" x14ac:dyDescent="0.2">
      <c r="B52" s="247" t="s">
        <v>546</v>
      </c>
      <c r="C52" s="247"/>
      <c r="D52" s="42">
        <f>SUMIF($J$74:$J$120,$B$52,D74:D120)</f>
        <v>185.1</v>
      </c>
      <c r="E52" s="42">
        <f t="shared" ref="E52:I52" si="21">SUMIF($J$74:$J$120,$B$52,E74:E120)</f>
        <v>193.6</v>
      </c>
      <c r="F52" s="42">
        <f t="shared" si="21"/>
        <v>188</v>
      </c>
      <c r="G52" s="42">
        <f t="shared" si="21"/>
        <v>181</v>
      </c>
      <c r="H52" s="42">
        <f t="shared" si="21"/>
        <v>221</v>
      </c>
      <c r="I52" s="42">
        <f t="shared" si="21"/>
        <v>257</v>
      </c>
      <c r="J52" s="148"/>
      <c r="K52" s="148"/>
      <c r="L52" s="148"/>
      <c r="M52" s="148"/>
      <c r="N52" s="148"/>
    </row>
    <row r="53" spans="2:14" ht="17" thickBot="1" x14ac:dyDescent="0.25">
      <c r="B53" s="247" t="s">
        <v>547</v>
      </c>
      <c r="C53" s="247"/>
      <c r="D53" s="42">
        <f>SUMIF($J$74:$J$120,$B$53,D74:D120)</f>
        <v>87.699999999999989</v>
      </c>
      <c r="E53" s="42">
        <f t="shared" ref="E53:I53" si="22">SUMIF($J$74:$J$120,$B$53,E74:E120)</f>
        <v>192.29999999999998</v>
      </c>
      <c r="F53" s="42">
        <f t="shared" si="22"/>
        <v>115</v>
      </c>
      <c r="G53" s="42">
        <f t="shared" si="22"/>
        <v>124</v>
      </c>
      <c r="H53" s="42">
        <f t="shared" si="22"/>
        <v>182</v>
      </c>
      <c r="I53" s="42">
        <f t="shared" si="22"/>
        <v>258</v>
      </c>
      <c r="J53" s="265"/>
      <c r="K53" s="266"/>
      <c r="L53" s="266"/>
      <c r="M53" s="266"/>
      <c r="N53" s="266"/>
    </row>
    <row r="54" spans="2:14" x14ac:dyDescent="0.2">
      <c r="B54" s="254" t="s">
        <v>548</v>
      </c>
      <c r="C54" s="255"/>
      <c r="D54" s="72">
        <f>SUM(D49:D53)</f>
        <v>783</v>
      </c>
      <c r="E54" s="72">
        <f t="shared" ref="E54:I54" si="23">SUM(E49:E53)</f>
        <v>1343.6999999999998</v>
      </c>
      <c r="F54" s="72">
        <f t="shared" si="23"/>
        <v>1254</v>
      </c>
      <c r="G54" s="72">
        <f t="shared" si="23"/>
        <v>1202</v>
      </c>
      <c r="H54" s="72">
        <f t="shared" si="23"/>
        <v>1481</v>
      </c>
      <c r="I54" s="72">
        <f t="shared" si="23"/>
        <v>1884</v>
      </c>
      <c r="J54" s="268"/>
      <c r="K54" s="268"/>
      <c r="L54" s="268"/>
      <c r="M54" s="268"/>
      <c r="N54" s="268"/>
    </row>
    <row r="55" spans="2:14" x14ac:dyDescent="0.2">
      <c r="B55" s="246"/>
      <c r="C55" s="247"/>
      <c r="D55" s="32"/>
      <c r="I55" s="36"/>
    </row>
    <row r="56" spans="2:14" ht="17" thickBot="1" x14ac:dyDescent="0.25">
      <c r="B56" s="251" t="s">
        <v>549</v>
      </c>
      <c r="C56" s="252"/>
      <c r="D56" s="79">
        <f>SUM(D54,D46)</f>
        <v>2300.8000000000002</v>
      </c>
      <c r="E56" s="79">
        <f t="shared" ref="E56:I56" ca="1" si="24">SUM(E54,E46)</f>
        <v>2600.6999999999998</v>
      </c>
      <c r="F56" s="79">
        <f t="shared" ca="1" si="24"/>
        <v>2538</v>
      </c>
      <c r="G56" s="79">
        <f t="shared" ca="1" si="24"/>
        <v>2362</v>
      </c>
      <c r="H56" s="79">
        <f t="shared" ca="1" si="24"/>
        <v>2753</v>
      </c>
      <c r="I56" s="79">
        <f t="shared" ca="1" si="24"/>
        <v>3812</v>
      </c>
      <c r="J56" s="253"/>
      <c r="K56" s="253"/>
      <c r="L56" s="253"/>
      <c r="M56" s="253"/>
      <c r="N56" s="253"/>
    </row>
    <row r="57" spans="2:14" ht="17" thickTop="1" x14ac:dyDescent="0.2">
      <c r="B57" s="246"/>
      <c r="C57" s="247"/>
      <c r="D57" s="64"/>
      <c r="E57" s="13"/>
      <c r="F57" s="13"/>
      <c r="G57" s="13"/>
      <c r="H57" s="13"/>
      <c r="I57" s="41"/>
    </row>
    <row r="58" spans="2:14" ht="17" thickBot="1" x14ac:dyDescent="0.25">
      <c r="B58" s="256" t="s">
        <v>550</v>
      </c>
      <c r="C58" s="257"/>
      <c r="D58" s="73">
        <f>SUM(D56,D38)</f>
        <v>2455.6000000000004</v>
      </c>
      <c r="E58" s="73">
        <f t="shared" ref="E58:I58" ca="1" si="25">SUM(E56,E38)</f>
        <v>2947.5</v>
      </c>
      <c r="F58" s="73">
        <f t="shared" ca="1" si="25"/>
        <v>2955</v>
      </c>
      <c r="G58" s="73">
        <f t="shared" ca="1" si="25"/>
        <v>2979</v>
      </c>
      <c r="H58" s="73">
        <f t="shared" ca="1" si="25"/>
        <v>3591</v>
      </c>
      <c r="I58" s="73">
        <f t="shared" ca="1" si="25"/>
        <v>4699</v>
      </c>
      <c r="J58" s="26"/>
      <c r="K58" s="26"/>
      <c r="L58" s="26"/>
      <c r="M58" s="26"/>
      <c r="N58" s="26"/>
    </row>
    <row r="59" spans="2:14" x14ac:dyDescent="0.2">
      <c r="C59" s="247"/>
    </row>
    <row r="60" spans="2:14" x14ac:dyDescent="0.2">
      <c r="B60" s="246"/>
      <c r="C60" s="247"/>
    </row>
    <row r="61" spans="2:14" x14ac:dyDescent="0.2">
      <c r="B61" s="246"/>
      <c r="C61" s="247"/>
    </row>
    <row r="62" spans="2:14" x14ac:dyDescent="0.2">
      <c r="B62" s="246"/>
      <c r="C62" s="247"/>
    </row>
    <row r="63" spans="2:14" x14ac:dyDescent="0.2">
      <c r="B63" s="246"/>
      <c r="C63" s="247"/>
    </row>
    <row r="64" spans="2:14" x14ac:dyDescent="0.2">
      <c r="B64" s="246"/>
      <c r="C64" s="247"/>
    </row>
    <row r="65" spans="2:10" x14ac:dyDescent="0.2">
      <c r="B65" s="246"/>
      <c r="C65" s="247"/>
    </row>
    <row r="66" spans="2:10" x14ac:dyDescent="0.2">
      <c r="B66" s="246"/>
      <c r="C66" s="247"/>
    </row>
    <row r="67" spans="2:10" x14ac:dyDescent="0.2">
      <c r="B67" s="246"/>
      <c r="C67" s="247"/>
    </row>
    <row r="68" spans="2:10" x14ac:dyDescent="0.2">
      <c r="B68" s="246"/>
      <c r="C68" s="247"/>
    </row>
    <row r="70" spans="2:10" ht="25" thickBot="1" x14ac:dyDescent="0.35">
      <c r="B70" s="30" t="s">
        <v>86</v>
      </c>
    </row>
    <row r="71" spans="2:10" x14ac:dyDescent="0.2">
      <c r="D71">
        <v>2019</v>
      </c>
      <c r="E71">
        <v>2020</v>
      </c>
      <c r="F71">
        <v>2021</v>
      </c>
      <c r="G71">
        <v>2022</v>
      </c>
      <c r="H71">
        <v>2023</v>
      </c>
      <c r="I71" s="258">
        <v>2024</v>
      </c>
    </row>
    <row r="72" spans="2:10" ht="22" x14ac:dyDescent="0.3">
      <c r="B72" s="23" t="s">
        <v>85</v>
      </c>
    </row>
    <row r="73" spans="2:10" x14ac:dyDescent="0.2">
      <c r="B73" s="14" t="s">
        <v>38</v>
      </c>
      <c r="C73" s="15"/>
      <c r="D73" s="19">
        <v>1392.6</v>
      </c>
      <c r="E73" s="19">
        <v>1313.4</v>
      </c>
      <c r="F73" s="19">
        <v>1326</v>
      </c>
      <c r="G73" s="19">
        <v>1335</v>
      </c>
      <c r="H73" s="19">
        <v>1424</v>
      </c>
      <c r="I73" s="19">
        <v>2289</v>
      </c>
    </row>
    <row r="74" spans="2:10" x14ac:dyDescent="0.2">
      <c r="B74" t="s">
        <v>39</v>
      </c>
      <c r="D74" s="16">
        <v>637.20000000000005</v>
      </c>
      <c r="E74" s="16">
        <v>637.20000000000005</v>
      </c>
      <c r="F74" s="16">
        <v>658</v>
      </c>
      <c r="G74" s="16">
        <v>658</v>
      </c>
      <c r="H74" s="16">
        <v>658</v>
      </c>
      <c r="I74" s="229">
        <v>1115</v>
      </c>
      <c r="J74" t="s">
        <v>518</v>
      </c>
    </row>
    <row r="75" spans="2:10" x14ac:dyDescent="0.2">
      <c r="B75" t="s">
        <v>40</v>
      </c>
      <c r="D75" s="16">
        <v>403.3</v>
      </c>
      <c r="E75" s="16">
        <v>386.2</v>
      </c>
      <c r="F75" s="16">
        <v>385</v>
      </c>
      <c r="G75" s="16">
        <v>384</v>
      </c>
      <c r="H75" s="16">
        <v>399</v>
      </c>
      <c r="I75" s="229">
        <v>667</v>
      </c>
      <c r="J75" t="s">
        <v>518</v>
      </c>
    </row>
    <row r="76" spans="2:10" x14ac:dyDescent="0.2">
      <c r="B76" t="s">
        <v>41</v>
      </c>
      <c r="D76" s="16">
        <v>92.9</v>
      </c>
      <c r="E76" s="16">
        <v>103.1</v>
      </c>
      <c r="F76" s="16">
        <v>108</v>
      </c>
      <c r="G76" s="16">
        <v>121</v>
      </c>
      <c r="H76" s="16">
        <v>140</v>
      </c>
      <c r="I76" s="229">
        <v>202</v>
      </c>
      <c r="J76" t="s">
        <v>519</v>
      </c>
    </row>
    <row r="77" spans="2:10" x14ac:dyDescent="0.2">
      <c r="B77" t="s">
        <v>42</v>
      </c>
      <c r="D77" s="16">
        <v>154.9</v>
      </c>
      <c r="E77" s="16">
        <v>143.5</v>
      </c>
      <c r="F77" s="16">
        <v>141</v>
      </c>
      <c r="G77" s="16">
        <v>140</v>
      </c>
      <c r="H77" s="16">
        <v>189</v>
      </c>
      <c r="I77" s="229">
        <v>249</v>
      </c>
      <c r="J77" t="s">
        <v>519</v>
      </c>
    </row>
    <row r="78" spans="2:10" x14ac:dyDescent="0.2">
      <c r="B78" t="s">
        <v>43</v>
      </c>
      <c r="D78" s="16">
        <v>1.2</v>
      </c>
      <c r="E78" s="16">
        <v>0</v>
      </c>
      <c r="F78" s="16">
        <v>0</v>
      </c>
      <c r="G78" s="16">
        <v>1</v>
      </c>
      <c r="H78" s="16">
        <v>0</v>
      </c>
      <c r="I78" s="229">
        <v>4</v>
      </c>
      <c r="J78" t="s">
        <v>520</v>
      </c>
    </row>
    <row r="79" spans="2:10" x14ac:dyDescent="0.2">
      <c r="B79" t="s">
        <v>44</v>
      </c>
      <c r="D79" s="16">
        <v>14.7</v>
      </c>
      <c r="E79" s="16">
        <v>11.3</v>
      </c>
      <c r="F79" s="16">
        <v>21</v>
      </c>
      <c r="G79" s="16">
        <v>22</v>
      </c>
      <c r="H79" s="16">
        <v>25</v>
      </c>
      <c r="I79" s="229">
        <v>24</v>
      </c>
      <c r="J79" t="s">
        <v>520</v>
      </c>
    </row>
    <row r="80" spans="2:10" x14ac:dyDescent="0.2">
      <c r="B80" t="s">
        <v>45</v>
      </c>
      <c r="D80" s="16">
        <v>53.2</v>
      </c>
      <c r="E80" s="16">
        <v>1</v>
      </c>
      <c r="F80" s="16">
        <v>1</v>
      </c>
      <c r="G80" s="16">
        <v>1</v>
      </c>
      <c r="H80" s="16">
        <v>1</v>
      </c>
      <c r="I80" s="229">
        <v>7</v>
      </c>
      <c r="J80" t="s">
        <v>520</v>
      </c>
    </row>
    <row r="81" spans="2:10" x14ac:dyDescent="0.2">
      <c r="B81" t="s">
        <v>80</v>
      </c>
      <c r="D81" s="16">
        <v>4.9000000000000004</v>
      </c>
      <c r="E81" s="16">
        <v>4.8</v>
      </c>
      <c r="F81" s="16">
        <v>3</v>
      </c>
      <c r="G81" s="16">
        <v>2</v>
      </c>
      <c r="H81" s="16">
        <v>3</v>
      </c>
      <c r="I81" s="229">
        <v>20</v>
      </c>
      <c r="J81" t="s">
        <v>472</v>
      </c>
    </row>
    <row r="82" spans="2:10" x14ac:dyDescent="0.2">
      <c r="B82" t="s">
        <v>79</v>
      </c>
      <c r="D82" s="16">
        <v>30.4</v>
      </c>
      <c r="E82" s="16">
        <v>26.3</v>
      </c>
      <c r="F82" s="16">
        <v>11</v>
      </c>
      <c r="G82" s="16">
        <v>6</v>
      </c>
      <c r="H82" s="16">
        <v>9</v>
      </c>
      <c r="I82" s="229">
        <v>1</v>
      </c>
      <c r="J82" t="s">
        <v>521</v>
      </c>
    </row>
    <row r="83" spans="2:10" x14ac:dyDescent="0.2">
      <c r="B83" s="14" t="s">
        <v>81</v>
      </c>
      <c r="C83" s="15"/>
      <c r="D83" s="19">
        <v>1063.0999999999999</v>
      </c>
      <c r="E83" s="19">
        <v>1634.2</v>
      </c>
      <c r="F83" s="19">
        <v>1629</v>
      </c>
      <c r="G83" s="19">
        <v>1644</v>
      </c>
      <c r="H83" s="19">
        <v>2155</v>
      </c>
      <c r="I83" s="19">
        <v>2407</v>
      </c>
      <c r="J83" t="s">
        <v>522</v>
      </c>
    </row>
    <row r="84" spans="2:10" x14ac:dyDescent="0.2">
      <c r="B84" t="s">
        <v>46</v>
      </c>
      <c r="D84" s="16">
        <v>3</v>
      </c>
      <c r="E84" s="16">
        <v>11.2</v>
      </c>
      <c r="F84" s="16">
        <v>1</v>
      </c>
      <c r="G84" s="16">
        <v>0</v>
      </c>
      <c r="H84" s="16">
        <v>0</v>
      </c>
      <c r="I84" s="229">
        <v>0</v>
      </c>
      <c r="J84" t="s">
        <v>467</v>
      </c>
    </row>
    <row r="85" spans="2:10" x14ac:dyDescent="0.2">
      <c r="B85" t="s">
        <v>47</v>
      </c>
      <c r="D85" s="16">
        <v>411.1</v>
      </c>
      <c r="E85" s="16">
        <v>403.7</v>
      </c>
      <c r="F85" s="16">
        <v>444</v>
      </c>
      <c r="G85" s="16">
        <v>516</v>
      </c>
      <c r="H85" s="16">
        <v>625</v>
      </c>
      <c r="I85" s="229">
        <v>719</v>
      </c>
      <c r="J85" t="s">
        <v>515</v>
      </c>
    </row>
    <row r="86" spans="2:10" x14ac:dyDescent="0.2">
      <c r="B86" t="s">
        <v>48</v>
      </c>
      <c r="D86" s="16">
        <v>165.9</v>
      </c>
      <c r="E86" s="16">
        <v>204.4</v>
      </c>
      <c r="F86" s="16">
        <v>170</v>
      </c>
      <c r="G86" s="16">
        <v>182</v>
      </c>
      <c r="H86" s="16">
        <v>196</v>
      </c>
      <c r="I86" s="229">
        <v>385</v>
      </c>
      <c r="J86" t="s">
        <v>525</v>
      </c>
    </row>
    <row r="87" spans="2:10" x14ac:dyDescent="0.2">
      <c r="B87" t="s">
        <v>49</v>
      </c>
      <c r="D87" s="16">
        <v>290.8</v>
      </c>
      <c r="E87" s="16">
        <v>282</v>
      </c>
      <c r="F87" s="16">
        <v>309</v>
      </c>
      <c r="G87" s="16">
        <v>323</v>
      </c>
      <c r="H87" s="16">
        <v>382</v>
      </c>
      <c r="I87" s="229">
        <v>426</v>
      </c>
      <c r="J87" t="s">
        <v>524</v>
      </c>
    </row>
    <row r="88" spans="2:10" x14ac:dyDescent="0.2">
      <c r="B88" t="s">
        <v>50</v>
      </c>
      <c r="D88" s="16">
        <v>5.8</v>
      </c>
      <c r="E88" s="16">
        <v>7.1</v>
      </c>
      <c r="F88" s="16">
        <v>7</v>
      </c>
      <c r="G88" s="16">
        <v>20</v>
      </c>
      <c r="H88" s="16">
        <v>19</v>
      </c>
      <c r="I88" s="229">
        <v>8</v>
      </c>
      <c r="J88" t="s">
        <v>467</v>
      </c>
    </row>
    <row r="89" spans="2:10" x14ac:dyDescent="0.2">
      <c r="B89" t="s">
        <v>51</v>
      </c>
      <c r="D89" s="16">
        <v>46.1</v>
      </c>
      <c r="E89" s="16">
        <v>78.7</v>
      </c>
      <c r="F89" s="16">
        <v>167</v>
      </c>
      <c r="G89" s="16">
        <v>133</v>
      </c>
      <c r="H89" s="16">
        <v>116</v>
      </c>
      <c r="I89" s="229">
        <v>115</v>
      </c>
      <c r="J89" t="s">
        <v>467</v>
      </c>
    </row>
    <row r="90" spans="2:10" x14ac:dyDescent="0.2">
      <c r="B90" t="s">
        <v>52</v>
      </c>
      <c r="D90" s="16">
        <v>3.2</v>
      </c>
      <c r="E90" s="16">
        <v>1.6</v>
      </c>
      <c r="F90" s="16">
        <v>2</v>
      </c>
      <c r="G90" s="16">
        <v>10</v>
      </c>
      <c r="H90" s="16">
        <v>15</v>
      </c>
      <c r="I90" s="229">
        <v>20</v>
      </c>
      <c r="J90" t="s">
        <v>467</v>
      </c>
    </row>
    <row r="91" spans="2:10" x14ac:dyDescent="0.2">
      <c r="B91" t="s">
        <v>53</v>
      </c>
      <c r="D91" s="16">
        <v>137.4</v>
      </c>
      <c r="E91" s="16">
        <v>645.5</v>
      </c>
      <c r="F91" s="16">
        <v>529</v>
      </c>
      <c r="G91" s="16">
        <v>460</v>
      </c>
      <c r="H91" s="16">
        <v>802</v>
      </c>
      <c r="I91" s="229">
        <v>733</v>
      </c>
      <c r="J91" t="s">
        <v>526</v>
      </c>
    </row>
    <row r="92" spans="2:10" x14ac:dyDescent="0.2">
      <c r="B92" s="14" t="s">
        <v>54</v>
      </c>
      <c r="C92" s="15"/>
      <c r="D92" s="19">
        <v>2455.6999999999998</v>
      </c>
      <c r="E92" s="19">
        <v>2947.6</v>
      </c>
      <c r="F92" s="19">
        <v>2956</v>
      </c>
      <c r="G92" s="19">
        <v>2979</v>
      </c>
      <c r="H92" s="19">
        <v>3579</v>
      </c>
      <c r="I92" s="19">
        <v>4696</v>
      </c>
      <c r="J92" t="s">
        <v>528</v>
      </c>
    </row>
    <row r="93" spans="2:10" x14ac:dyDescent="0.2">
      <c r="B93" s="13"/>
      <c r="D93" s="20"/>
      <c r="E93" s="20"/>
      <c r="F93" s="20"/>
      <c r="G93" s="20"/>
      <c r="H93" s="20"/>
      <c r="I93" s="239"/>
    </row>
    <row r="94" spans="2:10" ht="22" x14ac:dyDescent="0.3">
      <c r="B94" s="24" t="s">
        <v>84</v>
      </c>
      <c r="C94" s="22"/>
      <c r="D94" s="27"/>
      <c r="E94" s="27"/>
      <c r="F94" s="27"/>
      <c r="G94" s="27"/>
      <c r="H94" s="27"/>
      <c r="I94" s="27"/>
    </row>
    <row r="95" spans="2:10" x14ac:dyDescent="0.2">
      <c r="B95" t="s">
        <v>55</v>
      </c>
      <c r="D95" s="16">
        <v>10</v>
      </c>
      <c r="E95" s="16">
        <v>105</v>
      </c>
      <c r="F95" s="16">
        <v>105</v>
      </c>
      <c r="G95" s="16">
        <v>105</v>
      </c>
      <c r="H95" s="16">
        <v>116</v>
      </c>
      <c r="I95" s="229">
        <v>116</v>
      </c>
      <c r="J95" t="s">
        <v>55</v>
      </c>
    </row>
    <row r="96" spans="2:10" x14ac:dyDescent="0.2">
      <c r="B96" t="s">
        <v>57</v>
      </c>
      <c r="D96" s="16">
        <v>396.7</v>
      </c>
      <c r="E96" s="16">
        <v>596.79999999999995</v>
      </c>
      <c r="F96" s="16">
        <v>537</v>
      </c>
      <c r="G96" s="16">
        <v>472</v>
      </c>
      <c r="H96" s="16">
        <v>613</v>
      </c>
      <c r="I96" s="229">
        <v>474</v>
      </c>
      <c r="J96" t="s">
        <v>530</v>
      </c>
    </row>
    <row r="97" spans="2:10" x14ac:dyDescent="0.2">
      <c r="B97" t="s">
        <v>56</v>
      </c>
      <c r="D97" s="16">
        <v>-49.8</v>
      </c>
      <c r="E97" s="16">
        <v>-86.3</v>
      </c>
      <c r="F97" s="16">
        <v>-65</v>
      </c>
      <c r="G97" s="16">
        <v>82</v>
      </c>
      <c r="H97" s="16">
        <v>32</v>
      </c>
      <c r="I97" s="229">
        <v>37</v>
      </c>
      <c r="J97" t="s">
        <v>530</v>
      </c>
    </row>
    <row r="98" spans="2:10" x14ac:dyDescent="0.2">
      <c r="B98" t="s">
        <v>58</v>
      </c>
      <c r="D98" s="16">
        <v>-215.8</v>
      </c>
      <c r="E98" s="16">
        <v>-281.60000000000002</v>
      </c>
      <c r="F98" s="16">
        <v>-171</v>
      </c>
      <c r="G98" s="16">
        <v>-55</v>
      </c>
      <c r="H98" s="16">
        <v>62</v>
      </c>
      <c r="I98" s="229">
        <v>245</v>
      </c>
      <c r="J98" t="s">
        <v>531</v>
      </c>
    </row>
    <row r="99" spans="2:10" x14ac:dyDescent="0.2">
      <c r="B99" s="14" t="s">
        <v>59</v>
      </c>
      <c r="C99" s="15"/>
      <c r="D99" s="19">
        <v>141.19999999999999</v>
      </c>
      <c r="E99" s="19">
        <v>333.9</v>
      </c>
      <c r="F99" s="19">
        <v>406</v>
      </c>
      <c r="G99" s="19">
        <v>604</v>
      </c>
      <c r="H99" s="19">
        <v>822</v>
      </c>
      <c r="I99" s="19">
        <v>873</v>
      </c>
      <c r="J99" t="s">
        <v>532</v>
      </c>
    </row>
    <row r="100" spans="2:10" x14ac:dyDescent="0.2">
      <c r="B100" t="s">
        <v>60</v>
      </c>
      <c r="D100" s="16">
        <v>13.6</v>
      </c>
      <c r="E100" s="16">
        <v>12.9</v>
      </c>
      <c r="F100" s="16">
        <v>11</v>
      </c>
      <c r="G100" s="16">
        <v>13</v>
      </c>
      <c r="H100" s="16">
        <v>16</v>
      </c>
      <c r="I100" s="229">
        <v>14</v>
      </c>
      <c r="J100" t="s">
        <v>533</v>
      </c>
    </row>
    <row r="101" spans="2:10" ht="17" thickBot="1" x14ac:dyDescent="0.25">
      <c r="B101" s="25" t="s">
        <v>61</v>
      </c>
      <c r="C101" s="26"/>
      <c r="D101" s="28">
        <v>154.80000000000001</v>
      </c>
      <c r="E101" s="28">
        <v>346.8</v>
      </c>
      <c r="F101" s="28">
        <v>417</v>
      </c>
      <c r="G101" s="28">
        <v>616</v>
      </c>
      <c r="H101" s="28">
        <v>838</v>
      </c>
      <c r="I101" s="28">
        <v>886</v>
      </c>
      <c r="J101" t="s">
        <v>534</v>
      </c>
    </row>
    <row r="102" spans="2:10" x14ac:dyDescent="0.2">
      <c r="B102" s="21" t="s">
        <v>62</v>
      </c>
      <c r="C102" s="22"/>
      <c r="D102" s="29">
        <v>1517.9</v>
      </c>
      <c r="E102" s="29">
        <v>1257.0999999999999</v>
      </c>
      <c r="F102" s="29">
        <v>1284</v>
      </c>
      <c r="G102" s="29">
        <v>1160</v>
      </c>
      <c r="H102" s="29">
        <v>1271</v>
      </c>
      <c r="I102" s="29">
        <v>1927</v>
      </c>
    </row>
    <row r="103" spans="2:10" x14ac:dyDescent="0.2">
      <c r="B103" t="s">
        <v>63</v>
      </c>
      <c r="D103" s="16">
        <v>413.6</v>
      </c>
      <c r="E103" s="16">
        <v>482.6</v>
      </c>
      <c r="F103" s="16">
        <v>497</v>
      </c>
      <c r="G103" s="16">
        <v>282</v>
      </c>
      <c r="H103" s="16">
        <v>357</v>
      </c>
      <c r="I103" s="229">
        <v>418</v>
      </c>
      <c r="J103" t="s">
        <v>538</v>
      </c>
    </row>
    <row r="104" spans="2:10" x14ac:dyDescent="0.2">
      <c r="B104" t="s">
        <v>64</v>
      </c>
      <c r="D104" s="16">
        <v>887.7</v>
      </c>
      <c r="E104" s="16">
        <v>601.29999999999995</v>
      </c>
      <c r="F104" s="16">
        <v>622</v>
      </c>
      <c r="G104" s="16">
        <v>619</v>
      </c>
      <c r="H104" s="16">
        <v>621</v>
      </c>
      <c r="I104" s="229">
        <v>1072</v>
      </c>
      <c r="J104" t="s">
        <v>537</v>
      </c>
    </row>
    <row r="105" spans="2:10" x14ac:dyDescent="0.2">
      <c r="B105" t="s">
        <v>65</v>
      </c>
      <c r="D105" s="16">
        <v>16.3</v>
      </c>
      <c r="E105" s="16">
        <v>16</v>
      </c>
      <c r="F105" s="16">
        <v>12</v>
      </c>
      <c r="G105" s="16">
        <v>11</v>
      </c>
      <c r="H105" s="16">
        <v>0</v>
      </c>
      <c r="I105" s="229">
        <v>4</v>
      </c>
      <c r="J105" t="s">
        <v>539</v>
      </c>
    </row>
    <row r="106" spans="2:10" x14ac:dyDescent="0.2">
      <c r="B106" t="s">
        <v>66</v>
      </c>
      <c r="D106" s="16">
        <v>147.5</v>
      </c>
      <c r="E106" s="16">
        <v>140.30000000000001</v>
      </c>
      <c r="F106" s="16">
        <v>139</v>
      </c>
      <c r="G106" s="16">
        <v>140</v>
      </c>
      <c r="H106" s="16">
        <v>191</v>
      </c>
      <c r="I106" s="229">
        <v>256</v>
      </c>
      <c r="J106" t="s">
        <v>537</v>
      </c>
    </row>
    <row r="107" spans="2:10" x14ac:dyDescent="0.2">
      <c r="B107" t="s">
        <v>67</v>
      </c>
      <c r="D107" s="16">
        <v>0.2</v>
      </c>
      <c r="E107" s="16">
        <v>0.2</v>
      </c>
      <c r="F107" s="16">
        <v>0</v>
      </c>
      <c r="G107" s="16">
        <v>3</v>
      </c>
      <c r="H107" s="16">
        <v>10</v>
      </c>
      <c r="I107" s="229">
        <v>13</v>
      </c>
      <c r="J107" t="s">
        <v>539</v>
      </c>
    </row>
    <row r="108" spans="2:10" x14ac:dyDescent="0.2">
      <c r="B108" t="s">
        <v>68</v>
      </c>
      <c r="D108" s="16">
        <v>7.7</v>
      </c>
      <c r="E108" s="16">
        <v>8.9</v>
      </c>
      <c r="F108" s="16">
        <v>10</v>
      </c>
      <c r="G108" s="16">
        <v>11</v>
      </c>
      <c r="H108" s="16">
        <v>14</v>
      </c>
      <c r="I108" s="229">
        <v>15</v>
      </c>
      <c r="J108" t="s">
        <v>539</v>
      </c>
    </row>
    <row r="109" spans="2:10" x14ac:dyDescent="0.2">
      <c r="B109" t="s">
        <v>69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229">
        <v>27</v>
      </c>
      <c r="J109" t="s">
        <v>539</v>
      </c>
    </row>
    <row r="110" spans="2:10" x14ac:dyDescent="0.2">
      <c r="B110" t="s">
        <v>70</v>
      </c>
      <c r="D110" s="16">
        <v>44.8</v>
      </c>
      <c r="E110" s="16">
        <v>7.7</v>
      </c>
      <c r="F110" s="16">
        <v>4</v>
      </c>
      <c r="G110" s="16">
        <v>94</v>
      </c>
      <c r="H110" s="16">
        <v>79</v>
      </c>
      <c r="I110" s="229">
        <v>123</v>
      </c>
      <c r="J110" t="s">
        <v>540</v>
      </c>
    </row>
    <row r="111" spans="2:10" x14ac:dyDescent="0.2">
      <c r="B111" s="14" t="s">
        <v>82</v>
      </c>
      <c r="C111" s="14"/>
      <c r="D111" s="19">
        <v>783</v>
      </c>
      <c r="E111" s="19">
        <v>1343.7</v>
      </c>
      <c r="F111" s="19">
        <v>1255</v>
      </c>
      <c r="G111" s="19">
        <v>1203</v>
      </c>
      <c r="H111" s="19">
        <v>1470</v>
      </c>
      <c r="I111" s="19">
        <v>1883</v>
      </c>
      <c r="J111" t="s">
        <v>541</v>
      </c>
    </row>
    <row r="112" spans="2:10" x14ac:dyDescent="0.2">
      <c r="B112" t="s">
        <v>71</v>
      </c>
      <c r="D112" s="16">
        <v>185.1</v>
      </c>
      <c r="E112" s="16">
        <v>193.6</v>
      </c>
      <c r="F112" s="16">
        <v>188</v>
      </c>
      <c r="G112" s="16">
        <v>181</v>
      </c>
      <c r="H112" s="16">
        <v>221</v>
      </c>
      <c r="I112" s="229">
        <v>257</v>
      </c>
      <c r="J112" t="s">
        <v>546</v>
      </c>
    </row>
    <row r="113" spans="2:10" x14ac:dyDescent="0.2">
      <c r="B113" t="s">
        <v>72</v>
      </c>
      <c r="D113" s="16">
        <v>11.3</v>
      </c>
      <c r="E113" s="16">
        <v>363.3</v>
      </c>
      <c r="F113" s="16">
        <v>166</v>
      </c>
      <c r="G113" s="16">
        <v>12</v>
      </c>
      <c r="H113" s="16">
        <v>23</v>
      </c>
      <c r="I113" s="229">
        <v>22</v>
      </c>
      <c r="J113" t="s">
        <v>543</v>
      </c>
    </row>
    <row r="114" spans="2:10" x14ac:dyDescent="0.2">
      <c r="B114" t="s">
        <v>73</v>
      </c>
      <c r="D114" s="16">
        <v>317.10000000000002</v>
      </c>
      <c r="E114" s="16">
        <v>416.8</v>
      </c>
      <c r="F114" s="16">
        <v>500</v>
      </c>
      <c r="G114" s="16">
        <v>488</v>
      </c>
      <c r="H114" s="16">
        <v>578</v>
      </c>
      <c r="I114" s="229">
        <v>776</v>
      </c>
      <c r="J114" t="s">
        <v>545</v>
      </c>
    </row>
    <row r="115" spans="2:10" x14ac:dyDescent="0.2">
      <c r="B115" t="s">
        <v>74</v>
      </c>
      <c r="D115" s="16">
        <v>13</v>
      </c>
      <c r="E115" s="16">
        <v>13.7</v>
      </c>
      <c r="F115" s="16">
        <v>16</v>
      </c>
      <c r="G115" s="16">
        <v>18</v>
      </c>
      <c r="H115" s="16">
        <v>20</v>
      </c>
      <c r="I115" s="229">
        <v>25</v>
      </c>
      <c r="J115" t="s">
        <v>543</v>
      </c>
    </row>
    <row r="116" spans="2:10" x14ac:dyDescent="0.2">
      <c r="B116" t="s">
        <v>75</v>
      </c>
      <c r="D116" s="16">
        <v>168.8</v>
      </c>
      <c r="E116" s="16">
        <v>164</v>
      </c>
      <c r="F116" s="16">
        <v>269</v>
      </c>
      <c r="G116" s="16">
        <v>379</v>
      </c>
      <c r="H116" s="16">
        <v>457</v>
      </c>
      <c r="I116" s="229">
        <v>546</v>
      </c>
      <c r="J116" t="s">
        <v>544</v>
      </c>
    </row>
    <row r="117" spans="2:10" x14ac:dyDescent="0.2">
      <c r="B117" t="s">
        <v>76</v>
      </c>
      <c r="D117" s="16">
        <v>20.5</v>
      </c>
      <c r="E117" s="16">
        <v>97.8</v>
      </c>
      <c r="F117" s="16">
        <v>10</v>
      </c>
      <c r="G117" s="16">
        <v>4</v>
      </c>
      <c r="H117" s="16">
        <v>7</v>
      </c>
      <c r="I117" s="229">
        <v>74</v>
      </c>
      <c r="J117" t="s">
        <v>547</v>
      </c>
    </row>
    <row r="118" spans="2:10" x14ac:dyDescent="0.2">
      <c r="B118" t="s">
        <v>77</v>
      </c>
      <c r="D118" s="16">
        <v>67.099999999999994</v>
      </c>
      <c r="E118" s="16">
        <v>86.9</v>
      </c>
      <c r="F118" s="16">
        <v>94</v>
      </c>
      <c r="G118" s="16">
        <v>101</v>
      </c>
      <c r="H118" s="16">
        <v>136</v>
      </c>
      <c r="I118" s="229">
        <v>151</v>
      </c>
      <c r="J118" t="s">
        <v>547</v>
      </c>
    </row>
    <row r="119" spans="2:10" x14ac:dyDescent="0.2">
      <c r="B119" t="s">
        <v>78</v>
      </c>
      <c r="D119" s="16">
        <v>0.1</v>
      </c>
      <c r="E119" s="16">
        <v>7.6</v>
      </c>
      <c r="F119" s="16">
        <v>11</v>
      </c>
      <c r="G119" s="16">
        <v>19</v>
      </c>
      <c r="H119" s="16">
        <v>39</v>
      </c>
      <c r="I119" s="229">
        <v>33</v>
      </c>
      <c r="J119" t="s">
        <v>547</v>
      </c>
    </row>
    <row r="120" spans="2:10" x14ac:dyDescent="0.2">
      <c r="B120" s="14" t="s">
        <v>83</v>
      </c>
      <c r="C120" s="14"/>
      <c r="D120" s="19">
        <v>2455.6999999999998</v>
      </c>
      <c r="E120" s="19">
        <v>2947.6</v>
      </c>
      <c r="F120" s="19">
        <v>2956</v>
      </c>
      <c r="G120" s="19">
        <v>2979</v>
      </c>
      <c r="H120" s="19">
        <v>3579</v>
      </c>
      <c r="I120" s="19">
        <v>4696</v>
      </c>
      <c r="J120" t="s">
        <v>550</v>
      </c>
    </row>
    <row r="121" spans="2:10" x14ac:dyDescent="0.2">
      <c r="D121" s="16"/>
      <c r="E121" s="16"/>
      <c r="F121" s="16"/>
      <c r="G121" s="16"/>
      <c r="H121" s="16"/>
      <c r="I121" s="229"/>
    </row>
    <row r="123" spans="2:10" ht="30" x14ac:dyDescent="0.3">
      <c r="B123" s="240"/>
    </row>
    <row r="125" spans="2:10" x14ac:dyDescent="0.2">
      <c r="B125" s="241"/>
    </row>
    <row r="127" spans="2:10" x14ac:dyDescent="0.2">
      <c r="B127" s="242"/>
      <c r="C127" s="242"/>
      <c r="D127" s="242"/>
      <c r="E127" s="242"/>
      <c r="F127" s="242"/>
      <c r="G127" s="242"/>
      <c r="H127" s="242"/>
    </row>
    <row r="128" spans="2:10" x14ac:dyDescent="0.2">
      <c r="B128" s="242"/>
      <c r="C128" s="243"/>
      <c r="D128" s="243"/>
      <c r="E128" s="243"/>
      <c r="F128" s="243"/>
      <c r="G128" s="243"/>
      <c r="H128" s="243"/>
    </row>
    <row r="129" spans="2:8" x14ac:dyDescent="0.2">
      <c r="B129" s="242"/>
      <c r="C129" s="243"/>
      <c r="D129" s="243"/>
      <c r="E129" s="243"/>
      <c r="F129" s="243"/>
      <c r="G129" s="243"/>
      <c r="H129" s="243"/>
    </row>
    <row r="130" spans="2:8" x14ac:dyDescent="0.2">
      <c r="B130" s="243"/>
      <c r="C130" s="243"/>
      <c r="D130" s="243"/>
      <c r="E130" s="243"/>
      <c r="F130" s="243"/>
      <c r="G130" s="243"/>
      <c r="H130" s="243"/>
    </row>
    <row r="131" spans="2:8" x14ac:dyDescent="0.2">
      <c r="B131" s="243"/>
      <c r="C131" s="243"/>
      <c r="D131" s="243"/>
      <c r="E131" s="243"/>
      <c r="F131" s="243"/>
      <c r="G131" s="243"/>
      <c r="H131" s="243"/>
    </row>
    <row r="132" spans="2:8" x14ac:dyDescent="0.2">
      <c r="B132" s="243"/>
      <c r="C132" s="243"/>
      <c r="D132" s="243"/>
      <c r="E132" s="243"/>
      <c r="F132" s="243"/>
      <c r="G132" s="243"/>
      <c r="H132" s="243"/>
    </row>
    <row r="133" spans="2:8" x14ac:dyDescent="0.2">
      <c r="B133" s="243"/>
      <c r="C133" s="243"/>
      <c r="D133" s="243"/>
      <c r="E133" s="243"/>
      <c r="F133" s="243"/>
      <c r="G133" s="244"/>
      <c r="H133" s="244"/>
    </row>
    <row r="134" spans="2:8" x14ac:dyDescent="0.2">
      <c r="B134" s="243"/>
      <c r="C134" s="243"/>
      <c r="D134" s="243"/>
      <c r="E134" s="243"/>
      <c r="F134" s="243"/>
      <c r="G134" s="243"/>
      <c r="H134" s="243"/>
    </row>
    <row r="135" spans="2:8" x14ac:dyDescent="0.2">
      <c r="B135" s="243"/>
      <c r="C135" s="245"/>
      <c r="D135" s="245"/>
      <c r="E135" s="245"/>
      <c r="F135" s="245"/>
      <c r="G135" s="245"/>
      <c r="H135" s="245"/>
    </row>
    <row r="136" spans="2:8" x14ac:dyDescent="0.2">
      <c r="B136" s="243"/>
      <c r="C136" s="243"/>
      <c r="D136" s="243"/>
      <c r="E136" s="243"/>
      <c r="F136" s="243"/>
      <c r="G136" s="243"/>
      <c r="H136" s="243"/>
    </row>
    <row r="137" spans="2:8" x14ac:dyDescent="0.2">
      <c r="B137" s="242"/>
      <c r="C137" s="242"/>
      <c r="D137" s="242"/>
      <c r="E137" s="242"/>
      <c r="F137" s="242"/>
      <c r="G137" s="242"/>
      <c r="H137" s="242"/>
    </row>
    <row r="138" spans="2:8" x14ac:dyDescent="0.2">
      <c r="B138" s="243"/>
      <c r="C138" s="243"/>
      <c r="D138" s="243"/>
      <c r="E138" s="243"/>
      <c r="F138" s="243"/>
      <c r="G138" s="243"/>
      <c r="H138" s="243"/>
    </row>
    <row r="139" spans="2:8" x14ac:dyDescent="0.2">
      <c r="B139" s="242"/>
      <c r="C139" s="243"/>
      <c r="D139" s="243"/>
      <c r="E139" s="243"/>
      <c r="F139" s="243"/>
      <c r="G139" s="243"/>
      <c r="H139" s="243"/>
    </row>
    <row r="140" spans="2:8" x14ac:dyDescent="0.2">
      <c r="B140" s="243"/>
      <c r="C140" s="243"/>
      <c r="D140" s="243"/>
      <c r="E140" s="243"/>
      <c r="F140" s="243"/>
      <c r="G140" s="243"/>
      <c r="H140" s="243"/>
    </row>
    <row r="141" spans="2:8" x14ac:dyDescent="0.2">
      <c r="B141" s="243"/>
      <c r="C141" s="243"/>
      <c r="D141" s="243"/>
      <c r="E141" s="243"/>
      <c r="F141" s="243"/>
      <c r="G141" s="243"/>
      <c r="H141" s="243"/>
    </row>
    <row r="142" spans="2:8" x14ac:dyDescent="0.2">
      <c r="B142" s="243"/>
      <c r="C142" s="243"/>
      <c r="D142" s="243"/>
      <c r="E142" s="243"/>
      <c r="F142" s="243"/>
      <c r="G142" s="243"/>
      <c r="H142" s="243"/>
    </row>
    <row r="143" spans="2:8" x14ac:dyDescent="0.2">
      <c r="B143" s="243"/>
      <c r="C143" s="243"/>
      <c r="D143" s="243"/>
      <c r="E143" s="243"/>
      <c r="F143" s="243"/>
      <c r="G143" s="243"/>
      <c r="H143" s="243"/>
    </row>
    <row r="144" spans="2:8" x14ac:dyDescent="0.2">
      <c r="B144" s="243"/>
      <c r="C144" s="243"/>
      <c r="D144" s="243"/>
      <c r="E144" s="243"/>
      <c r="F144" s="243"/>
      <c r="G144" s="243"/>
      <c r="H144" s="243"/>
    </row>
    <row r="145" spans="2:8" x14ac:dyDescent="0.2">
      <c r="B145" s="243"/>
      <c r="C145" s="244"/>
      <c r="D145" s="244"/>
      <c r="E145" s="244"/>
      <c r="F145" s="244"/>
      <c r="G145" s="244"/>
      <c r="H145" s="244"/>
    </row>
    <row r="146" spans="2:8" x14ac:dyDescent="0.2">
      <c r="B146" s="243"/>
      <c r="C146" s="243"/>
      <c r="D146" s="243"/>
      <c r="E146" s="243"/>
      <c r="F146" s="243"/>
      <c r="G146" s="243"/>
      <c r="H146" s="243"/>
    </row>
    <row r="147" spans="2:8" x14ac:dyDescent="0.2">
      <c r="B147" s="242"/>
      <c r="C147" s="242"/>
      <c r="D147" s="242"/>
      <c r="E147" s="242"/>
      <c r="F147" s="242"/>
      <c r="G147" s="242"/>
      <c r="H147" s="242"/>
    </row>
    <row r="148" spans="2:8" x14ac:dyDescent="0.2">
      <c r="B148" s="243"/>
      <c r="C148" s="243"/>
      <c r="D148" s="243"/>
      <c r="E148" s="243"/>
      <c r="F148" s="243"/>
      <c r="G148" s="243"/>
      <c r="H148" s="243"/>
    </row>
    <row r="149" spans="2:8" x14ac:dyDescent="0.2">
      <c r="B149" s="242"/>
      <c r="C149" s="242"/>
      <c r="D149" s="242"/>
      <c r="E149" s="242"/>
      <c r="F149" s="242"/>
      <c r="G149" s="242"/>
      <c r="H149" s="242"/>
    </row>
    <row r="150" spans="2:8" x14ac:dyDescent="0.2">
      <c r="B150" s="243"/>
      <c r="C150" s="243"/>
      <c r="D150" s="243"/>
      <c r="E150" s="243"/>
      <c r="F150" s="243"/>
      <c r="G150" s="243"/>
      <c r="H150" s="243"/>
    </row>
    <row r="151" spans="2:8" x14ac:dyDescent="0.2">
      <c r="B151" s="242"/>
      <c r="C151" s="243"/>
      <c r="D151" s="243"/>
      <c r="E151" s="243"/>
      <c r="F151" s="243"/>
      <c r="G151" s="243"/>
      <c r="H151" s="243"/>
    </row>
    <row r="152" spans="2:8" x14ac:dyDescent="0.2">
      <c r="B152" s="242"/>
      <c r="C152" s="243"/>
      <c r="D152" s="243"/>
      <c r="E152" s="243"/>
      <c r="F152" s="243"/>
      <c r="G152" s="243"/>
      <c r="H152" s="243"/>
    </row>
    <row r="153" spans="2:8" x14ac:dyDescent="0.2">
      <c r="B153" s="243"/>
      <c r="C153" s="243"/>
      <c r="D153" s="243"/>
      <c r="E153" s="243"/>
      <c r="F153" s="243"/>
      <c r="G153" s="243"/>
      <c r="H153" s="243"/>
    </row>
    <row r="154" spans="2:8" x14ac:dyDescent="0.2">
      <c r="B154" s="243"/>
      <c r="C154" s="243"/>
      <c r="D154" s="243"/>
      <c r="E154" s="243"/>
      <c r="F154" s="243"/>
      <c r="G154" s="243"/>
      <c r="H154" s="243"/>
    </row>
    <row r="155" spans="2:8" x14ac:dyDescent="0.2">
      <c r="B155" s="243"/>
      <c r="C155" s="243"/>
      <c r="D155" s="243"/>
      <c r="E155" s="243"/>
      <c r="F155" s="243"/>
      <c r="G155" s="243"/>
      <c r="H155" s="243"/>
    </row>
    <row r="156" spans="2:8" x14ac:dyDescent="0.2">
      <c r="B156" s="243"/>
      <c r="C156" s="243"/>
      <c r="D156" s="243"/>
      <c r="E156" s="243"/>
      <c r="F156" s="243"/>
      <c r="G156" s="243"/>
      <c r="H156" s="243"/>
    </row>
    <row r="157" spans="2:8" x14ac:dyDescent="0.2">
      <c r="B157" s="243"/>
      <c r="C157" s="243"/>
      <c r="D157" s="243"/>
      <c r="E157" s="243"/>
      <c r="F157" s="243"/>
      <c r="G157" s="243"/>
      <c r="H157" s="243"/>
    </row>
    <row r="158" spans="2:8" x14ac:dyDescent="0.2">
      <c r="B158" s="243"/>
      <c r="C158" s="243"/>
      <c r="D158" s="243"/>
      <c r="E158" s="243"/>
      <c r="F158" s="243"/>
      <c r="G158" s="243"/>
      <c r="H158" s="243"/>
    </row>
    <row r="159" spans="2:8" x14ac:dyDescent="0.2">
      <c r="B159" s="242"/>
      <c r="C159" s="242"/>
      <c r="D159" s="242"/>
      <c r="E159" s="242"/>
      <c r="F159" s="242"/>
      <c r="G159" s="242"/>
      <c r="H159" s="242"/>
    </row>
    <row r="160" spans="2:8" x14ac:dyDescent="0.2">
      <c r="B160" s="243"/>
      <c r="C160" s="243"/>
      <c r="D160" s="243"/>
      <c r="E160" s="243"/>
      <c r="F160" s="243"/>
      <c r="G160" s="243"/>
      <c r="H160" s="243"/>
    </row>
    <row r="161" spans="2:8" x14ac:dyDescent="0.2">
      <c r="B161" s="242"/>
      <c r="C161" s="243"/>
      <c r="D161" s="243"/>
      <c r="E161" s="243"/>
      <c r="F161" s="243"/>
      <c r="G161" s="243"/>
      <c r="H161" s="243"/>
    </row>
    <row r="162" spans="2:8" x14ac:dyDescent="0.2">
      <c r="B162" s="242"/>
      <c r="C162" s="243"/>
      <c r="D162" s="243"/>
      <c r="E162" s="243"/>
      <c r="F162" s="243"/>
      <c r="G162" s="243"/>
      <c r="H162" s="243"/>
    </row>
    <row r="163" spans="2:8" x14ac:dyDescent="0.2">
      <c r="B163" s="243"/>
      <c r="C163" s="243"/>
      <c r="D163" s="243"/>
      <c r="E163" s="243"/>
      <c r="F163" s="243"/>
      <c r="G163" s="243"/>
      <c r="H163" s="243"/>
    </row>
    <row r="164" spans="2:8" x14ac:dyDescent="0.2">
      <c r="B164" s="243"/>
      <c r="C164" s="243"/>
      <c r="D164" s="243"/>
      <c r="E164" s="243"/>
      <c r="F164" s="243"/>
      <c r="G164" s="243"/>
      <c r="H164" s="243"/>
    </row>
    <row r="165" spans="2:8" x14ac:dyDescent="0.2">
      <c r="B165" s="243"/>
      <c r="C165" s="243"/>
      <c r="D165" s="243"/>
      <c r="E165" s="243"/>
      <c r="F165" s="243"/>
      <c r="G165" s="243"/>
      <c r="H165" s="243"/>
    </row>
    <row r="166" spans="2:8" x14ac:dyDescent="0.2">
      <c r="B166" s="243"/>
      <c r="C166" s="243"/>
      <c r="D166" s="243"/>
      <c r="E166" s="243"/>
      <c r="F166" s="243"/>
      <c r="G166" s="243"/>
      <c r="H166" s="243"/>
    </row>
    <row r="167" spans="2:8" x14ac:dyDescent="0.2">
      <c r="B167" s="243"/>
      <c r="C167" s="243"/>
      <c r="D167" s="243"/>
      <c r="E167" s="243"/>
      <c r="F167" s="243"/>
      <c r="G167" s="243"/>
      <c r="H167" s="244"/>
    </row>
    <row r="168" spans="2:8" x14ac:dyDescent="0.2">
      <c r="B168" s="243"/>
      <c r="C168" s="244"/>
      <c r="D168" s="243"/>
      <c r="E168" s="244"/>
      <c r="F168" s="243"/>
      <c r="G168" s="244"/>
      <c r="H168" s="244"/>
    </row>
    <row r="169" spans="2:8" x14ac:dyDescent="0.2">
      <c r="B169" s="243"/>
      <c r="C169" s="243"/>
      <c r="D169" s="243"/>
      <c r="E169" s="243"/>
      <c r="F169" s="243"/>
      <c r="G169" s="243"/>
      <c r="H169" s="243"/>
    </row>
    <row r="170" spans="2:8" x14ac:dyDescent="0.2">
      <c r="B170" s="242"/>
      <c r="C170" s="242"/>
      <c r="D170" s="242"/>
      <c r="E170" s="242"/>
      <c r="F170" s="242"/>
      <c r="G170" s="242"/>
      <c r="H170" s="242"/>
    </row>
    <row r="171" spans="2:8" x14ac:dyDescent="0.2">
      <c r="B171" s="243"/>
      <c r="C171" s="243"/>
      <c r="D171" s="243"/>
      <c r="E171" s="243"/>
      <c r="F171" s="243"/>
      <c r="G171" s="243"/>
      <c r="H171" s="243"/>
    </row>
    <row r="172" spans="2:8" x14ac:dyDescent="0.2">
      <c r="B172" s="242"/>
      <c r="C172" s="243"/>
      <c r="D172" s="243"/>
      <c r="E172" s="243"/>
      <c r="F172" s="243"/>
      <c r="G172" s="243"/>
      <c r="H172" s="243"/>
    </row>
    <row r="173" spans="2:8" x14ac:dyDescent="0.2">
      <c r="B173" s="243"/>
      <c r="C173" s="243"/>
      <c r="D173" s="243"/>
      <c r="E173" s="243"/>
      <c r="F173" s="243"/>
      <c r="G173" s="243"/>
      <c r="H173" s="243"/>
    </row>
    <row r="174" spans="2:8" x14ac:dyDescent="0.2">
      <c r="B174" s="243"/>
      <c r="C174" s="244"/>
      <c r="D174" s="243"/>
      <c r="E174" s="244"/>
      <c r="F174" s="244"/>
      <c r="G174" s="243"/>
      <c r="H174" s="243"/>
    </row>
    <row r="175" spans="2:8" x14ac:dyDescent="0.2">
      <c r="B175" s="243"/>
      <c r="C175" s="244"/>
      <c r="D175" s="244"/>
      <c r="E175" s="244"/>
      <c r="F175" s="244"/>
      <c r="G175" s="244"/>
      <c r="H175" s="244"/>
    </row>
    <row r="176" spans="2:8" x14ac:dyDescent="0.2">
      <c r="B176" s="243"/>
      <c r="C176" s="243"/>
      <c r="D176" s="243"/>
      <c r="E176" s="243"/>
      <c r="F176" s="243"/>
      <c r="G176" s="243"/>
      <c r="H176" s="243"/>
    </row>
    <row r="177" spans="2:8" x14ac:dyDescent="0.2">
      <c r="B177" s="243"/>
      <c r="C177" s="243"/>
      <c r="D177" s="243"/>
      <c r="E177" s="243"/>
      <c r="F177" s="243"/>
      <c r="G177" s="243"/>
      <c r="H177" s="243"/>
    </row>
    <row r="178" spans="2:8" x14ac:dyDescent="0.2">
      <c r="B178" s="243"/>
      <c r="C178" s="243"/>
      <c r="D178" s="243"/>
      <c r="E178" s="243"/>
      <c r="F178" s="243"/>
      <c r="G178" s="243"/>
      <c r="H178" s="243"/>
    </row>
    <row r="179" spans="2:8" x14ac:dyDescent="0.2">
      <c r="B179" s="243"/>
      <c r="C179" s="244"/>
      <c r="D179" s="244"/>
      <c r="E179" s="243"/>
      <c r="F179" s="244"/>
      <c r="G179" s="244"/>
      <c r="H179" s="244"/>
    </row>
    <row r="180" spans="2:8" x14ac:dyDescent="0.2">
      <c r="B180" s="242"/>
      <c r="C180" s="242"/>
      <c r="D180" s="242"/>
      <c r="E180" s="242"/>
      <c r="F180" s="242"/>
      <c r="G180" s="242"/>
      <c r="H180" s="242"/>
    </row>
    <row r="181" spans="2:8" x14ac:dyDescent="0.2">
      <c r="B181" s="243"/>
      <c r="C181" s="243"/>
      <c r="D181" s="243"/>
      <c r="E181" s="243"/>
      <c r="F181" s="243"/>
      <c r="G181" s="243"/>
      <c r="H181" s="243"/>
    </row>
    <row r="182" spans="2:8" x14ac:dyDescent="0.2">
      <c r="B182" s="242"/>
      <c r="C182" s="242"/>
      <c r="D182" s="242"/>
      <c r="E182" s="242"/>
      <c r="F182" s="242"/>
      <c r="G182" s="242"/>
      <c r="H182" s="242"/>
    </row>
    <row r="183" spans="2:8" x14ac:dyDescent="0.2">
      <c r="B183" s="243"/>
      <c r="C183" s="243"/>
      <c r="D183" s="243"/>
      <c r="E183" s="243"/>
      <c r="F183" s="243"/>
      <c r="G183" s="243"/>
      <c r="H183" s="243"/>
    </row>
    <row r="184" spans="2:8" x14ac:dyDescent="0.2">
      <c r="B184" s="242"/>
      <c r="C184" s="242"/>
      <c r="D184" s="242"/>
      <c r="E184" s="242"/>
      <c r="F184" s="242"/>
      <c r="G184" s="242"/>
      <c r="H184" s="242"/>
    </row>
  </sheetData>
  <dataValidations count="1">
    <dataValidation type="list" allowBlank="1" showInputMessage="1" showErrorMessage="1" sqref="J103:J120 J74:J101" xr:uid="{9CA79582-8878-4F45-BA77-21EBEABF1BF9}">
      <formula1>$B$12:$B$58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AC02-39C0-AC4B-92CD-95AD5BA9D048}">
  <dimension ref="A1:Q83"/>
  <sheetViews>
    <sheetView showGridLines="0" topLeftCell="A11" zoomScale="88" zoomScaleNormal="150" workbookViewId="0">
      <selection activeCell="F43" sqref="F43"/>
    </sheetView>
  </sheetViews>
  <sheetFormatPr baseColWidth="10" defaultRowHeight="16" x14ac:dyDescent="0.2"/>
  <cols>
    <col min="2" max="2" width="73" customWidth="1"/>
    <col min="8" max="17" width="11.5" bestFit="1" customWidth="1"/>
  </cols>
  <sheetData>
    <row r="1" spans="1:17" ht="25" thickBot="1" x14ac:dyDescent="0.35">
      <c r="A1" s="10" t="str">
        <f>_xlfn.CONCAT(Inputs!C7, " - ", "Cash Flow", " - ", "in ", Inputs!C9, " ", Inputs!C10)</f>
        <v>HAG - Cash Flow - in Euro millions</v>
      </c>
      <c r="B1" s="1"/>
      <c r="C1" s="6"/>
      <c r="D1" s="6"/>
      <c r="E1" s="6"/>
      <c r="F1" s="6"/>
      <c r="G1" s="31"/>
      <c r="H1" s="6"/>
      <c r="I1" s="6"/>
      <c r="J1" s="6"/>
      <c r="K1" s="6"/>
      <c r="L1" s="35"/>
      <c r="M1" s="6"/>
      <c r="N1" s="6"/>
      <c r="O1" s="6"/>
      <c r="P1" s="6"/>
      <c r="Q1" s="6"/>
    </row>
    <row r="2" spans="1:17" ht="17" thickTop="1" x14ac:dyDescent="0.2">
      <c r="G2" s="32"/>
      <c r="L2" s="36"/>
    </row>
    <row r="3" spans="1:17" x14ac:dyDescent="0.2">
      <c r="G3" s="32"/>
      <c r="L3" s="36"/>
    </row>
    <row r="4" spans="1:17" x14ac:dyDescent="0.2">
      <c r="B4" t="s">
        <v>9</v>
      </c>
      <c r="D4" s="7"/>
      <c r="E4" s="7"/>
      <c r="F4" s="7"/>
      <c r="G4" s="33">
        <f>EDATE(Inputs!$C$8, G5*12)</f>
        <v>43830</v>
      </c>
      <c r="H4" s="9">
        <f>EDATE(Inputs!$C$8, H5*12)</f>
        <v>44196</v>
      </c>
      <c r="I4" s="9">
        <f>EDATE(Inputs!$C$8, I5*12)</f>
        <v>44561</v>
      </c>
      <c r="J4" s="9">
        <f>EDATE(Inputs!$C$8, J5*12)</f>
        <v>44926</v>
      </c>
      <c r="K4" s="9">
        <f>EDATE(Inputs!$C$8, K5*12)</f>
        <v>45291</v>
      </c>
      <c r="L4" s="37">
        <f>EDATE(Inputs!$C$8, L5*12)</f>
        <v>45657</v>
      </c>
      <c r="M4" s="9">
        <f>EDATE(Inputs!$C$8, M5*12)</f>
        <v>46022</v>
      </c>
      <c r="N4" s="9">
        <f>EDATE(Inputs!$C$8, N5*12)</f>
        <v>46387</v>
      </c>
      <c r="O4" s="9">
        <f>EDATE(Inputs!$C$8, O5*12)</f>
        <v>46752</v>
      </c>
      <c r="P4" s="9">
        <f>EDATE(Inputs!$C$8, P5*12)</f>
        <v>47118</v>
      </c>
      <c r="Q4" s="9">
        <f>EDATE(Inputs!$C$8, Q5*12)</f>
        <v>47483</v>
      </c>
    </row>
    <row r="5" spans="1:17" x14ac:dyDescent="0.2">
      <c r="B5" t="s">
        <v>10</v>
      </c>
      <c r="D5" s="8"/>
      <c r="E5" s="8"/>
      <c r="F5" s="8"/>
      <c r="G5" s="34">
        <v>-5</v>
      </c>
      <c r="H5" s="8">
        <v>-4</v>
      </c>
      <c r="I5" s="8">
        <v>-3</v>
      </c>
      <c r="J5" s="8">
        <v>-2</v>
      </c>
      <c r="K5" s="8">
        <v>-1</v>
      </c>
      <c r="L5" s="38">
        <v>0</v>
      </c>
      <c r="M5" s="8">
        <v>1</v>
      </c>
      <c r="N5" s="8">
        <v>2</v>
      </c>
      <c r="O5" s="8">
        <v>3</v>
      </c>
      <c r="P5" s="8">
        <v>4</v>
      </c>
      <c r="Q5" s="8">
        <v>5</v>
      </c>
    </row>
    <row r="6" spans="1:17" x14ac:dyDescent="0.2">
      <c r="B6" t="s">
        <v>11</v>
      </c>
      <c r="D6" s="8"/>
      <c r="E6" s="8"/>
      <c r="F6" s="8"/>
      <c r="G6" s="34" t="str">
        <f>_xlfn.CONCAT(Inputs!$C$9, " ", Inputs!$C$10)</f>
        <v>Euro millions</v>
      </c>
      <c r="H6" s="8" t="str">
        <f>_xlfn.CONCAT(Inputs!$C$9, " ", Inputs!$C$10)</f>
        <v>Euro millions</v>
      </c>
      <c r="I6" s="8" t="str">
        <f>_xlfn.CONCAT(Inputs!$C$9, " ", Inputs!$C$10)</f>
        <v>Euro millions</v>
      </c>
      <c r="J6" s="8" t="str">
        <f>_xlfn.CONCAT(Inputs!$C$9, " ", Inputs!$C$10)</f>
        <v>Euro millions</v>
      </c>
      <c r="K6" s="8" t="str">
        <f>_xlfn.CONCAT(Inputs!$C$9, " ", Inputs!$C$10)</f>
        <v>Euro millions</v>
      </c>
      <c r="L6" s="38" t="str">
        <f>_xlfn.CONCAT(Inputs!$C$9, " ", Inputs!$C$10)</f>
        <v>Euro millions</v>
      </c>
      <c r="M6" s="8" t="str">
        <f>_xlfn.CONCAT(Inputs!$C$9, " ", Inputs!$C$10)</f>
        <v>Euro millions</v>
      </c>
      <c r="N6" s="8" t="str">
        <f>_xlfn.CONCAT(Inputs!$C$9, " ", Inputs!$C$10)</f>
        <v>Euro millions</v>
      </c>
      <c r="O6" s="8" t="str">
        <f>_xlfn.CONCAT(Inputs!$C$9, " ", Inputs!$C$10)</f>
        <v>Euro millions</v>
      </c>
      <c r="P6" s="8" t="str">
        <f>_xlfn.CONCAT(Inputs!$C$9, " ", Inputs!$C$10)</f>
        <v>Euro millions</v>
      </c>
      <c r="Q6" s="8" t="str">
        <f>_xlfn.CONCAT(Inputs!$C$9, " ", Inputs!$C$10)</f>
        <v>Euro millions</v>
      </c>
    </row>
    <row r="7" spans="1:17" x14ac:dyDescent="0.2">
      <c r="B7" t="s">
        <v>12</v>
      </c>
      <c r="D7" s="8"/>
      <c r="E7" s="8"/>
      <c r="F7" s="8"/>
      <c r="G7" s="34" t="str">
        <f>IF(G5&lt;=0, "Historical", "Forecasted")</f>
        <v>Historical</v>
      </c>
      <c r="H7" s="8" t="str">
        <f>IF(H5&lt;=0, "Historical", "Forecasted")</f>
        <v>Historical</v>
      </c>
      <c r="I7" s="8" t="str">
        <f t="shared" ref="I7:Q7" si="0">IF(I5&lt;=0, "Historical", "Forecasted")</f>
        <v>Historical</v>
      </c>
      <c r="J7" s="8" t="str">
        <f t="shared" si="0"/>
        <v>Historical</v>
      </c>
      <c r="K7" s="8" t="str">
        <f t="shared" si="0"/>
        <v>Historical</v>
      </c>
      <c r="L7" s="38" t="str">
        <f t="shared" si="0"/>
        <v>Historical</v>
      </c>
      <c r="M7" s="8" t="str">
        <f t="shared" si="0"/>
        <v>Forecasted</v>
      </c>
      <c r="N7" s="8" t="str">
        <f t="shared" si="0"/>
        <v>Forecasted</v>
      </c>
      <c r="O7" s="8" t="str">
        <f t="shared" si="0"/>
        <v>Forecasted</v>
      </c>
      <c r="P7" s="8" t="str">
        <f t="shared" si="0"/>
        <v>Forecasted</v>
      </c>
      <c r="Q7" s="8" t="str">
        <f t="shared" si="0"/>
        <v>Forecasted</v>
      </c>
    </row>
    <row r="8" spans="1:17" x14ac:dyDescent="0.2">
      <c r="G8" s="32"/>
      <c r="L8" s="36"/>
    </row>
    <row r="9" spans="1:17" x14ac:dyDescent="0.2">
      <c r="G9" s="32"/>
      <c r="L9" s="36"/>
    </row>
    <row r="10" spans="1:17" ht="25" thickBot="1" x14ac:dyDescent="0.35">
      <c r="B10" s="17" t="s">
        <v>90</v>
      </c>
      <c r="C10" s="2"/>
      <c r="D10" s="2"/>
      <c r="E10" s="2"/>
      <c r="F10" s="36"/>
      <c r="G10" s="32"/>
      <c r="L10" s="230"/>
      <c r="M10" s="231"/>
    </row>
    <row r="11" spans="1:17" x14ac:dyDescent="0.2">
      <c r="B11" s="8"/>
      <c r="F11" s="36"/>
      <c r="L11" s="230"/>
      <c r="M11" s="231"/>
    </row>
    <row r="12" spans="1:17" x14ac:dyDescent="0.2">
      <c r="B12" s="54" t="s">
        <v>157</v>
      </c>
      <c r="F12" s="36"/>
      <c r="L12" s="230"/>
      <c r="M12" s="232">
        <f ca="1">IS!J22</f>
        <v>115.32687382431178</v>
      </c>
      <c r="N12" s="232">
        <f ca="1">IS!K22</f>
        <v>-225.50951971760617</v>
      </c>
      <c r="O12" s="232">
        <f ca="1">IS!L22</f>
        <v>-309.96230829067531</v>
      </c>
      <c r="P12" s="232">
        <f ca="1">IS!M22</f>
        <v>-377.40092882717738</v>
      </c>
      <c r="Q12" s="232">
        <f ca="1">IS!N22</f>
        <v>-463.18134947016074</v>
      </c>
    </row>
    <row r="13" spans="1:17" x14ac:dyDescent="0.2">
      <c r="B13" s="54" t="s">
        <v>158</v>
      </c>
      <c r="F13" s="36"/>
      <c r="L13" s="230"/>
      <c r="M13" s="232">
        <f>'FA-Forecast'!M84</f>
        <v>240.67</v>
      </c>
      <c r="N13" s="232">
        <f>'FA-Forecast'!N84</f>
        <v>539.49279999999987</v>
      </c>
      <c r="O13" s="232">
        <f>'FA-Forecast'!O84</f>
        <v>714.0760479999999</v>
      </c>
      <c r="P13" s="232">
        <f>'FA-Forecast'!P84</f>
        <v>791.73829391999982</v>
      </c>
      <c r="Q13" s="232">
        <f>'FA-Forecast'!Q84</f>
        <v>939.02352681759976</v>
      </c>
    </row>
    <row r="14" spans="1:17" x14ac:dyDescent="0.2">
      <c r="B14" s="54"/>
      <c r="F14" s="36"/>
      <c r="L14" s="230"/>
      <c r="M14" s="231"/>
    </row>
    <row r="15" spans="1:17" x14ac:dyDescent="0.2">
      <c r="B15" s="54" t="s">
        <v>159</v>
      </c>
      <c r="F15" s="36"/>
      <c r="L15" s="230"/>
      <c r="M15" s="232">
        <f>BS!I14-BS!J14</f>
        <v>-38.08</v>
      </c>
      <c r="N15" s="232">
        <f>BS!J14-BS!K14</f>
        <v>13.156080000000017</v>
      </c>
      <c r="O15" s="232">
        <f>BS!K14-BS!L14</f>
        <v>-26.187487199999993</v>
      </c>
      <c r="P15" s="232">
        <f>BS!L14-BS!M14</f>
        <v>-11.649336887999993</v>
      </c>
      <c r="Q15" s="232">
        <f>BS!M14-BS!N14</f>
        <v>-22.09278493463998</v>
      </c>
    </row>
    <row r="16" spans="1:17" x14ac:dyDescent="0.2">
      <c r="B16" s="54" t="s">
        <v>160</v>
      </c>
      <c r="F16" s="36"/>
      <c r="L16" s="230"/>
      <c r="M16" s="232">
        <f>BS!I17-BS!J17</f>
        <v>-190.43999999999983</v>
      </c>
      <c r="N16" s="232">
        <f>BS!J17-BS!K17</f>
        <v>154.15008</v>
      </c>
      <c r="O16" s="232">
        <f>BS!K17-BS!L17</f>
        <v>-208.71274479999988</v>
      </c>
      <c r="P16" s="232">
        <f>BS!L17-BS!M17</f>
        <v>-104.84403199199994</v>
      </c>
      <c r="Q16" s="232">
        <f>BS!M17-BS!N17</f>
        <v>-198.83506441175973</v>
      </c>
    </row>
    <row r="17" spans="2:17" x14ac:dyDescent="0.2">
      <c r="B17" s="54" t="s">
        <v>161</v>
      </c>
      <c r="F17" s="36"/>
      <c r="L17" s="230"/>
      <c r="M17" s="232">
        <f>BS!I18-BS!J18</f>
        <v>-91.136986301369802</v>
      </c>
      <c r="N17" s="232">
        <f>BS!J18-BS!K18</f>
        <v>126.15419178082209</v>
      </c>
      <c r="O17" s="232">
        <f>BS!K18-BS!L18</f>
        <v>-251.11289095890402</v>
      </c>
      <c r="P17" s="232">
        <f>BS!L18-BS!M18</f>
        <v>-111.70597015890417</v>
      </c>
      <c r="Q17" s="232">
        <f>BS!M18-BS!N18</f>
        <v>-211.84862266093114</v>
      </c>
    </row>
    <row r="18" spans="2:17" x14ac:dyDescent="0.2">
      <c r="B18" s="54" t="s">
        <v>162</v>
      </c>
      <c r="F18" s="36"/>
      <c r="L18" s="230"/>
      <c r="M18" s="232">
        <f>BS!I19-BS!J19</f>
        <v>-45.16</v>
      </c>
      <c r="N18" s="232">
        <f>BS!J19-BS!K19</f>
        <v>26.312160000000034</v>
      </c>
      <c r="O18" s="232">
        <f>BS!K19-BS!L19</f>
        <v>-52.374974399999985</v>
      </c>
      <c r="P18" s="232">
        <f>BS!L19-BS!M19</f>
        <v>-23.298673775999987</v>
      </c>
      <c r="Q18" s="232">
        <f>BS!M19-BS!N19</f>
        <v>-44.185569869279959</v>
      </c>
    </row>
    <row r="19" spans="2:17" x14ac:dyDescent="0.2">
      <c r="B19" s="54"/>
      <c r="F19" s="36"/>
      <c r="L19" s="230"/>
      <c r="M19" s="231"/>
    </row>
    <row r="20" spans="2:17" x14ac:dyDescent="0.2">
      <c r="B20" s="54" t="s">
        <v>163</v>
      </c>
      <c r="F20" s="36"/>
      <c r="L20" s="230"/>
      <c r="M20" s="232">
        <f>BS!J30-BS!I30</f>
        <v>151.91999999999985</v>
      </c>
      <c r="N20" s="232">
        <f>BS!K30-BS!J30</f>
        <v>-206.11192000000005</v>
      </c>
      <c r="O20" s="232">
        <f>BS!L30-BS!K30</f>
        <v>410.2706327999997</v>
      </c>
      <c r="P20" s="232">
        <f>BS!M30-BS!L30</f>
        <v>182.50627791200009</v>
      </c>
      <c r="Q20" s="232">
        <f>BS!N30-BS!M30</f>
        <v>346.12029730935956</v>
      </c>
    </row>
    <row r="21" spans="2:17" x14ac:dyDescent="0.2">
      <c r="B21" s="54" t="s">
        <v>164</v>
      </c>
      <c r="F21" s="36"/>
      <c r="L21" s="230"/>
      <c r="M21" s="232">
        <f>BS!J31-BS!I31</f>
        <v>81.705302540415687</v>
      </c>
      <c r="N21" s="232">
        <f>BS!K31-BS!J31</f>
        <v>-58.842758341888043</v>
      </c>
      <c r="O21" s="232">
        <f>BS!L31-BS!K31</f>
        <v>88.857994931368353</v>
      </c>
      <c r="P21" s="232">
        <f>BS!M31-BS!L31</f>
        <v>31.988188776125696</v>
      </c>
      <c r="Q21" s="232">
        <f>BS!N31-BS!M31</f>
        <v>66.727422949888421</v>
      </c>
    </row>
    <row r="22" spans="2:17" x14ac:dyDescent="0.2">
      <c r="B22" s="54" t="s">
        <v>165</v>
      </c>
      <c r="F22" s="36"/>
      <c r="L22" s="230"/>
      <c r="M22" s="232">
        <f>BS!J27-BS!I27</f>
        <v>69.820799999999963</v>
      </c>
      <c r="N22" s="232">
        <f>BS!K27-BS!J27</f>
        <v>-35.214440800000006</v>
      </c>
      <c r="O22" s="232">
        <f>BS!L27-BS!K27</f>
        <v>70.095174071999935</v>
      </c>
      <c r="P22" s="232">
        <f>BS!M27-BS!L27</f>
        <v>31.181391736880016</v>
      </c>
      <c r="Q22" s="232">
        <f>BS!N27-BS!M27</f>
        <v>59.135021008386332</v>
      </c>
    </row>
    <row r="23" spans="2:17" x14ac:dyDescent="0.2">
      <c r="B23" s="55" t="s">
        <v>166</v>
      </c>
      <c r="F23" s="36"/>
      <c r="L23" s="230"/>
      <c r="M23" s="233">
        <f ca="1">SUM(M12:M22)</f>
        <v>294.62599006335768</v>
      </c>
      <c r="N23" s="233">
        <f t="shared" ref="N23:Q23" ca="1" si="1">SUM(N12:N22)</f>
        <v>333.5866729213277</v>
      </c>
      <c r="O23" s="233">
        <f t="shared" ca="1" si="1"/>
        <v>434.9494441537887</v>
      </c>
      <c r="P23" s="233">
        <f t="shared" ca="1" si="1"/>
        <v>408.51521070292415</v>
      </c>
      <c r="Q23" s="233">
        <f t="shared" ca="1" si="1"/>
        <v>470.86287673846249</v>
      </c>
    </row>
    <row r="24" spans="2:17" x14ac:dyDescent="0.2">
      <c r="B24" s="54"/>
      <c r="F24" s="36"/>
      <c r="L24" s="230"/>
      <c r="M24" s="231"/>
    </row>
    <row r="25" spans="2:17" x14ac:dyDescent="0.2">
      <c r="B25" s="54" t="s">
        <v>167</v>
      </c>
      <c r="F25" s="36"/>
      <c r="L25" s="230"/>
      <c r="M25" s="232">
        <f>-1*'FA-Forecast'!M37</f>
        <v>-141.12</v>
      </c>
      <c r="N25" s="232">
        <f>-1*'FA-Forecast'!N37</f>
        <v>-121.38587999999997</v>
      </c>
      <c r="O25" s="232">
        <f>-1*'FA-Forecast'!O37</f>
        <v>-160.66711079999996</v>
      </c>
      <c r="P25" s="232">
        <f>-1*'FA-Forecast'!P37</f>
        <v>-178.14111613199992</v>
      </c>
      <c r="Q25" s="232">
        <f>-1*'FA-Forecast'!Q37</f>
        <v>-211.28029353395991</v>
      </c>
    </row>
    <row r="26" spans="2:17" x14ac:dyDescent="0.2">
      <c r="B26" s="54" t="s">
        <v>168</v>
      </c>
      <c r="F26" s="36"/>
      <c r="L26" s="230"/>
      <c r="M26" s="232">
        <f>-1*'FA-Forecast'!M36</f>
        <v>-172.48000000000002</v>
      </c>
      <c r="N26" s="232">
        <f>-1*'FA-Forecast'!N36</f>
        <v>-148.36051999999998</v>
      </c>
      <c r="O26" s="232">
        <f>-1*'FA-Forecast'!O36</f>
        <v>-196.37091319999999</v>
      </c>
      <c r="P26" s="232">
        <f>-1*'FA-Forecast'!P36</f>
        <v>-217.72803082799996</v>
      </c>
      <c r="Q26" s="232">
        <f>-1*'FA-Forecast'!Q36</f>
        <v>-258.23146987483995</v>
      </c>
    </row>
    <row r="27" spans="2:17" x14ac:dyDescent="0.2">
      <c r="B27" s="55" t="s">
        <v>169</v>
      </c>
      <c r="F27" s="36"/>
      <c r="L27" s="230"/>
      <c r="M27" s="233">
        <f>SUM(M25:M26)</f>
        <v>-313.60000000000002</v>
      </c>
      <c r="N27" s="233">
        <f t="shared" ref="N27:Q27" si="2">SUM(N25:N26)</f>
        <v>-269.74639999999994</v>
      </c>
      <c r="O27" s="233">
        <f t="shared" si="2"/>
        <v>-357.03802399999995</v>
      </c>
      <c r="P27" s="233">
        <f t="shared" si="2"/>
        <v>-395.86914695999985</v>
      </c>
      <c r="Q27" s="233">
        <f t="shared" si="2"/>
        <v>-469.51176340879988</v>
      </c>
    </row>
    <row r="28" spans="2:17" x14ac:dyDescent="0.2">
      <c r="B28" s="54"/>
      <c r="F28" s="36"/>
      <c r="L28" s="230"/>
      <c r="M28" s="231"/>
    </row>
    <row r="29" spans="2:17" x14ac:dyDescent="0.2">
      <c r="B29" s="54" t="s">
        <v>170</v>
      </c>
      <c r="F29" s="36"/>
      <c r="L29" s="230"/>
      <c r="M29" s="232">
        <f>'Debt &amp; Cash'!K13</f>
        <v>-55.000000000000007</v>
      </c>
      <c r="N29" s="232">
        <f>'Debt &amp; Cash'!L13</f>
        <v>-60.500000000000014</v>
      </c>
      <c r="O29" s="232">
        <f>'Debt &amp; Cash'!M13</f>
        <v>-66.550000000000026</v>
      </c>
      <c r="P29" s="232">
        <f>'Debt &amp; Cash'!N13</f>
        <v>-73.205000000000041</v>
      </c>
      <c r="Q29" s="232">
        <f>'Debt &amp; Cash'!O13</f>
        <v>-80.525500000000051</v>
      </c>
    </row>
    <row r="30" spans="2:17" x14ac:dyDescent="0.2">
      <c r="B30" s="54" t="s">
        <v>171</v>
      </c>
      <c r="F30" s="36"/>
      <c r="L30" s="230"/>
      <c r="M30" s="232">
        <f>'Debt &amp; Cash'!K22*-1</f>
        <v>-48.300000000000004</v>
      </c>
      <c r="N30" s="232">
        <f>'Debt &amp; Cash'!L22*-1</f>
        <v>-50.715000000000003</v>
      </c>
      <c r="O30" s="232">
        <f>'Debt &amp; Cash'!M22*-1</f>
        <v>-53.250750000000011</v>
      </c>
      <c r="P30" s="232">
        <f>'Debt &amp; Cash'!N22*-1</f>
        <v>-55.91328750000001</v>
      </c>
      <c r="Q30" s="232">
        <f>'Debt &amp; Cash'!O22*-1</f>
        <v>-58.708951875000018</v>
      </c>
    </row>
    <row r="31" spans="2:17" x14ac:dyDescent="0.2">
      <c r="B31" s="55" t="s">
        <v>172</v>
      </c>
      <c r="F31" s="36"/>
      <c r="G31" s="32"/>
      <c r="L31" s="36"/>
      <c r="M31" s="233">
        <f>SUM(M29:M30)</f>
        <v>-103.30000000000001</v>
      </c>
      <c r="N31" s="233">
        <f t="shared" ref="N31:Q31" si="3">SUM(N29:N30)</f>
        <v>-111.21500000000002</v>
      </c>
      <c r="O31" s="233">
        <f t="shared" si="3"/>
        <v>-119.80075000000004</v>
      </c>
      <c r="P31" s="233">
        <f t="shared" si="3"/>
        <v>-129.11828750000006</v>
      </c>
      <c r="Q31" s="233">
        <f t="shared" si="3"/>
        <v>-139.23445187500008</v>
      </c>
    </row>
    <row r="32" spans="2:17" x14ac:dyDescent="0.2">
      <c r="B32" s="54"/>
      <c r="G32" s="32"/>
      <c r="L32" s="36"/>
    </row>
    <row r="33" spans="2:17" x14ac:dyDescent="0.2">
      <c r="B33" s="56" t="s">
        <v>173</v>
      </c>
      <c r="G33" s="32"/>
      <c r="L33" s="36"/>
      <c r="M33" s="43">
        <f ca="1">SUM(M31,M27,M23)</f>
        <v>-122.27400993664236</v>
      </c>
      <c r="N33" s="43">
        <f t="shared" ref="N33:Q33" ca="1" si="4">SUM(N31,N27,N23)</f>
        <v>-47.374727078672265</v>
      </c>
      <c r="O33" s="43">
        <f t="shared" ca="1" si="4"/>
        <v>-41.889329846211297</v>
      </c>
      <c r="P33" s="43">
        <f t="shared" ca="1" si="4"/>
        <v>-116.47222375707577</v>
      </c>
      <c r="Q33" s="43">
        <f t="shared" ca="1" si="4"/>
        <v>-137.88333854533749</v>
      </c>
    </row>
    <row r="34" spans="2:17" x14ac:dyDescent="0.2">
      <c r="B34" s="8"/>
      <c r="G34" s="32"/>
      <c r="L34" s="36"/>
    </row>
    <row r="35" spans="2:17" x14ac:dyDescent="0.2">
      <c r="B35" s="8"/>
      <c r="G35" s="32"/>
      <c r="L35" s="36"/>
    </row>
    <row r="36" spans="2:17" x14ac:dyDescent="0.2">
      <c r="B36" s="8"/>
      <c r="G36" s="32"/>
      <c r="L36" s="36"/>
    </row>
    <row r="37" spans="2:17" x14ac:dyDescent="0.2">
      <c r="B37" s="8"/>
      <c r="G37" s="32"/>
      <c r="L37" s="36"/>
    </row>
    <row r="38" spans="2:17" x14ac:dyDescent="0.2">
      <c r="G38" s="32"/>
      <c r="L38" s="36"/>
    </row>
    <row r="39" spans="2:17" ht="25" thickBot="1" x14ac:dyDescent="0.35">
      <c r="B39" s="17" t="s">
        <v>89</v>
      </c>
      <c r="C39" s="17"/>
      <c r="D39" s="17"/>
      <c r="E39" s="17"/>
      <c r="G39" s="32"/>
      <c r="L39" s="36"/>
    </row>
    <row r="40" spans="2:17" x14ac:dyDescent="0.2">
      <c r="G40" s="32">
        <v>2019</v>
      </c>
      <c r="H40">
        <v>2020</v>
      </c>
      <c r="I40" s="32">
        <v>2021</v>
      </c>
      <c r="J40">
        <v>2022</v>
      </c>
      <c r="K40" s="32">
        <v>2023</v>
      </c>
      <c r="L40">
        <v>2024</v>
      </c>
    </row>
    <row r="41" spans="2:17" x14ac:dyDescent="0.2">
      <c r="B41" s="14" t="s">
        <v>92</v>
      </c>
      <c r="C41" s="15"/>
      <c r="D41" s="15"/>
      <c r="E41" s="15"/>
      <c r="F41" s="15"/>
      <c r="G41" s="39">
        <v>8.1999999999999993</v>
      </c>
      <c r="H41" s="19">
        <v>-64.5</v>
      </c>
      <c r="I41" s="14">
        <v>63</v>
      </c>
      <c r="J41" s="14">
        <v>80</v>
      </c>
      <c r="K41" s="14">
        <v>58</v>
      </c>
      <c r="L41" s="40">
        <v>106</v>
      </c>
    </row>
    <row r="42" spans="2:17" x14ac:dyDescent="0.2">
      <c r="B42" t="s">
        <v>93</v>
      </c>
      <c r="G42" s="42">
        <v>129.6</v>
      </c>
      <c r="H42" s="16">
        <v>120.8</v>
      </c>
      <c r="I42">
        <v>126</v>
      </c>
      <c r="J42">
        <v>103</v>
      </c>
      <c r="K42">
        <v>117</v>
      </c>
      <c r="L42" s="36">
        <v>162</v>
      </c>
      <c r="M42" t="s">
        <v>158</v>
      </c>
    </row>
    <row r="43" spans="2:17" x14ac:dyDescent="0.2">
      <c r="B43" t="s">
        <v>94</v>
      </c>
      <c r="G43" s="42">
        <v>13.2</v>
      </c>
      <c r="H43" s="16">
        <v>-2.4</v>
      </c>
      <c r="I43">
        <v>3</v>
      </c>
      <c r="J43">
        <v>2</v>
      </c>
      <c r="K43">
        <v>17</v>
      </c>
      <c r="L43" s="36">
        <v>17</v>
      </c>
      <c r="M43" t="s">
        <v>162</v>
      </c>
    </row>
    <row r="44" spans="2:17" x14ac:dyDescent="0.2">
      <c r="B44" t="s">
        <v>95</v>
      </c>
      <c r="G44" s="42">
        <v>0.4</v>
      </c>
      <c r="H44" s="16">
        <v>0</v>
      </c>
      <c r="I44">
        <v>-1</v>
      </c>
      <c r="J44">
        <v>0</v>
      </c>
      <c r="K44">
        <v>-1</v>
      </c>
      <c r="L44" s="36">
        <v>1</v>
      </c>
      <c r="M44" t="s">
        <v>159</v>
      </c>
    </row>
    <row r="45" spans="2:17" x14ac:dyDescent="0.2">
      <c r="B45" t="s">
        <v>96</v>
      </c>
      <c r="G45" s="42">
        <v>1.2</v>
      </c>
      <c r="H45" s="16">
        <v>2.6</v>
      </c>
      <c r="I45">
        <v>2</v>
      </c>
      <c r="J45">
        <v>0</v>
      </c>
      <c r="K45">
        <v>0</v>
      </c>
      <c r="L45" s="36">
        <v>-3</v>
      </c>
      <c r="M45" t="s">
        <v>159</v>
      </c>
    </row>
    <row r="46" spans="2:17" x14ac:dyDescent="0.2">
      <c r="B46" t="s">
        <v>97</v>
      </c>
      <c r="G46" s="42">
        <v>24.6</v>
      </c>
      <c r="H46" s="16">
        <v>128.30000000000001</v>
      </c>
      <c r="I46">
        <v>33</v>
      </c>
      <c r="J46">
        <v>27</v>
      </c>
      <c r="K46">
        <v>41</v>
      </c>
      <c r="L46" s="36">
        <v>56</v>
      </c>
    </row>
    <row r="47" spans="2:17" ht="17" thickBot="1" x14ac:dyDescent="0.25">
      <c r="B47" s="68" t="s">
        <v>98</v>
      </c>
      <c r="C47" s="68"/>
      <c r="D47" s="68"/>
      <c r="E47" s="68"/>
      <c r="F47" s="68"/>
      <c r="G47" s="69">
        <v>-5.4</v>
      </c>
      <c r="H47" s="70">
        <v>-5.0999999999999996</v>
      </c>
      <c r="I47" s="68">
        <v>-4</v>
      </c>
      <c r="J47" s="68">
        <v>1</v>
      </c>
      <c r="K47" s="68">
        <v>14</v>
      </c>
      <c r="L47" s="71">
        <v>-4</v>
      </c>
    </row>
    <row r="48" spans="2:17" ht="17" thickBot="1" x14ac:dyDescent="0.25">
      <c r="B48" s="67" t="s">
        <v>91</v>
      </c>
      <c r="C48" s="68"/>
      <c r="D48" s="68"/>
      <c r="E48" s="68"/>
      <c r="F48" s="68"/>
      <c r="G48" s="69"/>
      <c r="H48" s="70"/>
      <c r="I48" s="68"/>
      <c r="J48" s="68"/>
      <c r="K48" s="68"/>
      <c r="L48" s="71"/>
    </row>
    <row r="49" spans="2:12" x14ac:dyDescent="0.2">
      <c r="B49" t="s">
        <v>99</v>
      </c>
      <c r="G49" s="42">
        <v>-0.4</v>
      </c>
      <c r="H49" s="16">
        <v>46.4</v>
      </c>
      <c r="I49">
        <v>31</v>
      </c>
      <c r="J49">
        <v>-22</v>
      </c>
      <c r="K49">
        <v>45</v>
      </c>
      <c r="L49" s="36">
        <v>-5</v>
      </c>
    </row>
    <row r="50" spans="2:12" x14ac:dyDescent="0.2">
      <c r="B50" t="s">
        <v>100</v>
      </c>
      <c r="G50" s="42">
        <v>-17.8</v>
      </c>
      <c r="H50" s="16">
        <v>5.3</v>
      </c>
      <c r="I50">
        <v>-44</v>
      </c>
      <c r="J50">
        <v>-75</v>
      </c>
      <c r="K50">
        <v>-128</v>
      </c>
      <c r="L50" s="36">
        <v>-103</v>
      </c>
    </row>
    <row r="51" spans="2:12" x14ac:dyDescent="0.2">
      <c r="B51" t="s">
        <v>101</v>
      </c>
      <c r="G51" s="42">
        <v>-89.4</v>
      </c>
      <c r="H51" s="16">
        <v>61.4</v>
      </c>
      <c r="I51">
        <v>111</v>
      </c>
      <c r="J51">
        <v>-25</v>
      </c>
      <c r="K51">
        <v>65</v>
      </c>
      <c r="L51" s="36">
        <v>34</v>
      </c>
    </row>
    <row r="52" spans="2:12" x14ac:dyDescent="0.2">
      <c r="B52" t="s">
        <v>102</v>
      </c>
      <c r="G52" s="42">
        <v>56.4</v>
      </c>
      <c r="H52" s="16">
        <v>5.3</v>
      </c>
      <c r="I52">
        <v>-22</v>
      </c>
      <c r="J52">
        <v>-13</v>
      </c>
      <c r="K52">
        <v>-66</v>
      </c>
      <c r="L52" s="36">
        <v>-11</v>
      </c>
    </row>
    <row r="53" spans="2:12" x14ac:dyDescent="0.2">
      <c r="B53" t="s">
        <v>103</v>
      </c>
      <c r="G53" s="42">
        <v>-13.4</v>
      </c>
      <c r="H53" s="16">
        <v>-8.6</v>
      </c>
      <c r="I53">
        <v>107</v>
      </c>
      <c r="J53">
        <v>110</v>
      </c>
      <c r="K53">
        <v>78</v>
      </c>
      <c r="L53" s="36">
        <v>69</v>
      </c>
    </row>
    <row r="54" spans="2:12" x14ac:dyDescent="0.2">
      <c r="B54" t="s">
        <v>104</v>
      </c>
      <c r="G54" s="42">
        <v>4.5999999999999996</v>
      </c>
      <c r="H54" s="16">
        <v>-17.8</v>
      </c>
      <c r="I54">
        <v>-83</v>
      </c>
      <c r="J54">
        <v>42</v>
      </c>
      <c r="K54">
        <v>52</v>
      </c>
      <c r="L54" s="36">
        <v>44</v>
      </c>
    </row>
    <row r="55" spans="2:12" x14ac:dyDescent="0.2">
      <c r="B55" t="s">
        <v>105</v>
      </c>
      <c r="G55" s="42">
        <v>-45.1</v>
      </c>
      <c r="H55" s="16">
        <f>-(43.6+14.9)</f>
        <v>-58.5</v>
      </c>
      <c r="I55">
        <v>-36</v>
      </c>
      <c r="J55">
        <v>-24</v>
      </c>
      <c r="K55">
        <v>-44</v>
      </c>
      <c r="L55" s="36">
        <v>-66</v>
      </c>
    </row>
    <row r="56" spans="2:12" x14ac:dyDescent="0.2">
      <c r="B56" t="s">
        <v>106</v>
      </c>
      <c r="G56" s="42">
        <v>0</v>
      </c>
      <c r="H56" s="16">
        <v>0</v>
      </c>
      <c r="I56">
        <v>0</v>
      </c>
      <c r="J56">
        <v>0</v>
      </c>
      <c r="K56">
        <v>9</v>
      </c>
      <c r="L56" s="36">
        <v>21</v>
      </c>
    </row>
    <row r="57" spans="2:12" x14ac:dyDescent="0.2">
      <c r="B57" t="s">
        <v>107</v>
      </c>
      <c r="G57" s="42">
        <v>27.4</v>
      </c>
      <c r="H57" s="16">
        <v>-10.7</v>
      </c>
      <c r="I57">
        <v>22</v>
      </c>
      <c r="J57">
        <v>49</v>
      </c>
      <c r="K57">
        <v>36</v>
      </c>
      <c r="L57" s="36">
        <v>12</v>
      </c>
    </row>
    <row r="58" spans="2:12" x14ac:dyDescent="0.2">
      <c r="B58" t="s">
        <v>108</v>
      </c>
      <c r="G58" s="42">
        <v>-10.9</v>
      </c>
      <c r="H58" s="16">
        <v>-5.5</v>
      </c>
      <c r="I58">
        <v>-9</v>
      </c>
      <c r="J58">
        <v>-11</v>
      </c>
      <c r="K58">
        <v>-27</v>
      </c>
      <c r="L58" s="36">
        <v>-18</v>
      </c>
    </row>
    <row r="59" spans="2:12" x14ac:dyDescent="0.2">
      <c r="B59" s="14" t="s">
        <v>109</v>
      </c>
      <c r="C59" s="15"/>
      <c r="D59" s="15"/>
      <c r="E59" s="15"/>
      <c r="F59" s="15"/>
      <c r="G59" s="43">
        <v>83.2</v>
      </c>
      <c r="H59" s="19">
        <v>196.9</v>
      </c>
      <c r="I59" s="14">
        <v>299</v>
      </c>
      <c r="J59" s="14">
        <v>244</v>
      </c>
      <c r="K59" s="14">
        <v>267</v>
      </c>
      <c r="L59" s="40">
        <v>311</v>
      </c>
    </row>
    <row r="60" spans="2:12" x14ac:dyDescent="0.2">
      <c r="B60" t="s">
        <v>110</v>
      </c>
      <c r="G60" s="42">
        <v>-80.5</v>
      </c>
      <c r="H60" s="16">
        <v>-97.4</v>
      </c>
      <c r="I60">
        <v>-102</v>
      </c>
      <c r="J60">
        <v>-95</v>
      </c>
      <c r="K60">
        <v>-115</v>
      </c>
      <c r="L60" s="36">
        <v>-199</v>
      </c>
    </row>
    <row r="61" spans="2:12" x14ac:dyDescent="0.2">
      <c r="B61" t="s">
        <v>111</v>
      </c>
      <c r="G61" s="42">
        <v>0.5</v>
      </c>
      <c r="H61" s="16">
        <v>0.2</v>
      </c>
      <c r="I61">
        <v>3</v>
      </c>
      <c r="J61">
        <v>0</v>
      </c>
      <c r="K61">
        <v>1</v>
      </c>
      <c r="L61" s="36">
        <v>2</v>
      </c>
    </row>
    <row r="62" spans="2:12" x14ac:dyDescent="0.2">
      <c r="B62" t="s">
        <v>112</v>
      </c>
      <c r="G62" s="42">
        <v>-3.9</v>
      </c>
      <c r="H62" s="16">
        <v>-6.6</v>
      </c>
      <c r="I62">
        <v>-7</v>
      </c>
      <c r="J62">
        <v>-5</v>
      </c>
      <c r="K62">
        <v>-9</v>
      </c>
      <c r="L62" s="36">
        <v>-4</v>
      </c>
    </row>
    <row r="63" spans="2:12" x14ac:dyDescent="0.2">
      <c r="B63" t="s">
        <v>113</v>
      </c>
      <c r="G63" s="42">
        <v>2.1</v>
      </c>
      <c r="H63" s="16">
        <v>2.2999999999999998</v>
      </c>
      <c r="I63">
        <v>0</v>
      </c>
      <c r="J63">
        <v>0</v>
      </c>
      <c r="K63">
        <v>1</v>
      </c>
      <c r="L63" s="36">
        <v>0</v>
      </c>
    </row>
    <row r="64" spans="2:12" x14ac:dyDescent="0.2">
      <c r="B64" t="s">
        <v>114</v>
      </c>
      <c r="G64" s="42">
        <v>-83.8</v>
      </c>
      <c r="H64" s="16">
        <v>6.4</v>
      </c>
      <c r="I64">
        <v>-12</v>
      </c>
      <c r="J64">
        <v>-1</v>
      </c>
      <c r="K64">
        <v>-1</v>
      </c>
      <c r="L64" s="36">
        <v>-543</v>
      </c>
    </row>
    <row r="65" spans="2:12" x14ac:dyDescent="0.2">
      <c r="B65" t="s">
        <v>115</v>
      </c>
      <c r="G65" s="42">
        <v>0</v>
      </c>
      <c r="H65" s="16">
        <v>0.1</v>
      </c>
      <c r="I65">
        <v>1</v>
      </c>
      <c r="J65">
        <v>0</v>
      </c>
      <c r="K65">
        <v>0</v>
      </c>
      <c r="L65" s="36">
        <v>0</v>
      </c>
    </row>
    <row r="66" spans="2:12" x14ac:dyDescent="0.2">
      <c r="B66" s="14" t="s">
        <v>116</v>
      </c>
      <c r="C66" s="15"/>
      <c r="D66" s="15"/>
      <c r="E66" s="15"/>
      <c r="F66" s="15"/>
      <c r="G66" s="43">
        <v>-165.6</v>
      </c>
      <c r="H66" s="19">
        <v>-95</v>
      </c>
      <c r="I66" s="14">
        <v>-117</v>
      </c>
      <c r="J66" s="14">
        <v>-101</v>
      </c>
      <c r="K66" s="14">
        <v>-122</v>
      </c>
      <c r="L66" s="40">
        <v>-745</v>
      </c>
    </row>
    <row r="67" spans="2:12" x14ac:dyDescent="0.2">
      <c r="B67" t="s">
        <v>118</v>
      </c>
      <c r="G67" s="42">
        <v>2.4</v>
      </c>
      <c r="H67" s="16">
        <v>950</v>
      </c>
      <c r="I67">
        <v>-210</v>
      </c>
      <c r="J67">
        <v>-150</v>
      </c>
      <c r="K67">
        <v>0</v>
      </c>
      <c r="L67" s="36">
        <v>450</v>
      </c>
    </row>
    <row r="68" spans="2:12" x14ac:dyDescent="0.2">
      <c r="B68" t="s">
        <v>119</v>
      </c>
      <c r="G68" s="42">
        <v>0</v>
      </c>
      <c r="H68" s="16">
        <v>-920</v>
      </c>
      <c r="I68">
        <v>30</v>
      </c>
      <c r="J68">
        <v>0</v>
      </c>
      <c r="K68">
        <v>0</v>
      </c>
      <c r="L68" s="36">
        <v>-2</v>
      </c>
    </row>
    <row r="69" spans="2:12" x14ac:dyDescent="0.2">
      <c r="B69" t="s">
        <v>120</v>
      </c>
      <c r="G69" s="42">
        <v>0</v>
      </c>
      <c r="H69" s="16">
        <v>97.1</v>
      </c>
      <c r="I69">
        <v>-84</v>
      </c>
      <c r="J69">
        <v>-19</v>
      </c>
      <c r="K69">
        <v>10</v>
      </c>
      <c r="L69" s="36">
        <v>-6</v>
      </c>
    </row>
    <row r="70" spans="2:12" x14ac:dyDescent="0.2">
      <c r="B70" t="s">
        <v>121</v>
      </c>
      <c r="G70" s="42">
        <v>-11.3</v>
      </c>
      <c r="H70" s="16">
        <v>-14.3</v>
      </c>
      <c r="I70">
        <v>-16</v>
      </c>
      <c r="J70">
        <v>-19</v>
      </c>
      <c r="K70">
        <v>-19</v>
      </c>
      <c r="L70" s="36">
        <v>-27</v>
      </c>
    </row>
    <row r="71" spans="2:12" x14ac:dyDescent="0.2">
      <c r="B71" t="s">
        <v>122</v>
      </c>
      <c r="G71" s="42">
        <v>0</v>
      </c>
      <c r="H71" s="16">
        <v>0</v>
      </c>
      <c r="I71">
        <v>-14</v>
      </c>
      <c r="J71">
        <v>-26</v>
      </c>
      <c r="K71">
        <v>-32</v>
      </c>
      <c r="L71" s="36">
        <v>-46</v>
      </c>
    </row>
    <row r="72" spans="2:12" x14ac:dyDescent="0.2">
      <c r="B72" t="s">
        <v>123</v>
      </c>
      <c r="G72" s="42">
        <v>-0.2</v>
      </c>
      <c r="H72" s="16">
        <v>0</v>
      </c>
      <c r="I72">
        <v>0</v>
      </c>
      <c r="J72">
        <v>0</v>
      </c>
      <c r="K72">
        <v>0</v>
      </c>
      <c r="L72" s="36">
        <v>0</v>
      </c>
    </row>
    <row r="73" spans="2:12" x14ac:dyDescent="0.2">
      <c r="B73" t="s">
        <v>124</v>
      </c>
      <c r="G73" s="42">
        <v>0</v>
      </c>
      <c r="H73" s="16">
        <v>300</v>
      </c>
      <c r="I73">
        <v>-3</v>
      </c>
      <c r="J73">
        <v>0</v>
      </c>
      <c r="K73">
        <v>241</v>
      </c>
      <c r="L73" s="36">
        <v>0</v>
      </c>
    </row>
    <row r="74" spans="2:12" x14ac:dyDescent="0.2">
      <c r="B74" t="s">
        <v>125</v>
      </c>
      <c r="G74" s="42">
        <v>0</v>
      </c>
      <c r="H74" s="16">
        <v>-1.6</v>
      </c>
      <c r="I74">
        <v>0</v>
      </c>
      <c r="J74">
        <v>0</v>
      </c>
      <c r="K74">
        <v>-3</v>
      </c>
      <c r="L74" s="36">
        <v>-1</v>
      </c>
    </row>
    <row r="75" spans="2:12" x14ac:dyDescent="0.2">
      <c r="B75" s="14" t="s">
        <v>126</v>
      </c>
      <c r="C75" s="15"/>
      <c r="D75" s="15"/>
      <c r="E75" s="15"/>
      <c r="F75" s="15"/>
      <c r="G75" s="43">
        <v>-9.1</v>
      </c>
      <c r="H75" s="19">
        <v>411</v>
      </c>
      <c r="I75" s="14">
        <v>-297</v>
      </c>
      <c r="J75" s="14">
        <v>-214</v>
      </c>
      <c r="K75" s="14">
        <v>197</v>
      </c>
      <c r="L75" s="40">
        <v>367</v>
      </c>
    </row>
    <row r="76" spans="2:12" x14ac:dyDescent="0.2">
      <c r="B76" t="s">
        <v>127</v>
      </c>
      <c r="G76" s="42">
        <v>1.4</v>
      </c>
      <c r="H76" s="16">
        <v>-2.2999999999999998</v>
      </c>
      <c r="I76">
        <v>-1</v>
      </c>
      <c r="J76">
        <v>2</v>
      </c>
      <c r="K76">
        <v>0</v>
      </c>
      <c r="L76" s="36">
        <v>-3</v>
      </c>
    </row>
    <row r="77" spans="2:12" x14ac:dyDescent="0.2">
      <c r="B77" s="14" t="s">
        <v>128</v>
      </c>
      <c r="C77" s="15"/>
      <c r="D77" s="15"/>
      <c r="E77" s="15"/>
      <c r="F77" s="15"/>
      <c r="G77" s="43">
        <v>-90.2</v>
      </c>
      <c r="H77" s="19">
        <v>508.1</v>
      </c>
      <c r="I77" s="14">
        <v>-116</v>
      </c>
      <c r="J77" s="14">
        <v>-69</v>
      </c>
      <c r="K77" s="14">
        <v>342</v>
      </c>
      <c r="L77" s="40">
        <v>-69</v>
      </c>
    </row>
    <row r="78" spans="2:12" x14ac:dyDescent="0.2">
      <c r="B78" t="s">
        <v>117</v>
      </c>
      <c r="G78" s="42"/>
      <c r="H78" s="16"/>
      <c r="L78" s="36"/>
    </row>
    <row r="79" spans="2:12" x14ac:dyDescent="0.2">
      <c r="B79" t="s">
        <v>129</v>
      </c>
      <c r="G79" s="44">
        <v>227.5</v>
      </c>
      <c r="H79" s="20">
        <v>137.4</v>
      </c>
      <c r="I79" s="13">
        <v>645</v>
      </c>
      <c r="J79" s="13">
        <v>529</v>
      </c>
      <c r="K79" s="13">
        <v>460</v>
      </c>
      <c r="L79" s="41">
        <v>802</v>
      </c>
    </row>
    <row r="80" spans="2:12" x14ac:dyDescent="0.2">
      <c r="B80" t="s">
        <v>130</v>
      </c>
      <c r="G80" s="44">
        <v>137.4</v>
      </c>
      <c r="H80" s="20">
        <v>645.5</v>
      </c>
      <c r="I80" s="13">
        <v>529</v>
      </c>
      <c r="J80" s="13">
        <v>460</v>
      </c>
      <c r="K80" s="13">
        <v>802</v>
      </c>
      <c r="L80" s="41">
        <v>733</v>
      </c>
    </row>
    <row r="82" spans="2:12" x14ac:dyDescent="0.2">
      <c r="B82" t="s">
        <v>411</v>
      </c>
      <c r="G82" s="91"/>
      <c r="H82" s="91"/>
      <c r="I82" s="91"/>
      <c r="J82" s="91"/>
      <c r="K82" s="91"/>
      <c r="L82" s="91"/>
    </row>
    <row r="83" spans="2:12" x14ac:dyDescent="0.2">
      <c r="B83" t="s">
        <v>412</v>
      </c>
    </row>
  </sheetData>
  <dataValidations count="1">
    <dataValidation type="list" allowBlank="1" showInputMessage="1" showErrorMessage="1" sqref="M42:M77" xr:uid="{27A0C252-738B-F44A-A583-A0BFA4E11DBC}">
      <formula1>$B$13:$B$33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3472-84E8-2842-ACFE-74F4E9D0C90F}">
  <dimension ref="A1:Q94"/>
  <sheetViews>
    <sheetView showGridLines="0" topLeftCell="A3" zoomScale="81" zoomScaleNormal="150" workbookViewId="0">
      <selection activeCell="K42" sqref="K42"/>
    </sheetView>
  </sheetViews>
  <sheetFormatPr baseColWidth="10" defaultRowHeight="16" x14ac:dyDescent="0.2"/>
  <cols>
    <col min="2" max="2" width="73" customWidth="1"/>
    <col min="8" max="17" width="11.5" bestFit="1" customWidth="1"/>
  </cols>
  <sheetData>
    <row r="1" spans="1:17" ht="25" thickBot="1" x14ac:dyDescent="0.35">
      <c r="A1" s="10" t="str">
        <f>_xlfn.CONCAT(Inputs!C7, " - ", "Cash Flow", " - ", "in ", Inputs!C9, " ", Inputs!C10)</f>
        <v>HAG - Cash Flow - in Euro millions</v>
      </c>
      <c r="B1" s="1"/>
      <c r="C1" s="6"/>
      <c r="D1" s="6"/>
      <c r="E1" s="6"/>
      <c r="F1" s="6"/>
      <c r="G1" s="31"/>
      <c r="H1" s="6"/>
      <c r="I1" s="6"/>
      <c r="J1" s="6"/>
      <c r="K1" s="6"/>
      <c r="L1" s="35"/>
      <c r="M1" s="6"/>
      <c r="N1" s="6"/>
      <c r="O1" s="6"/>
      <c r="P1" s="6"/>
      <c r="Q1" s="6"/>
    </row>
    <row r="2" spans="1:17" ht="17" thickTop="1" x14ac:dyDescent="0.2">
      <c r="G2" s="32"/>
      <c r="L2" s="36"/>
    </row>
    <row r="3" spans="1:17" x14ac:dyDescent="0.2">
      <c r="G3" s="32"/>
      <c r="L3" s="36"/>
    </row>
    <row r="4" spans="1:17" x14ac:dyDescent="0.2">
      <c r="B4" t="s">
        <v>9</v>
      </c>
      <c r="D4" s="7"/>
      <c r="E4" s="7"/>
      <c r="F4" s="7"/>
      <c r="G4" s="33">
        <f>EDATE(Inputs!$C$8, G5*12)</f>
        <v>43830</v>
      </c>
      <c r="H4" s="9">
        <f>EDATE(Inputs!$C$8, H5*12)</f>
        <v>44196</v>
      </c>
      <c r="I4" s="9">
        <f>EDATE(Inputs!$C$8, I5*12)</f>
        <v>44561</v>
      </c>
      <c r="J4" s="9">
        <f>EDATE(Inputs!$C$8, J5*12)</f>
        <v>44926</v>
      </c>
      <c r="K4" s="9">
        <f>EDATE(Inputs!$C$8, K5*12)</f>
        <v>45291</v>
      </c>
      <c r="L4" s="37">
        <f>EDATE(Inputs!$C$8, L5*12)</f>
        <v>45657</v>
      </c>
      <c r="M4" s="9">
        <f>EDATE(Inputs!$C$8, M5*12)</f>
        <v>46022</v>
      </c>
      <c r="N4" s="9">
        <f>EDATE(Inputs!$C$8, N5*12)</f>
        <v>46387</v>
      </c>
      <c r="O4" s="9">
        <f>EDATE(Inputs!$C$8, O5*12)</f>
        <v>46752</v>
      </c>
      <c r="P4" s="9">
        <f>EDATE(Inputs!$C$8, P5*12)</f>
        <v>47118</v>
      </c>
      <c r="Q4" s="9">
        <f>EDATE(Inputs!$C$8, Q5*12)</f>
        <v>47483</v>
      </c>
    </row>
    <row r="5" spans="1:17" x14ac:dyDescent="0.2">
      <c r="B5" t="s">
        <v>10</v>
      </c>
      <c r="D5" s="8"/>
      <c r="E5" s="8"/>
      <c r="F5" s="8"/>
      <c r="G5" s="34">
        <v>-5</v>
      </c>
      <c r="H5" s="8">
        <v>-4</v>
      </c>
      <c r="I5" s="8">
        <v>-3</v>
      </c>
      <c r="J5" s="8">
        <v>-2</v>
      </c>
      <c r="K5" s="8">
        <v>-1</v>
      </c>
      <c r="L5" s="38">
        <v>0</v>
      </c>
      <c r="M5" s="8">
        <v>1</v>
      </c>
      <c r="N5" s="8">
        <v>2</v>
      </c>
      <c r="O5" s="8">
        <v>3</v>
      </c>
      <c r="P5" s="8">
        <v>4</v>
      </c>
      <c r="Q5" s="8">
        <v>5</v>
      </c>
    </row>
    <row r="6" spans="1:17" x14ac:dyDescent="0.2">
      <c r="B6" t="s">
        <v>11</v>
      </c>
      <c r="D6" s="8"/>
      <c r="E6" s="8"/>
      <c r="F6" s="8"/>
      <c r="G6" s="34" t="str">
        <f>_xlfn.CONCAT(Inputs!$C$9, " ", Inputs!$C$10)</f>
        <v>Euro millions</v>
      </c>
      <c r="H6" s="8" t="str">
        <f>_xlfn.CONCAT(Inputs!$C$9, " ", Inputs!$C$10)</f>
        <v>Euro millions</v>
      </c>
      <c r="I6" s="8" t="str">
        <f>_xlfn.CONCAT(Inputs!$C$9, " ", Inputs!$C$10)</f>
        <v>Euro millions</v>
      </c>
      <c r="J6" s="8" t="str">
        <f>_xlfn.CONCAT(Inputs!$C$9, " ", Inputs!$C$10)</f>
        <v>Euro millions</v>
      </c>
      <c r="K6" s="8" t="str">
        <f>_xlfn.CONCAT(Inputs!$C$9, " ", Inputs!$C$10)</f>
        <v>Euro millions</v>
      </c>
      <c r="L6" s="38" t="str">
        <f>_xlfn.CONCAT(Inputs!$C$9, " ", Inputs!$C$10)</f>
        <v>Euro millions</v>
      </c>
      <c r="M6" s="8" t="str">
        <f>_xlfn.CONCAT(Inputs!$C$9, " ", Inputs!$C$10)</f>
        <v>Euro millions</v>
      </c>
      <c r="N6" s="8" t="str">
        <f>_xlfn.CONCAT(Inputs!$C$9, " ", Inputs!$C$10)</f>
        <v>Euro millions</v>
      </c>
      <c r="O6" s="8" t="str">
        <f>_xlfn.CONCAT(Inputs!$C$9, " ", Inputs!$C$10)</f>
        <v>Euro millions</v>
      </c>
      <c r="P6" s="8" t="str">
        <f>_xlfn.CONCAT(Inputs!$C$9, " ", Inputs!$C$10)</f>
        <v>Euro millions</v>
      </c>
      <c r="Q6" s="8" t="str">
        <f>_xlfn.CONCAT(Inputs!$C$9, " ", Inputs!$C$10)</f>
        <v>Euro millions</v>
      </c>
    </row>
    <row r="7" spans="1:17" x14ac:dyDescent="0.2">
      <c r="B7" t="s">
        <v>12</v>
      </c>
      <c r="D7" s="8"/>
      <c r="E7" s="8"/>
      <c r="F7" s="8"/>
      <c r="G7" s="34" t="str">
        <f>IF(G5&lt;=0, "Historical", "Forecasted")</f>
        <v>Historical</v>
      </c>
      <c r="H7" s="8" t="str">
        <f>IF(H5&lt;=0, "Historical", "Forecasted")</f>
        <v>Historical</v>
      </c>
      <c r="I7" s="8" t="str">
        <f t="shared" ref="I7:Q7" si="0">IF(I5&lt;=0, "Historical", "Forecasted")</f>
        <v>Historical</v>
      </c>
      <c r="J7" s="8" t="str">
        <f t="shared" si="0"/>
        <v>Historical</v>
      </c>
      <c r="K7" s="8" t="str">
        <f t="shared" si="0"/>
        <v>Historical</v>
      </c>
      <c r="L7" s="274" t="str">
        <f t="shared" si="0"/>
        <v>Historical</v>
      </c>
      <c r="M7" s="8" t="str">
        <f t="shared" si="0"/>
        <v>Forecasted</v>
      </c>
      <c r="N7" s="8" t="str">
        <f t="shared" si="0"/>
        <v>Forecasted</v>
      </c>
      <c r="O7" s="8" t="str">
        <f t="shared" si="0"/>
        <v>Forecasted</v>
      </c>
      <c r="P7" s="8" t="str">
        <f t="shared" si="0"/>
        <v>Forecasted</v>
      </c>
      <c r="Q7" s="8" t="str">
        <f t="shared" si="0"/>
        <v>Forecasted</v>
      </c>
    </row>
    <row r="8" spans="1:17" x14ac:dyDescent="0.2">
      <c r="G8" s="32"/>
      <c r="L8" s="275"/>
    </row>
    <row r="9" spans="1:17" x14ac:dyDescent="0.2">
      <c r="G9" s="32"/>
      <c r="L9" s="275"/>
    </row>
    <row r="10" spans="1:17" ht="25" thickBot="1" x14ac:dyDescent="0.35">
      <c r="B10" s="17" t="s">
        <v>90</v>
      </c>
      <c r="C10" s="2"/>
      <c r="D10" s="2"/>
      <c r="E10" s="2"/>
      <c r="F10" s="36"/>
      <c r="G10" s="32"/>
      <c r="L10" s="275"/>
      <c r="M10" s="231"/>
    </row>
    <row r="11" spans="1:17" x14ac:dyDescent="0.2">
      <c r="B11" s="8"/>
      <c r="F11" s="36"/>
      <c r="L11" s="275"/>
      <c r="M11" s="231"/>
    </row>
    <row r="12" spans="1:17" x14ac:dyDescent="0.2">
      <c r="G12" s="32"/>
      <c r="L12" s="275"/>
    </row>
    <row r="13" spans="1:17" x14ac:dyDescent="0.2">
      <c r="B13" s="246"/>
      <c r="C13" s="246"/>
      <c r="G13" s="32"/>
      <c r="L13" s="275"/>
    </row>
    <row r="14" spans="1:17" x14ac:dyDescent="0.2">
      <c r="B14" s="248" t="s">
        <v>551</v>
      </c>
      <c r="C14" s="22"/>
      <c r="D14" s="22"/>
      <c r="E14" s="22"/>
      <c r="F14" s="22"/>
      <c r="G14" s="110"/>
      <c r="H14" s="22"/>
      <c r="I14" s="22"/>
      <c r="J14" s="22"/>
      <c r="K14" s="22"/>
      <c r="L14" s="276"/>
      <c r="M14" s="22"/>
      <c r="N14" s="22"/>
      <c r="O14" s="22"/>
      <c r="P14" s="22"/>
      <c r="Q14" s="22"/>
    </row>
    <row r="15" spans="1:17" x14ac:dyDescent="0.2">
      <c r="B15" s="247" t="s">
        <v>552</v>
      </c>
      <c r="G15" s="32">
        <f>G52</f>
        <v>8.1999999999999993</v>
      </c>
      <c r="H15" s="32">
        <f t="shared" ref="H15:L15" si="1">H52</f>
        <v>-64.5</v>
      </c>
      <c r="I15" s="32">
        <f t="shared" si="1"/>
        <v>63</v>
      </c>
      <c r="J15" s="32">
        <f t="shared" si="1"/>
        <v>80</v>
      </c>
      <c r="K15" s="32">
        <f t="shared" si="1"/>
        <v>58</v>
      </c>
      <c r="L15" s="32">
        <f t="shared" si="1"/>
        <v>106</v>
      </c>
    </row>
    <row r="16" spans="1:17" x14ac:dyDescent="0.2">
      <c r="B16" s="247" t="s">
        <v>553</v>
      </c>
      <c r="G16" s="32">
        <f>SUMIF($M$53:$M$90, $B$16, G53:G90)</f>
        <v>163.59999999999997</v>
      </c>
      <c r="H16" s="32">
        <f t="shared" ref="H16:L16" si="2">SUMIF($M$53:$M$90, $B$16, H53:H90)</f>
        <v>244.20000000000002</v>
      </c>
      <c r="I16" s="32">
        <f t="shared" si="2"/>
        <v>159</v>
      </c>
      <c r="J16" s="32">
        <f t="shared" si="2"/>
        <v>133</v>
      </c>
      <c r="K16" s="32">
        <f t="shared" si="2"/>
        <v>188</v>
      </c>
      <c r="L16" s="32">
        <f t="shared" si="2"/>
        <v>229</v>
      </c>
    </row>
    <row r="17" spans="2:17" x14ac:dyDescent="0.2">
      <c r="B17" s="247" t="s">
        <v>554</v>
      </c>
      <c r="G17" s="32">
        <f>SUMIF($M$53:$M$90, $B$17, G53:G90)</f>
        <v>-60.000000000000007</v>
      </c>
      <c r="H17" s="32">
        <f t="shared" ref="H17:L17" si="3">SUMIF($M$53:$M$90, $B$17, H53:H90)</f>
        <v>92</v>
      </c>
      <c r="I17" s="32">
        <f t="shared" si="3"/>
        <v>100</v>
      </c>
      <c r="J17" s="32">
        <f t="shared" si="3"/>
        <v>17</v>
      </c>
      <c r="K17" s="32">
        <f t="shared" si="3"/>
        <v>46</v>
      </c>
      <c r="L17" s="32">
        <f t="shared" si="3"/>
        <v>28</v>
      </c>
    </row>
    <row r="18" spans="2:17" x14ac:dyDescent="0.2">
      <c r="B18" s="247" t="s">
        <v>555</v>
      </c>
      <c r="G18" s="32">
        <f>SUMIF($M$53:$M$90, $B$18, G53:G90)</f>
        <v>-45.1</v>
      </c>
      <c r="H18" s="32">
        <f t="shared" ref="H18:L18" si="4">SUMIF($M$53:$M$90, $B$18, H53:H90)</f>
        <v>-58.5</v>
      </c>
      <c r="I18" s="32">
        <f t="shared" si="4"/>
        <v>-36</v>
      </c>
      <c r="J18" s="32">
        <f t="shared" si="4"/>
        <v>-24</v>
      </c>
      <c r="K18" s="32">
        <f t="shared" si="4"/>
        <v>-35</v>
      </c>
      <c r="L18" s="32">
        <f t="shared" si="4"/>
        <v>-45</v>
      </c>
    </row>
    <row r="19" spans="2:17" x14ac:dyDescent="0.2">
      <c r="B19" s="247" t="s">
        <v>556</v>
      </c>
      <c r="G19" s="32">
        <f>SUMIF($M$53:$M$90, $B$19, G53:G90)</f>
        <v>16.5</v>
      </c>
      <c r="H19" s="32">
        <f t="shared" ref="H19:L19" si="5">SUMIF($M$53:$M$90, $B$19, H53:H90)</f>
        <v>-16.2</v>
      </c>
      <c r="I19" s="32">
        <f t="shared" si="5"/>
        <v>13</v>
      </c>
      <c r="J19" s="32">
        <f t="shared" si="5"/>
        <v>38</v>
      </c>
      <c r="K19" s="32">
        <f t="shared" si="5"/>
        <v>9</v>
      </c>
      <c r="L19" s="32">
        <f t="shared" si="5"/>
        <v>-6</v>
      </c>
    </row>
    <row r="20" spans="2:17" ht="17" thickBot="1" x14ac:dyDescent="0.25">
      <c r="B20" s="256" t="s">
        <v>557</v>
      </c>
      <c r="C20" s="26"/>
      <c r="D20" s="26"/>
      <c r="E20" s="26"/>
      <c r="F20" s="26"/>
      <c r="G20" s="186">
        <f>SUM(G15:G19)</f>
        <v>83.19999999999996</v>
      </c>
      <c r="H20" s="186">
        <f t="shared" ref="H20:L20" si="6">SUM(H15:H19)</f>
        <v>197.00000000000006</v>
      </c>
      <c r="I20" s="186">
        <f t="shared" si="6"/>
        <v>299</v>
      </c>
      <c r="J20" s="186">
        <f t="shared" si="6"/>
        <v>244</v>
      </c>
      <c r="K20" s="186">
        <f t="shared" si="6"/>
        <v>266</v>
      </c>
      <c r="L20" s="186">
        <f t="shared" si="6"/>
        <v>312</v>
      </c>
      <c r="M20" s="26"/>
      <c r="N20" s="26"/>
      <c r="O20" s="26"/>
      <c r="P20" s="26"/>
      <c r="Q20" s="26"/>
    </row>
    <row r="21" spans="2:17" x14ac:dyDescent="0.2">
      <c r="B21" s="246"/>
      <c r="G21" s="32"/>
      <c r="L21" s="275"/>
    </row>
    <row r="22" spans="2:17" x14ac:dyDescent="0.2">
      <c r="B22" s="248" t="s">
        <v>558</v>
      </c>
      <c r="C22" s="22"/>
      <c r="D22" s="22"/>
      <c r="E22" s="22"/>
      <c r="F22" s="22"/>
      <c r="G22" s="110"/>
      <c r="H22" s="22"/>
      <c r="I22" s="22"/>
      <c r="J22" s="22"/>
      <c r="K22" s="22"/>
      <c r="L22" s="276"/>
      <c r="M22" s="22"/>
      <c r="N22" s="22"/>
      <c r="O22" s="22"/>
      <c r="P22" s="22"/>
      <c r="Q22" s="22"/>
    </row>
    <row r="23" spans="2:17" x14ac:dyDescent="0.2">
      <c r="B23" s="247" t="s">
        <v>559</v>
      </c>
      <c r="G23" s="32">
        <f>SUMIF($M$53:$M$90, $B$23, G53:G90)</f>
        <v>-80</v>
      </c>
      <c r="H23" s="32">
        <f t="shared" ref="H23:L23" si="7">SUMIF($M$53:$M$90, $B$23, H53:H90)</f>
        <v>-97.2</v>
      </c>
      <c r="I23" s="32">
        <f t="shared" si="7"/>
        <v>-99</v>
      </c>
      <c r="J23" s="32">
        <f t="shared" si="7"/>
        <v>-95</v>
      </c>
      <c r="K23" s="32">
        <f t="shared" si="7"/>
        <v>-114</v>
      </c>
      <c r="L23" s="32">
        <f t="shared" si="7"/>
        <v>-197</v>
      </c>
    </row>
    <row r="24" spans="2:17" x14ac:dyDescent="0.2">
      <c r="B24" s="247" t="s">
        <v>560</v>
      </c>
      <c r="G24" s="32">
        <f>SUMIF($M$53:$M$90, $B$24, G53:G90)</f>
        <v>-85.6</v>
      </c>
      <c r="H24" s="32">
        <f t="shared" ref="H24:L24" si="8">SUMIF($M$53:$M$90, $B$24, H53:H90)</f>
        <v>2.1000000000000005</v>
      </c>
      <c r="I24" s="32">
        <f t="shared" si="8"/>
        <v>-19</v>
      </c>
      <c r="J24" s="32">
        <f t="shared" si="8"/>
        <v>-6</v>
      </c>
      <c r="K24" s="32">
        <f t="shared" si="8"/>
        <v>-9</v>
      </c>
      <c r="L24" s="32">
        <f t="shared" si="8"/>
        <v>-547</v>
      </c>
    </row>
    <row r="25" spans="2:17" x14ac:dyDescent="0.2">
      <c r="B25" s="247" t="s">
        <v>561</v>
      </c>
      <c r="G25" s="32">
        <f>SUMIF($M$53:$M$90, $B$25, G53:G90)</f>
        <v>0</v>
      </c>
      <c r="H25" s="32">
        <f t="shared" ref="H25:L25" si="9">SUMIF($M$53:$M$90, $B$25, H53:H90)</f>
        <v>0.1</v>
      </c>
      <c r="I25" s="32">
        <f t="shared" si="9"/>
        <v>1</v>
      </c>
      <c r="J25" s="32">
        <f t="shared" si="9"/>
        <v>0</v>
      </c>
      <c r="K25" s="32">
        <f t="shared" si="9"/>
        <v>0</v>
      </c>
      <c r="L25" s="32">
        <f t="shared" si="9"/>
        <v>0</v>
      </c>
    </row>
    <row r="26" spans="2:17" ht="17" thickBot="1" x14ac:dyDescent="0.25">
      <c r="B26" s="256" t="s">
        <v>562</v>
      </c>
      <c r="C26" s="26"/>
      <c r="D26" s="26"/>
      <c r="E26" s="26"/>
      <c r="F26" s="26"/>
      <c r="G26" s="186">
        <f>SUM(G23:G25)</f>
        <v>-165.6</v>
      </c>
      <c r="H26" s="186">
        <f t="shared" ref="H26:L26" si="10">SUM(H23:H25)</f>
        <v>-95.000000000000014</v>
      </c>
      <c r="I26" s="186">
        <f t="shared" si="10"/>
        <v>-117</v>
      </c>
      <c r="J26" s="186">
        <f t="shared" si="10"/>
        <v>-101</v>
      </c>
      <c r="K26" s="186">
        <f t="shared" si="10"/>
        <v>-123</v>
      </c>
      <c r="L26" s="186">
        <f t="shared" si="10"/>
        <v>-744</v>
      </c>
      <c r="M26" s="26"/>
      <c r="N26" s="26"/>
      <c r="O26" s="26"/>
      <c r="P26" s="26"/>
      <c r="Q26" s="26"/>
    </row>
    <row r="27" spans="2:17" x14ac:dyDescent="0.2">
      <c r="B27" s="246"/>
      <c r="G27" s="32"/>
      <c r="L27" s="275"/>
    </row>
    <row r="28" spans="2:17" x14ac:dyDescent="0.2">
      <c r="B28" s="248" t="s">
        <v>563</v>
      </c>
      <c r="C28" s="22"/>
      <c r="D28" s="22"/>
      <c r="E28" s="22"/>
      <c r="F28" s="22"/>
      <c r="G28" s="110"/>
      <c r="H28" s="22"/>
      <c r="I28" s="22"/>
      <c r="J28" s="22"/>
      <c r="K28" s="22"/>
      <c r="L28" s="276"/>
      <c r="M28" s="22"/>
      <c r="N28" s="22"/>
      <c r="O28" s="22"/>
      <c r="P28" s="22"/>
      <c r="Q28" s="22"/>
    </row>
    <row r="29" spans="2:17" x14ac:dyDescent="0.2">
      <c r="B29" s="247" t="s">
        <v>564</v>
      </c>
      <c r="G29" s="32">
        <f>SUMIF($M$53:$M$90, $B$29, G53:G90)</f>
        <v>2.4</v>
      </c>
      <c r="H29" s="32">
        <f t="shared" ref="H29:L29" si="11">SUMIF($M$53:$M$90, $B$29, H53:H90)</f>
        <v>127.1</v>
      </c>
      <c r="I29" s="32">
        <f t="shared" si="11"/>
        <v>-264</v>
      </c>
      <c r="J29" s="32">
        <f t="shared" si="11"/>
        <v>-169</v>
      </c>
      <c r="K29" s="32">
        <f t="shared" si="11"/>
        <v>10</v>
      </c>
      <c r="L29" s="32">
        <f t="shared" si="11"/>
        <v>442</v>
      </c>
    </row>
    <row r="30" spans="2:17" x14ac:dyDescent="0.2">
      <c r="B30" s="247" t="s">
        <v>565</v>
      </c>
      <c r="G30" s="32">
        <f>SUMIF($M$53:$M$90, $B$30, G53:G90)</f>
        <v>0</v>
      </c>
      <c r="H30" s="32">
        <f t="shared" ref="H30:L30" si="12">SUMIF($M$53:$M$90, $B$30, H53:H90)</f>
        <v>298.39999999999998</v>
      </c>
      <c r="I30" s="32">
        <f t="shared" si="12"/>
        <v>-3</v>
      </c>
      <c r="J30" s="32">
        <f t="shared" si="12"/>
        <v>0</v>
      </c>
      <c r="K30" s="32">
        <f t="shared" si="12"/>
        <v>238</v>
      </c>
      <c r="L30" s="32">
        <f t="shared" si="12"/>
        <v>-1</v>
      </c>
    </row>
    <row r="31" spans="2:17" x14ac:dyDescent="0.2">
      <c r="B31" s="247" t="s">
        <v>566</v>
      </c>
      <c r="G31" s="32">
        <f>SUMIF($M$53:$M$90, $B$31, G53:G90)</f>
        <v>-11.3</v>
      </c>
      <c r="H31" s="32">
        <f t="shared" ref="H31:L31" si="13">SUMIF($M$53:$M$90, $B$31, H53:H90)</f>
        <v>-14.3</v>
      </c>
      <c r="I31" s="32">
        <f t="shared" si="13"/>
        <v>-16</v>
      </c>
      <c r="J31" s="32">
        <f t="shared" si="13"/>
        <v>-19</v>
      </c>
      <c r="K31" s="32">
        <f t="shared" si="13"/>
        <v>-19</v>
      </c>
      <c r="L31" s="32">
        <f t="shared" si="13"/>
        <v>-27</v>
      </c>
    </row>
    <row r="32" spans="2:17" x14ac:dyDescent="0.2">
      <c r="B32" s="247" t="s">
        <v>567</v>
      </c>
      <c r="G32" s="32">
        <f>SUMIF($M$53:$M$90, $B$32, G53:G90)</f>
        <v>-0.2</v>
      </c>
      <c r="H32" s="32">
        <f t="shared" ref="H32:L32" si="14">SUMIF($M$53:$M$90, $B$32, H53:H90)</f>
        <v>0</v>
      </c>
      <c r="I32" s="32">
        <f t="shared" si="14"/>
        <v>-14</v>
      </c>
      <c r="J32" s="32">
        <f t="shared" si="14"/>
        <v>-26</v>
      </c>
      <c r="K32" s="32">
        <f t="shared" si="14"/>
        <v>-32</v>
      </c>
      <c r="L32" s="32">
        <f t="shared" si="14"/>
        <v>-46</v>
      </c>
    </row>
    <row r="33" spans="2:17" x14ac:dyDescent="0.2">
      <c r="B33" s="247" t="s">
        <v>568</v>
      </c>
      <c r="G33" s="32">
        <f>SUMIF($M$53:$M$90, $B$33, G53:G90)</f>
        <v>0</v>
      </c>
      <c r="H33" s="32">
        <f t="shared" ref="H33:L33" si="15">SUMIF($M$53:$M$90, $B$33, H53:H90)</f>
        <v>0</v>
      </c>
      <c r="I33" s="32">
        <f t="shared" si="15"/>
        <v>0</v>
      </c>
      <c r="J33" s="32">
        <f t="shared" si="15"/>
        <v>0</v>
      </c>
      <c r="K33" s="32">
        <f t="shared" si="15"/>
        <v>0</v>
      </c>
      <c r="L33" s="32">
        <f t="shared" si="15"/>
        <v>0</v>
      </c>
    </row>
    <row r="34" spans="2:17" ht="17" thickBot="1" x14ac:dyDescent="0.25">
      <c r="B34" s="256" t="s">
        <v>569</v>
      </c>
      <c r="C34" s="26"/>
      <c r="D34" s="26"/>
      <c r="E34" s="26"/>
      <c r="F34" s="26"/>
      <c r="G34" s="186">
        <f>SUM(G29:G33)</f>
        <v>-9.1</v>
      </c>
      <c r="H34" s="186">
        <f t="shared" ref="H34:L34" si="16">SUM(H29:H33)</f>
        <v>411.2</v>
      </c>
      <c r="I34" s="186">
        <f t="shared" si="16"/>
        <v>-297</v>
      </c>
      <c r="J34" s="186">
        <f t="shared" si="16"/>
        <v>-214</v>
      </c>
      <c r="K34" s="186">
        <f t="shared" si="16"/>
        <v>197</v>
      </c>
      <c r="L34" s="186">
        <f t="shared" si="16"/>
        <v>368</v>
      </c>
      <c r="M34" s="26"/>
      <c r="N34" s="26"/>
      <c r="O34" s="26"/>
      <c r="P34" s="26"/>
      <c r="Q34" s="26"/>
    </row>
    <row r="35" spans="2:17" x14ac:dyDescent="0.2">
      <c r="B35" s="246"/>
      <c r="G35" s="32"/>
      <c r="L35" s="275"/>
    </row>
    <row r="36" spans="2:17" x14ac:dyDescent="0.2">
      <c r="B36" s="248" t="s">
        <v>570</v>
      </c>
      <c r="C36" s="22"/>
      <c r="D36" s="22"/>
      <c r="E36" s="22"/>
      <c r="F36" s="22"/>
      <c r="G36" s="110"/>
      <c r="H36" s="22"/>
      <c r="I36" s="22"/>
      <c r="J36" s="22"/>
      <c r="K36" s="22"/>
      <c r="L36" s="276"/>
      <c r="M36" s="22"/>
      <c r="N36" s="22"/>
      <c r="O36" s="22"/>
      <c r="P36" s="22"/>
      <c r="Q36" s="22"/>
    </row>
    <row r="37" spans="2:17" x14ac:dyDescent="0.2">
      <c r="B37" s="247" t="s">
        <v>571</v>
      </c>
      <c r="G37" s="32">
        <f>SUMIF($M$53:$M$90, $B$37,G53:G90)</f>
        <v>1.4</v>
      </c>
      <c r="H37" s="32">
        <f t="shared" ref="H37:L37" si="17">SUMIF($M$53:$M$90, $B$37,H53:H90)</f>
        <v>-2.2999999999999998</v>
      </c>
      <c r="I37" s="32">
        <f t="shared" si="17"/>
        <v>-1</v>
      </c>
      <c r="J37" s="32">
        <f t="shared" si="17"/>
        <v>2</v>
      </c>
      <c r="K37" s="32">
        <f t="shared" si="17"/>
        <v>0</v>
      </c>
      <c r="L37" s="32">
        <f t="shared" si="17"/>
        <v>-3</v>
      </c>
    </row>
    <row r="38" spans="2:17" ht="17" thickBot="1" x14ac:dyDescent="0.25">
      <c r="B38" s="251" t="s">
        <v>572</v>
      </c>
      <c r="C38" s="253"/>
      <c r="D38" s="253"/>
      <c r="E38" s="253"/>
      <c r="F38" s="253"/>
      <c r="G38" s="262">
        <f>SUM(G34,G26,G20,G37)</f>
        <v>-90.100000000000023</v>
      </c>
      <c r="H38" s="262">
        <f t="shared" ref="H38:L38" si="18">SUM(H34,H26,H20,H37)</f>
        <v>510.90000000000003</v>
      </c>
      <c r="I38" s="262">
        <f t="shared" si="18"/>
        <v>-116</v>
      </c>
      <c r="J38" s="262">
        <f t="shared" si="18"/>
        <v>-69</v>
      </c>
      <c r="K38" s="262">
        <f t="shared" si="18"/>
        <v>340</v>
      </c>
      <c r="L38" s="262">
        <f t="shared" si="18"/>
        <v>-67</v>
      </c>
      <c r="M38" s="253"/>
      <c r="N38" s="253"/>
      <c r="O38" s="253"/>
      <c r="P38" s="253"/>
      <c r="Q38" s="253"/>
    </row>
    <row r="39" spans="2:17" ht="17" thickTop="1" x14ac:dyDescent="0.2">
      <c r="B39" s="246"/>
      <c r="G39" s="32"/>
      <c r="L39" s="275"/>
    </row>
    <row r="40" spans="2:17" x14ac:dyDescent="0.2">
      <c r="B40" s="246" t="s">
        <v>573</v>
      </c>
      <c r="G40" s="32"/>
      <c r="L40" s="275"/>
    </row>
    <row r="41" spans="2:17" x14ac:dyDescent="0.2">
      <c r="B41" s="246"/>
      <c r="G41" s="32"/>
      <c r="L41" s="275"/>
    </row>
    <row r="42" spans="2:17" x14ac:dyDescent="0.2">
      <c r="B42" s="247" t="s">
        <v>574</v>
      </c>
      <c r="G42" s="32"/>
      <c r="L42" s="275"/>
    </row>
    <row r="43" spans="2:17" x14ac:dyDescent="0.2">
      <c r="B43" s="247" t="s">
        <v>575</v>
      </c>
      <c r="G43" s="32"/>
      <c r="L43" s="275"/>
    </row>
    <row r="44" spans="2:17" x14ac:dyDescent="0.2">
      <c r="G44" s="32"/>
      <c r="L44" s="275"/>
    </row>
    <row r="45" spans="2:17" x14ac:dyDescent="0.2">
      <c r="B45" s="8"/>
      <c r="G45" s="32"/>
      <c r="L45" s="36"/>
    </row>
    <row r="46" spans="2:17" x14ac:dyDescent="0.2">
      <c r="B46" s="8"/>
      <c r="G46" s="32"/>
      <c r="L46" s="36"/>
    </row>
    <row r="47" spans="2:17" x14ac:dyDescent="0.2">
      <c r="B47" s="8"/>
      <c r="G47" s="32"/>
      <c r="L47" s="36"/>
    </row>
    <row r="48" spans="2:17" x14ac:dyDescent="0.2">
      <c r="B48" s="8"/>
      <c r="G48" s="32"/>
      <c r="L48" s="36"/>
    </row>
    <row r="49" spans="2:13" x14ac:dyDescent="0.2">
      <c r="G49" s="32"/>
      <c r="L49" s="36"/>
    </row>
    <row r="50" spans="2:13" ht="25" thickBot="1" x14ac:dyDescent="0.35">
      <c r="B50" s="17" t="s">
        <v>89</v>
      </c>
      <c r="C50" s="17"/>
      <c r="D50" s="17"/>
      <c r="E50" s="17"/>
      <c r="G50" s="32"/>
      <c r="L50" s="36"/>
    </row>
    <row r="51" spans="2:13" x14ac:dyDescent="0.2">
      <c r="G51" s="32">
        <v>2019</v>
      </c>
      <c r="H51">
        <v>2020</v>
      </c>
      <c r="I51" s="32">
        <v>2021</v>
      </c>
      <c r="J51">
        <v>2022</v>
      </c>
      <c r="K51" s="32">
        <v>2023</v>
      </c>
      <c r="L51">
        <v>2024</v>
      </c>
    </row>
    <row r="52" spans="2:13" x14ac:dyDescent="0.2">
      <c r="B52" s="14" t="s">
        <v>92</v>
      </c>
      <c r="C52" s="15"/>
      <c r="D52" s="15"/>
      <c r="E52" s="15"/>
      <c r="F52" s="15"/>
      <c r="G52" s="39">
        <v>8.1999999999999993</v>
      </c>
      <c r="H52" s="19">
        <v>-64.5</v>
      </c>
      <c r="I52" s="14">
        <v>63</v>
      </c>
      <c r="J52" s="14">
        <v>80</v>
      </c>
      <c r="K52" s="14">
        <v>58</v>
      </c>
      <c r="L52" s="40">
        <v>106</v>
      </c>
    </row>
    <row r="53" spans="2:13" x14ac:dyDescent="0.2">
      <c r="B53" t="s">
        <v>93</v>
      </c>
      <c r="G53" s="42">
        <v>129.6</v>
      </c>
      <c r="H53" s="16">
        <v>120.8</v>
      </c>
      <c r="I53">
        <v>126</v>
      </c>
      <c r="J53">
        <v>103</v>
      </c>
      <c r="K53">
        <v>117</v>
      </c>
      <c r="L53" s="36">
        <v>162</v>
      </c>
      <c r="M53" t="s">
        <v>553</v>
      </c>
    </row>
    <row r="54" spans="2:13" x14ac:dyDescent="0.2">
      <c r="B54" t="s">
        <v>94</v>
      </c>
      <c r="G54" s="42">
        <v>13.2</v>
      </c>
      <c r="H54" s="16">
        <v>-2.4</v>
      </c>
      <c r="I54">
        <v>3</v>
      </c>
      <c r="J54">
        <v>2</v>
      </c>
      <c r="K54">
        <v>17</v>
      </c>
      <c r="L54" s="36">
        <v>17</v>
      </c>
      <c r="M54" t="s">
        <v>553</v>
      </c>
    </row>
    <row r="55" spans="2:13" x14ac:dyDescent="0.2">
      <c r="B55" t="s">
        <v>95</v>
      </c>
      <c r="G55" s="42">
        <v>0.4</v>
      </c>
      <c r="H55" s="16">
        <v>0</v>
      </c>
      <c r="I55">
        <v>-1</v>
      </c>
      <c r="J55">
        <v>0</v>
      </c>
      <c r="K55">
        <v>-1</v>
      </c>
      <c r="L55" s="36">
        <v>1</v>
      </c>
      <c r="M55" t="s">
        <v>553</v>
      </c>
    </row>
    <row r="56" spans="2:13" x14ac:dyDescent="0.2">
      <c r="B56" t="s">
        <v>96</v>
      </c>
      <c r="G56" s="42">
        <v>1.2</v>
      </c>
      <c r="H56" s="16">
        <v>2.6</v>
      </c>
      <c r="I56">
        <v>2</v>
      </c>
      <c r="J56">
        <v>0</v>
      </c>
      <c r="K56">
        <v>0</v>
      </c>
      <c r="L56" s="36">
        <v>-3</v>
      </c>
      <c r="M56" t="s">
        <v>553</v>
      </c>
    </row>
    <row r="57" spans="2:13" x14ac:dyDescent="0.2">
      <c r="B57" t="s">
        <v>97</v>
      </c>
      <c r="G57" s="42">
        <v>24.6</v>
      </c>
      <c r="H57" s="16">
        <v>128.30000000000001</v>
      </c>
      <c r="I57">
        <v>33</v>
      </c>
      <c r="J57">
        <v>27</v>
      </c>
      <c r="K57">
        <v>41</v>
      </c>
      <c r="L57" s="36">
        <v>56</v>
      </c>
      <c r="M57" t="s">
        <v>553</v>
      </c>
    </row>
    <row r="58" spans="2:13" ht="17" thickBot="1" x14ac:dyDescent="0.25">
      <c r="B58" s="68" t="s">
        <v>98</v>
      </c>
      <c r="C58" s="68"/>
      <c r="D58" s="68"/>
      <c r="E58" s="68"/>
      <c r="F58" s="68"/>
      <c r="G58" s="69">
        <v>-5.4</v>
      </c>
      <c r="H58" s="70">
        <v>-5.0999999999999996</v>
      </c>
      <c r="I58" s="68">
        <v>-4</v>
      </c>
      <c r="J58" s="68">
        <v>1</v>
      </c>
      <c r="K58" s="68">
        <v>14</v>
      </c>
      <c r="L58" s="71">
        <v>-4</v>
      </c>
      <c r="M58" t="s">
        <v>553</v>
      </c>
    </row>
    <row r="59" spans="2:13" ht="17" thickBot="1" x14ac:dyDescent="0.25">
      <c r="B59" s="67" t="s">
        <v>91</v>
      </c>
      <c r="C59" s="68"/>
      <c r="D59" s="68"/>
      <c r="E59" s="68"/>
      <c r="F59" s="68"/>
      <c r="G59" s="69"/>
      <c r="H59" s="70"/>
      <c r="I59" s="68"/>
      <c r="J59" s="68"/>
      <c r="K59" s="68"/>
      <c r="L59" s="71"/>
    </row>
    <row r="60" spans="2:13" x14ac:dyDescent="0.2">
      <c r="B60" t="s">
        <v>99</v>
      </c>
      <c r="G60" s="42">
        <v>-0.4</v>
      </c>
      <c r="H60" s="16">
        <v>46.4</v>
      </c>
      <c r="I60">
        <v>31</v>
      </c>
      <c r="J60">
        <v>-22</v>
      </c>
      <c r="K60">
        <v>45</v>
      </c>
      <c r="L60" s="36">
        <v>-5</v>
      </c>
      <c r="M60" t="s">
        <v>554</v>
      </c>
    </row>
    <row r="61" spans="2:13" x14ac:dyDescent="0.2">
      <c r="B61" t="s">
        <v>100</v>
      </c>
      <c r="G61" s="42">
        <v>-17.8</v>
      </c>
      <c r="H61" s="16">
        <v>5.3</v>
      </c>
      <c r="I61">
        <v>-44</v>
      </c>
      <c r="J61">
        <v>-75</v>
      </c>
      <c r="K61">
        <v>-128</v>
      </c>
      <c r="L61" s="36">
        <v>-103</v>
      </c>
      <c r="M61" t="s">
        <v>554</v>
      </c>
    </row>
    <row r="62" spans="2:13" x14ac:dyDescent="0.2">
      <c r="B62" t="s">
        <v>101</v>
      </c>
      <c r="G62" s="42">
        <v>-89.4</v>
      </c>
      <c r="H62" s="16">
        <v>61.4</v>
      </c>
      <c r="I62">
        <v>111</v>
      </c>
      <c r="J62">
        <v>-25</v>
      </c>
      <c r="K62">
        <v>65</v>
      </c>
      <c r="L62" s="36">
        <v>34</v>
      </c>
      <c r="M62" t="s">
        <v>554</v>
      </c>
    </row>
    <row r="63" spans="2:13" x14ac:dyDescent="0.2">
      <c r="B63" t="s">
        <v>102</v>
      </c>
      <c r="G63" s="42">
        <v>56.4</v>
      </c>
      <c r="H63" s="16">
        <v>5.3</v>
      </c>
      <c r="I63">
        <v>-22</v>
      </c>
      <c r="J63">
        <v>-13</v>
      </c>
      <c r="K63">
        <v>-66</v>
      </c>
      <c r="L63" s="36">
        <v>-11</v>
      </c>
      <c r="M63" t="s">
        <v>554</v>
      </c>
    </row>
    <row r="64" spans="2:13" x14ac:dyDescent="0.2">
      <c r="B64" t="s">
        <v>103</v>
      </c>
      <c r="G64" s="42">
        <v>-13.4</v>
      </c>
      <c r="H64" s="16">
        <v>-8.6</v>
      </c>
      <c r="I64">
        <v>107</v>
      </c>
      <c r="J64">
        <v>110</v>
      </c>
      <c r="K64">
        <v>78</v>
      </c>
      <c r="L64" s="36">
        <v>69</v>
      </c>
      <c r="M64" t="s">
        <v>554</v>
      </c>
    </row>
    <row r="65" spans="2:13" x14ac:dyDescent="0.2">
      <c r="B65" t="s">
        <v>104</v>
      </c>
      <c r="G65" s="42">
        <v>4.5999999999999996</v>
      </c>
      <c r="H65" s="16">
        <v>-17.8</v>
      </c>
      <c r="I65">
        <v>-83</v>
      </c>
      <c r="J65">
        <v>42</v>
      </c>
      <c r="K65">
        <v>52</v>
      </c>
      <c r="L65" s="36">
        <v>44</v>
      </c>
      <c r="M65" t="s">
        <v>554</v>
      </c>
    </row>
    <row r="66" spans="2:13" x14ac:dyDescent="0.2">
      <c r="B66" t="s">
        <v>105</v>
      </c>
      <c r="G66" s="42">
        <v>-45.1</v>
      </c>
      <c r="H66" s="16">
        <f>-(43.6+14.9)</f>
        <v>-58.5</v>
      </c>
      <c r="I66">
        <v>-36</v>
      </c>
      <c r="J66">
        <v>-24</v>
      </c>
      <c r="K66">
        <v>-44</v>
      </c>
      <c r="L66" s="36">
        <v>-66</v>
      </c>
      <c r="M66" t="s">
        <v>555</v>
      </c>
    </row>
    <row r="67" spans="2:13" x14ac:dyDescent="0.2">
      <c r="B67" t="s">
        <v>106</v>
      </c>
      <c r="G67" s="42">
        <v>0</v>
      </c>
      <c r="H67" s="16">
        <v>0</v>
      </c>
      <c r="I67">
        <v>0</v>
      </c>
      <c r="J67">
        <v>0</v>
      </c>
      <c r="K67">
        <v>9</v>
      </c>
      <c r="L67" s="36">
        <v>21</v>
      </c>
      <c r="M67" t="s">
        <v>555</v>
      </c>
    </row>
    <row r="68" spans="2:13" x14ac:dyDescent="0.2">
      <c r="B68" t="s">
        <v>107</v>
      </c>
      <c r="G68" s="42">
        <v>27.4</v>
      </c>
      <c r="H68" s="16">
        <v>-10.7</v>
      </c>
      <c r="I68">
        <v>22</v>
      </c>
      <c r="J68">
        <v>49</v>
      </c>
      <c r="K68">
        <v>36</v>
      </c>
      <c r="L68" s="36">
        <v>12</v>
      </c>
      <c r="M68" t="s">
        <v>556</v>
      </c>
    </row>
    <row r="69" spans="2:13" x14ac:dyDescent="0.2">
      <c r="B69" t="s">
        <v>108</v>
      </c>
      <c r="G69" s="42">
        <v>-10.9</v>
      </c>
      <c r="H69" s="16">
        <v>-5.5</v>
      </c>
      <c r="I69">
        <v>-9</v>
      </c>
      <c r="J69">
        <v>-11</v>
      </c>
      <c r="K69">
        <v>-27</v>
      </c>
      <c r="L69" s="36">
        <v>-18</v>
      </c>
      <c r="M69" t="s">
        <v>556</v>
      </c>
    </row>
    <row r="70" spans="2:13" x14ac:dyDescent="0.2">
      <c r="B70" s="14" t="s">
        <v>109</v>
      </c>
      <c r="C70" s="15"/>
      <c r="D70" s="15"/>
      <c r="E70" s="15"/>
      <c r="F70" s="15"/>
      <c r="G70" s="43">
        <v>83.2</v>
      </c>
      <c r="H70" s="19">
        <v>196.9</v>
      </c>
      <c r="I70" s="14">
        <v>299</v>
      </c>
      <c r="J70" s="14">
        <v>244</v>
      </c>
      <c r="K70" s="14">
        <v>267</v>
      </c>
      <c r="L70" s="40">
        <v>311</v>
      </c>
      <c r="M70" t="s">
        <v>557</v>
      </c>
    </row>
    <row r="71" spans="2:13" x14ac:dyDescent="0.2">
      <c r="B71" t="s">
        <v>110</v>
      </c>
      <c r="G71" s="42">
        <v>-80.5</v>
      </c>
      <c r="H71" s="16">
        <v>-97.4</v>
      </c>
      <c r="I71">
        <v>-102</v>
      </c>
      <c r="J71">
        <v>-95</v>
      </c>
      <c r="K71">
        <v>-115</v>
      </c>
      <c r="L71" s="36">
        <v>-199</v>
      </c>
      <c r="M71" t="s">
        <v>559</v>
      </c>
    </row>
    <row r="72" spans="2:13" x14ac:dyDescent="0.2">
      <c r="B72" t="s">
        <v>111</v>
      </c>
      <c r="G72" s="42">
        <v>0.5</v>
      </c>
      <c r="H72" s="16">
        <v>0.2</v>
      </c>
      <c r="I72">
        <v>3</v>
      </c>
      <c r="J72">
        <v>0</v>
      </c>
      <c r="K72">
        <v>1</v>
      </c>
      <c r="L72" s="36">
        <v>2</v>
      </c>
      <c r="M72" t="s">
        <v>559</v>
      </c>
    </row>
    <row r="73" spans="2:13" x14ac:dyDescent="0.2">
      <c r="B73" t="s">
        <v>112</v>
      </c>
      <c r="G73" s="42">
        <v>-3.9</v>
      </c>
      <c r="H73" s="16">
        <v>-6.6</v>
      </c>
      <c r="I73">
        <v>-7</v>
      </c>
      <c r="J73">
        <v>-5</v>
      </c>
      <c r="K73">
        <v>-9</v>
      </c>
      <c r="L73" s="36">
        <v>-4</v>
      </c>
      <c r="M73" t="s">
        <v>560</v>
      </c>
    </row>
    <row r="74" spans="2:13" x14ac:dyDescent="0.2">
      <c r="B74" t="s">
        <v>113</v>
      </c>
      <c r="G74" s="42">
        <v>2.1</v>
      </c>
      <c r="H74" s="16">
        <v>2.2999999999999998</v>
      </c>
      <c r="I74">
        <v>0</v>
      </c>
      <c r="J74">
        <v>0</v>
      </c>
      <c r="K74">
        <v>1</v>
      </c>
      <c r="L74" s="36">
        <v>0</v>
      </c>
      <c r="M74" t="s">
        <v>560</v>
      </c>
    </row>
    <row r="75" spans="2:13" x14ac:dyDescent="0.2">
      <c r="B75" t="s">
        <v>114</v>
      </c>
      <c r="G75" s="42">
        <v>-83.8</v>
      </c>
      <c r="H75" s="16">
        <v>6.4</v>
      </c>
      <c r="I75">
        <v>-12</v>
      </c>
      <c r="J75">
        <v>-1</v>
      </c>
      <c r="K75">
        <v>-1</v>
      </c>
      <c r="L75" s="36">
        <v>-543</v>
      </c>
      <c r="M75" t="s">
        <v>560</v>
      </c>
    </row>
    <row r="76" spans="2:13" x14ac:dyDescent="0.2">
      <c r="B76" t="s">
        <v>115</v>
      </c>
      <c r="G76" s="42">
        <v>0</v>
      </c>
      <c r="H76" s="16">
        <v>0.1</v>
      </c>
      <c r="I76">
        <v>1</v>
      </c>
      <c r="J76">
        <v>0</v>
      </c>
      <c r="K76">
        <v>0</v>
      </c>
      <c r="L76" s="36">
        <v>0</v>
      </c>
      <c r="M76" t="s">
        <v>561</v>
      </c>
    </row>
    <row r="77" spans="2:13" x14ac:dyDescent="0.2">
      <c r="B77" s="14" t="s">
        <v>116</v>
      </c>
      <c r="C77" s="15"/>
      <c r="D77" s="15"/>
      <c r="E77" s="15"/>
      <c r="F77" s="15"/>
      <c r="G77" s="43">
        <v>-165.6</v>
      </c>
      <c r="H77" s="19">
        <v>-95</v>
      </c>
      <c r="I77" s="14">
        <v>-117</v>
      </c>
      <c r="J77" s="14">
        <v>-101</v>
      </c>
      <c r="K77" s="14">
        <v>-122</v>
      </c>
      <c r="L77" s="40">
        <v>-745</v>
      </c>
      <c r="M77" t="s">
        <v>562</v>
      </c>
    </row>
    <row r="78" spans="2:13" x14ac:dyDescent="0.2">
      <c r="B78" t="s">
        <v>118</v>
      </c>
      <c r="G78" s="42">
        <v>2.4</v>
      </c>
      <c r="H78" s="16">
        <v>950</v>
      </c>
      <c r="I78">
        <v>-210</v>
      </c>
      <c r="J78">
        <v>-150</v>
      </c>
      <c r="K78">
        <v>0</v>
      </c>
      <c r="L78" s="36">
        <v>450</v>
      </c>
      <c r="M78" t="s">
        <v>564</v>
      </c>
    </row>
    <row r="79" spans="2:13" x14ac:dyDescent="0.2">
      <c r="B79" t="s">
        <v>119</v>
      </c>
      <c r="G79" s="42">
        <v>0</v>
      </c>
      <c r="H79" s="16">
        <v>-920</v>
      </c>
      <c r="I79">
        <v>30</v>
      </c>
      <c r="J79">
        <v>0</v>
      </c>
      <c r="K79">
        <v>0</v>
      </c>
      <c r="L79" s="36">
        <v>-2</v>
      </c>
      <c r="M79" t="s">
        <v>564</v>
      </c>
    </row>
    <row r="80" spans="2:13" x14ac:dyDescent="0.2">
      <c r="B80" t="s">
        <v>120</v>
      </c>
      <c r="G80" s="42">
        <v>0</v>
      </c>
      <c r="H80" s="16">
        <v>97.1</v>
      </c>
      <c r="I80">
        <v>-84</v>
      </c>
      <c r="J80">
        <v>-19</v>
      </c>
      <c r="K80">
        <v>10</v>
      </c>
      <c r="L80" s="36">
        <v>-6</v>
      </c>
      <c r="M80" t="s">
        <v>564</v>
      </c>
    </row>
    <row r="81" spans="2:13" x14ac:dyDescent="0.2">
      <c r="B81" t="s">
        <v>121</v>
      </c>
      <c r="G81" s="42">
        <v>-11.3</v>
      </c>
      <c r="H81" s="16">
        <v>-14.3</v>
      </c>
      <c r="I81">
        <v>-16</v>
      </c>
      <c r="J81">
        <v>-19</v>
      </c>
      <c r="K81">
        <v>-19</v>
      </c>
      <c r="L81" s="36">
        <v>-27</v>
      </c>
      <c r="M81" t="s">
        <v>566</v>
      </c>
    </row>
    <row r="82" spans="2:13" x14ac:dyDescent="0.2">
      <c r="B82" t="s">
        <v>122</v>
      </c>
      <c r="G82" s="42">
        <v>0</v>
      </c>
      <c r="H82" s="16">
        <v>0</v>
      </c>
      <c r="I82">
        <v>-14</v>
      </c>
      <c r="J82">
        <v>-26</v>
      </c>
      <c r="K82">
        <v>-32</v>
      </c>
      <c r="L82" s="36">
        <v>-46</v>
      </c>
      <c r="M82" t="s">
        <v>567</v>
      </c>
    </row>
    <row r="83" spans="2:13" x14ac:dyDescent="0.2">
      <c r="B83" t="s">
        <v>123</v>
      </c>
      <c r="G83" s="42">
        <v>-0.2</v>
      </c>
      <c r="H83" s="16">
        <v>0</v>
      </c>
      <c r="I83">
        <v>0</v>
      </c>
      <c r="J83">
        <v>0</v>
      </c>
      <c r="K83">
        <v>0</v>
      </c>
      <c r="L83" s="36">
        <v>0</v>
      </c>
      <c r="M83" t="s">
        <v>567</v>
      </c>
    </row>
    <row r="84" spans="2:13" x14ac:dyDescent="0.2">
      <c r="B84" t="s">
        <v>124</v>
      </c>
      <c r="G84" s="42">
        <v>0</v>
      </c>
      <c r="H84" s="16">
        <v>300</v>
      </c>
      <c r="I84">
        <v>-3</v>
      </c>
      <c r="J84">
        <v>0</v>
      </c>
      <c r="K84">
        <v>241</v>
      </c>
      <c r="L84" s="36">
        <v>0</v>
      </c>
      <c r="M84" t="s">
        <v>565</v>
      </c>
    </row>
    <row r="85" spans="2:13" x14ac:dyDescent="0.2">
      <c r="B85" t="s">
        <v>125</v>
      </c>
      <c r="G85" s="42">
        <v>0</v>
      </c>
      <c r="H85" s="16">
        <v>-1.6</v>
      </c>
      <c r="I85">
        <v>0</v>
      </c>
      <c r="J85">
        <v>0</v>
      </c>
      <c r="K85">
        <v>-3</v>
      </c>
      <c r="L85" s="36">
        <v>-1</v>
      </c>
      <c r="M85" t="s">
        <v>565</v>
      </c>
    </row>
    <row r="86" spans="2:13" x14ac:dyDescent="0.2">
      <c r="B86" s="14" t="s">
        <v>126</v>
      </c>
      <c r="C86" s="15"/>
      <c r="D86" s="15"/>
      <c r="E86" s="15"/>
      <c r="F86" s="15"/>
      <c r="G86" s="43">
        <v>-9.1</v>
      </c>
      <c r="H86" s="19">
        <v>411</v>
      </c>
      <c r="I86" s="14">
        <v>-297</v>
      </c>
      <c r="J86" s="14">
        <v>-214</v>
      </c>
      <c r="K86" s="14">
        <v>197</v>
      </c>
      <c r="L86" s="40">
        <v>367</v>
      </c>
      <c r="M86" t="s">
        <v>569</v>
      </c>
    </row>
    <row r="87" spans="2:13" x14ac:dyDescent="0.2">
      <c r="B87" t="s">
        <v>127</v>
      </c>
      <c r="G87" s="42">
        <v>1.4</v>
      </c>
      <c r="H87" s="16">
        <v>-2.2999999999999998</v>
      </c>
      <c r="I87">
        <v>-1</v>
      </c>
      <c r="J87">
        <v>2</v>
      </c>
      <c r="K87">
        <v>0</v>
      </c>
      <c r="L87" s="36">
        <v>-3</v>
      </c>
      <c r="M87" t="s">
        <v>571</v>
      </c>
    </row>
    <row r="88" spans="2:13" x14ac:dyDescent="0.2">
      <c r="B88" s="14" t="s">
        <v>128</v>
      </c>
      <c r="C88" s="15"/>
      <c r="D88" s="15"/>
      <c r="E88" s="15"/>
      <c r="F88" s="15"/>
      <c r="G88" s="43">
        <v>-90.2</v>
      </c>
      <c r="H88" s="19">
        <v>508.1</v>
      </c>
      <c r="I88" s="14">
        <v>-116</v>
      </c>
      <c r="J88" s="14">
        <v>-69</v>
      </c>
      <c r="K88" s="14">
        <v>342</v>
      </c>
      <c r="L88" s="40">
        <v>-69</v>
      </c>
      <c r="M88" t="s">
        <v>572</v>
      </c>
    </row>
    <row r="89" spans="2:13" x14ac:dyDescent="0.2">
      <c r="B89" t="s">
        <v>117</v>
      </c>
      <c r="G89" s="42"/>
      <c r="H89" s="16"/>
      <c r="L89" s="36"/>
    </row>
    <row r="90" spans="2:13" x14ac:dyDescent="0.2">
      <c r="B90" t="s">
        <v>129</v>
      </c>
      <c r="G90" s="44">
        <v>227.5</v>
      </c>
      <c r="H90" s="20">
        <v>137.4</v>
      </c>
      <c r="I90" s="13">
        <v>645</v>
      </c>
      <c r="J90" s="13">
        <v>529</v>
      </c>
      <c r="K90" s="13">
        <v>460</v>
      </c>
      <c r="L90" s="41">
        <v>802</v>
      </c>
      <c r="M90" t="s">
        <v>573</v>
      </c>
    </row>
    <row r="91" spans="2:13" x14ac:dyDescent="0.2">
      <c r="B91" t="s">
        <v>130</v>
      </c>
      <c r="G91" s="44">
        <v>137.4</v>
      </c>
      <c r="H91" s="20">
        <v>645.5</v>
      </c>
      <c r="I91" s="13">
        <v>529</v>
      </c>
      <c r="J91" s="13">
        <v>460</v>
      </c>
      <c r="K91" s="13">
        <v>802</v>
      </c>
      <c r="L91" s="41">
        <v>733</v>
      </c>
    </row>
    <row r="93" spans="2:13" x14ac:dyDescent="0.2">
      <c r="B93" t="s">
        <v>411</v>
      </c>
      <c r="G93" s="91"/>
      <c r="H93" s="91"/>
      <c r="I93" s="91"/>
      <c r="J93" s="91"/>
      <c r="K93" s="91"/>
      <c r="L93" s="91"/>
    </row>
    <row r="94" spans="2:13" x14ac:dyDescent="0.2">
      <c r="B94" t="s">
        <v>412</v>
      </c>
    </row>
  </sheetData>
  <dataValidations count="1">
    <dataValidation type="list" allowBlank="1" showInputMessage="1" showErrorMessage="1" sqref="M53:M91" xr:uid="{391B8B2E-B2DF-E244-A4CF-B2F7B6F3F55D}">
      <formula1>$B$14:$B$40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F6F4-BBEC-134C-848D-3C882A505CEF}">
  <dimension ref="A1:Y83"/>
  <sheetViews>
    <sheetView showGridLines="0" topLeftCell="A7" zoomScaleNormal="120" workbookViewId="0">
      <selection activeCell="S17" sqref="S17"/>
    </sheetView>
  </sheetViews>
  <sheetFormatPr baseColWidth="10" defaultRowHeight="16" x14ac:dyDescent="0.2"/>
  <cols>
    <col min="8" max="17" width="11.5" bestFit="1" customWidth="1"/>
    <col min="19" max="19" width="22.33203125" customWidth="1"/>
  </cols>
  <sheetData>
    <row r="1" spans="1:22" ht="25" thickBot="1" x14ac:dyDescent="0.35">
      <c r="A1" s="10" t="str">
        <f>_xlfn.CONCAT(Inputs!C7, " - ", "Assumptions"," - ", "in ", Inputs!C9, " ", Inputs!C10)</f>
        <v>HAG - Assumptions - in Euro millions</v>
      </c>
      <c r="B1" s="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22" ht="17" thickTop="1" x14ac:dyDescent="0.2"/>
    <row r="4" spans="1:22" x14ac:dyDescent="0.2">
      <c r="B4" t="s">
        <v>9</v>
      </c>
      <c r="D4" s="7"/>
      <c r="E4" s="7"/>
      <c r="F4" s="7"/>
      <c r="G4" s="9">
        <f>EDATE(Inputs!$C$8, G5*12)</f>
        <v>43830</v>
      </c>
      <c r="H4" s="9">
        <f>EDATE(Inputs!$C$8, H5*12)</f>
        <v>44196</v>
      </c>
      <c r="I4" s="9">
        <f>EDATE(Inputs!$C$8, I5*12)</f>
        <v>44561</v>
      </c>
      <c r="J4" s="9">
        <f>EDATE(Inputs!$C$8, J5*12)</f>
        <v>44926</v>
      </c>
      <c r="K4" s="9">
        <f>EDATE(Inputs!$C$8, K5*12)</f>
        <v>45291</v>
      </c>
      <c r="L4" s="9">
        <f>EDATE(Inputs!$C$8, L5*12)</f>
        <v>45657</v>
      </c>
      <c r="M4" s="9">
        <f>EDATE(Inputs!$C$8, M5*12)</f>
        <v>46022</v>
      </c>
      <c r="N4" s="9">
        <f>EDATE(Inputs!$C$8, N5*12)</f>
        <v>46387</v>
      </c>
      <c r="O4" s="9">
        <f>EDATE(Inputs!$C$8, O5*12)</f>
        <v>46752</v>
      </c>
      <c r="P4" s="9">
        <f>EDATE(Inputs!$C$8, P5*12)</f>
        <v>47118</v>
      </c>
      <c r="Q4" s="9">
        <f>EDATE(Inputs!$C$8, Q5*12)</f>
        <v>47483</v>
      </c>
      <c r="S4" s="13" t="s">
        <v>498</v>
      </c>
      <c r="V4" s="237">
        <v>4</v>
      </c>
    </row>
    <row r="5" spans="1:22" x14ac:dyDescent="0.2">
      <c r="B5" t="s">
        <v>10</v>
      </c>
      <c r="D5" s="8"/>
      <c r="E5" s="8"/>
      <c r="F5" s="8"/>
      <c r="G5" s="8">
        <v>-5</v>
      </c>
      <c r="H5" s="8">
        <v>-4</v>
      </c>
      <c r="I5" s="8">
        <v>-3</v>
      </c>
      <c r="J5" s="8">
        <v>-2</v>
      </c>
      <c r="K5" s="8">
        <v>-1</v>
      </c>
      <c r="L5" s="8">
        <v>0</v>
      </c>
      <c r="M5" s="8">
        <v>1</v>
      </c>
      <c r="N5" s="8">
        <v>2</v>
      </c>
      <c r="O5" s="8">
        <v>3</v>
      </c>
      <c r="P5" s="8">
        <v>4</v>
      </c>
      <c r="Q5" s="8">
        <v>5</v>
      </c>
      <c r="S5" s="13" t="s">
        <v>499</v>
      </c>
      <c r="V5" s="237">
        <v>4</v>
      </c>
    </row>
    <row r="6" spans="1:22" x14ac:dyDescent="0.2">
      <c r="B6" t="s">
        <v>11</v>
      </c>
      <c r="D6" s="8"/>
      <c r="E6" s="8"/>
      <c r="F6" s="8"/>
      <c r="G6" s="8" t="str">
        <f>_xlfn.CONCAT(Inputs!$C$9, " ", Inputs!$C$10)</f>
        <v>Euro millions</v>
      </c>
      <c r="H6" s="8" t="str">
        <f>_xlfn.CONCAT(Inputs!$C$9, " ", Inputs!$C$10)</f>
        <v>Euro millions</v>
      </c>
      <c r="I6" s="8" t="str">
        <f>_xlfn.CONCAT(Inputs!$C$9, " ", Inputs!$C$10)</f>
        <v>Euro millions</v>
      </c>
      <c r="J6" s="8" t="str">
        <f>_xlfn.CONCAT(Inputs!$C$9, " ", Inputs!$C$10)</f>
        <v>Euro millions</v>
      </c>
      <c r="K6" s="8" t="str">
        <f>_xlfn.CONCAT(Inputs!$C$9, " ", Inputs!$C$10)</f>
        <v>Euro millions</v>
      </c>
      <c r="L6" s="8" t="str">
        <f>_xlfn.CONCAT(Inputs!$C$9, " ", Inputs!$C$10)</f>
        <v>Euro millions</v>
      </c>
      <c r="M6" s="8" t="str">
        <f>_xlfn.CONCAT(Inputs!$C$9, " ", Inputs!$C$10)</f>
        <v>Euro millions</v>
      </c>
      <c r="N6" s="8" t="str">
        <f>_xlfn.CONCAT(Inputs!$C$9, " ", Inputs!$C$10)</f>
        <v>Euro millions</v>
      </c>
      <c r="O6" s="8" t="str">
        <f>_xlfn.CONCAT(Inputs!$C$9, " ", Inputs!$C$10)</f>
        <v>Euro millions</v>
      </c>
      <c r="P6" s="8" t="str">
        <f>_xlfn.CONCAT(Inputs!$C$9, " ", Inputs!$C$10)</f>
        <v>Euro millions</v>
      </c>
      <c r="Q6" s="8" t="str">
        <f>_xlfn.CONCAT(Inputs!$C$9, " ", Inputs!$C$10)</f>
        <v>Euro millions</v>
      </c>
      <c r="S6" s="13" t="s">
        <v>246</v>
      </c>
      <c r="V6" s="237">
        <v>4</v>
      </c>
    </row>
    <row r="7" spans="1:22" x14ac:dyDescent="0.2">
      <c r="B7" t="s">
        <v>12</v>
      </c>
      <c r="D7" s="8"/>
      <c r="E7" s="8"/>
      <c r="F7" s="8"/>
      <c r="G7" s="8" t="str">
        <f>IF(G5&lt;=0, "Historical", "Forecasted")</f>
        <v>Historical</v>
      </c>
      <c r="H7" s="8" t="str">
        <f>IF(H5&lt;=0, "Historical", "Forecasted")</f>
        <v>Historical</v>
      </c>
      <c r="I7" s="8" t="str">
        <f t="shared" ref="I7:Q7" si="0">IF(I5&lt;=0, "Historical", "Forecasted")</f>
        <v>Historical</v>
      </c>
      <c r="J7" s="8" t="str">
        <f t="shared" si="0"/>
        <v>Historical</v>
      </c>
      <c r="K7" s="8" t="str">
        <f t="shared" si="0"/>
        <v>Historical</v>
      </c>
      <c r="L7" s="8" t="str">
        <f t="shared" si="0"/>
        <v>Historical</v>
      </c>
      <c r="M7" s="8" t="str">
        <f t="shared" si="0"/>
        <v>Forecasted</v>
      </c>
      <c r="N7" s="8" t="str">
        <f t="shared" si="0"/>
        <v>Forecasted</v>
      </c>
      <c r="O7" s="8" t="str">
        <f t="shared" si="0"/>
        <v>Forecasted</v>
      </c>
      <c r="P7" s="8" t="str">
        <f t="shared" si="0"/>
        <v>Forecasted</v>
      </c>
      <c r="Q7" s="8" t="str">
        <f t="shared" si="0"/>
        <v>Forecasted</v>
      </c>
      <c r="S7" s="13" t="s">
        <v>263</v>
      </c>
      <c r="V7" s="237">
        <v>4</v>
      </c>
    </row>
    <row r="8" spans="1:22" x14ac:dyDescent="0.2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S8" s="13" t="s">
        <v>255</v>
      </c>
      <c r="V8" s="237">
        <v>4</v>
      </c>
    </row>
    <row r="9" spans="1:22" x14ac:dyDescent="0.2">
      <c r="B9" s="13" t="s">
        <v>253</v>
      </c>
      <c r="D9" s="85">
        <v>3</v>
      </c>
      <c r="S9" s="13" t="s">
        <v>261</v>
      </c>
      <c r="V9" s="237">
        <v>4</v>
      </c>
    </row>
    <row r="10" spans="1:22" x14ac:dyDescent="0.2">
      <c r="S10" s="13" t="s">
        <v>500</v>
      </c>
      <c r="V10" s="237">
        <v>4</v>
      </c>
    </row>
    <row r="11" spans="1:22" ht="25" thickBot="1" x14ac:dyDescent="0.35">
      <c r="B11" s="17" t="s">
        <v>193</v>
      </c>
      <c r="C11" s="17"/>
    </row>
    <row r="14" spans="1:22" x14ac:dyDescent="0.2">
      <c r="B14" s="13" t="s">
        <v>235</v>
      </c>
    </row>
    <row r="15" spans="1:22" x14ac:dyDescent="0.2">
      <c r="B15" t="s">
        <v>236</v>
      </c>
      <c r="G15" s="86"/>
      <c r="H15" s="96">
        <v>2202</v>
      </c>
      <c r="I15" s="96">
        <v>3424</v>
      </c>
      <c r="J15" s="96">
        <v>5092</v>
      </c>
      <c r="K15" s="96">
        <v>5366</v>
      </c>
      <c r="L15" s="96">
        <v>5530</v>
      </c>
      <c r="M15" s="97">
        <v>6644</v>
      </c>
      <c r="N15" s="62">
        <f>M21</f>
        <v>8794.0399999999991</v>
      </c>
      <c r="O15" s="62">
        <f>N21</f>
        <v>9750.4715999999989</v>
      </c>
      <c r="P15" s="62">
        <f>O21</f>
        <v>11564.329147999999</v>
      </c>
      <c r="Q15" s="62">
        <f>P21</f>
        <v>13356.972605559997</v>
      </c>
      <c r="S15" s="13" t="s">
        <v>502</v>
      </c>
    </row>
    <row r="16" spans="1:22" x14ac:dyDescent="0.2">
      <c r="B16" t="s">
        <v>245</v>
      </c>
      <c r="G16" s="92"/>
      <c r="H16" s="92">
        <f>H17/H15</f>
        <v>0.54768392370572205</v>
      </c>
      <c r="I16" s="92">
        <f>I17/I15</f>
        <v>0.4304906542056075</v>
      </c>
      <c r="J16" s="92">
        <f>J17/J15</f>
        <v>0.33523173605655932</v>
      </c>
      <c r="K16" s="92">
        <f>K17/K15</f>
        <v>0.34923592992918373</v>
      </c>
      <c r="L16" s="92">
        <f>L17/L15</f>
        <v>0.4050632911392405</v>
      </c>
      <c r="M16" s="116">
        <f>CHOOSE($V$4, M25, M26,M27,M28)</f>
        <v>0.28999999999999998</v>
      </c>
      <c r="N16" s="116">
        <f t="shared" ref="N16:Q16" si="1">CHOOSE($V$4, N25, N26,N27,N28)</f>
        <v>0.28999999999999998</v>
      </c>
      <c r="O16" s="116">
        <f t="shared" si="1"/>
        <v>0.28999999999999998</v>
      </c>
      <c r="P16" s="116">
        <f t="shared" si="1"/>
        <v>0.28999999999999998</v>
      </c>
      <c r="Q16" s="116">
        <f t="shared" si="1"/>
        <v>0.28999999999999998</v>
      </c>
      <c r="S16" t="s">
        <v>504</v>
      </c>
    </row>
    <row r="17" spans="1:19" x14ac:dyDescent="0.2">
      <c r="B17" t="s">
        <v>237</v>
      </c>
      <c r="G17" s="95">
        <v>1114</v>
      </c>
      <c r="H17" s="98">
        <f>U42</f>
        <v>1206</v>
      </c>
      <c r="I17" s="98">
        <f>V42</f>
        <v>1474</v>
      </c>
      <c r="J17" s="98">
        <f>W42</f>
        <v>1707</v>
      </c>
      <c r="K17" s="98">
        <f>X42</f>
        <v>1874</v>
      </c>
      <c r="L17" s="98">
        <f>Y42</f>
        <v>2240</v>
      </c>
      <c r="M17" s="62">
        <f>M15*M16</f>
        <v>1926.7599999999998</v>
      </c>
      <c r="N17" s="62">
        <f>N15*N16</f>
        <v>2550.2715999999996</v>
      </c>
      <c r="O17" s="62">
        <f>O15*O16</f>
        <v>2827.6367639999994</v>
      </c>
      <c r="P17" s="62">
        <f>P15*P16</f>
        <v>3353.6554529199993</v>
      </c>
      <c r="Q17" s="62">
        <f>Q15*Q16</f>
        <v>3873.5220556123986</v>
      </c>
    </row>
    <row r="18" spans="1:19" x14ac:dyDescent="0.2">
      <c r="B18" t="s">
        <v>238</v>
      </c>
      <c r="G18" s="94"/>
      <c r="H18" s="92">
        <f>(H17-G17)/G17</f>
        <v>8.2585278276481155E-2</v>
      </c>
      <c r="I18" s="92">
        <f>(I17-H17)/H17</f>
        <v>0.22222222222222221</v>
      </c>
      <c r="J18" s="92">
        <f>(J17-I17)/I17</f>
        <v>0.15807327001356852</v>
      </c>
      <c r="K18" s="92">
        <f>(K17-J17)/J17</f>
        <v>9.7832454598711191E-2</v>
      </c>
      <c r="L18" s="92">
        <f>(L17-K17)/K17</f>
        <v>0.19530416221985059</v>
      </c>
      <c r="M18" s="116">
        <f>CHOOSE($V$5,M31,M32,M33,M34)</f>
        <v>0.4</v>
      </c>
      <c r="N18" s="116">
        <f t="shared" ref="N18:Q18" si="2">CHOOSE($V$5,N31,N32,N33,N34)</f>
        <v>0.4</v>
      </c>
      <c r="O18" s="116">
        <f t="shared" si="2"/>
        <v>0.4</v>
      </c>
      <c r="P18" s="116">
        <f t="shared" si="2"/>
        <v>0.4</v>
      </c>
      <c r="Q18" s="116">
        <f t="shared" si="2"/>
        <v>0.4</v>
      </c>
    </row>
    <row r="19" spans="1:19" x14ac:dyDescent="0.2">
      <c r="B19" t="s">
        <v>246</v>
      </c>
      <c r="G19" s="99">
        <f>1040/1114</f>
        <v>0.93357271095152605</v>
      </c>
      <c r="H19" s="99">
        <f>2541/1206</f>
        <v>2.1069651741293534</v>
      </c>
      <c r="I19" s="99">
        <v>2.2000000000000002</v>
      </c>
      <c r="J19" s="99">
        <v>1.2</v>
      </c>
      <c r="K19" s="99">
        <v>1.1000000000000001</v>
      </c>
      <c r="L19" s="99">
        <v>1.3</v>
      </c>
      <c r="M19" s="117">
        <f>CHOOSE($D$9,M37,M38,M39,M40)</f>
        <v>1.3</v>
      </c>
      <c r="N19" s="117">
        <f>CHOOSE($D$9,N37,N38,N39,N40)</f>
        <v>1.3</v>
      </c>
      <c r="O19" s="117">
        <f>CHOOSE($D$9,O37,O38,O39,O40)</f>
        <v>1.3</v>
      </c>
      <c r="P19" s="117">
        <f>CHOOSE($D$9,P37,P38,P39,P40)</f>
        <v>1.3</v>
      </c>
      <c r="Q19" s="117">
        <f>CHOOSE($D$9,Q37,Q38,Q39,Q40)</f>
        <v>1.3</v>
      </c>
    </row>
    <row r="20" spans="1:19" x14ac:dyDescent="0.2">
      <c r="B20" t="s">
        <v>247</v>
      </c>
      <c r="G20" s="96">
        <v>1040</v>
      </c>
      <c r="H20" s="96">
        <v>2541</v>
      </c>
      <c r="I20" s="96">
        <v>3171</v>
      </c>
      <c r="J20" s="96">
        <v>1993</v>
      </c>
      <c r="K20" s="96">
        <v>2087</v>
      </c>
      <c r="L20" s="96">
        <v>2904</v>
      </c>
      <c r="M20" s="62">
        <f>M22*M19</f>
        <v>4076.8</v>
      </c>
      <c r="N20" s="62">
        <f>N22*N19</f>
        <v>3506.7031999999995</v>
      </c>
      <c r="O20" s="62">
        <f>O22*O19</f>
        <v>4641.4943119999989</v>
      </c>
      <c r="P20" s="62">
        <f>P22*P19</f>
        <v>5146.298910479999</v>
      </c>
      <c r="Q20" s="62">
        <f>Q22*Q19</f>
        <v>6103.6529243143978</v>
      </c>
      <c r="S20" t="s">
        <v>505</v>
      </c>
    </row>
    <row r="21" spans="1:19" x14ac:dyDescent="0.2">
      <c r="B21" t="s">
        <v>252</v>
      </c>
      <c r="G21" s="86">
        <f t="shared" ref="G21:Q21" si="3">G15+G20-G17</f>
        <v>-74</v>
      </c>
      <c r="H21" s="86">
        <f t="shared" si="3"/>
        <v>3537</v>
      </c>
      <c r="I21" s="86">
        <f t="shared" si="3"/>
        <v>5121</v>
      </c>
      <c r="J21" s="86">
        <f t="shared" si="3"/>
        <v>5378</v>
      </c>
      <c r="K21" s="86">
        <f t="shared" si="3"/>
        <v>5579</v>
      </c>
      <c r="L21" s="86">
        <f t="shared" si="3"/>
        <v>6194</v>
      </c>
      <c r="M21" s="62">
        <f t="shared" si="3"/>
        <v>8794.0399999999991</v>
      </c>
      <c r="N21" s="62">
        <f>N15+N20-N17</f>
        <v>9750.4715999999989</v>
      </c>
      <c r="O21" s="62">
        <f t="shared" si="3"/>
        <v>11564.329147999999</v>
      </c>
      <c r="P21" s="62">
        <f t="shared" si="3"/>
        <v>13356.972605559997</v>
      </c>
      <c r="Q21" s="62">
        <f t="shared" si="3"/>
        <v>15587.103474261994</v>
      </c>
    </row>
    <row r="22" spans="1:19" ht="17" thickBot="1" x14ac:dyDescent="0.25">
      <c r="B22" s="25" t="s">
        <v>251</v>
      </c>
      <c r="C22" s="26"/>
      <c r="D22" s="26"/>
      <c r="E22" s="26"/>
      <c r="F22" s="26"/>
      <c r="G22" s="93"/>
      <c r="H22" s="93">
        <f>G17*(1+H18)</f>
        <v>1206</v>
      </c>
      <c r="I22" s="93">
        <f t="shared" ref="I22:Q22" si="4">H17*(1+I18)</f>
        <v>1474.0000000000002</v>
      </c>
      <c r="J22" s="93">
        <f t="shared" si="4"/>
        <v>1707</v>
      </c>
      <c r="K22" s="93">
        <f t="shared" si="4"/>
        <v>1874.0000000000002</v>
      </c>
      <c r="L22" s="93">
        <f t="shared" si="4"/>
        <v>2240</v>
      </c>
      <c r="M22" s="93">
        <f>L17*(1+M18)</f>
        <v>3136</v>
      </c>
      <c r="N22" s="93">
        <f>M17*(1+N18)</f>
        <v>2697.4639999999995</v>
      </c>
      <c r="O22" s="93">
        <f t="shared" si="4"/>
        <v>3570.380239999999</v>
      </c>
      <c r="P22" s="93">
        <f t="shared" si="4"/>
        <v>3958.691469599999</v>
      </c>
      <c r="Q22" s="93">
        <f t="shared" si="4"/>
        <v>4695.1176340879983</v>
      </c>
    </row>
    <row r="24" spans="1:19" x14ac:dyDescent="0.2">
      <c r="B24" s="13" t="s">
        <v>250</v>
      </c>
    </row>
    <row r="25" spans="1:19" x14ac:dyDescent="0.2">
      <c r="A25">
        <v>1</v>
      </c>
      <c r="B25" t="s">
        <v>194</v>
      </c>
      <c r="G25" s="63"/>
      <c r="H25" s="92"/>
      <c r="I25" s="92"/>
      <c r="J25" s="92"/>
      <c r="K25" s="92"/>
      <c r="L25" s="92"/>
      <c r="M25" s="100">
        <v>0.25</v>
      </c>
      <c r="N25" s="100">
        <v>0.25</v>
      </c>
      <c r="O25" s="100">
        <v>0.25</v>
      </c>
      <c r="P25" s="100">
        <v>0.25</v>
      </c>
      <c r="Q25" s="100">
        <v>0.25</v>
      </c>
      <c r="S25" t="s">
        <v>506</v>
      </c>
    </row>
    <row r="26" spans="1:19" x14ac:dyDescent="0.2">
      <c r="A26">
        <v>2</v>
      </c>
      <c r="B26" t="s">
        <v>195</v>
      </c>
      <c r="G26" s="63"/>
      <c r="H26" s="92"/>
      <c r="I26" s="92"/>
      <c r="J26" s="92"/>
      <c r="K26" s="92"/>
      <c r="L26" s="92"/>
      <c r="M26" s="100">
        <v>0.3</v>
      </c>
      <c r="N26" s="100">
        <v>0.3</v>
      </c>
      <c r="O26" s="100">
        <v>0.3</v>
      </c>
      <c r="P26" s="100">
        <v>0.3</v>
      </c>
      <c r="Q26" s="100">
        <v>0.3</v>
      </c>
    </row>
    <row r="27" spans="1:19" x14ac:dyDescent="0.2">
      <c r="A27">
        <v>3</v>
      </c>
      <c r="B27" t="s">
        <v>196</v>
      </c>
      <c r="G27" s="63"/>
      <c r="H27" s="92"/>
      <c r="I27" s="92"/>
      <c r="J27" s="92"/>
      <c r="K27" s="92"/>
      <c r="L27" s="92"/>
      <c r="M27" s="100">
        <v>0.35</v>
      </c>
      <c r="N27" s="100">
        <v>0.35</v>
      </c>
      <c r="O27" s="100">
        <v>0.35</v>
      </c>
      <c r="P27" s="100">
        <v>0.35</v>
      </c>
      <c r="Q27" s="100">
        <v>0.35</v>
      </c>
    </row>
    <row r="28" spans="1:19" x14ac:dyDescent="0.2">
      <c r="A28">
        <v>4</v>
      </c>
      <c r="B28" t="s">
        <v>197</v>
      </c>
      <c r="G28" s="63"/>
      <c r="H28" s="92"/>
      <c r="I28" s="92"/>
      <c r="J28" s="92"/>
      <c r="K28" s="92"/>
      <c r="L28" s="92"/>
      <c r="M28" s="100">
        <v>0.28999999999999998</v>
      </c>
      <c r="N28" s="100">
        <v>0.28999999999999998</v>
      </c>
      <c r="O28" s="100">
        <v>0.28999999999999998</v>
      </c>
      <c r="P28" s="100">
        <v>0.28999999999999998</v>
      </c>
      <c r="Q28" s="100">
        <v>0.28999999999999998</v>
      </c>
    </row>
    <row r="30" spans="1:19" x14ac:dyDescent="0.2">
      <c r="B30" s="13" t="s">
        <v>499</v>
      </c>
      <c r="G30" s="16"/>
      <c r="H30" s="16"/>
      <c r="I30" s="16"/>
      <c r="J30" s="16"/>
      <c r="K30" s="16"/>
      <c r="L30" s="16"/>
    </row>
    <row r="31" spans="1:19" x14ac:dyDescent="0.2">
      <c r="B31" t="s">
        <v>194</v>
      </c>
      <c r="G31" s="86"/>
      <c r="H31" s="86"/>
      <c r="I31" s="86"/>
      <c r="J31" s="86"/>
      <c r="K31" s="86"/>
      <c r="L31" s="86"/>
      <c r="M31" s="100">
        <v>0.1</v>
      </c>
      <c r="N31" s="100">
        <v>0.1</v>
      </c>
      <c r="O31" s="100">
        <v>0.1</v>
      </c>
      <c r="P31" s="100">
        <v>0.1</v>
      </c>
      <c r="Q31" s="100">
        <v>0.1</v>
      </c>
    </row>
    <row r="32" spans="1:19" x14ac:dyDescent="0.2">
      <c r="B32" t="s">
        <v>195</v>
      </c>
      <c r="G32" s="86"/>
      <c r="H32" s="86"/>
      <c r="I32" s="86"/>
      <c r="J32" s="86"/>
      <c r="K32" s="86"/>
      <c r="L32" s="86"/>
      <c r="M32" s="100">
        <v>0.2</v>
      </c>
      <c r="N32" s="100">
        <v>0.2</v>
      </c>
      <c r="O32" s="100">
        <v>0.2</v>
      </c>
      <c r="P32" s="100">
        <v>0.2</v>
      </c>
      <c r="Q32" s="100">
        <v>0.2</v>
      </c>
    </row>
    <row r="33" spans="2:25" x14ac:dyDescent="0.2">
      <c r="B33" t="s">
        <v>196</v>
      </c>
      <c r="G33" s="86"/>
      <c r="H33" s="86"/>
      <c r="I33" s="86"/>
      <c r="J33" s="86"/>
      <c r="K33" s="86"/>
      <c r="L33" s="86"/>
      <c r="M33" s="100">
        <v>0.3</v>
      </c>
      <c r="N33" s="100">
        <v>0.3</v>
      </c>
      <c r="O33" s="100">
        <v>0.3</v>
      </c>
      <c r="P33" s="100">
        <v>0.3</v>
      </c>
      <c r="Q33" s="100">
        <v>0.3</v>
      </c>
    </row>
    <row r="34" spans="2:25" x14ac:dyDescent="0.2">
      <c r="B34" t="s">
        <v>197</v>
      </c>
      <c r="G34" s="86"/>
      <c r="H34" s="86"/>
      <c r="I34" s="86"/>
      <c r="J34" s="86"/>
      <c r="K34" s="86"/>
      <c r="L34" s="86"/>
      <c r="M34" s="100">
        <v>0.4</v>
      </c>
      <c r="N34" s="100">
        <v>0.4</v>
      </c>
      <c r="O34" s="100">
        <v>0.4</v>
      </c>
      <c r="P34" s="100">
        <v>0.4</v>
      </c>
      <c r="Q34" s="100">
        <v>0.4</v>
      </c>
    </row>
    <row r="36" spans="2:25" x14ac:dyDescent="0.2">
      <c r="B36" s="13" t="s">
        <v>249</v>
      </c>
    </row>
    <row r="37" spans="2:25" x14ac:dyDescent="0.2">
      <c r="B37" t="s">
        <v>194</v>
      </c>
      <c r="G37" s="63"/>
      <c r="H37" s="63"/>
      <c r="I37" s="63"/>
      <c r="J37" s="63"/>
      <c r="K37" s="63"/>
      <c r="L37" s="63"/>
      <c r="M37" s="101">
        <v>1.1000000000000001</v>
      </c>
      <c r="N37" s="101">
        <v>1.1000000000000001</v>
      </c>
      <c r="O37" s="101">
        <v>1.1000000000000001</v>
      </c>
      <c r="P37" s="101">
        <v>1.1000000000000001</v>
      </c>
      <c r="Q37" s="101">
        <v>1.1000000000000001</v>
      </c>
    </row>
    <row r="38" spans="2:25" x14ac:dyDescent="0.2">
      <c r="B38" t="s">
        <v>195</v>
      </c>
      <c r="G38" s="63"/>
      <c r="H38" s="63"/>
      <c r="I38" s="63"/>
      <c r="J38" s="63"/>
      <c r="K38" s="63"/>
      <c r="L38" s="63"/>
      <c r="M38" s="101">
        <v>1.2</v>
      </c>
      <c r="N38" s="101">
        <v>1.2</v>
      </c>
      <c r="O38" s="101">
        <v>1.2</v>
      </c>
      <c r="P38" s="101">
        <v>1.2</v>
      </c>
      <c r="Q38" s="101">
        <v>1.2</v>
      </c>
    </row>
    <row r="39" spans="2:25" x14ac:dyDescent="0.2">
      <c r="B39" t="s">
        <v>196</v>
      </c>
      <c r="G39" s="63"/>
      <c r="H39" s="63"/>
      <c r="I39" s="63"/>
      <c r="J39" s="63"/>
      <c r="K39" s="63"/>
      <c r="L39" s="63"/>
      <c r="M39" s="101">
        <v>1.3</v>
      </c>
      <c r="N39" s="101">
        <v>1.3</v>
      </c>
      <c r="O39" s="101">
        <v>1.3</v>
      </c>
      <c r="P39" s="101">
        <v>1.3</v>
      </c>
      <c r="Q39" s="101">
        <v>1.3</v>
      </c>
    </row>
    <row r="40" spans="2:25" x14ac:dyDescent="0.2">
      <c r="B40" t="s">
        <v>197</v>
      </c>
      <c r="G40" s="63"/>
      <c r="H40" s="63"/>
      <c r="I40" s="63"/>
      <c r="J40" s="63"/>
      <c r="K40" s="63"/>
      <c r="L40" s="63"/>
      <c r="M40" s="101">
        <v>1.4</v>
      </c>
      <c r="N40" s="101">
        <v>1.4</v>
      </c>
      <c r="O40" s="101">
        <v>1.4</v>
      </c>
      <c r="P40" s="101">
        <v>1.4</v>
      </c>
      <c r="Q40" s="101">
        <v>1.4</v>
      </c>
      <c r="S40" s="107" t="s">
        <v>239</v>
      </c>
      <c r="T40" s="156">
        <v>2019</v>
      </c>
      <c r="U40" s="156">
        <v>2020</v>
      </c>
      <c r="V40" s="156">
        <v>2021</v>
      </c>
      <c r="W40" s="156">
        <v>2022</v>
      </c>
      <c r="X40" s="156">
        <v>2023</v>
      </c>
      <c r="Y40" s="157">
        <v>2024</v>
      </c>
    </row>
    <row r="41" spans="2:25" x14ac:dyDescent="0.2">
      <c r="S41" s="32" t="s">
        <v>240</v>
      </c>
      <c r="T41" s="230">
        <v>2202</v>
      </c>
      <c r="U41" s="230">
        <v>3424</v>
      </c>
      <c r="V41" s="230">
        <v>5092</v>
      </c>
      <c r="W41" s="230">
        <v>5366</v>
      </c>
      <c r="X41" s="230">
        <v>5530</v>
      </c>
      <c r="Y41" s="36">
        <v>6644</v>
      </c>
    </row>
    <row r="42" spans="2:25" ht="25" thickBot="1" x14ac:dyDescent="0.35">
      <c r="B42" s="17" t="s">
        <v>198</v>
      </c>
      <c r="C42" s="17"/>
      <c r="S42" s="32" t="s">
        <v>241</v>
      </c>
      <c r="T42" s="230">
        <v>1114</v>
      </c>
      <c r="U42" s="230">
        <v>1206</v>
      </c>
      <c r="V42" s="230">
        <v>1474</v>
      </c>
      <c r="W42" s="230">
        <v>1707</v>
      </c>
      <c r="X42" s="230">
        <v>1874</v>
      </c>
      <c r="Y42" s="36">
        <v>2240</v>
      </c>
    </row>
    <row r="43" spans="2:25" x14ac:dyDescent="0.2">
      <c r="S43" s="64" t="s">
        <v>244</v>
      </c>
      <c r="T43" s="159">
        <f>U42/T41</f>
        <v>0.54768392370572205</v>
      </c>
      <c r="U43" s="159">
        <f>V42/U41</f>
        <v>0.4304906542056075</v>
      </c>
      <c r="V43" s="159">
        <f>W42/V41</f>
        <v>0.33523173605655932</v>
      </c>
      <c r="W43" s="159">
        <f>X42/W41</f>
        <v>0.34923592992918373</v>
      </c>
      <c r="X43" s="159">
        <f>Y42/X41</f>
        <v>0.4050632911392405</v>
      </c>
      <c r="Y43" s="160">
        <f>Z7/Y41</f>
        <v>0</v>
      </c>
    </row>
    <row r="44" spans="2:25" x14ac:dyDescent="0.2">
      <c r="B44" s="13" t="s">
        <v>267</v>
      </c>
      <c r="S44" s="32" t="s">
        <v>242</v>
      </c>
      <c r="T44" s="230"/>
      <c r="U44" s="159">
        <f t="shared" ref="U44:Y45" si="5">(U41-T41)/T41</f>
        <v>0.55495004541326065</v>
      </c>
      <c r="V44" s="159">
        <f t="shared" si="5"/>
        <v>0.48714953271028039</v>
      </c>
      <c r="W44" s="159">
        <f t="shared" si="5"/>
        <v>5.3809897879025924E-2</v>
      </c>
      <c r="X44" s="159">
        <f t="shared" si="5"/>
        <v>3.0562802832650018E-2</v>
      </c>
      <c r="Y44" s="160">
        <f t="shared" si="5"/>
        <v>0.20144665461121158</v>
      </c>
    </row>
    <row r="45" spans="2:25" x14ac:dyDescent="0.2">
      <c r="S45" s="110" t="s">
        <v>243</v>
      </c>
      <c r="T45" s="22"/>
      <c r="U45" s="161">
        <f t="shared" si="5"/>
        <v>8.2585278276481155E-2</v>
      </c>
      <c r="V45" s="161">
        <f t="shared" si="5"/>
        <v>0.22222222222222221</v>
      </c>
      <c r="W45" s="161">
        <f t="shared" si="5"/>
        <v>0.15807327001356852</v>
      </c>
      <c r="X45" s="161">
        <f t="shared" si="5"/>
        <v>9.7832454598711191E-2</v>
      </c>
      <c r="Y45" s="162">
        <f t="shared" si="5"/>
        <v>0.19530416221985059</v>
      </c>
    </row>
    <row r="46" spans="2:25" x14ac:dyDescent="0.2">
      <c r="B46" t="s">
        <v>272</v>
      </c>
      <c r="G46" s="63"/>
      <c r="H46" s="63"/>
      <c r="I46" s="63"/>
      <c r="J46" s="63"/>
      <c r="K46" s="63"/>
      <c r="L46" s="63"/>
      <c r="M46" s="62">
        <f>M22*M47</f>
        <v>2289.2799999999997</v>
      </c>
      <c r="N46" s="62">
        <f>N22*N47</f>
        <v>1969.1487199999997</v>
      </c>
      <c r="O46" s="62">
        <f>O22*O47</f>
        <v>2606.3775751999992</v>
      </c>
      <c r="P46" s="62">
        <f>P22*P47</f>
        <v>2889.8447728079991</v>
      </c>
      <c r="Q46" s="62">
        <f>Q22*Q47</f>
        <v>3427.4358728842385</v>
      </c>
    </row>
    <row r="47" spans="2:25" x14ac:dyDescent="0.2">
      <c r="B47" t="s">
        <v>269</v>
      </c>
      <c r="G47" s="63"/>
      <c r="H47" s="63"/>
      <c r="I47" s="63"/>
      <c r="J47" s="63"/>
      <c r="K47" s="63"/>
      <c r="L47" s="63"/>
      <c r="M47" s="116">
        <f>CHOOSE($V$7, M58,M59,M60,M61)</f>
        <v>0.73</v>
      </c>
      <c r="N47" s="116">
        <f t="shared" ref="N47:Q47" si="6">CHOOSE($V$7, N58,N59,N60,N61)</f>
        <v>0.73</v>
      </c>
      <c r="O47" s="116">
        <f t="shared" si="6"/>
        <v>0.73</v>
      </c>
      <c r="P47" s="116">
        <f t="shared" si="6"/>
        <v>0.73</v>
      </c>
      <c r="Q47" s="116">
        <f t="shared" si="6"/>
        <v>0.73</v>
      </c>
    </row>
    <row r="48" spans="2:25" x14ac:dyDescent="0.2">
      <c r="B48" t="s">
        <v>271</v>
      </c>
      <c r="G48" s="63"/>
      <c r="H48" s="63"/>
      <c r="I48" s="63"/>
      <c r="J48" s="63"/>
      <c r="K48" s="63"/>
      <c r="L48" s="63"/>
      <c r="M48" s="62">
        <f>M49*M22</f>
        <v>313.60000000000002</v>
      </c>
      <c r="N48" s="62">
        <f>N49*N22</f>
        <v>242.77175999999994</v>
      </c>
      <c r="O48" s="62">
        <f>O49*O22</f>
        <v>321.33422159999992</v>
      </c>
      <c r="P48" s="62">
        <f>P49*P22</f>
        <v>356.2822322639999</v>
      </c>
      <c r="Q48" s="62">
        <f>Q49*Q22</f>
        <v>422.56058706791981</v>
      </c>
      <c r="S48" s="107" t="s">
        <v>262</v>
      </c>
      <c r="T48" s="156">
        <v>2019</v>
      </c>
      <c r="U48" s="156">
        <v>2020</v>
      </c>
      <c r="V48" s="156">
        <v>2021</v>
      </c>
      <c r="W48" s="156">
        <v>2022</v>
      </c>
      <c r="X48" s="156">
        <v>2023</v>
      </c>
      <c r="Y48" s="157">
        <v>2024</v>
      </c>
    </row>
    <row r="49" spans="2:25" x14ac:dyDescent="0.2">
      <c r="B49" t="s">
        <v>269</v>
      </c>
      <c r="G49" s="63"/>
      <c r="H49" s="63"/>
      <c r="I49" s="63"/>
      <c r="J49" s="63"/>
      <c r="K49" s="63"/>
      <c r="L49" s="63"/>
      <c r="M49" s="116">
        <f>CHOOSE($V$8,M65,M66,M67,M68)</f>
        <v>0.1</v>
      </c>
      <c r="N49" s="116">
        <f>CHOOSE($D$9,N65,N66,N67,N68)</f>
        <v>0.09</v>
      </c>
      <c r="O49" s="116">
        <f>CHOOSE($D$9,O65,O66,O67,O68)</f>
        <v>0.09</v>
      </c>
      <c r="P49" s="116">
        <f>CHOOSE($D$9,P65,P66,P67,P68)</f>
        <v>0.09</v>
      </c>
      <c r="Q49" s="116">
        <f>CHOOSE($D$9,Q65,Q66,Q67,Q68)</f>
        <v>0.09</v>
      </c>
      <c r="S49" s="32" t="s">
        <v>14</v>
      </c>
      <c r="T49" s="16">
        <f>IS!D10</f>
        <v>1114.2</v>
      </c>
      <c r="U49" s="16">
        <f>IS!E10</f>
        <v>1206.9000000000001</v>
      </c>
      <c r="V49" s="16">
        <f>IS!F10</f>
        <v>1474</v>
      </c>
      <c r="W49" s="16">
        <f>IS!G10</f>
        <v>1707</v>
      </c>
      <c r="X49" s="16">
        <f>IS!H10</f>
        <v>1847</v>
      </c>
      <c r="Y49" s="158">
        <f>IS!I10</f>
        <v>2240</v>
      </c>
    </row>
    <row r="50" spans="2:25" x14ac:dyDescent="0.2">
      <c r="B50" t="s">
        <v>270</v>
      </c>
      <c r="G50" s="63"/>
      <c r="H50" s="63"/>
      <c r="I50" s="63"/>
      <c r="J50" s="63"/>
      <c r="K50" s="63"/>
      <c r="L50" s="63"/>
      <c r="M50" s="62">
        <f>M51*M22</f>
        <v>47.04</v>
      </c>
      <c r="N50" s="62">
        <f>N51*N22</f>
        <v>53.949279999999987</v>
      </c>
      <c r="O50" s="62">
        <f>O51*O22</f>
        <v>71.407604799999987</v>
      </c>
      <c r="P50" s="62">
        <f>P51*P22</f>
        <v>79.173829391999988</v>
      </c>
      <c r="Q50" s="62">
        <f>Q51*Q22</f>
        <v>93.902352681759965</v>
      </c>
      <c r="S50" s="32" t="s">
        <v>263</v>
      </c>
      <c r="T50" s="16">
        <f>IS!D11</f>
        <v>-859.3</v>
      </c>
      <c r="U50" s="16">
        <f>IS!E11</f>
        <v>-936.1</v>
      </c>
      <c r="V50" s="16">
        <f>IS!F11</f>
        <v>-1144</v>
      </c>
      <c r="W50" s="16">
        <f>IS!G11</f>
        <v>-1314</v>
      </c>
      <c r="X50" s="16">
        <f>IS!H11</f>
        <v>-1427</v>
      </c>
      <c r="Y50" s="158">
        <f>IS!I11</f>
        <v>-1732</v>
      </c>
    </row>
    <row r="51" spans="2:25" x14ac:dyDescent="0.2">
      <c r="B51" t="s">
        <v>269</v>
      </c>
      <c r="G51" s="63"/>
      <c r="H51" s="63"/>
      <c r="I51" s="63"/>
      <c r="J51" s="63"/>
      <c r="K51" s="63"/>
      <c r="L51" s="63"/>
      <c r="M51" s="116">
        <f>CHOOSE($V$9,M72,M73,M74,M75)</f>
        <v>1.4999999999999999E-2</v>
      </c>
      <c r="N51" s="116">
        <f>CHOOSE($D$9,N72,N73,N74,N75)</f>
        <v>0.02</v>
      </c>
      <c r="O51" s="116">
        <f>CHOOSE($D$9,O72,O73,O74,O75)</f>
        <v>0.02</v>
      </c>
      <c r="P51" s="116">
        <f>CHOOSE($D$9,P72,P73,P74,P75)</f>
        <v>0.02</v>
      </c>
      <c r="Q51" s="116">
        <f>CHOOSE($D$9,Q72,Q73,Q74,Q75)</f>
        <v>0.02</v>
      </c>
      <c r="S51" s="64" t="s">
        <v>264</v>
      </c>
      <c r="T51" s="159">
        <f t="shared" ref="T51:Y51" si="7">1-((-1)*T50/T49)</f>
        <v>0.22877400825704552</v>
      </c>
      <c r="U51" s="159">
        <f t="shared" si="7"/>
        <v>0.22437650178142354</v>
      </c>
      <c r="V51" s="159">
        <f t="shared" si="7"/>
        <v>0.22388059701492535</v>
      </c>
      <c r="W51" s="159">
        <f t="shared" si="7"/>
        <v>0.23022847100175747</v>
      </c>
      <c r="X51" s="159">
        <f t="shared" si="7"/>
        <v>0.22739577693557123</v>
      </c>
      <c r="Y51" s="160">
        <f t="shared" si="7"/>
        <v>0.22678571428571426</v>
      </c>
    </row>
    <row r="52" spans="2:25" x14ac:dyDescent="0.2">
      <c r="B52" t="s">
        <v>268</v>
      </c>
      <c r="G52" s="63"/>
      <c r="H52" s="63"/>
      <c r="I52" s="63"/>
      <c r="J52" s="63"/>
      <c r="K52" s="63"/>
      <c r="L52" s="63"/>
      <c r="M52" s="118">
        <f>CHOOSE($V$10,M80,M81,M82,M83)</f>
        <v>0</v>
      </c>
      <c r="N52" s="118">
        <f>CHOOSE($D$9,N80,N81,N82,N83)</f>
        <v>0</v>
      </c>
      <c r="O52" s="118">
        <f>CHOOSE($D$9,O80,O81,O82,O83)</f>
        <v>0</v>
      </c>
      <c r="P52" s="118">
        <f>CHOOSE($D$9,P80,P81,P82,P83)</f>
        <v>0</v>
      </c>
      <c r="Q52" s="118">
        <f>CHOOSE($D$9,Q80,Q81,Q82,Q83)</f>
        <v>0</v>
      </c>
      <c r="S52" s="32"/>
      <c r="Y52" s="36"/>
    </row>
    <row r="53" spans="2:25" ht="17" thickBot="1" x14ac:dyDescent="0.25">
      <c r="B53" s="25" t="s">
        <v>273</v>
      </c>
      <c r="C53" s="25"/>
      <c r="D53" s="25"/>
      <c r="E53" s="25"/>
      <c r="F53" s="25"/>
      <c r="G53" s="104"/>
      <c r="H53" s="104"/>
      <c r="I53" s="104"/>
      <c r="J53" s="104"/>
      <c r="K53" s="104"/>
      <c r="L53" s="104"/>
      <c r="M53" s="103">
        <f>SUM(M46,M48,M50)</f>
        <v>2649.9199999999996</v>
      </c>
      <c r="N53" s="103">
        <f>SUM(N46,N48,N50)</f>
        <v>2265.8697599999996</v>
      </c>
      <c r="O53" s="103">
        <f>SUM(O46,O48,O50)</f>
        <v>2999.1194015999995</v>
      </c>
      <c r="P53" s="103">
        <f>SUM(P46,P48,P50)</f>
        <v>3325.3008344639989</v>
      </c>
      <c r="Q53" s="103">
        <f>SUM(Q46,Q48,Q50)</f>
        <v>3943.8988126339182</v>
      </c>
      <c r="S53" s="32" t="s">
        <v>266</v>
      </c>
      <c r="T53" s="159">
        <f>(-1*IS!D31/T49)</f>
        <v>7.6108418596302269E-2</v>
      </c>
      <c r="U53" s="159">
        <f>(-1*IS!E31/U49)</f>
        <v>7.4736929323059073E-2</v>
      </c>
      <c r="V53" s="159">
        <f>(-1*IS!F31/V49)</f>
        <v>6.7164179104477612E-2</v>
      </c>
      <c r="W53" s="159">
        <f>(-1*IS!G31/W49)</f>
        <v>6.2683069712946696E-2</v>
      </c>
      <c r="X53" s="159">
        <f>(-1*IS!H31/X49)</f>
        <v>6.0097455332972387E-2</v>
      </c>
      <c r="Y53" s="160">
        <f>(-1*IS!I31/Y49)</f>
        <v>5.7142857142857141E-2</v>
      </c>
    </row>
    <row r="54" spans="2:25" x14ac:dyDescent="0.2">
      <c r="B54" s="13" t="s">
        <v>274</v>
      </c>
      <c r="C54" s="13"/>
      <c r="D54" s="13"/>
      <c r="E54" s="13"/>
      <c r="F54" s="13"/>
      <c r="G54" s="105"/>
      <c r="H54" s="105"/>
      <c r="I54" s="105"/>
      <c r="J54" s="105"/>
      <c r="K54" s="105"/>
      <c r="L54" s="105"/>
      <c r="M54" s="106">
        <f>SUM(M47, M49,M51)</f>
        <v>0.84499999999999997</v>
      </c>
      <c r="N54" s="106">
        <f>SUM(N47, N49,N51)</f>
        <v>0.84</v>
      </c>
      <c r="O54" s="106">
        <f>SUM(O47, O49,O51)</f>
        <v>0.84</v>
      </c>
      <c r="P54" s="106">
        <f>SUM(P47, P49,P51)</f>
        <v>0.84</v>
      </c>
      <c r="Q54" s="106">
        <f>SUM(Q47, Q49,Q51)</f>
        <v>0.84</v>
      </c>
      <c r="S54" s="32" t="s">
        <v>265</v>
      </c>
      <c r="T54" s="159">
        <f>(IS!D32/T50)</f>
        <v>8.8793203770510878E-2</v>
      </c>
      <c r="U54" s="159">
        <f>(IS!E32/U50)</f>
        <v>9.3152440978527942E-2</v>
      </c>
      <c r="V54" s="159">
        <f>(IS!F32/V50)</f>
        <v>7.2552447552447552E-2</v>
      </c>
      <c r="W54" s="159">
        <f>(IS!G32/W50)</f>
        <v>7.0015220700152203E-2</v>
      </c>
      <c r="X54" s="159">
        <f>(IS!H32/X50)</f>
        <v>8.2690960056061663E-2</v>
      </c>
      <c r="Y54" s="160">
        <f>(IS!I32/Y50)</f>
        <v>9.3533487297921478E-2</v>
      </c>
    </row>
    <row r="55" spans="2:25" x14ac:dyDescent="0.2">
      <c r="S55" s="32" t="s">
        <v>255</v>
      </c>
      <c r="T55" s="159">
        <f>-1*IS!D14/T49</f>
        <v>0.14458804523424879</v>
      </c>
      <c r="U55" s="159">
        <f>-1*IS!E14/U49</f>
        <v>0.14698815146242439</v>
      </c>
      <c r="V55" s="159">
        <f>-1*IS!F14/V49</f>
        <v>0.12347354138398914</v>
      </c>
      <c r="W55" s="159">
        <f>-1*IS!G14/W49</f>
        <v>0.11657879320445226</v>
      </c>
      <c r="X55" s="159">
        <f>-1*IS!H14/X49</f>
        <v>0.12398484028153763</v>
      </c>
      <c r="Y55" s="160">
        <f>-1*IS!I14/Y49</f>
        <v>0.12946428571428573</v>
      </c>
    </row>
    <row r="56" spans="2:25" x14ac:dyDescent="0.2">
      <c r="B56" s="13" t="s">
        <v>223</v>
      </c>
      <c r="S56" s="110" t="s">
        <v>261</v>
      </c>
      <c r="T56" s="161">
        <f>-1*IS!D13/T49</f>
        <v>2.7822653024591634E-2</v>
      </c>
      <c r="U56" s="161">
        <f>IS!E13/U49</f>
        <v>-2.0797083436904465E-2</v>
      </c>
      <c r="V56" s="161">
        <f>IS!F13/V49</f>
        <v>-2.1031207598371779E-2</v>
      </c>
      <c r="W56" s="161">
        <f>IS!G13/W49</f>
        <v>-2.10896309314587E-2</v>
      </c>
      <c r="X56" s="161">
        <f>IS!H13/X49</f>
        <v>-1.6242555495397944E-2</v>
      </c>
      <c r="Y56" s="162">
        <f>IS!I13/Y49</f>
        <v>-1.4285714285714285E-2</v>
      </c>
    </row>
    <row r="57" spans="2:25" x14ac:dyDescent="0.2">
      <c r="B57" t="s">
        <v>254</v>
      </c>
    </row>
    <row r="58" spans="2:25" x14ac:dyDescent="0.2">
      <c r="B58" t="s">
        <v>194</v>
      </c>
      <c r="G58" s="63"/>
      <c r="H58" s="63"/>
      <c r="I58" s="63"/>
      <c r="J58" s="63"/>
      <c r="K58" s="63"/>
      <c r="L58" s="63"/>
      <c r="M58" s="100">
        <v>0.78</v>
      </c>
      <c r="N58" s="100">
        <v>0.78</v>
      </c>
      <c r="O58" s="100">
        <v>0.78</v>
      </c>
      <c r="P58" s="100">
        <v>0.78</v>
      </c>
      <c r="Q58" s="100">
        <v>0.78</v>
      </c>
      <c r="S58" s="13" t="s">
        <v>258</v>
      </c>
    </row>
    <row r="59" spans="2:25" x14ac:dyDescent="0.2">
      <c r="B59" t="s">
        <v>195</v>
      </c>
      <c r="G59" s="63"/>
      <c r="H59" s="63"/>
      <c r="I59" s="63"/>
      <c r="J59" s="63"/>
      <c r="K59" s="63"/>
      <c r="L59" s="63"/>
      <c r="M59" s="100">
        <v>0.77</v>
      </c>
      <c r="N59" s="100">
        <v>0.77</v>
      </c>
      <c r="O59" s="100">
        <v>0.77</v>
      </c>
      <c r="P59" s="100">
        <v>0.77</v>
      </c>
      <c r="Q59" s="100">
        <v>0.77</v>
      </c>
      <c r="S59" t="s">
        <v>248</v>
      </c>
    </row>
    <row r="60" spans="2:25" x14ac:dyDescent="0.2">
      <c r="B60" t="s">
        <v>196</v>
      </c>
      <c r="G60" s="63"/>
      <c r="H60" s="63"/>
      <c r="I60" s="63"/>
      <c r="J60" s="63"/>
      <c r="K60" s="63"/>
      <c r="L60" s="63"/>
      <c r="M60" s="100">
        <v>0.75</v>
      </c>
      <c r="N60" s="100">
        <v>0.75</v>
      </c>
      <c r="O60" s="100">
        <v>0.75</v>
      </c>
      <c r="P60" s="100">
        <v>0.75</v>
      </c>
      <c r="Q60" s="100">
        <v>0.75</v>
      </c>
      <c r="S60" t="s">
        <v>238</v>
      </c>
    </row>
    <row r="61" spans="2:25" x14ac:dyDescent="0.2">
      <c r="B61" t="s">
        <v>197</v>
      </c>
      <c r="G61" s="63"/>
      <c r="H61" s="63"/>
      <c r="I61" s="63"/>
      <c r="J61" s="63"/>
      <c r="K61" s="63"/>
      <c r="L61" s="63"/>
      <c r="M61" s="100">
        <v>0.73</v>
      </c>
      <c r="N61" s="100">
        <v>0.73</v>
      </c>
      <c r="O61" s="100">
        <v>0.73</v>
      </c>
      <c r="P61" s="100">
        <v>0.73</v>
      </c>
      <c r="Q61" s="100">
        <v>0.73</v>
      </c>
      <c r="S61" t="s">
        <v>249</v>
      </c>
    </row>
    <row r="62" spans="2:25" x14ac:dyDescent="0.2">
      <c r="M62" s="91"/>
      <c r="N62" s="91"/>
      <c r="O62" s="91"/>
      <c r="P62" s="91"/>
      <c r="Q62" s="91"/>
    </row>
    <row r="63" spans="2:25" x14ac:dyDescent="0.2">
      <c r="B63" s="13" t="s">
        <v>255</v>
      </c>
      <c r="M63" s="91"/>
      <c r="N63" s="91"/>
      <c r="O63" s="91"/>
      <c r="P63" s="91"/>
      <c r="Q63" s="91"/>
      <c r="S63" s="13" t="s">
        <v>259</v>
      </c>
    </row>
    <row r="64" spans="2:25" x14ac:dyDescent="0.2">
      <c r="B64" t="s">
        <v>254</v>
      </c>
      <c r="S64" t="s">
        <v>260</v>
      </c>
    </row>
    <row r="65" spans="2:19" x14ac:dyDescent="0.2">
      <c r="B65" t="s">
        <v>194</v>
      </c>
      <c r="G65" s="63"/>
      <c r="H65" s="63"/>
      <c r="I65" s="63"/>
      <c r="J65" s="63"/>
      <c r="K65" s="63"/>
      <c r="L65" s="63"/>
      <c r="M65" s="100">
        <v>0.12</v>
      </c>
      <c r="N65" s="100">
        <v>0.12</v>
      </c>
      <c r="O65" s="100">
        <v>0.12</v>
      </c>
      <c r="P65" s="100">
        <v>0.12</v>
      </c>
      <c r="Q65" s="100">
        <v>0.12</v>
      </c>
      <c r="S65" t="s">
        <v>255</v>
      </c>
    </row>
    <row r="66" spans="2:19" x14ac:dyDescent="0.2">
      <c r="B66" t="s">
        <v>195</v>
      </c>
      <c r="G66" s="63"/>
      <c r="H66" s="63"/>
      <c r="I66" s="63"/>
      <c r="J66" s="63"/>
      <c r="K66" s="63"/>
      <c r="L66" s="63"/>
      <c r="M66" s="100">
        <v>0.11</v>
      </c>
      <c r="N66" s="100">
        <v>0.11</v>
      </c>
      <c r="O66" s="100">
        <v>0.11</v>
      </c>
      <c r="P66" s="100">
        <v>0.11</v>
      </c>
      <c r="Q66" s="100">
        <v>0.11</v>
      </c>
      <c r="S66" t="s">
        <v>261</v>
      </c>
    </row>
    <row r="67" spans="2:19" x14ac:dyDescent="0.2">
      <c r="B67" t="s">
        <v>196</v>
      </c>
      <c r="G67" s="63"/>
      <c r="H67" s="63"/>
      <c r="I67" s="63"/>
      <c r="J67" s="63"/>
      <c r="K67" s="63"/>
      <c r="L67" s="63"/>
      <c r="M67" s="100">
        <v>0.09</v>
      </c>
      <c r="N67" s="100">
        <v>0.09</v>
      </c>
      <c r="O67" s="100">
        <v>0.09</v>
      </c>
      <c r="P67" s="100">
        <v>0.09</v>
      </c>
      <c r="Q67" s="100">
        <v>0.09</v>
      </c>
      <c r="S67" t="s">
        <v>311</v>
      </c>
    </row>
    <row r="68" spans="2:19" x14ac:dyDescent="0.2">
      <c r="B68" t="s">
        <v>197</v>
      </c>
      <c r="G68" s="63"/>
      <c r="H68" s="63"/>
      <c r="I68" s="63"/>
      <c r="J68" s="63"/>
      <c r="K68" s="63"/>
      <c r="L68" s="63"/>
      <c r="M68" s="100">
        <v>0.1</v>
      </c>
      <c r="N68" s="100">
        <v>0.1</v>
      </c>
      <c r="O68" s="100">
        <v>0.1</v>
      </c>
      <c r="P68" s="100">
        <v>0.1</v>
      </c>
      <c r="Q68" s="100">
        <v>0.1</v>
      </c>
    </row>
    <row r="69" spans="2:19" x14ac:dyDescent="0.2">
      <c r="M69" s="91"/>
      <c r="N69" s="91"/>
      <c r="O69" s="91"/>
      <c r="P69" s="91"/>
      <c r="Q69" s="91"/>
    </row>
    <row r="70" spans="2:19" x14ac:dyDescent="0.2">
      <c r="B70" s="13" t="s">
        <v>256</v>
      </c>
      <c r="M70" s="91"/>
      <c r="N70" s="91"/>
      <c r="O70" s="91"/>
      <c r="P70" s="91"/>
      <c r="Q70" s="91"/>
    </row>
    <row r="71" spans="2:19" x14ac:dyDescent="0.2">
      <c r="B71" t="s">
        <v>254</v>
      </c>
    </row>
    <row r="72" spans="2:19" x14ac:dyDescent="0.2">
      <c r="B72" t="s">
        <v>194</v>
      </c>
      <c r="G72" s="63"/>
      <c r="H72" s="63"/>
      <c r="I72" s="63"/>
      <c r="J72" s="63"/>
      <c r="K72" s="63"/>
      <c r="L72" s="63"/>
      <c r="M72" s="100">
        <v>0.01</v>
      </c>
      <c r="N72" s="100">
        <v>0.01</v>
      </c>
      <c r="O72" s="100">
        <v>0.01</v>
      </c>
      <c r="P72" s="100">
        <v>0.01</v>
      </c>
      <c r="Q72" s="100">
        <v>0.01</v>
      </c>
    </row>
    <row r="73" spans="2:19" x14ac:dyDescent="0.2">
      <c r="B73" t="s">
        <v>195</v>
      </c>
      <c r="G73" s="63"/>
      <c r="H73" s="63"/>
      <c r="I73" s="63"/>
      <c r="J73" s="63"/>
      <c r="K73" s="63"/>
      <c r="L73" s="63"/>
      <c r="M73" s="102">
        <v>1.4999999999999999E-2</v>
      </c>
      <c r="N73" s="102">
        <v>1.4999999999999999E-2</v>
      </c>
      <c r="O73" s="102">
        <v>1.4999999999999999E-2</v>
      </c>
      <c r="P73" s="102">
        <v>1.4999999999999999E-2</v>
      </c>
      <c r="Q73" s="102">
        <v>1.4999999999999999E-2</v>
      </c>
    </row>
    <row r="74" spans="2:19" x14ac:dyDescent="0.2">
      <c r="B74" t="s">
        <v>196</v>
      </c>
      <c r="G74" s="63"/>
      <c r="H74" s="63"/>
      <c r="I74" s="63"/>
      <c r="J74" s="63"/>
      <c r="K74" s="63"/>
      <c r="L74" s="63"/>
      <c r="M74" s="100">
        <v>0.02</v>
      </c>
      <c r="N74" s="100">
        <v>0.02</v>
      </c>
      <c r="O74" s="100">
        <v>0.02</v>
      </c>
      <c r="P74" s="100">
        <v>0.02</v>
      </c>
      <c r="Q74" s="100">
        <v>0.02</v>
      </c>
    </row>
    <row r="75" spans="2:19" x14ac:dyDescent="0.2">
      <c r="B75" t="s">
        <v>197</v>
      </c>
      <c r="G75" s="63"/>
      <c r="H75" s="63"/>
      <c r="I75" s="63"/>
      <c r="J75" s="63"/>
      <c r="K75" s="63"/>
      <c r="L75" s="63"/>
      <c r="M75" s="102">
        <v>1.4999999999999999E-2</v>
      </c>
      <c r="N75" s="102">
        <v>1.7000000000000001E-2</v>
      </c>
      <c r="O75" s="102">
        <v>1.7000000000000001E-2</v>
      </c>
      <c r="P75" s="102">
        <v>1.7000000000000001E-2</v>
      </c>
      <c r="Q75" s="102">
        <v>1.7000000000000001E-2</v>
      </c>
    </row>
    <row r="77" spans="2:19" x14ac:dyDescent="0.2">
      <c r="B77" t="s">
        <v>501</v>
      </c>
      <c r="M77" s="236">
        <f>SUM(M47,M49,M51)</f>
        <v>0.84499999999999997</v>
      </c>
      <c r="N77" s="236">
        <f t="shared" ref="N77:Q77" si="8">SUM(N47,N49,N51)</f>
        <v>0.84</v>
      </c>
      <c r="O77" s="236">
        <f t="shared" si="8"/>
        <v>0.84</v>
      </c>
      <c r="P77" s="236">
        <f t="shared" si="8"/>
        <v>0.84</v>
      </c>
      <c r="Q77" s="236">
        <f t="shared" si="8"/>
        <v>0.84</v>
      </c>
    </row>
    <row r="79" spans="2:19" x14ac:dyDescent="0.2">
      <c r="B79" s="13" t="s">
        <v>257</v>
      </c>
    </row>
    <row r="80" spans="2:19" x14ac:dyDescent="0.2">
      <c r="B80" t="s">
        <v>194</v>
      </c>
      <c r="G80" s="63">
        <f>IS!D18</f>
        <v>-2.5999999999999996</v>
      </c>
      <c r="H80" s="63">
        <f>IS!E18</f>
        <v>-9.8000000000000025</v>
      </c>
      <c r="I80" s="63">
        <f>IS!F18</f>
        <v>6</v>
      </c>
      <c r="J80" s="63">
        <f>IS!G18</f>
        <v>7</v>
      </c>
      <c r="K80" s="63">
        <f>IS!H18</f>
        <v>-1</v>
      </c>
      <c r="L80" s="63">
        <f>IS!I18</f>
        <v>-1</v>
      </c>
      <c r="M80" s="62">
        <v>0</v>
      </c>
      <c r="N80" s="62">
        <v>0</v>
      </c>
      <c r="O80" s="62">
        <v>0</v>
      </c>
      <c r="P80" s="62">
        <v>0</v>
      </c>
      <c r="Q80" s="62">
        <v>0</v>
      </c>
    </row>
    <row r="81" spans="2:17" x14ac:dyDescent="0.2">
      <c r="B81" t="s">
        <v>195</v>
      </c>
      <c r="G81" s="63"/>
      <c r="H81" s="63"/>
      <c r="I81" s="63"/>
      <c r="J81" s="63"/>
      <c r="K81" s="63"/>
      <c r="L81" s="63"/>
      <c r="M81" s="62">
        <v>0</v>
      </c>
      <c r="N81" s="62">
        <v>0</v>
      </c>
      <c r="O81" s="62">
        <v>0</v>
      </c>
      <c r="P81" s="62">
        <v>0</v>
      </c>
      <c r="Q81" s="62">
        <v>0</v>
      </c>
    </row>
    <row r="82" spans="2:17" x14ac:dyDescent="0.2">
      <c r="B82" t="s">
        <v>196</v>
      </c>
      <c r="G82" s="63"/>
      <c r="H82" s="63"/>
      <c r="I82" s="63"/>
      <c r="J82" s="63"/>
      <c r="K82" s="63"/>
      <c r="L82" s="63"/>
      <c r="M82" s="62">
        <v>0</v>
      </c>
      <c r="N82" s="62">
        <v>0</v>
      </c>
      <c r="O82" s="62">
        <v>0</v>
      </c>
      <c r="P82" s="62">
        <v>0</v>
      </c>
      <c r="Q82" s="62">
        <v>0</v>
      </c>
    </row>
    <row r="83" spans="2:17" x14ac:dyDescent="0.2">
      <c r="B83" t="s">
        <v>197</v>
      </c>
      <c r="G83" s="63"/>
      <c r="H83" s="63"/>
      <c r="I83" s="63"/>
      <c r="J83" s="63"/>
      <c r="K83" s="63"/>
      <c r="L83" s="63"/>
      <c r="M83" s="62">
        <v>0</v>
      </c>
      <c r="N83" s="62">
        <v>0</v>
      </c>
      <c r="O83" s="62">
        <v>0</v>
      </c>
      <c r="P83" s="62">
        <v>0</v>
      </c>
      <c r="Q83" s="62">
        <v>0</v>
      </c>
    </row>
  </sheetData>
  <dataValidations count="2">
    <dataValidation type="list" allowBlank="1" showInputMessage="1" showErrorMessage="1" sqref="D9" xr:uid="{53CAD1C6-97A5-E641-970A-1E6EDADFF973}">
      <formula1>"1, 2, 3, 4"</formula1>
    </dataValidation>
    <dataValidation type="list" allowBlank="1" showInputMessage="1" showErrorMessage="1" sqref="V4:V10" xr:uid="{F38D2DA8-34A0-F14A-AD48-B605ABE624BF}">
      <formula1>"1, 2, 3, 4, 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Hensoldt AG</vt:lpstr>
      <vt:lpstr>Inputs</vt:lpstr>
      <vt:lpstr>IS</vt:lpstr>
      <vt:lpstr>IS Neu</vt:lpstr>
      <vt:lpstr>BS</vt:lpstr>
      <vt:lpstr>BS Neu</vt:lpstr>
      <vt:lpstr>CF</vt:lpstr>
      <vt:lpstr>CF Neu </vt:lpstr>
      <vt:lpstr>Revenue &amp; Expenses</vt:lpstr>
      <vt:lpstr>FA-Forecast</vt:lpstr>
      <vt:lpstr>WC &amp; other Assets </vt:lpstr>
      <vt:lpstr>Debt &amp; Cash</vt:lpstr>
      <vt:lpstr>DCF Valuation </vt:lpstr>
      <vt:lpstr>Competitors KPI's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ufipx</dc:creator>
  <cp:lastModifiedBy>ufipx</cp:lastModifiedBy>
  <dcterms:created xsi:type="dcterms:W3CDTF">2025-09-10T13:05:45Z</dcterms:created>
  <dcterms:modified xsi:type="dcterms:W3CDTF">2025-10-22T17:59:48Z</dcterms:modified>
</cp:coreProperties>
</file>