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GithubProject\VScode\"/>
    </mc:Choice>
  </mc:AlternateContent>
  <xr:revisionPtr revIDLastSave="0" documentId="13_ncr:1_{218E33AA-FB86-49E8-83AF-61323EC32A78}" xr6:coauthVersionLast="47" xr6:coauthVersionMax="47" xr10:uidLastSave="{00000000-0000-0000-0000-000000000000}"/>
  <bookViews>
    <workbookView xWindow="28680" yWindow="-120" windowWidth="29040" windowHeight="15840" firstSheet="1" activeTab="5" xr2:uid="{00000000-000D-0000-FFFF-FFFF00000000}"/>
  </bookViews>
  <sheets>
    <sheet name="双立柱条形基础稳定验算" sheetId="2" r:id="rId1"/>
    <sheet name="三立柱条形基础稳定验算" sheetId="6" r:id="rId2"/>
    <sheet name="单圆形柱墩基础稳定验算" sheetId="3" r:id="rId3"/>
    <sheet name="单距形柱墩基础稳定验算" sheetId="5" r:id="rId4"/>
    <sheet name="桩基水平承载力及抗压抗拔" sheetId="8" r:id="rId5"/>
    <sheet name="桩的抗倾覆验算" sheetId="11" r:id="rId6"/>
    <sheet name="螺旋钢管桩" sheetId="10" r:id="rId7"/>
    <sheet name="Sheet3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1" l="1"/>
  <c r="B70" i="11"/>
  <c r="B72" i="11"/>
  <c r="B73" i="11"/>
  <c r="B77" i="11" s="1"/>
  <c r="D75" i="11"/>
  <c r="B76" i="11"/>
  <c r="D76" i="11"/>
  <c r="H77" i="11"/>
  <c r="B13" i="10"/>
  <c r="C13" i="10"/>
  <c r="D13" i="10"/>
  <c r="B14" i="10"/>
  <c r="C14" i="10"/>
  <c r="D14" i="10"/>
  <c r="B15" i="10"/>
  <c r="C15" i="10"/>
  <c r="D15" i="10"/>
  <c r="D20" i="10" s="1"/>
  <c r="D22" i="10" s="1"/>
  <c r="D23" i="10" s="1"/>
  <c r="B16" i="10"/>
  <c r="C16" i="10"/>
  <c r="C20" i="10" s="1"/>
  <c r="C22" i="10" s="1"/>
  <c r="C23" i="10" s="1"/>
  <c r="D16" i="10"/>
  <c r="D17" i="10"/>
  <c r="B18" i="10"/>
  <c r="C18" i="10"/>
  <c r="D18" i="10"/>
  <c r="B19" i="10"/>
  <c r="B57" i="10" s="1"/>
  <c r="C19" i="10"/>
  <c r="D19" i="10"/>
  <c r="B21" i="10"/>
  <c r="C21" i="10"/>
  <c r="D21" i="10"/>
  <c r="B27" i="10"/>
  <c r="C27" i="10"/>
  <c r="D27" i="10"/>
  <c r="B28" i="10"/>
  <c r="C28" i="10"/>
  <c r="D28" i="10"/>
  <c r="B29" i="10"/>
  <c r="C29" i="10"/>
  <c r="C35" i="10" s="1"/>
  <c r="C36" i="10" s="1"/>
  <c r="D29" i="10"/>
  <c r="B30" i="10"/>
  <c r="C30" i="10"/>
  <c r="D30" i="10"/>
  <c r="D31" i="10"/>
  <c r="B32" i="10"/>
  <c r="C32" i="10"/>
  <c r="D32" i="10"/>
  <c r="B33" i="10"/>
  <c r="C33" i="10"/>
  <c r="D33" i="10"/>
  <c r="B34" i="10"/>
  <c r="C34" i="10"/>
  <c r="D34" i="10"/>
  <c r="D35" i="10" s="1"/>
  <c r="D36" i="10" s="1"/>
  <c r="B35" i="10"/>
  <c r="B36" i="10" s="1"/>
  <c r="B56" i="10"/>
  <c r="C31" i="8"/>
  <c r="D29" i="8"/>
  <c r="E40" i="8" s="1"/>
  <c r="D24" i="8"/>
  <c r="D23" i="8"/>
  <c r="D25" i="8" s="1"/>
  <c r="E8" i="8"/>
  <c r="D6" i="8"/>
  <c r="B8" i="8" s="1"/>
  <c r="C8" i="8" s="1"/>
  <c r="B31" i="8" s="1"/>
  <c r="D33" i="8" s="1"/>
  <c r="C6" i="8"/>
  <c r="B6" i="8"/>
  <c r="D4" i="8"/>
  <c r="D20" i="8" s="1"/>
  <c r="D21" i="8" s="1"/>
  <c r="G2" i="6"/>
  <c r="G19" i="6"/>
  <c r="G3" i="6"/>
  <c r="G18" i="6" s="1"/>
  <c r="G13" i="6"/>
  <c r="G6" i="6"/>
  <c r="G17" i="5"/>
  <c r="G2" i="5"/>
  <c r="G16" i="5" s="1"/>
  <c r="G11" i="5"/>
  <c r="G5" i="5"/>
  <c r="G17" i="3"/>
  <c r="G16" i="3"/>
  <c r="G11" i="3"/>
  <c r="G5" i="3"/>
  <c r="G2" i="3"/>
  <c r="G20" i="2"/>
  <c r="G14" i="2"/>
  <c r="G18" i="2"/>
  <c r="G17" i="2"/>
  <c r="G12" i="2"/>
  <c r="G6" i="2"/>
  <c r="G2" i="2"/>
  <c r="G3" i="2" s="1"/>
  <c r="B20" i="10" l="1"/>
  <c r="B22" i="10" s="1"/>
  <c r="B23" i="10" s="1"/>
  <c r="D45" i="8"/>
  <c r="D44" i="8"/>
  <c r="D36" i="8"/>
  <c r="C35" i="8"/>
  <c r="G12" i="6"/>
  <c r="G14" i="6" s="1"/>
  <c r="G15" i="6" s="1"/>
  <c r="G20" i="6"/>
  <c r="G21" i="6" s="1"/>
  <c r="G7" i="6"/>
  <c r="G8" i="6" s="1"/>
  <c r="G18" i="5"/>
  <c r="G19" i="5" s="1"/>
  <c r="G6" i="5"/>
  <c r="G7" i="5" s="1"/>
  <c r="G10" i="5"/>
  <c r="G12" i="5" s="1"/>
  <c r="G13" i="5" s="1"/>
  <c r="G10" i="3"/>
  <c r="G12" i="3" s="1"/>
  <c r="G13" i="3" s="1"/>
  <c r="G18" i="3"/>
  <c r="G19" i="3" s="1"/>
  <c r="G6" i="3"/>
  <c r="G7" i="3" s="1"/>
  <c r="G19" i="2"/>
  <c r="G11" i="2"/>
  <c r="G13" i="2" s="1"/>
  <c r="G7" i="2"/>
  <c r="G8" i="2" s="1"/>
</calcChain>
</file>

<file path=xl/sharedStrings.xml><?xml version="1.0" encoding="utf-8"?>
<sst xmlns="http://schemas.openxmlformats.org/spreadsheetml/2006/main" count="392" uniqueCount="178">
  <si>
    <t>基本输入</t>
    <phoneticPr fontId="1" type="noConversion"/>
  </si>
  <si>
    <t>kN/m2</t>
    <phoneticPr fontId="1" type="noConversion"/>
  </si>
  <si>
    <r>
      <t>基本风压w</t>
    </r>
    <r>
      <rPr>
        <sz val="8"/>
        <color theme="1"/>
        <rFont val="等线"/>
        <family val="3"/>
        <charset val="134"/>
        <scheme val="minor"/>
      </rPr>
      <t>0</t>
    </r>
    <phoneticPr fontId="1" type="noConversion"/>
  </si>
  <si>
    <r>
      <t>风压高度变化系数</t>
    </r>
    <r>
      <rPr>
        <sz val="11"/>
        <color theme="1"/>
        <rFont val="等线"/>
        <family val="2"/>
        <charset val="134"/>
      </rPr>
      <t>μ</t>
    </r>
    <r>
      <rPr>
        <sz val="11"/>
        <color theme="1"/>
        <rFont val="等线"/>
        <family val="3"/>
        <charset val="134"/>
      </rPr>
      <t>z</t>
    </r>
    <phoneticPr fontId="1" type="noConversion"/>
  </si>
  <si>
    <t>光伏组件倾角</t>
    <phoneticPr fontId="1" type="noConversion"/>
  </si>
  <si>
    <t>°</t>
    <phoneticPr fontId="1" type="noConversion"/>
  </si>
  <si>
    <t>整体体型系数</t>
    <phoneticPr fontId="1" type="noConversion"/>
  </si>
  <si>
    <t>前后立柱间距</t>
    <phoneticPr fontId="1" type="noConversion"/>
  </si>
  <si>
    <t>m</t>
    <phoneticPr fontId="1" type="noConversion"/>
  </si>
  <si>
    <t>支架纵向间距</t>
    <phoneticPr fontId="1" type="noConversion"/>
  </si>
  <si>
    <t>前立柱柱脚荷载值</t>
    <phoneticPr fontId="1" type="noConversion"/>
  </si>
  <si>
    <t>水平力Fx</t>
    <phoneticPr fontId="1" type="noConversion"/>
  </si>
  <si>
    <t xml:space="preserve">kN </t>
    <phoneticPr fontId="1" type="noConversion"/>
  </si>
  <si>
    <t>拔力Fy</t>
    <phoneticPr fontId="1" type="noConversion"/>
  </si>
  <si>
    <t>拉力为正，压力为负</t>
    <phoneticPr fontId="1" type="noConversion"/>
  </si>
  <si>
    <t>弯矩</t>
    <phoneticPr fontId="1" type="noConversion"/>
  </si>
  <si>
    <t>kN.m</t>
    <phoneticPr fontId="1" type="noConversion"/>
  </si>
  <si>
    <t>后立柱柱脚荷载值</t>
    <phoneticPr fontId="1" type="noConversion"/>
  </si>
  <si>
    <t>条形基础距前立柱外伸</t>
    <phoneticPr fontId="1" type="noConversion"/>
  </si>
  <si>
    <t>条形基础距后立柱外伸</t>
    <phoneticPr fontId="1" type="noConversion"/>
  </si>
  <si>
    <t>稳定性复核</t>
    <phoneticPr fontId="1" type="noConversion"/>
  </si>
  <si>
    <t>抗拔稳定验算</t>
    <phoneticPr fontId="1" type="noConversion"/>
  </si>
  <si>
    <t>条形基础高度</t>
    <phoneticPr fontId="1" type="noConversion"/>
  </si>
  <si>
    <t>条形基础宽度</t>
    <phoneticPr fontId="1" type="noConversion"/>
  </si>
  <si>
    <t>条形基础总长度</t>
    <phoneticPr fontId="1" type="noConversion"/>
  </si>
  <si>
    <t>条形基础自重</t>
    <phoneticPr fontId="1" type="noConversion"/>
  </si>
  <si>
    <t>总拔力</t>
    <phoneticPr fontId="1" type="noConversion"/>
  </si>
  <si>
    <t>抗拔稳定系数</t>
    <phoneticPr fontId="1" type="noConversion"/>
  </si>
  <si>
    <t>抗滑移稳定系数</t>
    <phoneticPr fontId="1" type="noConversion"/>
  </si>
  <si>
    <t>总抗滑力</t>
    <phoneticPr fontId="1" type="noConversion"/>
  </si>
  <si>
    <t>基础底面摩擦系数</t>
    <phoneticPr fontId="1" type="noConversion"/>
  </si>
  <si>
    <t>总滑动力</t>
    <phoneticPr fontId="1" type="noConversion"/>
  </si>
  <si>
    <t>区分方向</t>
    <phoneticPr fontId="1" type="noConversion"/>
  </si>
  <si>
    <t>抗倾覆稳定验算</t>
    <phoneticPr fontId="1" type="noConversion"/>
  </si>
  <si>
    <t>抗滑移稳定验算</t>
    <phoneticPr fontId="1" type="noConversion"/>
  </si>
  <si>
    <t>总抗倾覆力</t>
    <phoneticPr fontId="1" type="noConversion"/>
  </si>
  <si>
    <t>总倾覆力</t>
    <phoneticPr fontId="1" type="noConversion"/>
  </si>
  <si>
    <t>抗倾覆稳定系数</t>
    <phoneticPr fontId="1" type="noConversion"/>
  </si>
  <si>
    <t>是否满足</t>
    <phoneticPr fontId="1" type="noConversion"/>
  </si>
  <si>
    <t>项目参数，不影响计算</t>
    <phoneticPr fontId="1" type="noConversion"/>
  </si>
  <si>
    <t>圆柱形基础高度</t>
    <phoneticPr fontId="1" type="noConversion"/>
  </si>
  <si>
    <t>圆柱形基础半径</t>
    <phoneticPr fontId="1" type="noConversion"/>
  </si>
  <si>
    <t>混凝土容重按24kN/m</t>
    <phoneticPr fontId="1" type="noConversion"/>
  </si>
  <si>
    <t>基础尺寸</t>
    <phoneticPr fontId="1" type="noConversion"/>
  </si>
  <si>
    <t>柱脚荷载值</t>
    <phoneticPr fontId="1" type="noConversion"/>
  </si>
  <si>
    <t>不区分方向，均输入正值</t>
    <phoneticPr fontId="1" type="noConversion"/>
  </si>
  <si>
    <t>矩形基础高度</t>
    <phoneticPr fontId="1" type="noConversion"/>
  </si>
  <si>
    <t>矩形基础宽度</t>
    <phoneticPr fontId="1" type="noConversion"/>
  </si>
  <si>
    <t>矩形基础长度</t>
    <phoneticPr fontId="1" type="noConversion"/>
  </si>
  <si>
    <t>中立柱柱脚荷载值</t>
    <phoneticPr fontId="1" type="noConversion"/>
  </si>
  <si>
    <t>前中立柱间距</t>
    <phoneticPr fontId="1" type="noConversion"/>
  </si>
  <si>
    <t>中后立柱间距</t>
    <phoneticPr fontId="1" type="noConversion"/>
  </si>
  <si>
    <t>m</t>
    <phoneticPr fontId="1" type="noConversion"/>
  </si>
  <si>
    <t>计算三个立柱均为拔力工况</t>
    <phoneticPr fontId="1" type="noConversion"/>
  </si>
  <si>
    <t>灌注桩计算</t>
  </si>
  <si>
    <t>一、</t>
  </si>
  <si>
    <t>桩参数</t>
  </si>
  <si>
    <t>桩外径d（m）</t>
  </si>
  <si>
    <t>周长u（m）</t>
  </si>
  <si>
    <t>保护层厚度（mm）</t>
  </si>
  <si>
    <t>二、</t>
  </si>
  <si>
    <t>桩顶荷载效应组合值</t>
  </si>
  <si>
    <t>水平力标准值
（kN)</t>
  </si>
  <si>
    <t>竖向力压力标准值
（kN)</t>
  </si>
  <si>
    <t>竖向力拉力标准值
（kN)</t>
  </si>
  <si>
    <t>三、</t>
  </si>
  <si>
    <t>土层参数</t>
  </si>
  <si>
    <t>素填土</t>
  </si>
  <si>
    <t>C（kPa）</t>
  </si>
  <si>
    <t>Ф（度）</t>
  </si>
  <si>
    <t>抗拔系数 λi</t>
  </si>
  <si>
    <t>沙土0.5</t>
  </si>
  <si>
    <t>岩石0.8</t>
  </si>
  <si>
    <t>其他0.7</t>
  </si>
  <si>
    <t>L（m）</t>
  </si>
  <si>
    <t>四、</t>
  </si>
  <si>
    <t>单桩竖向极限承载力标准值</t>
  </si>
  <si>
    <t>kN</t>
  </si>
  <si>
    <t>抗压承载力特征值</t>
  </si>
  <si>
    <t>满足</t>
  </si>
  <si>
    <t>五、</t>
  </si>
  <si>
    <t>单桩抗拔极限承载力标准值</t>
  </si>
  <si>
    <t>桩自重</t>
  </si>
  <si>
    <t>抗拔特征值</t>
  </si>
  <si>
    <t>六、</t>
  </si>
  <si>
    <t>单桩水平承载力特征值(由水平位移控制）</t>
  </si>
  <si>
    <t>桩深取值（m）</t>
  </si>
  <si>
    <t>换算埋深αh（m）</t>
  </si>
  <si>
    <t>桩顶水平位移系数
Vx</t>
  </si>
  <si>
    <t>=</t>
  </si>
  <si>
    <t>七、</t>
  </si>
  <si>
    <t>单桩水平承载力特征值(由桩身强度控制）</t>
  </si>
  <si>
    <t>桩截面模量塑性系数
γm</t>
  </si>
  <si>
    <r>
      <rPr>
        <sz val="12"/>
        <color rgb="FF000000"/>
        <rFont val="宋体"/>
        <family val="3"/>
        <charset val="134"/>
      </rPr>
      <t>桩内径d</t>
    </r>
    <r>
      <rPr>
        <vertAlign val="subscript"/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（m）</t>
    </r>
  </si>
  <si>
    <r>
      <rPr>
        <sz val="12"/>
        <color rgb="FF000000"/>
        <rFont val="宋体"/>
        <family val="3"/>
        <charset val="134"/>
      </rPr>
      <t>A</t>
    </r>
    <r>
      <rPr>
        <vertAlign val="subscript"/>
        <sz val="12"/>
        <color rgb="FF000000"/>
        <rFont val="宋体"/>
        <family val="3"/>
        <charset val="134"/>
      </rPr>
      <t>j</t>
    </r>
    <r>
      <rPr>
        <sz val="12"/>
        <color rgb="FF000000"/>
        <rFont val="宋体"/>
        <family val="3"/>
        <charset val="134"/>
      </rPr>
      <t>（m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</si>
  <si>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A</t>
    </r>
    <r>
      <rPr>
        <vertAlign val="subscript"/>
        <sz val="12"/>
        <color rgb="FF000000"/>
        <rFont val="宋体"/>
        <family val="3"/>
        <charset val="134"/>
      </rPr>
      <t>p1</t>
    </r>
    <r>
      <rPr>
        <sz val="12"/>
        <color rgb="FF000000"/>
        <rFont val="宋体"/>
        <family val="3"/>
        <charset val="134"/>
      </rPr>
      <t>（m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</si>
  <si>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除去保护层d</t>
    </r>
    <r>
      <rPr>
        <vertAlign val="subscript"/>
        <sz val="12"/>
        <color rgb="FF000000"/>
        <rFont val="宋体"/>
        <family val="3"/>
        <charset val="134"/>
      </rPr>
      <t>0</t>
    </r>
    <r>
      <rPr>
        <sz val="12"/>
        <color rgb="FF000000"/>
        <rFont val="宋体"/>
        <family val="3"/>
        <charset val="134"/>
      </rPr>
      <t>（m）</t>
    </r>
  </si>
  <si>
    <r>
      <rPr>
        <sz val="12"/>
        <color rgb="FF000000"/>
        <rFont val="宋体"/>
        <family val="3"/>
        <charset val="134"/>
      </rPr>
      <t>换算截面模量
W</t>
    </r>
    <r>
      <rPr>
        <vertAlign val="subscript"/>
        <sz val="12"/>
        <color rgb="FF000000"/>
        <rFont val="宋体"/>
        <family val="3"/>
        <charset val="134"/>
      </rPr>
      <t>0</t>
    </r>
    <r>
      <rPr>
        <sz val="12"/>
        <color rgb="FF000000"/>
        <rFont val="宋体"/>
        <family val="3"/>
        <charset val="134"/>
      </rPr>
      <t>(m</t>
    </r>
    <r>
      <rPr>
        <vertAlign val="superscript"/>
        <sz val="12"/>
        <color rgb="FF000000"/>
        <rFont val="宋体"/>
        <family val="3"/>
        <charset val="134"/>
      </rPr>
      <t>3</t>
    </r>
    <r>
      <rPr>
        <sz val="12"/>
        <color rgb="FF000000"/>
        <rFont val="宋体"/>
        <family val="3"/>
        <charset val="134"/>
      </rPr>
      <t>)</t>
    </r>
  </si>
  <si>
    <r>
      <rPr>
        <sz val="12"/>
        <color rgb="FF000000"/>
        <rFont val="宋体"/>
        <family val="3"/>
        <charset val="134"/>
      </rPr>
      <t>换算截面惯性矩
I</t>
    </r>
    <r>
      <rPr>
        <vertAlign val="subscript"/>
        <sz val="12"/>
        <color rgb="FF000000"/>
        <rFont val="宋体"/>
        <family val="3"/>
        <charset val="134"/>
      </rPr>
      <t>0</t>
    </r>
    <r>
      <rPr>
        <sz val="12"/>
        <color rgb="FF000000"/>
        <rFont val="宋体"/>
        <family val="3"/>
        <charset val="134"/>
      </rPr>
      <t>(m</t>
    </r>
    <r>
      <rPr>
        <vertAlign val="superscript"/>
        <sz val="12"/>
        <color rgb="FF000000"/>
        <rFont val="宋体"/>
        <family val="3"/>
        <charset val="134"/>
      </rPr>
      <t>4</t>
    </r>
    <r>
      <rPr>
        <sz val="12"/>
        <color rgb="FF000000"/>
        <rFont val="宋体"/>
        <family val="3"/>
        <charset val="134"/>
      </rPr>
      <t>)</t>
    </r>
  </si>
  <si>
    <r>
      <rPr>
        <sz val="12"/>
        <color rgb="FF000000"/>
        <rFont val="宋体"/>
        <family val="3"/>
        <charset val="134"/>
      </rPr>
      <t>桩身配筋率ρ</t>
    </r>
    <r>
      <rPr>
        <vertAlign val="subscript"/>
        <sz val="12"/>
        <color rgb="FF000000"/>
        <rFont val="宋体"/>
        <family val="3"/>
        <charset val="134"/>
      </rPr>
      <t>g</t>
    </r>
  </si>
  <si>
    <r>
      <rPr>
        <sz val="12"/>
        <color rgb="FF000000"/>
        <rFont val="宋体"/>
        <family val="3"/>
        <charset val="134"/>
      </rPr>
      <t>钢筋面积A</t>
    </r>
    <r>
      <rPr>
        <vertAlign val="subscript"/>
        <sz val="12"/>
        <color rgb="FF000000"/>
        <rFont val="宋体"/>
        <family val="3"/>
        <charset val="134"/>
      </rPr>
      <t>s</t>
    </r>
    <r>
      <rPr>
        <sz val="12"/>
        <color rgb="FF000000"/>
        <rFont val="宋体"/>
        <family val="3"/>
        <charset val="134"/>
      </rPr>
      <t>（m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</si>
  <si>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sik</t>
    </r>
    <r>
      <rPr>
        <sz val="12"/>
        <color rgb="FF000000"/>
        <rFont val="宋体"/>
        <family val="3"/>
        <charset val="134"/>
      </rPr>
      <t>（kPa）</t>
    </r>
  </si>
  <si>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pk</t>
    </r>
    <r>
      <rPr>
        <sz val="12"/>
        <color rgb="FF000000"/>
        <rFont val="宋体"/>
        <family val="3"/>
        <charset val="134"/>
      </rPr>
      <t>（kPa）</t>
    </r>
  </si>
  <si>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uk</t>
    </r>
    <r>
      <rPr>
        <sz val="12"/>
        <color rgb="FF000000"/>
        <rFont val="宋体"/>
        <family val="3"/>
        <charset val="134"/>
      </rPr>
      <t>=Q</t>
    </r>
    <r>
      <rPr>
        <vertAlign val="subscript"/>
        <sz val="12"/>
        <color rgb="FF000000"/>
        <rFont val="宋体"/>
        <family val="3"/>
        <charset val="134"/>
      </rPr>
      <t>sk</t>
    </r>
    <r>
      <rPr>
        <sz val="12"/>
        <color rgb="FF000000"/>
        <rFont val="宋体"/>
        <family val="3"/>
        <charset val="134"/>
      </rPr>
      <t>+Q</t>
    </r>
    <r>
      <rPr>
        <vertAlign val="subscript"/>
        <sz val="12"/>
        <color rgb="FF000000"/>
        <rFont val="宋体"/>
        <family val="3"/>
        <charset val="134"/>
      </rPr>
      <t>pk</t>
    </r>
    <r>
      <rPr>
        <sz val="12"/>
        <color rgb="FF000000"/>
        <rFont val="宋体"/>
        <family val="3"/>
        <charset val="134"/>
      </rPr>
      <t>=u</t>
    </r>
    <r>
      <rPr>
        <sz val="12"/>
        <color rgb="FF000000"/>
        <rFont val="宋体"/>
        <family val="3"/>
        <charset val="134"/>
      </rPr>
      <t>Σ</t>
    </r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sik</t>
    </r>
    <r>
      <rPr>
        <sz val="12"/>
        <color rgb="FF000000"/>
        <rFont val="宋体"/>
        <family val="3"/>
        <charset val="134"/>
      </rPr>
      <t>L</t>
    </r>
    <r>
      <rPr>
        <vertAlign val="subscript"/>
        <sz val="12"/>
        <color rgb="FF000000"/>
        <rFont val="宋体"/>
        <family val="3"/>
        <charset val="134"/>
      </rPr>
      <t>i</t>
    </r>
    <r>
      <rPr>
        <sz val="12"/>
        <color rgb="FF000000"/>
        <rFont val="宋体"/>
        <family val="3"/>
        <charset val="134"/>
      </rPr>
      <t>+q</t>
    </r>
    <r>
      <rPr>
        <vertAlign val="subscript"/>
        <sz val="12"/>
        <color rgb="FF000000"/>
        <rFont val="宋体"/>
        <family val="3"/>
        <charset val="134"/>
      </rPr>
      <t>pk</t>
    </r>
    <r>
      <rPr>
        <sz val="12"/>
        <color rgb="FF000000"/>
        <rFont val="宋体"/>
        <family val="3"/>
        <charset val="134"/>
      </rPr>
      <t>A</t>
    </r>
    <r>
      <rPr>
        <vertAlign val="subscript"/>
        <sz val="12"/>
        <color rgb="FF000000"/>
        <rFont val="宋体"/>
        <family val="3"/>
        <charset val="134"/>
      </rPr>
      <t>j</t>
    </r>
    <r>
      <rPr>
        <sz val="12"/>
        <color rgb="FF000000"/>
        <rFont val="宋体"/>
        <family val="3"/>
        <charset val="134"/>
      </rPr>
      <t>=</t>
    </r>
  </si>
  <si>
    <r>
      <rPr>
        <sz val="12"/>
        <color rgb="FF000000"/>
        <rFont val="宋体"/>
        <family val="3"/>
        <charset val="134"/>
      </rPr>
      <t>T</t>
    </r>
    <r>
      <rPr>
        <vertAlign val="subscript"/>
        <sz val="12"/>
        <color rgb="FF000000"/>
        <rFont val="宋体"/>
        <family val="3"/>
        <charset val="134"/>
      </rPr>
      <t>uk</t>
    </r>
    <r>
      <rPr>
        <sz val="12"/>
        <color rgb="FF000000"/>
        <rFont val="宋体"/>
        <family val="3"/>
        <charset val="134"/>
      </rPr>
      <t>=</t>
    </r>
    <r>
      <rPr>
        <sz val="12"/>
        <color rgb="FF000000"/>
        <rFont val="宋体"/>
        <family val="3"/>
        <charset val="134"/>
      </rPr>
      <t>λ</t>
    </r>
    <r>
      <rPr>
        <vertAlign val="subscript"/>
        <sz val="12"/>
        <color rgb="FF000000"/>
        <rFont val="宋体"/>
        <family val="3"/>
        <charset val="134"/>
      </rPr>
      <t>i</t>
    </r>
    <r>
      <rPr>
        <sz val="12"/>
        <color rgb="FF000000"/>
        <rFont val="宋体"/>
        <family val="3"/>
        <charset val="134"/>
      </rPr>
      <t>q</t>
    </r>
    <r>
      <rPr>
        <vertAlign val="subscript"/>
        <sz val="12"/>
        <color rgb="FF000000"/>
        <rFont val="宋体"/>
        <family val="3"/>
        <charset val="134"/>
      </rPr>
      <t>sik</t>
    </r>
    <r>
      <rPr>
        <sz val="12"/>
        <color rgb="FF000000"/>
        <rFont val="宋体"/>
        <family val="3"/>
        <charset val="134"/>
      </rPr>
      <t>u</t>
    </r>
    <r>
      <rPr>
        <vertAlign val="subscript"/>
        <sz val="12"/>
        <color rgb="FF000000"/>
        <rFont val="宋体"/>
        <family val="3"/>
        <charset val="134"/>
      </rPr>
      <t>i</t>
    </r>
    <r>
      <rPr>
        <sz val="12"/>
        <color rgb="FF000000"/>
        <rFont val="宋体"/>
        <family val="3"/>
        <charset val="134"/>
      </rPr>
      <t>L</t>
    </r>
    <r>
      <rPr>
        <vertAlign val="subscript"/>
        <sz val="12"/>
        <color rgb="FF000000"/>
        <rFont val="宋体"/>
        <family val="3"/>
        <charset val="134"/>
      </rPr>
      <t>i</t>
    </r>
    <r>
      <rPr>
        <sz val="12"/>
        <color rgb="FF000000"/>
        <rFont val="宋体"/>
        <family val="3"/>
        <charset val="134"/>
      </rPr>
      <t>=</t>
    </r>
  </si>
  <si>
    <r>
      <rPr>
        <sz val="12"/>
        <color rgb="FF000000"/>
        <rFont val="宋体"/>
        <family val="3"/>
        <charset val="134"/>
      </rPr>
      <t>桩身配筋率ρ</t>
    </r>
    <r>
      <rPr>
        <vertAlign val="subscript"/>
        <sz val="12"/>
        <color rgb="FF000000"/>
        <rFont val="宋体"/>
        <family val="3"/>
        <charset val="134"/>
      </rPr>
      <t>g</t>
    </r>
    <r>
      <rPr>
        <sz val="12"/>
        <color rgb="FF000000"/>
        <rFont val="宋体"/>
        <family val="3"/>
        <charset val="134"/>
      </rPr>
      <t>&gt;0.65%</t>
    </r>
  </si>
  <si>
    <r>
      <rPr>
        <sz val="12"/>
        <color rgb="FF000000"/>
        <rFont val="宋体"/>
        <family val="3"/>
        <charset val="134"/>
      </rPr>
      <t>混凝土弹性模量C30
Ec（N/mm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</si>
  <si>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钢筋弹性模量HRB400
Es（N/mm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</si>
  <si>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α</t>
    </r>
    <r>
      <rPr>
        <vertAlign val="subscript"/>
        <sz val="12"/>
        <color rgb="FF000000"/>
        <rFont val="宋体"/>
        <family val="3"/>
        <charset val="134"/>
      </rPr>
      <t>E</t>
    </r>
    <r>
      <rPr>
        <sz val="12"/>
        <color rgb="FF000000"/>
        <rFont val="宋体"/>
        <family val="3"/>
        <charset val="134"/>
      </rPr>
      <t>=E</t>
    </r>
    <r>
      <rPr>
        <vertAlign val="subscript"/>
        <sz val="12"/>
        <color rgb="FF000000"/>
        <rFont val="宋体"/>
        <family val="3"/>
        <charset val="134"/>
      </rPr>
      <t>s</t>
    </r>
    <r>
      <rPr>
        <sz val="12"/>
        <color rgb="FF000000"/>
        <rFont val="宋体"/>
        <family val="3"/>
        <charset val="134"/>
      </rPr>
      <t>/E</t>
    </r>
    <r>
      <rPr>
        <vertAlign val="subscript"/>
        <sz val="12"/>
        <color rgb="FF000000"/>
        <rFont val="宋体"/>
        <family val="3"/>
        <charset val="134"/>
      </rPr>
      <t>c</t>
    </r>
  </si>
  <si>
    <r>
      <rPr>
        <sz val="12"/>
        <color rgb="FF000000"/>
        <rFont val="宋体"/>
        <family val="3"/>
        <charset val="134"/>
      </rPr>
      <t>桩身抗弯刚度
EI(kN*m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)</t>
    </r>
  </si>
  <si>
    <r>
      <rPr>
        <sz val="12"/>
        <color rgb="FF000000"/>
        <rFont val="宋体"/>
        <family val="3"/>
        <charset val="134"/>
      </rPr>
      <t>桩身计算宽度
b</t>
    </r>
    <r>
      <rPr>
        <vertAlign val="subscript"/>
        <sz val="12"/>
        <color rgb="FF000000"/>
        <rFont val="宋体"/>
        <family val="3"/>
        <charset val="134"/>
      </rPr>
      <t>0</t>
    </r>
    <r>
      <rPr>
        <sz val="12"/>
        <color rgb="FF000000"/>
        <rFont val="宋体"/>
        <family val="3"/>
        <charset val="134"/>
      </rPr>
      <t>（m）</t>
    </r>
  </si>
  <si>
    <r>
      <rPr>
        <sz val="12"/>
        <color rgb="FF000000"/>
        <rFont val="宋体"/>
        <family val="3"/>
        <charset val="134"/>
      </rPr>
      <t>桩顶水平位移允许值
X</t>
    </r>
    <r>
      <rPr>
        <vertAlign val="subscript"/>
        <sz val="12"/>
        <color rgb="FF000000"/>
        <rFont val="宋体"/>
        <family val="3"/>
        <charset val="134"/>
      </rPr>
      <t>0a</t>
    </r>
    <r>
      <rPr>
        <sz val="12"/>
        <color rgb="FF000000"/>
        <rFont val="宋体"/>
        <family val="3"/>
        <charset val="134"/>
      </rPr>
      <t>（m）</t>
    </r>
  </si>
  <si>
    <r>
      <rPr>
        <sz val="12"/>
        <color rgb="FF000000"/>
        <rFont val="宋体"/>
        <family val="3"/>
        <charset val="134"/>
      </rPr>
      <t>水平抗力比例系数
m（MN/m</t>
    </r>
    <r>
      <rPr>
        <vertAlign val="superscript"/>
        <sz val="12"/>
        <color rgb="FF000000"/>
        <rFont val="宋体"/>
        <family val="3"/>
        <charset val="134"/>
      </rPr>
      <t>4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</si>
  <si>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桩的水平变形系数
α（m</t>
    </r>
    <r>
      <rPr>
        <vertAlign val="superscript"/>
        <sz val="12"/>
        <color rgb="FF000000"/>
        <rFont val="宋体"/>
        <family val="3"/>
        <charset val="134"/>
      </rPr>
      <t>-1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</si>
  <si>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桩身配筋率ρ</t>
    </r>
    <r>
      <rPr>
        <vertAlign val="subscript"/>
        <sz val="12"/>
        <color rgb="FF000000"/>
        <rFont val="宋体"/>
        <family val="3"/>
        <charset val="134"/>
      </rPr>
      <t>g</t>
    </r>
    <r>
      <rPr>
        <sz val="12"/>
        <color rgb="FF000000"/>
        <rFont val="宋体"/>
        <family val="3"/>
        <charset val="134"/>
      </rPr>
      <t>&lt;0.65%</t>
    </r>
  </si>
  <si>
    <r>
      <rPr>
        <sz val="12"/>
        <color rgb="FF000000"/>
        <rFont val="宋体"/>
        <family val="3"/>
        <charset val="134"/>
      </rPr>
      <t>混凝土弹性模量C30
ft（N/mm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</si>
  <si>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宋体"/>
        <family val="3"/>
        <charset val="134"/>
      </rPr>
      <t>桩顶最大弯矩系数
V</t>
    </r>
    <r>
      <rPr>
        <vertAlign val="subscript"/>
        <sz val="12"/>
        <color rgb="FF000000"/>
        <rFont val="宋体"/>
        <family val="3"/>
        <charset val="134"/>
      </rPr>
      <t>M</t>
    </r>
  </si>
  <si>
    <r>
      <rPr>
        <sz val="12"/>
        <color rgb="FF000000"/>
        <rFont val="宋体"/>
        <family val="3"/>
        <charset val="134"/>
      </rPr>
      <t>桩身换算截面积
A</t>
    </r>
    <r>
      <rPr>
        <vertAlign val="subscript"/>
        <sz val="12"/>
        <color rgb="FF000000"/>
        <rFont val="宋体"/>
        <family val="3"/>
        <charset val="134"/>
      </rPr>
      <t>n</t>
    </r>
    <r>
      <rPr>
        <sz val="12"/>
        <color rgb="FF000000"/>
        <rFont val="宋体"/>
        <family val="3"/>
        <charset val="134"/>
      </rPr>
      <t>(m</t>
    </r>
    <r>
      <rPr>
        <vertAlign val="superscript"/>
        <sz val="12"/>
        <color rgb="FF000000"/>
        <rFont val="宋体"/>
        <family val="3"/>
        <charset val="134"/>
      </rPr>
      <t>2</t>
    </r>
    <r>
      <rPr>
        <sz val="12"/>
        <color rgb="FF000000"/>
        <rFont val="宋体"/>
        <family val="3"/>
        <charset val="134"/>
      </rPr>
      <t>)</t>
    </r>
  </si>
  <si>
    <r>
      <rPr>
        <sz val="12"/>
        <color rgb="FF000000"/>
        <rFont val="宋体"/>
        <family val="3"/>
        <charset val="134"/>
      </rPr>
      <t>桩顶竖向力影响系数
拉力</t>
    </r>
    <r>
      <rPr>
        <sz val="12"/>
        <color rgb="FF000000"/>
        <rFont val="宋体"/>
        <family val="3"/>
        <charset val="134"/>
      </rPr>
      <t>ζ</t>
    </r>
    <r>
      <rPr>
        <vertAlign val="subscript"/>
        <sz val="17.399999999999999"/>
        <color rgb="FF000000"/>
        <rFont val="宋体"/>
        <family val="3"/>
        <charset val="134"/>
      </rPr>
      <t>N</t>
    </r>
  </si>
  <si>
    <r>
      <rPr>
        <sz val="12"/>
        <color rgb="FF000000"/>
        <rFont val="宋体"/>
        <family val="3"/>
        <charset val="134"/>
      </rPr>
      <t xml:space="preserve">桩顶竖向力影响系数
压力 </t>
    </r>
    <r>
      <rPr>
        <sz val="12"/>
        <color rgb="FF000000"/>
        <rFont val="宋体"/>
        <family val="3"/>
        <charset val="134"/>
      </rPr>
      <t>ζ</t>
    </r>
    <r>
      <rPr>
        <vertAlign val="subscript"/>
        <sz val="17.399999999999999"/>
        <color rgb="FF000000"/>
        <rFont val="宋体"/>
        <family val="3"/>
        <charset val="134"/>
      </rPr>
      <t>N</t>
    </r>
  </si>
  <si>
    <r>
      <rPr>
        <sz val="12"/>
        <color rgb="FF000000"/>
        <rFont val="宋体"/>
        <family val="3"/>
        <charset val="134"/>
      </rPr>
      <t>压力时单桩水平承载力特征值 R</t>
    </r>
    <r>
      <rPr>
        <vertAlign val="subscript"/>
        <sz val="12"/>
        <color rgb="FF000000"/>
        <rFont val="宋体"/>
        <family val="3"/>
        <charset val="134"/>
      </rPr>
      <t>ha</t>
    </r>
    <r>
      <rPr>
        <sz val="12"/>
        <color rgb="FF000000"/>
        <rFont val="宋体"/>
        <family val="3"/>
        <charset val="134"/>
      </rPr>
      <t>=</t>
    </r>
  </si>
  <si>
    <r>
      <rPr>
        <sz val="12"/>
        <color rgb="FF000000"/>
        <rFont val="宋体"/>
        <family val="3"/>
        <charset val="134"/>
      </rPr>
      <t>拉力时单桩水平承载力特征值 R</t>
    </r>
    <r>
      <rPr>
        <vertAlign val="subscript"/>
        <sz val="12"/>
        <color rgb="FF000000"/>
        <rFont val="宋体"/>
        <family val="3"/>
        <charset val="134"/>
      </rPr>
      <t>ha</t>
    </r>
    <r>
      <rPr>
        <sz val="12"/>
        <color rgb="FF000000"/>
        <rFont val="宋体"/>
        <family val="3"/>
        <charset val="134"/>
      </rPr>
      <t>=</t>
    </r>
  </si>
  <si>
    <t>位于桩尖以下侧阻</t>
    <phoneticPr fontId="1" type="noConversion"/>
  </si>
  <si>
    <t>位于下叶片到桩尖侧阻</t>
    <phoneticPr fontId="1" type="noConversion"/>
  </si>
  <si>
    <t>位于上下叶片中侧阻</t>
    <phoneticPr fontId="1" type="noConversion"/>
  </si>
  <si>
    <t>位于上叶片以上侧阻</t>
    <phoneticPr fontId="1" type="noConversion"/>
  </si>
  <si>
    <t>土层1的位置</t>
    <phoneticPr fontId="1" type="noConversion"/>
  </si>
  <si>
    <t>抗拔承载力特征值</t>
    <phoneticPr fontId="1" type="noConversion"/>
  </si>
  <si>
    <t>抗压承载力特征值</t>
    <phoneticPr fontId="1" type="noConversion"/>
  </si>
  <si>
    <t>总极限侧阻力标准值</t>
    <phoneticPr fontId="1" type="noConversion"/>
  </si>
  <si>
    <t>中间叶片之间的长度</t>
    <phoneticPr fontId="1" type="noConversion"/>
  </si>
  <si>
    <t>上叶片到桩顶有效长度</t>
    <phoneticPr fontId="1" type="noConversion"/>
  </si>
  <si>
    <t>周长（πD）</t>
    <phoneticPr fontId="1" type="noConversion"/>
  </si>
  <si>
    <t>下叶片到桩底有效长度</t>
    <phoneticPr fontId="1" type="noConversion"/>
  </si>
  <si>
    <t>周长（πd）</t>
    <phoneticPr fontId="1" type="noConversion"/>
  </si>
  <si>
    <t>选用的周长计算公式</t>
    <phoneticPr fontId="1" type="noConversion"/>
  </si>
  <si>
    <t>抗拔承载力计算</t>
    <phoneticPr fontId="1" type="noConversion"/>
  </si>
  <si>
    <t>极限抗压承载力标准值</t>
    <phoneticPr fontId="1" type="noConversion"/>
  </si>
  <si>
    <t>总极限端阻力标准值</t>
    <phoneticPr fontId="1" type="noConversion"/>
  </si>
  <si>
    <t>中间叶片之间的长度</t>
  </si>
  <si>
    <t>抗压承载力计算</t>
    <phoneticPr fontId="1" type="noConversion"/>
  </si>
  <si>
    <t>下叶片到桩顶的距离</t>
    <phoneticPr fontId="1" type="noConversion"/>
  </si>
  <si>
    <t>上叶片到桩顶的距离</t>
    <phoneticPr fontId="1" type="noConversion"/>
  </si>
  <si>
    <t>叶片间距/m</t>
  </si>
  <si>
    <t>桩尖长/m</t>
  </si>
  <si>
    <t>桩长/m</t>
  </si>
  <si>
    <t>土层2</t>
    <phoneticPr fontId="1" type="noConversion"/>
  </si>
  <si>
    <t>叶片直径/m</t>
  </si>
  <si>
    <t>土层1</t>
    <phoneticPr fontId="1" type="noConversion"/>
  </si>
  <si>
    <t>桩径（管径）/m</t>
  </si>
  <si>
    <t>抗拔系数</t>
    <phoneticPr fontId="1" type="noConversion"/>
  </si>
  <si>
    <t>端阻力标准值</t>
    <phoneticPr fontId="1" type="noConversion"/>
  </si>
  <si>
    <t>侧阻力标准值</t>
    <phoneticPr fontId="1" type="noConversion"/>
  </si>
  <si>
    <t>土层厚度</t>
    <phoneticPr fontId="1" type="noConversion"/>
  </si>
  <si>
    <t>土层参数</t>
    <phoneticPr fontId="1" type="noConversion"/>
  </si>
  <si>
    <t>桩身参数</t>
    <phoneticPr fontId="1" type="noConversion"/>
  </si>
  <si>
    <t>水平抗力</t>
    <phoneticPr fontId="1" type="noConversion"/>
  </si>
  <si>
    <t>大于1小于2</t>
    <phoneticPr fontId="1" type="noConversion"/>
  </si>
  <si>
    <t>摩阻系数</t>
    <phoneticPr fontId="1" type="noConversion"/>
  </si>
  <si>
    <t>大于2小于3</t>
    <phoneticPr fontId="1" type="noConversion"/>
  </si>
  <si>
    <t>查表</t>
    <phoneticPr fontId="1" type="noConversion"/>
  </si>
  <si>
    <t>地基压力扩散线与垂直线的夹角</t>
    <phoneticPr fontId="1" type="noConversion"/>
  </si>
  <si>
    <t>桩顶水平作用力距设计地面高度与微型桩基础的埋置深度比值</t>
    <phoneticPr fontId="1" type="noConversion"/>
  </si>
  <si>
    <t>计算宽度</t>
    <phoneticPr fontId="1" type="noConversion"/>
  </si>
  <si>
    <t>空间增大系数</t>
    <phoneticPr fontId="1" type="noConversion"/>
  </si>
  <si>
    <t>土的侧压力系数</t>
    <phoneticPr fontId="1" type="noConversion"/>
  </si>
  <si>
    <t>外摩擦角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</si>
  <si>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</si>
  <si>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内摩擦角</t>
    <phoneticPr fontId="1" type="noConversion"/>
  </si>
  <si>
    <t>查表（光伏支架结构设计规程）p32-36</t>
    <phoneticPr fontId="1" type="noConversion"/>
  </si>
  <si>
    <t>加权平均重度</t>
    <phoneticPr fontId="1" type="noConversion"/>
  </si>
  <si>
    <t>桩直径</t>
    <phoneticPr fontId="1" type="noConversion"/>
  </si>
  <si>
    <t>桩长</t>
    <phoneticPr fontId="1" type="noConversion"/>
  </si>
  <si>
    <t>桩伸出地面</t>
    <phoneticPr fontId="1" type="noConversion"/>
  </si>
  <si>
    <t>桩埋深</t>
    <phoneticPr fontId="1" type="noConversion"/>
  </si>
  <si>
    <t>黄色为要填的项目</t>
    <phoneticPr fontId="1" type="noConversion"/>
  </si>
  <si>
    <t>桩的水平抗力计算</t>
    <phoneticPr fontId="1" type="noConversion"/>
  </si>
  <si>
    <t>查表(可通过计算得出)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</si>
</sst>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 "/>
    <numFmt numFmtId="177" formatCode="0.0_ "/>
    <numFmt numFmtId="178" formatCode="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2"/>
      <scheme val="minor"/>
    </font>
    <font>
      <sz val="12"/>
      <color rgb="FF000000"/>
      <name val="宋体"/>
      <family val="3"/>
      <charset val="134"/>
    </font>
    <font>
      <vertAlign val="subscript"/>
      <sz val="12"/>
      <color rgb="FF000000"/>
      <name val="宋体"/>
      <family val="3"/>
      <charset val="134"/>
    </font>
    <font>
      <vertAlign val="superscript"/>
      <sz val="12"/>
      <color rgb="FF000000"/>
      <name val="宋体"/>
      <family val="3"/>
      <charset val="134"/>
    </font>
    <font>
      <sz val="12"/>
      <color rgb="FF00B05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vertAlign val="subscript"/>
      <sz val="17.399999999999999"/>
      <color rgb="FF000000"/>
      <name val="宋体"/>
      <family val="3"/>
      <charset val="134"/>
    </font>
    <font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8" borderId="0" xfId="0" applyNumberFormat="1" applyFont="1" applyFill="1" applyAlignment="1">
      <alignment vertical="center"/>
    </xf>
    <xf numFmtId="177" fontId="6" fillId="0" borderId="0" xfId="0" applyNumberFormat="1" applyFont="1" applyAlignment="1">
      <alignment vertical="center"/>
    </xf>
    <xf numFmtId="177" fontId="6" fillId="9" borderId="0" xfId="0" applyNumberFormat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176" fontId="6" fillId="8" borderId="0" xfId="0" applyNumberFormat="1" applyFont="1" applyFill="1" applyAlignment="1">
      <alignment vertical="center"/>
    </xf>
    <xf numFmtId="0" fontId="13" fillId="0" borderId="0" xfId="0" applyFont="1"/>
    <xf numFmtId="0" fontId="0" fillId="0" borderId="9" xfId="0" applyBorder="1" applyAlignment="1">
      <alignment horizontal="center" vertical="center"/>
    </xf>
    <xf numFmtId="0" fontId="0" fillId="2" borderId="0" xfId="0" applyFill="1"/>
    <xf numFmtId="0" fontId="0" fillId="0" borderId="10" xfId="0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43" fontId="0" fillId="0" borderId="0" xfId="1" applyFont="1" applyAlignme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76200</xdr:rowOff>
        </xdr:from>
        <xdr:to>
          <xdr:col>3</xdr:col>
          <xdr:colOff>95250</xdr:colOff>
          <xdr:row>43</xdr:row>
          <xdr:rowOff>28575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35</xdr:row>
          <xdr:rowOff>114300</xdr:rowOff>
        </xdr:from>
        <xdr:to>
          <xdr:col>1</xdr:col>
          <xdr:colOff>1485900</xdr:colOff>
          <xdr:row>35</xdr:row>
          <xdr:rowOff>571500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16</xdr:row>
      <xdr:rowOff>0</xdr:rowOff>
    </xdr:from>
    <xdr:ext cx="7228571" cy="2247619"/>
    <xdr:pic>
      <xdr:nvPicPr>
        <xdr:cNvPr id="2" name="图片 1">
          <a:extLst>
            <a:ext uri="{FF2B5EF4-FFF2-40B4-BE49-F238E27FC236}">
              <a16:creationId xmlns:a16="http://schemas.microsoft.com/office/drawing/2014/main" id="{7A14EC78-44CB-466E-AEAD-CB28692E7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895600"/>
          <a:ext cx="7228571" cy="2247619"/>
        </a:xfrm>
        <a:prstGeom prst="rect">
          <a:avLst/>
        </a:prstGeom>
      </xdr:spPr>
    </xdr:pic>
    <xdr:clientData/>
  </xdr:oneCellAnchor>
  <xdr:oneCellAnchor>
    <xdr:from>
      <xdr:col>0</xdr:col>
      <xdr:colOff>390525</xdr:colOff>
      <xdr:row>4</xdr:row>
      <xdr:rowOff>114300</xdr:rowOff>
    </xdr:from>
    <xdr:ext cx="7628571" cy="1438095"/>
    <xdr:pic>
      <xdr:nvPicPr>
        <xdr:cNvPr id="3" name="图片 2">
          <a:extLst>
            <a:ext uri="{FF2B5EF4-FFF2-40B4-BE49-F238E27FC236}">
              <a16:creationId xmlns:a16="http://schemas.microsoft.com/office/drawing/2014/main" id="{8A6DC60A-973A-4033-8942-BE4621167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838200"/>
          <a:ext cx="7628571" cy="1438095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9</xdr:row>
      <xdr:rowOff>76200</xdr:rowOff>
    </xdr:from>
    <xdr:ext cx="7704762" cy="3685714"/>
    <xdr:pic>
      <xdr:nvPicPr>
        <xdr:cNvPr id="4" name="图片 3">
          <a:extLst>
            <a:ext uri="{FF2B5EF4-FFF2-40B4-BE49-F238E27FC236}">
              <a16:creationId xmlns:a16="http://schemas.microsoft.com/office/drawing/2014/main" id="{839E5490-C4F2-418A-AE0C-7820CFC43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0025" y="1704975"/>
          <a:ext cx="7704762" cy="3685714"/>
        </a:xfrm>
        <a:prstGeom prst="rect">
          <a:avLst/>
        </a:prstGeom>
      </xdr:spPr>
    </xdr:pic>
    <xdr:clientData/>
  </xdr:oneCellAnchor>
  <xdr:oneCellAnchor>
    <xdr:from>
      <xdr:col>8</xdr:col>
      <xdr:colOff>66675</xdr:colOff>
      <xdr:row>33</xdr:row>
      <xdr:rowOff>9525</xdr:rowOff>
    </xdr:from>
    <xdr:ext cx="7790476" cy="1952381"/>
    <xdr:pic>
      <xdr:nvPicPr>
        <xdr:cNvPr id="5" name="图片 4">
          <a:extLst>
            <a:ext uri="{FF2B5EF4-FFF2-40B4-BE49-F238E27FC236}">
              <a16:creationId xmlns:a16="http://schemas.microsoft.com/office/drawing/2014/main" id="{551A2B53-06AB-4C6E-B076-D0DFEE6CE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62875" y="5981700"/>
          <a:ext cx="7790476" cy="1952381"/>
        </a:xfrm>
        <a:prstGeom prst="rect">
          <a:avLst/>
        </a:prstGeom>
      </xdr:spPr>
    </xdr:pic>
    <xdr:clientData/>
  </xdr:oneCellAnchor>
  <xdr:oneCellAnchor>
    <xdr:from>
      <xdr:col>1</xdr:col>
      <xdr:colOff>504825</xdr:colOff>
      <xdr:row>33</xdr:row>
      <xdr:rowOff>123825</xdr:rowOff>
    </xdr:from>
    <xdr:ext cx="5028571" cy="3676190"/>
    <xdr:pic>
      <xdr:nvPicPr>
        <xdr:cNvPr id="6" name="图片 5">
          <a:extLst>
            <a:ext uri="{FF2B5EF4-FFF2-40B4-BE49-F238E27FC236}">
              <a16:creationId xmlns:a16="http://schemas.microsoft.com/office/drawing/2014/main" id="{9E624C2A-0FB3-4199-B3CF-2F45BD661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9725" y="6096000"/>
          <a:ext cx="5028571" cy="367619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550477</xdr:colOff>
      <xdr:row>6</xdr:row>
      <xdr:rowOff>28575</xdr:rowOff>
    </xdr:from>
    <xdr:ext cx="2220978" cy="6018932"/>
    <xdr:pic>
      <xdr:nvPicPr>
        <xdr:cNvPr id="2" name="图片 1">
          <a:extLst>
            <a:ext uri="{FF2B5EF4-FFF2-40B4-BE49-F238E27FC236}">
              <a16:creationId xmlns:a16="http://schemas.microsoft.com/office/drawing/2014/main" id="{30B916FA-D376-4B3D-B67E-8BA373C70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4777" y="1114425"/>
          <a:ext cx="2220978" cy="6018932"/>
        </a:xfrm>
        <a:prstGeom prst="rect">
          <a:avLst/>
        </a:prstGeom>
      </xdr:spPr>
    </xdr:pic>
    <xdr:clientData/>
  </xdr:oneCellAnchor>
  <xdr:oneCellAnchor>
    <xdr:from>
      <xdr:col>7</xdr:col>
      <xdr:colOff>733425</xdr:colOff>
      <xdr:row>6</xdr:row>
      <xdr:rowOff>38100</xdr:rowOff>
    </xdr:from>
    <xdr:ext cx="6247619" cy="4609524"/>
    <xdr:pic>
      <xdr:nvPicPr>
        <xdr:cNvPr id="3" name="图片 2">
          <a:extLst>
            <a:ext uri="{FF2B5EF4-FFF2-40B4-BE49-F238E27FC236}">
              <a16:creationId xmlns:a16="http://schemas.microsoft.com/office/drawing/2014/main" id="{25D644C5-4013-4083-956D-24BE96845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123950"/>
          <a:ext cx="6247619" cy="4609524"/>
        </a:xfrm>
        <a:prstGeom prst="rect">
          <a:avLst/>
        </a:prstGeom>
      </xdr:spPr>
    </xdr:pic>
    <xdr:clientData/>
  </xdr:oneCellAnchor>
  <xdr:oneCellAnchor>
    <xdr:from>
      <xdr:col>15</xdr:col>
      <xdr:colOff>609600</xdr:colOff>
      <xdr:row>16</xdr:row>
      <xdr:rowOff>85725</xdr:rowOff>
    </xdr:from>
    <xdr:ext cx="6390476" cy="2790476"/>
    <xdr:pic>
      <xdr:nvPicPr>
        <xdr:cNvPr id="4" name="图片 3">
          <a:extLst>
            <a:ext uri="{FF2B5EF4-FFF2-40B4-BE49-F238E27FC236}">
              <a16:creationId xmlns:a16="http://schemas.microsoft.com/office/drawing/2014/main" id="{2E1C735E-B4C0-49B3-A97C-90A39EFC1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600" y="2981325"/>
          <a:ext cx="6390476" cy="2790476"/>
        </a:xfrm>
        <a:prstGeom prst="rect">
          <a:avLst/>
        </a:prstGeom>
      </xdr:spPr>
    </xdr:pic>
    <xdr:clientData/>
  </xdr:oneCellAnchor>
  <xdr:oneCellAnchor>
    <xdr:from>
      <xdr:col>16</xdr:col>
      <xdr:colOff>9525</xdr:colOff>
      <xdr:row>8</xdr:row>
      <xdr:rowOff>38100</xdr:rowOff>
    </xdr:from>
    <xdr:ext cx="5548704" cy="1409550"/>
    <xdr:pic>
      <xdr:nvPicPr>
        <xdr:cNvPr id="5" name="图片 4">
          <a:extLst>
            <a:ext uri="{FF2B5EF4-FFF2-40B4-BE49-F238E27FC236}">
              <a16:creationId xmlns:a16="http://schemas.microsoft.com/office/drawing/2014/main" id="{D0E32B05-D390-4B20-82ED-96A181BB2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82325" y="1485900"/>
          <a:ext cx="5548704" cy="14095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C407-E5EE-4EC9-82D8-FACB3588ACCD}">
  <dimension ref="A1:H20"/>
  <sheetViews>
    <sheetView workbookViewId="0">
      <selection activeCell="B14" sqref="B14"/>
    </sheetView>
  </sheetViews>
  <sheetFormatPr defaultRowHeight="14.25" x14ac:dyDescent="0.2"/>
  <cols>
    <col min="1" max="1" width="22.25" style="1" customWidth="1"/>
    <col min="2" max="2" width="10.5" style="1" customWidth="1"/>
    <col min="3" max="3" width="9.875" style="1" customWidth="1"/>
    <col min="4" max="4" width="23.25" style="1" customWidth="1"/>
    <col min="5" max="5" width="9" style="1"/>
    <col min="6" max="6" width="16.75" style="1" customWidth="1"/>
    <col min="7" max="7" width="19.625" style="1" customWidth="1"/>
    <col min="8" max="8" width="9" style="1"/>
    <col min="9" max="9" width="8" style="1" customWidth="1"/>
    <col min="10" max="10" width="16.875" style="1" customWidth="1"/>
    <col min="11" max="11" width="22.25" style="1" customWidth="1"/>
    <col min="12" max="16384" width="9" style="1"/>
  </cols>
  <sheetData>
    <row r="1" spans="1:8" ht="15" thickBot="1" x14ac:dyDescent="0.25">
      <c r="A1" s="1" t="s">
        <v>0</v>
      </c>
      <c r="F1" s="2" t="s">
        <v>20</v>
      </c>
      <c r="G1" s="3" t="s">
        <v>42</v>
      </c>
      <c r="H1" s="8"/>
    </row>
    <row r="2" spans="1:8" x14ac:dyDescent="0.2">
      <c r="A2" s="2" t="s">
        <v>2</v>
      </c>
      <c r="B2" s="3">
        <v>1.25</v>
      </c>
      <c r="C2" s="3" t="s">
        <v>1</v>
      </c>
      <c r="D2" s="42" t="s">
        <v>39</v>
      </c>
      <c r="F2" s="4" t="s">
        <v>24</v>
      </c>
      <c r="G2" s="13">
        <f>B9+B11+B12</f>
        <v>3.9</v>
      </c>
      <c r="H2" s="10" t="s">
        <v>8</v>
      </c>
    </row>
    <row r="3" spans="1:8" x14ac:dyDescent="0.2">
      <c r="A3" s="4" t="s">
        <v>3</v>
      </c>
      <c r="B3" s="1">
        <v>1</v>
      </c>
      <c r="D3" s="43"/>
      <c r="F3" s="4" t="s">
        <v>25</v>
      </c>
      <c r="G3" s="13">
        <f>24*G2*B7*B8</f>
        <v>5.6159999999999997</v>
      </c>
      <c r="H3" s="10" t="s">
        <v>12</v>
      </c>
    </row>
    <row r="4" spans="1:8" x14ac:dyDescent="0.2">
      <c r="A4" s="4" t="s">
        <v>4</v>
      </c>
      <c r="B4" s="1">
        <v>15</v>
      </c>
      <c r="C4" s="1" t="s">
        <v>5</v>
      </c>
      <c r="D4" s="43"/>
      <c r="F4" s="4"/>
      <c r="H4" s="10"/>
    </row>
    <row r="5" spans="1:8" ht="15" thickBot="1" x14ac:dyDescent="0.25">
      <c r="A5" s="5" t="s">
        <v>6</v>
      </c>
      <c r="B5" s="6">
        <v>-0.95</v>
      </c>
      <c r="C5" s="6"/>
      <c r="D5" s="44"/>
      <c r="F5" s="4" t="s">
        <v>21</v>
      </c>
      <c r="H5" s="10"/>
    </row>
    <row r="6" spans="1:8" x14ac:dyDescent="0.2">
      <c r="A6" s="2" t="s">
        <v>30</v>
      </c>
      <c r="B6" s="7">
        <v>0.5</v>
      </c>
      <c r="C6" s="3"/>
      <c r="D6" s="42" t="s">
        <v>43</v>
      </c>
      <c r="F6" s="4" t="s">
        <v>26</v>
      </c>
      <c r="G6" s="13">
        <f>B15+B19</f>
        <v>2.5099999999999998</v>
      </c>
      <c r="H6" s="10" t="s">
        <v>12</v>
      </c>
    </row>
    <row r="7" spans="1:8" x14ac:dyDescent="0.2">
      <c r="A7" s="4" t="s">
        <v>22</v>
      </c>
      <c r="B7" s="9">
        <v>0.2</v>
      </c>
      <c r="C7" s="1" t="s">
        <v>8</v>
      </c>
      <c r="D7" s="43"/>
      <c r="F7" s="4" t="s">
        <v>27</v>
      </c>
      <c r="G7" s="13">
        <f>G3/G6</f>
        <v>2.2374501992031872</v>
      </c>
      <c r="H7" s="10"/>
    </row>
    <row r="8" spans="1:8" x14ac:dyDescent="0.2">
      <c r="A8" s="4" t="s">
        <v>23</v>
      </c>
      <c r="B8" s="9">
        <v>0.3</v>
      </c>
      <c r="C8" s="1" t="s">
        <v>8</v>
      </c>
      <c r="D8" s="43"/>
      <c r="F8" s="4" t="s">
        <v>38</v>
      </c>
      <c r="G8" s="14" t="str">
        <f>IF(G7&gt;=1.6,"满足","不满足")</f>
        <v>满足</v>
      </c>
      <c r="H8" s="10"/>
    </row>
    <row r="9" spans="1:8" x14ac:dyDescent="0.2">
      <c r="A9" s="4" t="s">
        <v>7</v>
      </c>
      <c r="B9" s="9">
        <v>3.1</v>
      </c>
      <c r="C9" s="1" t="s">
        <v>8</v>
      </c>
      <c r="D9" s="43"/>
      <c r="F9" s="4"/>
      <c r="H9" s="10"/>
    </row>
    <row r="10" spans="1:8" x14ac:dyDescent="0.2">
      <c r="A10" s="4" t="s">
        <v>9</v>
      </c>
      <c r="B10" s="9">
        <v>2.2000000000000002</v>
      </c>
      <c r="C10" s="1" t="s">
        <v>8</v>
      </c>
      <c r="D10" s="43"/>
      <c r="F10" s="4" t="s">
        <v>34</v>
      </c>
      <c r="H10" s="10"/>
    </row>
    <row r="11" spans="1:8" x14ac:dyDescent="0.2">
      <c r="A11" s="4" t="s">
        <v>18</v>
      </c>
      <c r="B11" s="9">
        <v>0.4</v>
      </c>
      <c r="C11" s="1" t="s">
        <v>8</v>
      </c>
      <c r="D11" s="43"/>
      <c r="F11" s="4" t="s">
        <v>29</v>
      </c>
      <c r="G11" s="13">
        <f>(G3-G6)*B6</f>
        <v>1.5529999999999999</v>
      </c>
      <c r="H11" s="10" t="s">
        <v>12</v>
      </c>
    </row>
    <row r="12" spans="1:8" ht="15" thickBot="1" x14ac:dyDescent="0.25">
      <c r="A12" s="5" t="s">
        <v>19</v>
      </c>
      <c r="B12" s="11">
        <v>0.4</v>
      </c>
      <c r="C12" s="6" t="s">
        <v>8</v>
      </c>
      <c r="D12" s="44"/>
      <c r="F12" s="4" t="s">
        <v>31</v>
      </c>
      <c r="G12" s="13">
        <f>B14+B18</f>
        <v>0.88</v>
      </c>
      <c r="H12" s="10" t="s">
        <v>12</v>
      </c>
    </row>
    <row r="13" spans="1:8" x14ac:dyDescent="0.2">
      <c r="A13" s="4" t="s">
        <v>10</v>
      </c>
      <c r="D13" s="10"/>
      <c r="F13" s="4" t="s">
        <v>28</v>
      </c>
      <c r="G13" s="13">
        <f>ABS(G11/G12)</f>
        <v>1.7647727272727272</v>
      </c>
      <c r="H13" s="10"/>
    </row>
    <row r="14" spans="1:8" x14ac:dyDescent="0.2">
      <c r="A14" s="4" t="s">
        <v>11</v>
      </c>
      <c r="B14" s="9">
        <v>-0.16</v>
      </c>
      <c r="C14" s="1" t="s">
        <v>12</v>
      </c>
      <c r="D14" s="10" t="s">
        <v>32</v>
      </c>
      <c r="F14" s="4" t="s">
        <v>38</v>
      </c>
      <c r="G14" s="14" t="str">
        <f>IF(G13&gt;=1.3,"满足","不满足")</f>
        <v>满足</v>
      </c>
      <c r="H14" s="10"/>
    </row>
    <row r="15" spans="1:8" x14ac:dyDescent="0.2">
      <c r="A15" s="4" t="s">
        <v>13</v>
      </c>
      <c r="B15" s="9">
        <v>1</v>
      </c>
      <c r="C15" s="1" t="s">
        <v>12</v>
      </c>
      <c r="D15" s="10" t="s">
        <v>14</v>
      </c>
      <c r="F15" s="4"/>
      <c r="H15" s="10"/>
    </row>
    <row r="16" spans="1:8" x14ac:dyDescent="0.2">
      <c r="A16" s="4" t="s">
        <v>15</v>
      </c>
      <c r="B16" s="9">
        <v>-0.03</v>
      </c>
      <c r="C16" s="1" t="s">
        <v>16</v>
      </c>
      <c r="D16" s="10" t="s">
        <v>32</v>
      </c>
      <c r="F16" s="4" t="s">
        <v>33</v>
      </c>
      <c r="H16" s="10"/>
    </row>
    <row r="17" spans="1:8" x14ac:dyDescent="0.2">
      <c r="A17" s="4" t="s">
        <v>17</v>
      </c>
      <c r="D17" s="10"/>
      <c r="F17" s="4" t="s">
        <v>35</v>
      </c>
      <c r="G17" s="13">
        <f>IF(B15&gt;=0,$G$3*$G$2/2,$G$3*$G$2/2+$B$11*ABS($B$15))</f>
        <v>10.951199999999998</v>
      </c>
      <c r="H17" s="10" t="s">
        <v>16</v>
      </c>
    </row>
    <row r="18" spans="1:8" x14ac:dyDescent="0.2">
      <c r="A18" s="4" t="s">
        <v>11</v>
      </c>
      <c r="B18" s="9">
        <v>1.04</v>
      </c>
      <c r="C18" s="1" t="s">
        <v>12</v>
      </c>
      <c r="D18" s="10" t="s">
        <v>32</v>
      </c>
      <c r="F18" s="4" t="s">
        <v>36</v>
      </c>
      <c r="G18" s="13">
        <f>IF(B15&gt;=0,ABS($B$16+$B$20)+$B$7*ABS($B$14+$B$18)+$B$11*ABS($B$15)+($B$11+$B$9)*ABS($B$19),ABS($B$16+$B$20)+$B$7*ABS($B$14+$B$18)+($B$11+$B$9)*ABS($B$19))</f>
        <v>5.9809999999999999</v>
      </c>
      <c r="H18" s="10" t="s">
        <v>16</v>
      </c>
    </row>
    <row r="19" spans="1:8" x14ac:dyDescent="0.2">
      <c r="A19" s="4" t="s">
        <v>13</v>
      </c>
      <c r="B19" s="9">
        <v>1.51</v>
      </c>
      <c r="C19" s="1" t="s">
        <v>12</v>
      </c>
      <c r="D19" s="10" t="s">
        <v>14</v>
      </c>
      <c r="F19" s="4" t="s">
        <v>37</v>
      </c>
      <c r="G19" s="13">
        <f>$G$17/$G$18</f>
        <v>1.8309981608426682</v>
      </c>
      <c r="H19" s="10"/>
    </row>
    <row r="20" spans="1:8" ht="15" thickBot="1" x14ac:dyDescent="0.25">
      <c r="A20" s="5" t="s">
        <v>15</v>
      </c>
      <c r="B20" s="11">
        <v>0.15</v>
      </c>
      <c r="C20" s="6" t="s">
        <v>16</v>
      </c>
      <c r="D20" s="12" t="s">
        <v>32</v>
      </c>
      <c r="F20" s="5" t="s">
        <v>38</v>
      </c>
      <c r="G20" s="15" t="str">
        <f>IF(G19&gt;=1.6,"满足","不满足")</f>
        <v>满足</v>
      </c>
      <c r="H20" s="12"/>
    </row>
  </sheetData>
  <mergeCells count="2">
    <mergeCell ref="D2:D5"/>
    <mergeCell ref="D6:D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10EC-647D-49F2-8005-E53F39D7E82F}">
  <dimension ref="A1:H25"/>
  <sheetViews>
    <sheetView workbookViewId="0">
      <selection activeCell="G36" sqref="G36"/>
    </sheetView>
  </sheetViews>
  <sheetFormatPr defaultRowHeight="14.25" x14ac:dyDescent="0.2"/>
  <cols>
    <col min="1" max="1" width="22.25" style="1" customWidth="1"/>
    <col min="2" max="2" width="10.5" style="1" customWidth="1"/>
    <col min="3" max="3" width="9.875" style="1" customWidth="1"/>
    <col min="4" max="4" width="23.25" style="1" customWidth="1"/>
    <col min="5" max="5" width="9" style="1"/>
    <col min="6" max="6" width="16.75" style="1" customWidth="1"/>
    <col min="7" max="7" width="24.25" style="1" customWidth="1"/>
    <col min="8" max="8" width="9" style="1"/>
    <col min="9" max="9" width="8" style="1" customWidth="1"/>
    <col min="10" max="10" width="16.875" style="1" customWidth="1"/>
    <col min="11" max="11" width="22.25" style="1" customWidth="1"/>
    <col min="12" max="16384" width="9" style="1"/>
  </cols>
  <sheetData>
    <row r="1" spans="1:8" ht="15" thickBot="1" x14ac:dyDescent="0.25">
      <c r="A1" s="1" t="s">
        <v>0</v>
      </c>
      <c r="F1" s="2" t="s">
        <v>20</v>
      </c>
      <c r="G1" s="3" t="s">
        <v>42</v>
      </c>
      <c r="H1" s="8"/>
    </row>
    <row r="2" spans="1:8" x14ac:dyDescent="0.2">
      <c r="A2" s="2" t="s">
        <v>2</v>
      </c>
      <c r="B2" s="3">
        <v>0.4</v>
      </c>
      <c r="C2" s="3" t="s">
        <v>1</v>
      </c>
      <c r="D2" s="42" t="s">
        <v>39</v>
      </c>
      <c r="F2" s="4" t="s">
        <v>24</v>
      </c>
      <c r="G2" s="13">
        <f>B9+B12+B13+B10</f>
        <v>4.5999999999999996</v>
      </c>
      <c r="H2" s="10" t="s">
        <v>8</v>
      </c>
    </row>
    <row r="3" spans="1:8" x14ac:dyDescent="0.2">
      <c r="A3" s="4" t="s">
        <v>3</v>
      </c>
      <c r="B3" s="1">
        <v>1.1499999999999999</v>
      </c>
      <c r="D3" s="43"/>
      <c r="F3" s="4" t="s">
        <v>25</v>
      </c>
      <c r="G3" s="13">
        <f>24*G2*B7*B8</f>
        <v>17.663999999999998</v>
      </c>
      <c r="H3" s="10" t="s">
        <v>12</v>
      </c>
    </row>
    <row r="4" spans="1:8" x14ac:dyDescent="0.2">
      <c r="A4" s="4" t="s">
        <v>4</v>
      </c>
      <c r="B4" s="1">
        <v>15</v>
      </c>
      <c r="C4" s="1" t="s">
        <v>5</v>
      </c>
      <c r="D4" s="43"/>
      <c r="F4" s="4"/>
      <c r="H4" s="10"/>
    </row>
    <row r="5" spans="1:8" ht="15" thickBot="1" x14ac:dyDescent="0.25">
      <c r="A5" s="5" t="s">
        <v>6</v>
      </c>
      <c r="B5" s="6">
        <v>-0.95</v>
      </c>
      <c r="C5" s="6"/>
      <c r="D5" s="44"/>
      <c r="F5" s="4" t="s">
        <v>21</v>
      </c>
      <c r="H5" s="10"/>
    </row>
    <row r="6" spans="1:8" x14ac:dyDescent="0.2">
      <c r="A6" s="2" t="s">
        <v>30</v>
      </c>
      <c r="B6" s="7">
        <v>0.5</v>
      </c>
      <c r="C6" s="3"/>
      <c r="D6" s="42" t="s">
        <v>43</v>
      </c>
      <c r="F6" s="4" t="s">
        <v>26</v>
      </c>
      <c r="G6" s="13">
        <f>B16+B20+B24</f>
        <v>9.76</v>
      </c>
      <c r="H6" s="10" t="s">
        <v>12</v>
      </c>
    </row>
    <row r="7" spans="1:8" x14ac:dyDescent="0.2">
      <c r="A7" s="4" t="s">
        <v>22</v>
      </c>
      <c r="B7" s="9">
        <v>0.4</v>
      </c>
      <c r="C7" s="1" t="s">
        <v>8</v>
      </c>
      <c r="D7" s="43"/>
      <c r="F7" s="4" t="s">
        <v>27</v>
      </c>
      <c r="G7" s="13">
        <f>G3/G6</f>
        <v>1.8098360655737704</v>
      </c>
      <c r="H7" s="10"/>
    </row>
    <row r="8" spans="1:8" x14ac:dyDescent="0.2">
      <c r="A8" s="4" t="s">
        <v>23</v>
      </c>
      <c r="B8" s="9">
        <v>0.4</v>
      </c>
      <c r="C8" s="1" t="s">
        <v>8</v>
      </c>
      <c r="D8" s="43"/>
      <c r="F8" s="4" t="s">
        <v>38</v>
      </c>
      <c r="G8" s="14" t="str">
        <f>IF(G7&gt;=1.6,"满足","不满足")</f>
        <v>满足</v>
      </c>
      <c r="H8" s="10"/>
    </row>
    <row r="9" spans="1:8" x14ac:dyDescent="0.2">
      <c r="A9" s="4" t="s">
        <v>50</v>
      </c>
      <c r="B9" s="9">
        <v>1.9</v>
      </c>
      <c r="C9" s="1" t="s">
        <v>8</v>
      </c>
      <c r="D9" s="43"/>
      <c r="F9" s="4"/>
      <c r="H9" s="10"/>
    </row>
    <row r="10" spans="1:8" x14ac:dyDescent="0.2">
      <c r="A10" s="4" t="s">
        <v>51</v>
      </c>
      <c r="B10" s="9">
        <v>1.9</v>
      </c>
      <c r="C10" s="1" t="s">
        <v>52</v>
      </c>
      <c r="D10" s="43"/>
      <c r="F10" s="4"/>
      <c r="H10" s="10"/>
    </row>
    <row r="11" spans="1:8" x14ac:dyDescent="0.2">
      <c r="A11" s="4" t="s">
        <v>9</v>
      </c>
      <c r="B11" s="9">
        <v>2</v>
      </c>
      <c r="C11" s="1" t="s">
        <v>8</v>
      </c>
      <c r="D11" s="43"/>
      <c r="F11" s="4" t="s">
        <v>34</v>
      </c>
      <c r="H11" s="10"/>
    </row>
    <row r="12" spans="1:8" x14ac:dyDescent="0.2">
      <c r="A12" s="4" t="s">
        <v>18</v>
      </c>
      <c r="B12" s="9">
        <v>0.3</v>
      </c>
      <c r="C12" s="1" t="s">
        <v>8</v>
      </c>
      <c r="D12" s="43"/>
      <c r="F12" s="4" t="s">
        <v>29</v>
      </c>
      <c r="G12" s="13">
        <f>(G3-G6)*B6</f>
        <v>3.9519999999999991</v>
      </c>
      <c r="H12" s="10" t="s">
        <v>12</v>
      </c>
    </row>
    <row r="13" spans="1:8" ht="15" thickBot="1" x14ac:dyDescent="0.25">
      <c r="A13" s="5" t="s">
        <v>19</v>
      </c>
      <c r="B13" s="11">
        <v>0.5</v>
      </c>
      <c r="C13" s="6" t="s">
        <v>8</v>
      </c>
      <c r="D13" s="44"/>
      <c r="F13" s="4" t="s">
        <v>31</v>
      </c>
      <c r="G13" s="13">
        <f>B15+B19+B23</f>
        <v>-3.0199999999999996</v>
      </c>
      <c r="H13" s="10" t="s">
        <v>12</v>
      </c>
    </row>
    <row r="14" spans="1:8" x14ac:dyDescent="0.2">
      <c r="A14" s="2" t="s">
        <v>10</v>
      </c>
      <c r="B14" s="3"/>
      <c r="C14" s="3"/>
      <c r="D14" s="8"/>
      <c r="F14" s="4" t="s">
        <v>28</v>
      </c>
      <c r="G14" s="13">
        <f>ABS(G12/G13)</f>
        <v>1.3086092715231787</v>
      </c>
      <c r="H14" s="10"/>
    </row>
    <row r="15" spans="1:8" x14ac:dyDescent="0.2">
      <c r="A15" s="4" t="s">
        <v>11</v>
      </c>
      <c r="B15" s="9">
        <v>-3.01</v>
      </c>
      <c r="C15" s="1" t="s">
        <v>12</v>
      </c>
      <c r="D15" s="10" t="s">
        <v>32</v>
      </c>
      <c r="F15" s="4" t="s">
        <v>38</v>
      </c>
      <c r="G15" s="14" t="str">
        <f>IF(G14&gt;=1.3,"满足","不满足")</f>
        <v>满足</v>
      </c>
      <c r="H15" s="10"/>
    </row>
    <row r="16" spans="1:8" x14ac:dyDescent="0.2">
      <c r="A16" s="4" t="s">
        <v>13</v>
      </c>
      <c r="B16" s="9">
        <v>2.12</v>
      </c>
      <c r="C16" s="1" t="s">
        <v>12</v>
      </c>
      <c r="D16" s="10" t="s">
        <v>14</v>
      </c>
      <c r="F16" s="4"/>
      <c r="H16" s="10"/>
    </row>
    <row r="17" spans="1:8" x14ac:dyDescent="0.2">
      <c r="A17" s="4" t="s">
        <v>15</v>
      </c>
      <c r="B17" s="9">
        <v>0.79</v>
      </c>
      <c r="C17" s="1" t="s">
        <v>16</v>
      </c>
      <c r="D17" s="10" t="s">
        <v>32</v>
      </c>
      <c r="F17" s="4" t="s">
        <v>33</v>
      </c>
      <c r="G17" s="9" t="s">
        <v>53</v>
      </c>
      <c r="H17" s="10"/>
    </row>
    <row r="18" spans="1:8" x14ac:dyDescent="0.2">
      <c r="A18" s="4" t="s">
        <v>49</v>
      </c>
      <c r="D18" s="10"/>
      <c r="F18" s="4" t="s">
        <v>35</v>
      </c>
      <c r="G18" s="13">
        <f>$G$3*$G$2/2</f>
        <v>40.627199999999995</v>
      </c>
      <c r="H18" s="10" t="s">
        <v>16</v>
      </c>
    </row>
    <row r="19" spans="1:8" x14ac:dyDescent="0.2">
      <c r="A19" s="4" t="s">
        <v>11</v>
      </c>
      <c r="B19" s="9">
        <v>-0.01</v>
      </c>
      <c r="C19" s="1" t="s">
        <v>12</v>
      </c>
      <c r="D19" s="10" t="s">
        <v>32</v>
      </c>
      <c r="F19" s="4" t="s">
        <v>36</v>
      </c>
      <c r="G19" s="13">
        <f>ABS($B$17+$B$21+$B$25)+$B$7*ABS($B$15+$B$19+$B$23)+$B$12*ABS($B$16)+($B$12+$B$9)*ABS($B$20)+($B$12+$B$9+$B$10)*ABS($B$24)</f>
        <v>25.198999999999998</v>
      </c>
      <c r="H19" s="10" t="s">
        <v>16</v>
      </c>
    </row>
    <row r="20" spans="1:8" x14ac:dyDescent="0.2">
      <c r="A20" s="4" t="s">
        <v>13</v>
      </c>
      <c r="B20" s="9">
        <v>4.6100000000000003</v>
      </c>
      <c r="C20" s="1" t="s">
        <v>12</v>
      </c>
      <c r="D20" s="10" t="s">
        <v>14</v>
      </c>
      <c r="F20" s="4" t="s">
        <v>37</v>
      </c>
      <c r="G20" s="13">
        <f>$G$18/$G$19</f>
        <v>1.6122544545418469</v>
      </c>
      <c r="H20" s="10"/>
    </row>
    <row r="21" spans="1:8" ht="15" thickBot="1" x14ac:dyDescent="0.25">
      <c r="A21" s="4" t="s">
        <v>15</v>
      </c>
      <c r="B21" s="9">
        <v>0</v>
      </c>
      <c r="C21" s="1" t="s">
        <v>16</v>
      </c>
      <c r="D21" s="10" t="s">
        <v>32</v>
      </c>
      <c r="F21" s="5" t="s">
        <v>38</v>
      </c>
      <c r="G21" s="15" t="str">
        <f>IF(G20&gt;=1.6,"满足","不满足")</f>
        <v>满足</v>
      </c>
      <c r="H21" s="12"/>
    </row>
    <row r="22" spans="1:8" x14ac:dyDescent="0.2">
      <c r="A22" s="4" t="s">
        <v>17</v>
      </c>
      <c r="D22" s="10"/>
    </row>
    <row r="23" spans="1:8" x14ac:dyDescent="0.2">
      <c r="A23" s="4" t="s">
        <v>11</v>
      </c>
      <c r="B23" s="9">
        <v>0</v>
      </c>
      <c r="C23" s="1" t="s">
        <v>12</v>
      </c>
      <c r="D23" s="10" t="s">
        <v>32</v>
      </c>
    </row>
    <row r="24" spans="1:8" x14ac:dyDescent="0.2">
      <c r="A24" s="4" t="s">
        <v>13</v>
      </c>
      <c r="B24" s="9">
        <v>3.03</v>
      </c>
      <c r="C24" s="1" t="s">
        <v>12</v>
      </c>
      <c r="D24" s="10" t="s">
        <v>14</v>
      </c>
    </row>
    <row r="25" spans="1:8" ht="15" thickBot="1" x14ac:dyDescent="0.25">
      <c r="A25" s="5" t="s">
        <v>15</v>
      </c>
      <c r="B25" s="11">
        <v>0</v>
      </c>
      <c r="C25" s="6" t="s">
        <v>16</v>
      </c>
      <c r="D25" s="12" t="s">
        <v>32</v>
      </c>
    </row>
  </sheetData>
  <mergeCells count="2">
    <mergeCell ref="D2:D5"/>
    <mergeCell ref="D6:D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894C-2136-4F49-8052-0369909D4F21}">
  <dimension ref="A1:H19"/>
  <sheetViews>
    <sheetView workbookViewId="0">
      <selection activeCell="D40" sqref="D40"/>
    </sheetView>
  </sheetViews>
  <sheetFormatPr defaultRowHeight="14.25" x14ac:dyDescent="0.2"/>
  <cols>
    <col min="1" max="1" width="22.25" style="1" customWidth="1"/>
    <col min="2" max="2" width="10.5" style="1" customWidth="1"/>
    <col min="3" max="3" width="9.875" style="1" customWidth="1"/>
    <col min="4" max="4" width="23.25" style="1" customWidth="1"/>
    <col min="5" max="5" width="9" style="1"/>
    <col min="6" max="6" width="16.75" style="1" customWidth="1"/>
    <col min="7" max="7" width="17.75" style="1" customWidth="1"/>
    <col min="8" max="8" width="9" style="1"/>
    <col min="9" max="9" width="8" style="1" customWidth="1"/>
    <col min="10" max="10" width="16.875" style="1" customWidth="1"/>
    <col min="11" max="11" width="22.25" style="1" customWidth="1"/>
    <col min="12" max="16384" width="9" style="1"/>
  </cols>
  <sheetData>
    <row r="1" spans="1:8" ht="15" thickBot="1" x14ac:dyDescent="0.25">
      <c r="A1" s="1" t="s">
        <v>0</v>
      </c>
      <c r="F1" s="2" t="s">
        <v>20</v>
      </c>
      <c r="G1" s="3"/>
      <c r="H1" s="8"/>
    </row>
    <row r="2" spans="1:8" x14ac:dyDescent="0.2">
      <c r="A2" s="2" t="s">
        <v>2</v>
      </c>
      <c r="B2" s="3">
        <v>0.4</v>
      </c>
      <c r="C2" s="3" t="s">
        <v>1</v>
      </c>
      <c r="D2" s="42" t="s">
        <v>39</v>
      </c>
      <c r="F2" s="4" t="s">
        <v>25</v>
      </c>
      <c r="G2" s="13">
        <f>24*B8^2*PI()*B7</f>
        <v>3.0159289474462021</v>
      </c>
      <c r="H2" s="10" t="s">
        <v>12</v>
      </c>
    </row>
    <row r="3" spans="1:8" x14ac:dyDescent="0.2">
      <c r="A3" s="4" t="s">
        <v>3</v>
      </c>
      <c r="B3" s="1">
        <v>1.1499999999999999</v>
      </c>
      <c r="D3" s="43"/>
      <c r="F3" s="4"/>
      <c r="H3" s="10"/>
    </row>
    <row r="4" spans="1:8" x14ac:dyDescent="0.2">
      <c r="A4" s="4" t="s">
        <v>4</v>
      </c>
      <c r="B4" s="1">
        <v>15</v>
      </c>
      <c r="C4" s="1" t="s">
        <v>5</v>
      </c>
      <c r="D4" s="43"/>
      <c r="F4" s="4" t="s">
        <v>21</v>
      </c>
      <c r="H4" s="10"/>
    </row>
    <row r="5" spans="1:8" ht="15" thickBot="1" x14ac:dyDescent="0.25">
      <c r="A5" s="5" t="s">
        <v>6</v>
      </c>
      <c r="B5" s="6">
        <v>-0.95</v>
      </c>
      <c r="C5" s="6"/>
      <c r="D5" s="44"/>
      <c r="F5" s="4" t="s">
        <v>26</v>
      </c>
      <c r="G5" s="13">
        <f>B13</f>
        <v>1</v>
      </c>
      <c r="H5" s="10" t="s">
        <v>12</v>
      </c>
    </row>
    <row r="6" spans="1:8" x14ac:dyDescent="0.2">
      <c r="A6" s="2" t="s">
        <v>30</v>
      </c>
      <c r="B6" s="7">
        <v>0.5</v>
      </c>
      <c r="C6" s="3"/>
      <c r="D6" s="42" t="s">
        <v>43</v>
      </c>
      <c r="F6" s="4" t="s">
        <v>27</v>
      </c>
      <c r="G6" s="13">
        <f>G2/G5</f>
        <v>3.0159289474462021</v>
      </c>
      <c r="H6" s="10"/>
    </row>
    <row r="7" spans="1:8" x14ac:dyDescent="0.2">
      <c r="A7" s="4" t="s">
        <v>40</v>
      </c>
      <c r="B7" s="9">
        <v>0.25</v>
      </c>
      <c r="C7" s="1" t="s">
        <v>8</v>
      </c>
      <c r="D7" s="43"/>
      <c r="F7" s="4" t="s">
        <v>38</v>
      </c>
      <c r="G7" s="14" t="str">
        <f>IF(AND(B13&gt;0,G6&lt;1.6),"不满足","满足")</f>
        <v>满足</v>
      </c>
      <c r="H7" s="10"/>
    </row>
    <row r="8" spans="1:8" x14ac:dyDescent="0.2">
      <c r="A8" s="4" t="s">
        <v>41</v>
      </c>
      <c r="B8" s="9">
        <v>0.4</v>
      </c>
      <c r="C8" s="1" t="s">
        <v>8</v>
      </c>
      <c r="D8" s="43"/>
      <c r="F8" s="4"/>
      <c r="H8" s="10"/>
    </row>
    <row r="9" spans="1:8" x14ac:dyDescent="0.2">
      <c r="A9" s="4" t="s">
        <v>7</v>
      </c>
      <c r="B9" s="9">
        <v>3.1</v>
      </c>
      <c r="C9" s="1" t="s">
        <v>8</v>
      </c>
      <c r="D9" s="43"/>
      <c r="F9" s="4" t="s">
        <v>34</v>
      </c>
      <c r="H9" s="10"/>
    </row>
    <row r="10" spans="1:8" ht="15" thickBot="1" x14ac:dyDescent="0.25">
      <c r="A10" s="4" t="s">
        <v>9</v>
      </c>
      <c r="B10" s="9">
        <v>2.2000000000000002</v>
      </c>
      <c r="C10" s="1" t="s">
        <v>8</v>
      </c>
      <c r="D10" s="44"/>
      <c r="F10" s="4" t="s">
        <v>29</v>
      </c>
      <c r="G10" s="13">
        <f>(G2-G5)*B6</f>
        <v>1.0079644737231011</v>
      </c>
      <c r="H10" s="10" t="s">
        <v>12</v>
      </c>
    </row>
    <row r="11" spans="1:8" x14ac:dyDescent="0.2">
      <c r="A11" s="2" t="s">
        <v>44</v>
      </c>
      <c r="B11" s="3"/>
      <c r="C11" s="3"/>
      <c r="D11" s="8"/>
      <c r="F11" s="4" t="s">
        <v>31</v>
      </c>
      <c r="G11" s="13">
        <f>B12</f>
        <v>1.48</v>
      </c>
      <c r="H11" s="10" t="s">
        <v>12</v>
      </c>
    </row>
    <row r="12" spans="1:8" x14ac:dyDescent="0.2">
      <c r="A12" s="4" t="s">
        <v>11</v>
      </c>
      <c r="B12" s="9">
        <v>1.48</v>
      </c>
      <c r="C12" s="1" t="s">
        <v>12</v>
      </c>
      <c r="D12" s="10" t="s">
        <v>45</v>
      </c>
      <c r="F12" s="4" t="s">
        <v>28</v>
      </c>
      <c r="G12" s="13">
        <f>ABS(G10/G11)</f>
        <v>0.68105707683993311</v>
      </c>
      <c r="H12" s="10"/>
    </row>
    <row r="13" spans="1:8" x14ac:dyDescent="0.2">
      <c r="A13" s="4" t="s">
        <v>13</v>
      </c>
      <c r="B13" s="9">
        <v>1</v>
      </c>
      <c r="C13" s="1" t="s">
        <v>12</v>
      </c>
      <c r="D13" s="10" t="s">
        <v>14</v>
      </c>
      <c r="F13" s="4" t="s">
        <v>38</v>
      </c>
      <c r="G13" s="14" t="str">
        <f>IF(G12&gt;=1.3,"满足","不满足")</f>
        <v>不满足</v>
      </c>
      <c r="H13" s="10"/>
    </row>
    <row r="14" spans="1:8" ht="15" thickBot="1" x14ac:dyDescent="0.25">
      <c r="A14" s="5" t="s">
        <v>15</v>
      </c>
      <c r="B14" s="11">
        <v>0.21</v>
      </c>
      <c r="C14" s="6" t="s">
        <v>16</v>
      </c>
      <c r="D14" s="12" t="s">
        <v>45</v>
      </c>
      <c r="F14" s="4"/>
      <c r="H14" s="10"/>
    </row>
    <row r="15" spans="1:8" x14ac:dyDescent="0.2">
      <c r="F15" s="4" t="s">
        <v>33</v>
      </c>
      <c r="H15" s="10"/>
    </row>
    <row r="16" spans="1:8" x14ac:dyDescent="0.2">
      <c r="F16" s="4" t="s">
        <v>35</v>
      </c>
      <c r="G16" s="13">
        <f>IF(B13&gt;=0,$G$2*B8,$G$2*B8+B8*ABS($B$13))</f>
        <v>1.206371578978481</v>
      </c>
      <c r="H16" s="10" t="s">
        <v>16</v>
      </c>
    </row>
    <row r="17" spans="6:8" x14ac:dyDescent="0.2">
      <c r="F17" s="4" t="s">
        <v>36</v>
      </c>
      <c r="G17" s="13">
        <f>IF(B13&gt;=0,(ABS(B13)*B8+ABS(B12)*B7+ABS(B14)),ABS(B12)*B7+ABS(B14))</f>
        <v>0.98</v>
      </c>
      <c r="H17" s="10" t="s">
        <v>16</v>
      </c>
    </row>
    <row r="18" spans="6:8" x14ac:dyDescent="0.2">
      <c r="F18" s="4" t="s">
        <v>37</v>
      </c>
      <c r="G18" s="13">
        <f>$G$16/$G$17</f>
        <v>1.2309914071208989</v>
      </c>
      <c r="H18" s="10"/>
    </row>
    <row r="19" spans="6:8" ht="15" thickBot="1" x14ac:dyDescent="0.25">
      <c r="F19" s="5" t="s">
        <v>38</v>
      </c>
      <c r="G19" s="15" t="str">
        <f>IF(G18&gt;=1.6,"满足","不满足")</f>
        <v>不满足</v>
      </c>
      <c r="H19" s="12"/>
    </row>
  </sheetData>
  <mergeCells count="2">
    <mergeCell ref="D2:D5"/>
    <mergeCell ref="D6:D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7274-BD41-4A5C-B538-8A848C6C1A36}">
  <dimension ref="A1:H19"/>
  <sheetViews>
    <sheetView workbookViewId="0">
      <selection activeCell="C33" sqref="C33"/>
    </sheetView>
  </sheetViews>
  <sheetFormatPr defaultRowHeight="14.25" x14ac:dyDescent="0.2"/>
  <cols>
    <col min="1" max="1" width="22.25" style="1" customWidth="1"/>
    <col min="2" max="2" width="10.5" style="1" customWidth="1"/>
    <col min="3" max="3" width="9.875" style="1" customWidth="1"/>
    <col min="4" max="4" width="23.25" style="1" customWidth="1"/>
    <col min="5" max="5" width="9" style="1"/>
    <col min="6" max="6" width="16.75" style="1" customWidth="1"/>
    <col min="7" max="7" width="17.75" style="1" customWidth="1"/>
    <col min="8" max="8" width="9" style="1"/>
    <col min="9" max="9" width="8" style="1" customWidth="1"/>
    <col min="10" max="10" width="16.875" style="1" customWidth="1"/>
    <col min="11" max="11" width="22.25" style="1" customWidth="1"/>
    <col min="12" max="16384" width="9" style="1"/>
  </cols>
  <sheetData>
    <row r="1" spans="1:8" ht="15" thickBot="1" x14ac:dyDescent="0.25">
      <c r="A1" s="1" t="s">
        <v>0</v>
      </c>
      <c r="F1" s="2" t="s">
        <v>20</v>
      </c>
      <c r="G1" s="3"/>
      <c r="H1" s="8"/>
    </row>
    <row r="2" spans="1:8" x14ac:dyDescent="0.2">
      <c r="A2" s="2" t="s">
        <v>2</v>
      </c>
      <c r="B2" s="3">
        <v>0.4</v>
      </c>
      <c r="C2" s="3" t="s">
        <v>1</v>
      </c>
      <c r="D2" s="42" t="s">
        <v>39</v>
      </c>
      <c r="F2" s="4" t="s">
        <v>25</v>
      </c>
      <c r="G2" s="13">
        <f>24*B8*B9*B7</f>
        <v>3.0144000000000002</v>
      </c>
      <c r="H2" s="10" t="s">
        <v>12</v>
      </c>
    </row>
    <row r="3" spans="1:8" x14ac:dyDescent="0.2">
      <c r="A3" s="4" t="s">
        <v>3</v>
      </c>
      <c r="B3" s="1">
        <v>1.1499999999999999</v>
      </c>
      <c r="D3" s="43"/>
      <c r="F3" s="4"/>
      <c r="H3" s="10"/>
    </row>
    <row r="4" spans="1:8" x14ac:dyDescent="0.2">
      <c r="A4" s="4" t="s">
        <v>4</v>
      </c>
      <c r="B4" s="1">
        <v>15</v>
      </c>
      <c r="C4" s="1" t="s">
        <v>5</v>
      </c>
      <c r="D4" s="43"/>
      <c r="F4" s="4" t="s">
        <v>21</v>
      </c>
      <c r="H4" s="10"/>
    </row>
    <row r="5" spans="1:8" ht="15" thickBot="1" x14ac:dyDescent="0.25">
      <c r="A5" s="5" t="s">
        <v>6</v>
      </c>
      <c r="B5" s="6">
        <v>-0.95</v>
      </c>
      <c r="C5" s="6"/>
      <c r="D5" s="44"/>
      <c r="F5" s="4" t="s">
        <v>26</v>
      </c>
      <c r="G5" s="13">
        <f>B14</f>
        <v>1</v>
      </c>
      <c r="H5" s="10" t="s">
        <v>12</v>
      </c>
    </row>
    <row r="6" spans="1:8" x14ac:dyDescent="0.2">
      <c r="A6" s="2" t="s">
        <v>30</v>
      </c>
      <c r="B6" s="7">
        <v>0.5</v>
      </c>
      <c r="C6" s="3"/>
      <c r="D6" s="42" t="s">
        <v>43</v>
      </c>
      <c r="F6" s="4" t="s">
        <v>27</v>
      </c>
      <c r="G6" s="13">
        <f>G2/G5</f>
        <v>3.0144000000000002</v>
      </c>
      <c r="H6" s="10"/>
    </row>
    <row r="7" spans="1:8" x14ac:dyDescent="0.2">
      <c r="A7" s="4" t="s">
        <v>46</v>
      </c>
      <c r="B7" s="9">
        <v>0.25</v>
      </c>
      <c r="C7" s="1" t="s">
        <v>8</v>
      </c>
      <c r="D7" s="43"/>
      <c r="F7" s="4" t="s">
        <v>38</v>
      </c>
      <c r="G7" s="14" t="str">
        <f>IF(AND(B14&gt;0,G6&lt;1.6),"不满足","满足")</f>
        <v>满足</v>
      </c>
      <c r="H7" s="10"/>
    </row>
    <row r="8" spans="1:8" x14ac:dyDescent="0.2">
      <c r="A8" s="4" t="s">
        <v>47</v>
      </c>
      <c r="B8" s="9">
        <v>0.628</v>
      </c>
      <c r="D8" s="43"/>
      <c r="F8" s="4"/>
      <c r="H8" s="10"/>
    </row>
    <row r="9" spans="1:8" x14ac:dyDescent="0.2">
      <c r="A9" s="4" t="s">
        <v>48</v>
      </c>
      <c r="B9" s="9">
        <v>0.8</v>
      </c>
      <c r="C9" s="1" t="s">
        <v>8</v>
      </c>
      <c r="D9" s="43"/>
      <c r="F9" s="4" t="s">
        <v>34</v>
      </c>
      <c r="H9" s="10"/>
    </row>
    <row r="10" spans="1:8" x14ac:dyDescent="0.2">
      <c r="A10" s="4" t="s">
        <v>7</v>
      </c>
      <c r="B10" s="9">
        <v>3.1</v>
      </c>
      <c r="C10" s="1" t="s">
        <v>8</v>
      </c>
      <c r="D10" s="43"/>
      <c r="F10" s="4" t="s">
        <v>29</v>
      </c>
      <c r="G10" s="13">
        <f>(G2-G5)*B6</f>
        <v>1.0072000000000001</v>
      </c>
      <c r="H10" s="10" t="s">
        <v>12</v>
      </c>
    </row>
    <row r="11" spans="1:8" ht="15" thickBot="1" x14ac:dyDescent="0.25">
      <c r="A11" s="4" t="s">
        <v>9</v>
      </c>
      <c r="B11" s="9">
        <v>2.2000000000000002</v>
      </c>
      <c r="C11" s="1" t="s">
        <v>8</v>
      </c>
      <c r="D11" s="44"/>
      <c r="F11" s="4" t="s">
        <v>31</v>
      </c>
      <c r="G11" s="13">
        <f>B13</f>
        <v>1.48</v>
      </c>
      <c r="H11" s="10" t="s">
        <v>12</v>
      </c>
    </row>
    <row r="12" spans="1:8" x14ac:dyDescent="0.2">
      <c r="A12" s="2" t="s">
        <v>44</v>
      </c>
      <c r="B12" s="3"/>
      <c r="C12" s="3"/>
      <c r="D12" s="8"/>
      <c r="F12" s="4" t="s">
        <v>28</v>
      </c>
      <c r="G12" s="13">
        <f>ABS(G10/G11)</f>
        <v>0.68054054054054058</v>
      </c>
      <c r="H12" s="10"/>
    </row>
    <row r="13" spans="1:8" x14ac:dyDescent="0.2">
      <c r="A13" s="4" t="s">
        <v>11</v>
      </c>
      <c r="B13" s="9">
        <v>1.48</v>
      </c>
      <c r="C13" s="1" t="s">
        <v>12</v>
      </c>
      <c r="D13" s="10" t="s">
        <v>45</v>
      </c>
      <c r="F13" s="4" t="s">
        <v>38</v>
      </c>
      <c r="G13" s="14" t="str">
        <f>IF(G12&gt;=1.3,"满足","不满足")</f>
        <v>不满足</v>
      </c>
      <c r="H13" s="10"/>
    </row>
    <row r="14" spans="1:8" x14ac:dyDescent="0.2">
      <c r="A14" s="4" t="s">
        <v>13</v>
      </c>
      <c r="B14" s="9">
        <v>1</v>
      </c>
      <c r="C14" s="1" t="s">
        <v>12</v>
      </c>
      <c r="D14" s="10" t="s">
        <v>14</v>
      </c>
      <c r="F14" s="4"/>
      <c r="H14" s="10"/>
    </row>
    <row r="15" spans="1:8" ht="15" thickBot="1" x14ac:dyDescent="0.25">
      <c r="A15" s="5" t="s">
        <v>15</v>
      </c>
      <c r="B15" s="11">
        <v>0.21</v>
      </c>
      <c r="C15" s="6" t="s">
        <v>16</v>
      </c>
      <c r="D15" s="12" t="s">
        <v>45</v>
      </c>
      <c r="F15" s="4" t="s">
        <v>33</v>
      </c>
      <c r="H15" s="10"/>
    </row>
    <row r="16" spans="1:8" x14ac:dyDescent="0.2">
      <c r="F16" s="4" t="s">
        <v>35</v>
      </c>
      <c r="G16" s="13">
        <f>IF(B14&gt;=0,$G$2*B9/2,$G$2*B9/2+B9/2*ABS($B$14))</f>
        <v>1.2057600000000002</v>
      </c>
      <c r="H16" s="10" t="s">
        <v>16</v>
      </c>
    </row>
    <row r="17" spans="6:8" x14ac:dyDescent="0.2">
      <c r="F17" s="4" t="s">
        <v>36</v>
      </c>
      <c r="G17" s="13">
        <f>IF(B14&gt;=0,(ABS(B14)*B9/2+ABS(B13)*B7+ABS(B15)),ABS(B13)*B7+ABS(B15))</f>
        <v>0.98</v>
      </c>
      <c r="H17" s="10" t="s">
        <v>16</v>
      </c>
    </row>
    <row r="18" spans="6:8" x14ac:dyDescent="0.2">
      <c r="F18" s="4" t="s">
        <v>37</v>
      </c>
      <c r="G18" s="13">
        <f>$G$16/$G$17</f>
        <v>1.2303673469387757</v>
      </c>
      <c r="H18" s="10"/>
    </row>
    <row r="19" spans="6:8" ht="15" thickBot="1" x14ac:dyDescent="0.25">
      <c r="F19" s="5" t="s">
        <v>38</v>
      </c>
      <c r="G19" s="15" t="str">
        <f>IF(G18&gt;=1.6,"满足","不满足")</f>
        <v>不满足</v>
      </c>
      <c r="H19" s="12"/>
    </row>
  </sheetData>
  <mergeCells count="2">
    <mergeCell ref="D2:D5"/>
    <mergeCell ref="D6:D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8EEE-0ABE-4257-86E1-DC6DDA2DCE68}">
  <dimension ref="A1:I45"/>
  <sheetViews>
    <sheetView workbookViewId="0">
      <selection activeCell="I23" sqref="I23"/>
    </sheetView>
  </sheetViews>
  <sheetFormatPr defaultRowHeight="14.25" x14ac:dyDescent="0.2"/>
  <cols>
    <col min="1" max="1" width="5.5" bestFit="1" customWidth="1"/>
    <col min="2" max="2" width="41.625" bestFit="1" customWidth="1"/>
    <col min="3" max="3" width="18.375" bestFit="1" customWidth="1"/>
    <col min="4" max="4" width="21.375" bestFit="1" customWidth="1"/>
    <col min="5" max="5" width="18.375" bestFit="1" customWidth="1"/>
    <col min="6" max="8" width="8.5" bestFit="1" customWidth="1"/>
  </cols>
  <sheetData>
    <row r="1" spans="1:9" x14ac:dyDescent="0.2">
      <c r="A1" s="45" t="s">
        <v>54</v>
      </c>
      <c r="B1" s="45"/>
      <c r="C1" s="45"/>
      <c r="D1" s="18"/>
      <c r="E1" s="18"/>
      <c r="F1" s="18"/>
      <c r="G1" s="18"/>
      <c r="H1" s="18"/>
      <c r="I1" s="18"/>
    </row>
    <row r="2" spans="1:9" x14ac:dyDescent="0.2">
      <c r="A2" s="18" t="s">
        <v>55</v>
      </c>
      <c r="B2" s="18" t="s">
        <v>56</v>
      </c>
      <c r="C2" s="18"/>
      <c r="D2" s="18"/>
      <c r="E2" s="18"/>
      <c r="F2" s="18"/>
      <c r="G2" s="18"/>
      <c r="H2" s="18"/>
      <c r="I2" s="18"/>
    </row>
    <row r="3" spans="1:9" ht="18.75" x14ac:dyDescent="0.2">
      <c r="A3" s="18"/>
      <c r="B3" s="19" t="s">
        <v>57</v>
      </c>
      <c r="C3" s="19" t="s">
        <v>93</v>
      </c>
      <c r="D3" s="19" t="s">
        <v>58</v>
      </c>
      <c r="E3" s="20" t="s">
        <v>59</v>
      </c>
      <c r="F3" s="18"/>
      <c r="G3" s="18"/>
      <c r="H3" s="18"/>
      <c r="I3" s="18"/>
    </row>
    <row r="4" spans="1:9" x14ac:dyDescent="0.2">
      <c r="A4" s="18"/>
      <c r="B4" s="21">
        <v>0.15</v>
      </c>
      <c r="C4" s="21">
        <v>0</v>
      </c>
      <c r="D4" s="17">
        <f>3.14*B4</f>
        <v>0.47099999999999997</v>
      </c>
      <c r="E4" s="21">
        <v>40</v>
      </c>
      <c r="F4" s="18"/>
      <c r="G4" s="18"/>
      <c r="H4" s="18"/>
      <c r="I4" s="18"/>
    </row>
    <row r="5" spans="1:9" ht="18.75" x14ac:dyDescent="0.2">
      <c r="A5" s="18"/>
      <c r="B5" s="19" t="s">
        <v>94</v>
      </c>
      <c r="C5" s="19" t="s">
        <v>95</v>
      </c>
      <c r="D5" s="19" t="s">
        <v>96</v>
      </c>
      <c r="E5" s="18"/>
      <c r="F5" s="18"/>
      <c r="G5" s="18"/>
      <c r="H5" s="18"/>
      <c r="I5" s="18"/>
    </row>
    <row r="6" spans="1:9" x14ac:dyDescent="0.2">
      <c r="A6" s="18"/>
      <c r="B6" s="17">
        <f>3.14/4*(B4*B4-C4*C4)</f>
        <v>1.7662500000000001E-2</v>
      </c>
      <c r="C6" s="17">
        <f>3.14/4*C4*C4</f>
        <v>0</v>
      </c>
      <c r="D6" s="17">
        <f>B4-2*E4/1000</f>
        <v>6.9999999999999993E-2</v>
      </c>
      <c r="E6" s="18"/>
      <c r="F6" s="18"/>
      <c r="G6" s="18"/>
      <c r="H6" s="18"/>
      <c r="I6" s="18"/>
    </row>
    <row r="7" spans="1:9" ht="33" x14ac:dyDescent="0.2">
      <c r="A7" s="18"/>
      <c r="B7" s="22" t="s">
        <v>97</v>
      </c>
      <c r="C7" s="22" t="s">
        <v>98</v>
      </c>
      <c r="D7" s="20" t="s">
        <v>99</v>
      </c>
      <c r="E7" s="17" t="s">
        <v>100</v>
      </c>
      <c r="F7" s="23"/>
      <c r="G7" s="18"/>
      <c r="H7" s="18"/>
      <c r="I7" s="18"/>
    </row>
    <row r="8" spans="1:9" x14ac:dyDescent="0.2">
      <c r="A8" s="18"/>
      <c r="B8" s="17">
        <f>3.14*B4*(B4*B4+2*(D29-1)*D8*D6*D6)/32</f>
        <v>3.3999959249999997E-4</v>
      </c>
      <c r="C8" s="17">
        <f>B8*D6/2</f>
        <v>1.1899985737499998E-5</v>
      </c>
      <c r="D8" s="23">
        <v>1.0800000000000001E-2</v>
      </c>
      <c r="E8" s="24">
        <f>B6*1000000*D8</f>
        <v>190.75500000000002</v>
      </c>
      <c r="F8" s="18"/>
      <c r="G8" s="18"/>
      <c r="H8" s="18"/>
      <c r="I8" s="18"/>
    </row>
    <row r="9" spans="1:9" x14ac:dyDescent="0.2">
      <c r="A9" s="18" t="s">
        <v>60</v>
      </c>
      <c r="B9" s="18" t="s">
        <v>61</v>
      </c>
      <c r="C9" s="18"/>
      <c r="D9" s="18"/>
      <c r="E9" s="18"/>
      <c r="F9" s="18"/>
      <c r="G9" s="18"/>
      <c r="H9" s="18"/>
      <c r="I9" s="18"/>
    </row>
    <row r="10" spans="1:9" ht="28.5" x14ac:dyDescent="0.2">
      <c r="A10" s="18"/>
      <c r="B10" s="22" t="s">
        <v>62</v>
      </c>
      <c r="C10" s="22" t="s">
        <v>63</v>
      </c>
      <c r="D10" s="22" t="s">
        <v>64</v>
      </c>
      <c r="E10" s="18"/>
      <c r="F10" s="18"/>
      <c r="G10" s="18"/>
      <c r="H10" s="18"/>
      <c r="I10" s="18"/>
    </row>
    <row r="11" spans="1:9" x14ac:dyDescent="0.2">
      <c r="A11" s="18"/>
      <c r="B11" s="21">
        <v>5.3</v>
      </c>
      <c r="C11" s="21">
        <v>15</v>
      </c>
      <c r="D11" s="21">
        <v>13</v>
      </c>
      <c r="E11" s="18"/>
      <c r="F11" s="18"/>
      <c r="G11" s="18"/>
      <c r="H11" s="18"/>
      <c r="I11" s="18"/>
    </row>
    <row r="12" spans="1:9" x14ac:dyDescent="0.2">
      <c r="A12" s="18"/>
      <c r="B12" s="18"/>
      <c r="C12" s="18"/>
      <c r="D12" s="18"/>
      <c r="E12" s="18"/>
      <c r="F12" s="18"/>
      <c r="G12" s="18"/>
      <c r="H12" s="18"/>
      <c r="I12" s="18"/>
    </row>
    <row r="13" spans="1:9" x14ac:dyDescent="0.2">
      <c r="A13" s="18" t="s">
        <v>65</v>
      </c>
      <c r="B13" s="18" t="s">
        <v>66</v>
      </c>
      <c r="C13" s="18"/>
      <c r="D13" s="18"/>
      <c r="E13" s="18"/>
      <c r="F13" s="18"/>
      <c r="G13" s="18"/>
      <c r="H13" s="18"/>
      <c r="I13" s="18"/>
    </row>
    <row r="14" spans="1:9" x14ac:dyDescent="0.2">
      <c r="A14" s="18"/>
      <c r="B14" s="18" t="s">
        <v>67</v>
      </c>
      <c r="C14" s="18"/>
      <c r="D14" s="18"/>
      <c r="E14" s="18"/>
      <c r="F14" s="18"/>
      <c r="G14" s="18"/>
      <c r="H14" s="18"/>
      <c r="I14" s="18"/>
    </row>
    <row r="15" spans="1:9" x14ac:dyDescent="0.2">
      <c r="A15" s="18"/>
      <c r="B15" s="19" t="s">
        <v>68</v>
      </c>
      <c r="C15" s="19" t="s">
        <v>69</v>
      </c>
      <c r="D15" s="19" t="s">
        <v>70</v>
      </c>
      <c r="E15" s="18"/>
      <c r="F15" s="18"/>
      <c r="G15" s="18"/>
      <c r="H15" s="18"/>
      <c r="I15" s="18"/>
    </row>
    <row r="16" spans="1:9" x14ac:dyDescent="0.2">
      <c r="A16" s="18"/>
      <c r="B16" s="21">
        <v>10</v>
      </c>
      <c r="C16" s="21">
        <v>25</v>
      </c>
      <c r="D16" s="21">
        <v>0.8</v>
      </c>
      <c r="E16" s="18"/>
      <c r="F16" s="18" t="s">
        <v>71</v>
      </c>
      <c r="G16" s="18" t="s">
        <v>72</v>
      </c>
      <c r="H16" s="18" t="s">
        <v>73</v>
      </c>
      <c r="I16" s="18"/>
    </row>
    <row r="17" spans="1:9" ht="18.75" x14ac:dyDescent="0.2">
      <c r="A17" s="18"/>
      <c r="B17" s="19" t="s">
        <v>101</v>
      </c>
      <c r="C17" s="19" t="s">
        <v>102</v>
      </c>
      <c r="D17" s="19" t="s">
        <v>74</v>
      </c>
      <c r="E17" s="18"/>
      <c r="F17" s="18"/>
      <c r="G17" s="18"/>
      <c r="H17" s="18"/>
      <c r="I17" s="18"/>
    </row>
    <row r="18" spans="1:9" x14ac:dyDescent="0.2">
      <c r="A18" s="18"/>
      <c r="B18" s="21">
        <v>65</v>
      </c>
      <c r="C18" s="21">
        <v>800</v>
      </c>
      <c r="D18" s="21">
        <v>1.4</v>
      </c>
      <c r="E18" s="18"/>
      <c r="F18" s="18"/>
      <c r="G18" s="18"/>
      <c r="H18" s="18"/>
      <c r="I18" s="18"/>
    </row>
    <row r="19" spans="1:9" x14ac:dyDescent="0.2">
      <c r="A19" s="18" t="s">
        <v>75</v>
      </c>
      <c r="B19" s="18" t="s">
        <v>76</v>
      </c>
      <c r="C19" s="18"/>
      <c r="D19" s="18"/>
      <c r="E19" s="18"/>
      <c r="F19" s="18"/>
      <c r="G19" s="18"/>
      <c r="H19" s="18"/>
      <c r="I19" s="18"/>
    </row>
    <row r="20" spans="1:9" ht="18.75" x14ac:dyDescent="0.2">
      <c r="A20" s="18"/>
      <c r="B20" s="18" t="s">
        <v>103</v>
      </c>
      <c r="C20" s="18"/>
      <c r="D20" s="25">
        <f>D4*B18*D18+C18*B6</f>
        <v>56.991</v>
      </c>
      <c r="E20" s="26" t="s">
        <v>77</v>
      </c>
      <c r="F20" s="18"/>
      <c r="G20" s="18"/>
      <c r="H20" s="18"/>
      <c r="I20" s="18"/>
    </row>
    <row r="21" spans="1:9" x14ac:dyDescent="0.2">
      <c r="A21" s="18"/>
      <c r="B21" s="18" t="s">
        <v>78</v>
      </c>
      <c r="C21" s="18"/>
      <c r="D21" s="27">
        <f>D20/2</f>
        <v>28.4955</v>
      </c>
      <c r="E21" s="26" t="s">
        <v>77</v>
      </c>
      <c r="F21" s="18" t="s">
        <v>79</v>
      </c>
      <c r="G21" s="18"/>
      <c r="H21" s="18"/>
      <c r="I21" s="18"/>
    </row>
    <row r="22" spans="1:9" x14ac:dyDescent="0.2">
      <c r="A22" s="18" t="s">
        <v>80</v>
      </c>
      <c r="B22" s="18" t="s">
        <v>81</v>
      </c>
      <c r="C22" s="18"/>
      <c r="D22" s="18"/>
      <c r="E22" s="18"/>
      <c r="F22" s="18"/>
      <c r="G22" s="18"/>
      <c r="H22" s="18"/>
      <c r="I22" s="18"/>
    </row>
    <row r="23" spans="1:9" ht="18.75" x14ac:dyDescent="0.2">
      <c r="A23" s="18"/>
      <c r="B23" s="18" t="s">
        <v>104</v>
      </c>
      <c r="C23" s="18"/>
      <c r="D23" s="25">
        <f>D16*B18*D4*D18</f>
        <v>34.288799999999995</v>
      </c>
      <c r="E23" s="26" t="s">
        <v>77</v>
      </c>
      <c r="F23" s="18"/>
      <c r="G23" s="18"/>
      <c r="H23" s="18"/>
      <c r="I23" s="18"/>
    </row>
    <row r="24" spans="1:9" x14ac:dyDescent="0.2">
      <c r="A24" s="18"/>
      <c r="B24" s="18" t="s">
        <v>82</v>
      </c>
      <c r="C24" s="18"/>
      <c r="D24" s="25">
        <f>D18*B6*25</f>
        <v>0.6181875</v>
      </c>
      <c r="E24" s="26" t="s">
        <v>77</v>
      </c>
      <c r="F24" s="18"/>
      <c r="G24" s="18"/>
      <c r="H24" s="18"/>
      <c r="I24" s="18"/>
    </row>
    <row r="25" spans="1:9" x14ac:dyDescent="0.2">
      <c r="A25" s="18"/>
      <c r="B25" s="18" t="s">
        <v>83</v>
      </c>
      <c r="C25" s="18"/>
      <c r="D25" s="27">
        <f>D23/2+D24</f>
        <v>17.762587499999999</v>
      </c>
      <c r="E25" s="26" t="s">
        <v>77</v>
      </c>
      <c r="F25" s="18" t="s">
        <v>79</v>
      </c>
      <c r="G25" s="18"/>
      <c r="H25" s="18"/>
      <c r="I25" s="18"/>
    </row>
    <row r="26" spans="1:9" x14ac:dyDescent="0.2">
      <c r="A26" s="18"/>
      <c r="B26" s="18"/>
      <c r="C26" s="18"/>
      <c r="D26" s="18"/>
      <c r="E26" s="18"/>
      <c r="F26" s="18"/>
      <c r="G26" s="18"/>
      <c r="H26" s="18"/>
      <c r="I26" s="18"/>
    </row>
    <row r="27" spans="1:9" ht="18.75" x14ac:dyDescent="0.2">
      <c r="A27" s="18" t="s">
        <v>84</v>
      </c>
      <c r="B27" s="18" t="s">
        <v>85</v>
      </c>
      <c r="C27" s="18"/>
      <c r="D27" s="18" t="s">
        <v>105</v>
      </c>
      <c r="E27" s="18"/>
      <c r="F27" s="18"/>
      <c r="G27" s="18"/>
      <c r="H27" s="18"/>
      <c r="I27" s="18"/>
    </row>
    <row r="28" spans="1:9" ht="45" x14ac:dyDescent="0.2">
      <c r="A28" s="17"/>
      <c r="B28" s="22" t="s">
        <v>106</v>
      </c>
      <c r="C28" s="22" t="s">
        <v>107</v>
      </c>
      <c r="D28" s="19" t="s">
        <v>108</v>
      </c>
      <c r="E28" s="28"/>
      <c r="F28" s="17"/>
      <c r="G28" s="17"/>
      <c r="H28" s="17"/>
      <c r="I28" s="17"/>
    </row>
    <row r="29" spans="1:9" x14ac:dyDescent="0.2">
      <c r="A29" s="17"/>
      <c r="B29" s="17">
        <v>30000</v>
      </c>
      <c r="C29" s="17">
        <v>200000</v>
      </c>
      <c r="D29" s="24">
        <f>C29/B29</f>
        <v>6.666666666666667</v>
      </c>
      <c r="E29" s="28"/>
      <c r="F29" s="17"/>
      <c r="G29" s="17"/>
      <c r="H29" s="17"/>
      <c r="I29" s="17"/>
    </row>
    <row r="30" spans="1:9" ht="33" x14ac:dyDescent="0.2">
      <c r="A30" s="17"/>
      <c r="B30" s="22" t="s">
        <v>109</v>
      </c>
      <c r="C30" s="22" t="s">
        <v>110</v>
      </c>
      <c r="D30" s="17"/>
      <c r="E30" s="17"/>
      <c r="F30" s="17"/>
      <c r="G30" s="17"/>
      <c r="H30" s="17"/>
      <c r="I30" s="17"/>
    </row>
    <row r="31" spans="1:9" x14ac:dyDescent="0.2">
      <c r="A31" s="17"/>
      <c r="B31" s="29">
        <f>0.85*B29*C8*1000</f>
        <v>303.44963630624994</v>
      </c>
      <c r="C31" s="17">
        <f>0.9*(1.5*B4+0.5)</f>
        <v>0.65249999999999997</v>
      </c>
      <c r="D31" s="17"/>
      <c r="E31" s="17"/>
      <c r="F31" s="17"/>
      <c r="G31" s="17"/>
      <c r="H31" s="17"/>
      <c r="I31" s="17"/>
    </row>
    <row r="32" spans="1:9" ht="33" x14ac:dyDescent="0.2">
      <c r="A32" s="17"/>
      <c r="B32" s="22" t="s">
        <v>111</v>
      </c>
      <c r="C32" s="22" t="s">
        <v>112</v>
      </c>
      <c r="D32" s="22" t="s">
        <v>113</v>
      </c>
      <c r="E32" s="17"/>
      <c r="F32" s="17"/>
      <c r="G32" s="17"/>
      <c r="H32" s="17"/>
      <c r="I32" s="17"/>
    </row>
    <row r="33" spans="1:9" x14ac:dyDescent="0.2">
      <c r="A33" s="17"/>
      <c r="B33" s="17">
        <v>0.01</v>
      </c>
      <c r="C33" s="30">
        <v>10</v>
      </c>
      <c r="D33" s="24">
        <f>POWER(C33*1000*C31/B31,1/5)</f>
        <v>1.8471356015049323</v>
      </c>
      <c r="E33" s="17"/>
      <c r="F33" s="17"/>
      <c r="G33" s="17"/>
      <c r="H33" s="17"/>
      <c r="I33" s="17"/>
    </row>
    <row r="34" spans="1:9" ht="28.5" x14ac:dyDescent="0.2">
      <c r="A34" s="17"/>
      <c r="B34" s="19" t="s">
        <v>86</v>
      </c>
      <c r="C34" s="19" t="s">
        <v>87</v>
      </c>
      <c r="D34" s="22" t="s">
        <v>88</v>
      </c>
      <c r="E34" s="17"/>
      <c r="F34" s="17"/>
      <c r="G34" s="17"/>
      <c r="H34" s="17"/>
      <c r="I34" s="17"/>
    </row>
    <row r="35" spans="1:9" x14ac:dyDescent="0.2">
      <c r="A35" s="17"/>
      <c r="B35" s="21">
        <v>1.4</v>
      </c>
      <c r="C35" s="24">
        <f>D33*B35</f>
        <v>2.5859898421069052</v>
      </c>
      <c r="D35" s="31">
        <v>3.5259999999999998</v>
      </c>
      <c r="E35" s="17"/>
      <c r="F35" s="17"/>
      <c r="G35" s="17"/>
      <c r="H35" s="17"/>
      <c r="I35" s="17"/>
    </row>
    <row r="36" spans="1:9" x14ac:dyDescent="0.2">
      <c r="A36" s="18"/>
      <c r="B36" s="32"/>
      <c r="C36" s="18" t="s">
        <v>89</v>
      </c>
      <c r="D36" s="33">
        <f>0.75*D33^3*B31*B33/D35</f>
        <v>4.067821745013549</v>
      </c>
      <c r="E36" s="18" t="s">
        <v>77</v>
      </c>
      <c r="F36" s="18"/>
      <c r="G36" s="18"/>
      <c r="H36" s="18"/>
      <c r="I36" s="18"/>
    </row>
    <row r="37" spans="1:9" x14ac:dyDescent="0.2">
      <c r="A37" s="18"/>
      <c r="B37" s="18"/>
      <c r="C37" s="18"/>
      <c r="D37" s="18"/>
      <c r="E37" s="18"/>
      <c r="F37" s="18"/>
      <c r="G37" s="18"/>
      <c r="H37" s="18"/>
      <c r="I37" s="18"/>
    </row>
    <row r="38" spans="1:9" ht="18.75" x14ac:dyDescent="0.2">
      <c r="A38" s="18" t="s">
        <v>90</v>
      </c>
      <c r="B38" s="18" t="s">
        <v>91</v>
      </c>
      <c r="C38" s="18"/>
      <c r="D38" s="18" t="s">
        <v>114</v>
      </c>
      <c r="E38" s="18"/>
      <c r="F38" s="18"/>
      <c r="G38" s="18"/>
      <c r="H38" s="18"/>
      <c r="I38" s="18"/>
    </row>
    <row r="39" spans="1:9" ht="33" x14ac:dyDescent="0.2">
      <c r="A39" s="18"/>
      <c r="B39" s="22" t="s">
        <v>92</v>
      </c>
      <c r="C39" s="22" t="s">
        <v>115</v>
      </c>
      <c r="D39" s="22" t="s">
        <v>116</v>
      </c>
      <c r="E39" s="22" t="s">
        <v>117</v>
      </c>
      <c r="F39" s="18"/>
      <c r="G39" s="18"/>
      <c r="H39" s="18"/>
      <c r="I39" s="18"/>
    </row>
    <row r="40" spans="1:9" x14ac:dyDescent="0.2">
      <c r="A40" s="18"/>
      <c r="B40" s="17">
        <v>2</v>
      </c>
      <c r="C40" s="17">
        <v>1.43</v>
      </c>
      <c r="D40" s="31">
        <v>0.56000000000000005</v>
      </c>
      <c r="E40" s="17">
        <f>3.14*B4*B4*(1+(D29-1)*D8)/4</f>
        <v>1.8743444999999997E-2</v>
      </c>
      <c r="F40" s="18"/>
      <c r="G40" s="18"/>
      <c r="H40" s="18"/>
      <c r="I40" s="18"/>
    </row>
    <row r="41" spans="1:9" ht="54.75" x14ac:dyDescent="0.2">
      <c r="A41" s="18"/>
      <c r="B41" s="22" t="s">
        <v>118</v>
      </c>
      <c r="C41" s="22" t="s">
        <v>119</v>
      </c>
      <c r="D41" s="31"/>
      <c r="E41" s="17"/>
      <c r="F41" s="18"/>
      <c r="G41" s="18"/>
      <c r="H41" s="18"/>
      <c r="I41" s="18"/>
    </row>
    <row r="42" spans="1:9" x14ac:dyDescent="0.2">
      <c r="A42" s="18"/>
      <c r="B42" s="17">
        <v>1</v>
      </c>
      <c r="C42" s="17">
        <v>0.5</v>
      </c>
      <c r="D42" s="18"/>
      <c r="E42" s="18"/>
      <c r="F42" s="18"/>
      <c r="G42" s="18"/>
      <c r="H42" s="18"/>
      <c r="I42" s="18"/>
    </row>
    <row r="43" spans="1:9" x14ac:dyDescent="0.2">
      <c r="A43" s="18"/>
      <c r="B43" s="32"/>
      <c r="C43" s="17"/>
      <c r="D43" s="18"/>
      <c r="E43" s="18"/>
      <c r="F43" s="18"/>
      <c r="G43" s="18"/>
      <c r="H43" s="18"/>
      <c r="I43" s="18"/>
    </row>
    <row r="44" spans="1:9" ht="18.75" x14ac:dyDescent="0.2">
      <c r="A44" s="18"/>
      <c r="B44" s="18" t="s">
        <v>120</v>
      </c>
      <c r="C44" s="18"/>
      <c r="D44" s="33">
        <f>0.75*D33*B40*C40*1000*B8*(1.25+22*D8)*(1+C42*C11/(B40*C40*1000*E40))/D40</f>
        <v>4.0791795064035288</v>
      </c>
      <c r="E44" s="26" t="s">
        <v>77</v>
      </c>
      <c r="F44" s="18"/>
      <c r="G44" s="18"/>
      <c r="H44" s="18"/>
      <c r="I44" s="18"/>
    </row>
    <row r="45" spans="1:9" ht="18.75" x14ac:dyDescent="0.2">
      <c r="A45" s="18"/>
      <c r="B45" s="18" t="s">
        <v>121</v>
      </c>
      <c r="C45" s="18"/>
      <c r="D45" s="33">
        <f>0.75*D33*B40*C40*1000*B8*(1.25+22*D8)*(1-B42*D11/(B40*C40*1000*E40))/D40</f>
        <v>2.7106914027094802</v>
      </c>
      <c r="E45" s="26" t="s">
        <v>77</v>
      </c>
      <c r="F45" s="18"/>
      <c r="G45" s="18"/>
      <c r="H45" s="18"/>
      <c r="I45" s="18"/>
    </row>
  </sheetData>
  <mergeCells count="1">
    <mergeCell ref="A1:C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9" r:id="rId3">
          <objectPr defaultSize="0" autoPict="0" altText="" r:id="rId4">
            <anchor moveWithCells="1" sizeWithCells="1">
              <from>
                <xdr:col>1</xdr:col>
                <xdr:colOff>0</xdr:colOff>
                <xdr:row>42</xdr:row>
                <xdr:rowOff>76200</xdr:rowOff>
              </from>
              <to>
                <xdr:col>3</xdr:col>
                <xdr:colOff>95250</xdr:colOff>
                <xdr:row>43</xdr:row>
                <xdr:rowOff>28575</xdr:rowOff>
              </to>
            </anchor>
          </objectPr>
        </oleObject>
      </mc:Choice>
      <mc:Fallback>
        <oleObject progId="Equation.3" shapeId="1029" r:id="rId3"/>
      </mc:Fallback>
    </mc:AlternateContent>
    <mc:AlternateContent xmlns:mc="http://schemas.openxmlformats.org/markup-compatibility/2006">
      <mc:Choice Requires="x14">
        <oleObject progId="Equation.3" shapeId="1030" r:id="rId5">
          <objectPr defaultSize="0" autoPict="0" altText="" r:id="rId6">
            <anchor moveWithCells="1" sizeWithCells="1">
              <from>
                <xdr:col>1</xdr:col>
                <xdr:colOff>228600</xdr:colOff>
                <xdr:row>35</xdr:row>
                <xdr:rowOff>114300</xdr:rowOff>
              </from>
              <to>
                <xdr:col>1</xdr:col>
                <xdr:colOff>1485900</xdr:colOff>
                <xdr:row>35</xdr:row>
                <xdr:rowOff>571500</xdr:rowOff>
              </to>
            </anchor>
          </objectPr>
        </oleObject>
      </mc:Choice>
      <mc:Fallback>
        <oleObject progId="Equation.3" shapeId="1030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58E8-1CE8-4737-A774-94015B9FF8F8}">
  <dimension ref="A1:N78"/>
  <sheetViews>
    <sheetView tabSelected="1" zoomScaleNormal="100" workbookViewId="0">
      <selection activeCell="C72" sqref="C72"/>
    </sheetView>
  </sheetViews>
  <sheetFormatPr defaultRowHeight="14.25" x14ac:dyDescent="0.2"/>
  <cols>
    <col min="1" max="1" width="14.5" customWidth="1"/>
    <col min="2" max="2" width="17" customWidth="1"/>
    <col min="3" max="3" width="24.5" customWidth="1"/>
  </cols>
  <sheetData>
    <row r="1" spans="1:4" x14ac:dyDescent="0.2">
      <c r="A1" s="16"/>
      <c r="B1" s="16"/>
      <c r="C1" s="16"/>
      <c r="D1" s="16"/>
    </row>
    <row r="2" spans="1:4" x14ac:dyDescent="0.2">
      <c r="A2" s="39"/>
      <c r="B2" s="16"/>
      <c r="C2" s="39"/>
      <c r="D2" s="16"/>
    </row>
    <row r="3" spans="1:4" x14ac:dyDescent="0.2">
      <c r="A3" s="39"/>
      <c r="B3" s="16"/>
      <c r="C3" s="39"/>
      <c r="D3" s="16"/>
    </row>
    <row r="4" spans="1:4" x14ac:dyDescent="0.2">
      <c r="A4" s="39"/>
      <c r="B4" s="16"/>
      <c r="C4" s="39"/>
      <c r="D4" s="16"/>
    </row>
    <row r="5" spans="1:4" x14ac:dyDescent="0.2">
      <c r="A5" s="39"/>
      <c r="B5" s="16"/>
      <c r="C5" s="39"/>
      <c r="D5" s="16"/>
    </row>
    <row r="6" spans="1:4" x14ac:dyDescent="0.2">
      <c r="A6" s="39"/>
      <c r="B6" s="16"/>
      <c r="C6" s="16"/>
      <c r="D6" s="16"/>
    </row>
    <row r="7" spans="1:4" x14ac:dyDescent="0.2">
      <c r="A7" s="39"/>
      <c r="B7" s="16"/>
      <c r="C7" s="16"/>
      <c r="D7" s="16"/>
    </row>
    <row r="8" spans="1:4" x14ac:dyDescent="0.2">
      <c r="A8" s="39"/>
      <c r="B8" s="16"/>
      <c r="C8" s="16"/>
      <c r="D8" s="16"/>
    </row>
    <row r="9" spans="1:4" x14ac:dyDescent="0.2">
      <c r="A9" s="39"/>
      <c r="B9" s="16"/>
      <c r="C9" s="16"/>
      <c r="D9" s="16"/>
    </row>
    <row r="10" spans="1:4" x14ac:dyDescent="0.2">
      <c r="A10" s="16"/>
      <c r="B10" s="16"/>
      <c r="C10" s="16"/>
      <c r="D10" s="16"/>
    </row>
    <row r="11" spans="1:4" x14ac:dyDescent="0.2">
      <c r="A11" s="16"/>
      <c r="B11" s="16"/>
      <c r="C11" s="16"/>
      <c r="D11" s="16"/>
    </row>
    <row r="12" spans="1:4" x14ac:dyDescent="0.2">
      <c r="A12" s="16"/>
      <c r="B12" s="16"/>
      <c r="C12" s="16"/>
      <c r="D12" s="16"/>
    </row>
    <row r="13" spans="1:4" x14ac:dyDescent="0.2">
      <c r="A13" s="16"/>
      <c r="B13" s="16"/>
      <c r="C13" s="16"/>
      <c r="D13" s="16"/>
    </row>
    <row r="14" spans="1:4" x14ac:dyDescent="0.2">
      <c r="A14" s="39"/>
      <c r="B14" s="16"/>
      <c r="D14" s="16"/>
    </row>
    <row r="15" spans="1:4" x14ac:dyDescent="0.2">
      <c r="A15" s="39"/>
      <c r="B15" s="16"/>
      <c r="D15" s="16"/>
    </row>
    <row r="16" spans="1:4" x14ac:dyDescent="0.2">
      <c r="A16" s="39"/>
      <c r="B16" s="16"/>
      <c r="C16" s="39"/>
      <c r="D16" s="16"/>
    </row>
    <row r="60" spans="1:7" x14ac:dyDescent="0.2">
      <c r="G60">
        <v>98</v>
      </c>
    </row>
    <row r="64" spans="1:7" x14ac:dyDescent="0.2">
      <c r="A64" t="s">
        <v>176</v>
      </c>
      <c r="C64" t="s">
        <v>175</v>
      </c>
    </row>
    <row r="65" spans="1:14" x14ac:dyDescent="0.2">
      <c r="E65" s="41"/>
    </row>
    <row r="67" spans="1:14" x14ac:dyDescent="0.2">
      <c r="A67" t="s">
        <v>174</v>
      </c>
      <c r="B67" s="36">
        <v>2.5</v>
      </c>
      <c r="C67" t="s">
        <v>173</v>
      </c>
      <c r="D67" s="36">
        <v>1</v>
      </c>
      <c r="E67" t="s">
        <v>172</v>
      </c>
      <c r="F67" s="36">
        <v>13.5</v>
      </c>
      <c r="G67" t="s">
        <v>171</v>
      </c>
      <c r="H67" s="36">
        <v>0.3</v>
      </c>
    </row>
    <row r="68" spans="1:14" x14ac:dyDescent="0.2">
      <c r="A68" t="s">
        <v>170</v>
      </c>
      <c r="B68" s="36">
        <v>19</v>
      </c>
      <c r="C68" t="s">
        <v>169</v>
      </c>
    </row>
    <row r="69" spans="1:14" x14ac:dyDescent="0.2">
      <c r="A69" t="s">
        <v>168</v>
      </c>
      <c r="B69" s="36">
        <v>23</v>
      </c>
      <c r="C69" t="s">
        <v>160</v>
      </c>
      <c r="N69" t="s">
        <v>167</v>
      </c>
    </row>
    <row r="70" spans="1:14" x14ac:dyDescent="0.2">
      <c r="A70" t="s">
        <v>166</v>
      </c>
      <c r="B70">
        <f>TAN(45*3.14/180+B69/2*3.14/180)^2*B68</f>
        <v>43.275744087307395</v>
      </c>
    </row>
    <row r="71" spans="1:14" x14ac:dyDescent="0.2">
      <c r="A71" t="s">
        <v>165</v>
      </c>
      <c r="B71" s="36">
        <v>0.38</v>
      </c>
      <c r="C71" t="s">
        <v>177</v>
      </c>
    </row>
    <row r="72" spans="1:14" x14ac:dyDescent="0.2">
      <c r="A72" t="s">
        <v>164</v>
      </c>
      <c r="B72">
        <f>COS(45*3.14/180+B69/2*3.14/180)*TAN(B69*3.14/180)*2*B67/(3*H67)*B71+1</f>
        <v>1.4946916509611665</v>
      </c>
    </row>
    <row r="73" spans="1:14" x14ac:dyDescent="0.2">
      <c r="A73" s="39" t="s">
        <v>163</v>
      </c>
      <c r="B73">
        <f>B72*H67</f>
        <v>0.44840749528834994</v>
      </c>
    </row>
    <row r="74" spans="1:14" ht="57" x14ac:dyDescent="0.2">
      <c r="A74" s="40" t="s">
        <v>162</v>
      </c>
      <c r="B74">
        <f>D67/B67</f>
        <v>0.4</v>
      </c>
    </row>
    <row r="75" spans="1:14" ht="28.5" x14ac:dyDescent="0.2">
      <c r="A75" s="40" t="s">
        <v>161</v>
      </c>
      <c r="B75" s="36">
        <v>0.76100000000000001</v>
      </c>
      <c r="C75" t="s">
        <v>160</v>
      </c>
      <c r="D75">
        <f>(D67/B67-2)*(0.725-0.732)+0.732</f>
        <v>0.74319999999999997</v>
      </c>
      <c r="E75" t="s">
        <v>159</v>
      </c>
    </row>
    <row r="76" spans="1:14" x14ac:dyDescent="0.2">
      <c r="A76" s="39" t="s">
        <v>158</v>
      </c>
      <c r="B76">
        <f>3/(1-2*B75^3)</f>
        <v>25.299837225907257</v>
      </c>
      <c r="D76">
        <f>(D67/B67-1)*(0.732-0.746)+0.746</f>
        <v>0.75439999999999996</v>
      </c>
      <c r="E76" t="s">
        <v>157</v>
      </c>
    </row>
    <row r="77" spans="1:14" x14ac:dyDescent="0.2">
      <c r="A77" t="s">
        <v>156</v>
      </c>
      <c r="B77" s="38">
        <f>B70*B73*B67^2/(B74*B76)</f>
        <v>11.984494109374436</v>
      </c>
      <c r="H77">
        <f>TAN(H78)</f>
        <v>1.6197751905438615</v>
      </c>
    </row>
    <row r="78" spans="1:14" x14ac:dyDescent="0.2">
      <c r="H78">
        <v>45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61D6-FC22-4C54-AEEE-AFEBA56E70BF}">
  <dimension ref="A1:J60"/>
  <sheetViews>
    <sheetView workbookViewId="0">
      <selection activeCell="C21" sqref="C21"/>
    </sheetView>
  </sheetViews>
  <sheetFormatPr defaultRowHeight="14.25" x14ac:dyDescent="0.2"/>
  <cols>
    <col min="1" max="1" width="19" customWidth="1"/>
    <col min="2" max="2" width="14.5" customWidth="1"/>
    <col min="8" max="8" width="15.75" customWidth="1"/>
    <col min="9" max="9" width="13.125" customWidth="1"/>
  </cols>
  <sheetData>
    <row r="1" spans="1:10" x14ac:dyDescent="0.2">
      <c r="A1" t="s">
        <v>155</v>
      </c>
      <c r="F1" t="s">
        <v>154</v>
      </c>
      <c r="G1" t="s">
        <v>153</v>
      </c>
      <c r="H1" t="s">
        <v>152</v>
      </c>
      <c r="I1" t="s">
        <v>151</v>
      </c>
      <c r="J1" t="s">
        <v>150</v>
      </c>
    </row>
    <row r="2" spans="1:10" x14ac:dyDescent="0.2">
      <c r="A2" s="37" t="s">
        <v>149</v>
      </c>
      <c r="B2">
        <v>7.5999999999999998E-2</v>
      </c>
      <c r="F2" t="s">
        <v>148</v>
      </c>
      <c r="G2">
        <v>0.6</v>
      </c>
      <c r="H2">
        <v>20</v>
      </c>
      <c r="I2">
        <v>200</v>
      </c>
      <c r="J2">
        <v>0.7</v>
      </c>
    </row>
    <row r="3" spans="1:10" x14ac:dyDescent="0.2">
      <c r="A3" s="37" t="s">
        <v>147</v>
      </c>
      <c r="B3">
        <v>0.17</v>
      </c>
      <c r="F3" t="s">
        <v>146</v>
      </c>
    </row>
    <row r="4" spans="1:10" x14ac:dyDescent="0.2">
      <c r="A4" s="37" t="s">
        <v>145</v>
      </c>
      <c r="B4">
        <v>1.7</v>
      </c>
    </row>
    <row r="5" spans="1:10" x14ac:dyDescent="0.2">
      <c r="A5" s="37" t="s">
        <v>144</v>
      </c>
      <c r="B5">
        <v>0.15</v>
      </c>
    </row>
    <row r="6" spans="1:10" x14ac:dyDescent="0.2">
      <c r="A6" s="37" t="s">
        <v>143</v>
      </c>
      <c r="B6">
        <v>0.6</v>
      </c>
    </row>
    <row r="7" spans="1:10" x14ac:dyDescent="0.2">
      <c r="A7" s="37" t="s">
        <v>142</v>
      </c>
      <c r="B7">
        <v>0.875</v>
      </c>
    </row>
    <row r="8" spans="1:10" x14ac:dyDescent="0.2">
      <c r="A8" s="35" t="s">
        <v>141</v>
      </c>
      <c r="B8">
        <v>1.4750000000000001</v>
      </c>
    </row>
    <row r="12" spans="1:10" x14ac:dyDescent="0.2">
      <c r="A12" s="36" t="s">
        <v>140</v>
      </c>
    </row>
    <row r="13" spans="1:10" x14ac:dyDescent="0.2">
      <c r="A13" t="s">
        <v>135</v>
      </c>
      <c r="B13" t="str">
        <f>IF($B$6&lt;=3*$B$3,"满足","不满足")</f>
        <v>不满足</v>
      </c>
      <c r="C13" t="str">
        <f>IF(AND(3*$B$3&lt;$B$6, $B$6&lt;4*$B$3),"满足","不满足")</f>
        <v>满足</v>
      </c>
      <c r="D13" t="str">
        <f>IF(4*$B$3&lt;=$B$6,"满足","不满足")</f>
        <v>不满足</v>
      </c>
    </row>
    <row r="14" spans="1:10" x14ac:dyDescent="0.2">
      <c r="A14" s="35" t="s">
        <v>134</v>
      </c>
      <c r="B14">
        <f>3.14*$B$2</f>
        <v>0.23863999999999999</v>
      </c>
      <c r="C14">
        <f>3.14*$B$2</f>
        <v>0.23863999999999999</v>
      </c>
      <c r="D14">
        <f>3.14*$B$2</f>
        <v>0.23863999999999999</v>
      </c>
    </row>
    <row r="15" spans="1:10" x14ac:dyDescent="0.2">
      <c r="A15" s="35" t="s">
        <v>131</v>
      </c>
      <c r="B15">
        <f>$B$7-1*$B$3</f>
        <v>0.70499999999999996</v>
      </c>
      <c r="C15">
        <f>$B$7-1*$B$3</f>
        <v>0.70499999999999996</v>
      </c>
      <c r="D15">
        <f>$B$7-1*$B$3</f>
        <v>0.70499999999999996</v>
      </c>
    </row>
    <row r="16" spans="1:10" x14ac:dyDescent="0.2">
      <c r="A16" s="35" t="s">
        <v>133</v>
      </c>
      <c r="B16">
        <f>$B$4-$B$6-$B$7-$B$5</f>
        <v>7.5000000000000094E-2</v>
      </c>
      <c r="C16">
        <f>$B$4-$B$6-$B$7-$B$5</f>
        <v>7.5000000000000094E-2</v>
      </c>
      <c r="D16">
        <f>$B$4-$B$6-$B$7-$B$5</f>
        <v>7.5000000000000094E-2</v>
      </c>
    </row>
    <row r="17" spans="1:4" x14ac:dyDescent="0.2">
      <c r="A17" s="1" t="s">
        <v>130</v>
      </c>
      <c r="D17">
        <f>$B$6-3*$B$3-1*$B$3</f>
        <v>-8.0000000000000043E-2</v>
      </c>
    </row>
    <row r="18" spans="1:4" x14ac:dyDescent="0.2">
      <c r="A18" s="35" t="s">
        <v>132</v>
      </c>
      <c r="B18">
        <f>3.14*$B$3</f>
        <v>0.53380000000000005</v>
      </c>
      <c r="C18">
        <f>3.14*$B$3</f>
        <v>0.53380000000000005</v>
      </c>
      <c r="D18">
        <f>3.14*$B$3</f>
        <v>0.53380000000000005</v>
      </c>
    </row>
    <row r="19" spans="1:4" x14ac:dyDescent="0.2">
      <c r="A19" s="35" t="s">
        <v>139</v>
      </c>
      <c r="B19">
        <f>$B$6</f>
        <v>0.6</v>
      </c>
      <c r="C19">
        <f>3*$B$3</f>
        <v>0.51</v>
      </c>
      <c r="D19">
        <f>3*$B$3</f>
        <v>0.51</v>
      </c>
    </row>
    <row r="20" spans="1:4" x14ac:dyDescent="0.2">
      <c r="A20" s="1" t="s">
        <v>129</v>
      </c>
      <c r="B20">
        <f>((B15+B16+B17)*B14+B18*B19)*$H$2</f>
        <v>10.128384</v>
      </c>
      <c r="C20">
        <f>((C15+C16+C17)*C14+C18*C19)*$H$2</f>
        <v>9.1675440000000012</v>
      </c>
      <c r="D20">
        <f>((D15+D16+D17)*D14+D18*D19)*$H$2</f>
        <v>8.7857199999999995</v>
      </c>
    </row>
    <row r="21" spans="1:4" x14ac:dyDescent="0.2">
      <c r="A21" s="1" t="s">
        <v>138</v>
      </c>
      <c r="B21">
        <f>3.14*$B$3*$B$3/4*$I$2</f>
        <v>4.537300000000001</v>
      </c>
      <c r="C21">
        <f>3.14*$B$3*$B$3/4*$I$2</f>
        <v>4.537300000000001</v>
      </c>
      <c r="D21">
        <f>3.14*$B$3*$B$3/4*$I$2</f>
        <v>4.537300000000001</v>
      </c>
    </row>
    <row r="22" spans="1:4" x14ac:dyDescent="0.2">
      <c r="A22" s="1" t="s">
        <v>137</v>
      </c>
      <c r="B22">
        <f>B20+B21</f>
        <v>14.665684000000002</v>
      </c>
      <c r="C22">
        <f>C20+C21</f>
        <v>13.704844000000001</v>
      </c>
      <c r="D22">
        <f>D20+D21</f>
        <v>13.32302</v>
      </c>
    </row>
    <row r="23" spans="1:4" x14ac:dyDescent="0.2">
      <c r="A23" s="1" t="s">
        <v>128</v>
      </c>
      <c r="B23">
        <f>B22/2</f>
        <v>7.3328420000000012</v>
      </c>
      <c r="C23">
        <f>C22/2</f>
        <v>6.8524220000000007</v>
      </c>
      <c r="D23">
        <f>D22/2</f>
        <v>6.6615099999999998</v>
      </c>
    </row>
    <row r="26" spans="1:4" x14ac:dyDescent="0.2">
      <c r="A26" s="36" t="s">
        <v>136</v>
      </c>
    </row>
    <row r="27" spans="1:4" x14ac:dyDescent="0.2">
      <c r="A27" t="s">
        <v>135</v>
      </c>
      <c r="B27" t="str">
        <f>IF($B$6&lt;=3*$B$3,"满足","不满足")</f>
        <v>不满足</v>
      </c>
      <c r="C27" t="str">
        <f>IF(AND(3*$B$3&lt;$B$6, $B$6&lt;4*$B$3),"满足","不满足")</f>
        <v>满足</v>
      </c>
      <c r="D27" t="str">
        <f>IF(4*$B$3&lt;=$B$6,"满足","不满足")</f>
        <v>不满足</v>
      </c>
    </row>
    <row r="28" spans="1:4" x14ac:dyDescent="0.2">
      <c r="A28" s="35" t="s">
        <v>134</v>
      </c>
      <c r="B28">
        <f>3.14*$B$2</f>
        <v>0.23863999999999999</v>
      </c>
      <c r="C28">
        <f>3.14*$B$2</f>
        <v>0.23863999999999999</v>
      </c>
      <c r="D28">
        <f>3.14*$B$2</f>
        <v>0.23863999999999999</v>
      </c>
    </row>
    <row r="29" spans="1:4" x14ac:dyDescent="0.2">
      <c r="A29" s="35" t="s">
        <v>131</v>
      </c>
      <c r="B29">
        <f>$B$7-2*$B$3</f>
        <v>0.53499999999999992</v>
      </c>
      <c r="C29">
        <f>$B$7-2*$B$3</f>
        <v>0.53499999999999992</v>
      </c>
      <c r="D29">
        <f>$B$7-2*$B$3</f>
        <v>0.53499999999999992</v>
      </c>
    </row>
    <row r="30" spans="1:4" x14ac:dyDescent="0.2">
      <c r="A30" s="35" t="s">
        <v>133</v>
      </c>
      <c r="B30">
        <f>$B$4-$B$6-$B$7-$B$5</f>
        <v>7.5000000000000094E-2</v>
      </c>
      <c r="C30">
        <f>$B$4-$B$6-$B$7-$B$5</f>
        <v>7.5000000000000094E-2</v>
      </c>
      <c r="D30">
        <f>$B$4-$B$6-$B$7-$B$5</f>
        <v>7.5000000000000094E-2</v>
      </c>
    </row>
    <row r="31" spans="1:4" x14ac:dyDescent="0.2">
      <c r="A31" s="1" t="s">
        <v>130</v>
      </c>
      <c r="D31">
        <f>$B$6-3*$B$3-1*$B$3</f>
        <v>-8.0000000000000043E-2</v>
      </c>
    </row>
    <row r="32" spans="1:4" x14ac:dyDescent="0.2">
      <c r="A32" s="35" t="s">
        <v>132</v>
      </c>
      <c r="B32">
        <f>3.14*$B$3</f>
        <v>0.53380000000000005</v>
      </c>
      <c r="C32">
        <f>3.14*$B$3</f>
        <v>0.53380000000000005</v>
      </c>
      <c r="D32">
        <f>3.14*$B$3</f>
        <v>0.53380000000000005</v>
      </c>
    </row>
    <row r="33" spans="1:4" x14ac:dyDescent="0.2">
      <c r="A33" s="35" t="s">
        <v>131</v>
      </c>
      <c r="B33">
        <f>2*$B$3</f>
        <v>0.34</v>
      </c>
      <c r="C33">
        <f>2*$B$3</f>
        <v>0.34</v>
      </c>
      <c r="D33">
        <f>2*$B$3</f>
        <v>0.34</v>
      </c>
    </row>
    <row r="34" spans="1:4" x14ac:dyDescent="0.2">
      <c r="A34" s="1" t="s">
        <v>130</v>
      </c>
      <c r="B34">
        <f>$B$6</f>
        <v>0.6</v>
      </c>
      <c r="C34">
        <f>3*$B$3</f>
        <v>0.51</v>
      </c>
      <c r="D34">
        <f>3*$B$3</f>
        <v>0.51</v>
      </c>
    </row>
    <row r="35" spans="1:4" x14ac:dyDescent="0.2">
      <c r="A35" s="1" t="s">
        <v>129</v>
      </c>
      <c r="B35">
        <f>((B29+B30+B31)*B28+(B33+B34)*B32)*$H$2*$J$2</f>
        <v>9.0627935999999991</v>
      </c>
      <c r="C35">
        <f>((C29+C30+C31)*C28+(C33+C34)*C32)*$H$2*$J$2</f>
        <v>8.3902056000000016</v>
      </c>
      <c r="D35">
        <f>((D29+D30+D31)*D28+(D33+D34)*D32)*$H$2*$J$2</f>
        <v>8.1229288000000004</v>
      </c>
    </row>
    <row r="36" spans="1:4" x14ac:dyDescent="0.2">
      <c r="A36" s="1" t="s">
        <v>128</v>
      </c>
      <c r="B36">
        <f>B35/2</f>
        <v>4.5313967999999996</v>
      </c>
      <c r="C36">
        <f>C35/2</f>
        <v>4.1951028000000008</v>
      </c>
      <c r="D36">
        <f>D35/2</f>
        <v>4.0614644000000002</v>
      </c>
    </row>
    <row r="37" spans="1:4" x14ac:dyDescent="0.2">
      <c r="A37" s="1"/>
    </row>
    <row r="52" spans="1:2" x14ac:dyDescent="0.2">
      <c r="A52" s="35" t="s">
        <v>128</v>
      </c>
    </row>
    <row r="53" spans="1:2" x14ac:dyDescent="0.2">
      <c r="A53" s="35" t="s">
        <v>127</v>
      </c>
    </row>
    <row r="56" spans="1:2" x14ac:dyDescent="0.2">
      <c r="A56" s="1" t="s">
        <v>126</v>
      </c>
      <c r="B56" s="34" t="str">
        <f>IF($G$2&lt;$B$7,"上叶片以上",IF($G$2&lt;$B$8,"上下叶片中",IF($G$2&lt;$B$4,"下叶片到桩尖","桩尖以下")))</f>
        <v>上叶片以上</v>
      </c>
    </row>
    <row r="57" spans="1:2" x14ac:dyDescent="0.2">
      <c r="A57" s="1" t="s">
        <v>125</v>
      </c>
      <c r="B57">
        <f>B14*H2*G2+B14*H2*(B15-G2)+B18*H3*B19+B14*H3*B16</f>
        <v>3.364824</v>
      </c>
    </row>
    <row r="58" spans="1:2" x14ac:dyDescent="0.2">
      <c r="A58" s="1" t="s">
        <v>124</v>
      </c>
    </row>
    <row r="59" spans="1:2" x14ac:dyDescent="0.2">
      <c r="A59" s="1" t="s">
        <v>123</v>
      </c>
    </row>
    <row r="60" spans="1:2" x14ac:dyDescent="0.2">
      <c r="A60" s="1" t="s">
        <v>122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A6CB-DD1F-454E-8767-9CF6EF25F37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双立柱条形基础稳定验算</vt:lpstr>
      <vt:lpstr>三立柱条形基础稳定验算</vt:lpstr>
      <vt:lpstr>单圆形柱墩基础稳定验算</vt:lpstr>
      <vt:lpstr>单距形柱墩基础稳定验算</vt:lpstr>
      <vt:lpstr>桩基水平承载力及抗压抗拔</vt:lpstr>
      <vt:lpstr>桩的抗倾覆验算</vt:lpstr>
      <vt:lpstr>螺旋钢管桩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陈杰颖</dc:creator>
  <cp:lastModifiedBy>周志展</cp:lastModifiedBy>
  <dcterms:created xsi:type="dcterms:W3CDTF">2015-06-05T18:19:34Z</dcterms:created>
  <dcterms:modified xsi:type="dcterms:W3CDTF">2024-08-19T12:27:57Z</dcterms:modified>
</cp:coreProperties>
</file>