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启蒙课二期【优先学习这个新版】\1.Excel\"/>
    </mc:Choice>
  </mc:AlternateContent>
  <xr:revisionPtr revIDLastSave="0" documentId="13_ncr:1_{204647B5-161E-4B93-97AB-D462776CE61A}" xr6:coauthVersionLast="47" xr6:coauthVersionMax="47" xr10:uidLastSave="{00000000-0000-0000-0000-000000000000}"/>
  <bookViews>
    <workbookView xWindow="1560" yWindow="1560" windowWidth="21600" windowHeight="11385" firstSheet="5" activeTab="7" xr2:uid="{A19BAB5D-785F-4A4D-B1C1-14FC6548EFC8}"/>
    <workbookView xWindow="1905" yWindow="1905" windowWidth="21600" windowHeight="11385" activeTab="1" xr2:uid="{5D53D986-BB79-4476-BCB4-7D5DE3F9E1A5}"/>
  </bookViews>
  <sheets>
    <sheet name="Sheet3" sheetId="32" r:id="rId1"/>
    <sheet name="拌客源数据1-8月" sheetId="2" r:id="rId2"/>
    <sheet name="数据透视图表-完成版" sheetId="28" r:id="rId3"/>
    <sheet name="Sheet1" sheetId="33" r:id="rId4"/>
    <sheet name="常用函数-完成版" sheetId="4" r:id="rId5"/>
    <sheet name="常用函数-练习版" sheetId="18" r:id="rId6"/>
    <sheet name="大厂周报-完成版" sheetId="3" r:id="rId7"/>
    <sheet name="大厂周报-练习版" sheetId="16" r:id="rId8"/>
    <sheet name="源数据备份" sheetId="29" state="hidden" r:id="rId9"/>
  </sheets>
  <definedNames>
    <definedName name="_xlnm._FilterDatabase" localSheetId="1" hidden="1">'拌客源数据1-8月'!$A$1:$X$562</definedName>
    <definedName name="_xlnm._FilterDatabase" localSheetId="8" hidden="1">源数据备份!$A$1:$X$562</definedName>
    <definedName name="切片器_平台i1">#N/A</definedName>
  </definedNames>
  <calcPr calcId="191029"/>
  <pivotCaches>
    <pivotCache cacheId="0" r:id="rId10"/>
    <pivotCache cacheId="1" r:id="rId11"/>
    <pivotCache cacheId="9" r:id="rId12"/>
    <pivotCache cacheId="15" r:id="rId13"/>
  </pivotCaches>
  <extLst>
    <ext xmlns:x14="http://schemas.microsoft.com/office/spreadsheetml/2009/9/main" uri="{BBE1A952-AA13-448e-AADC-164F8A28A991}">
      <x14:slicerCaches>
        <x14:slicerCache r:id="rId1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6" l="1"/>
  <c r="H8" i="16"/>
  <c r="D13" i="16"/>
  <c r="C13" i="16"/>
  <c r="D26" i="16"/>
  <c r="F13" i="16"/>
  <c r="G13" i="16"/>
  <c r="B25" i="16"/>
  <c r="A26" i="16"/>
  <c r="F26" i="16" s="1"/>
  <c r="A25" i="16"/>
  <c r="D25" i="16" s="1"/>
  <c r="B1" i="16"/>
  <c r="B13" i="16"/>
  <c r="A14" i="16"/>
  <c r="D14" i="16" s="1"/>
  <c r="G12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12" i="18"/>
  <c r="I112" i="18"/>
  <c r="G113" i="18"/>
  <c r="G114" i="18"/>
  <c r="G115" i="18"/>
  <c r="G116" i="18"/>
  <c r="G117" i="18"/>
  <c r="G118" i="18"/>
  <c r="G119" i="18"/>
  <c r="G120" i="18"/>
  <c r="G121" i="18"/>
  <c r="G123" i="18"/>
  <c r="G124" i="18"/>
  <c r="G125" i="18"/>
  <c r="G126" i="18"/>
  <c r="G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F112" i="18"/>
  <c r="E126" i="18"/>
  <c r="E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12" i="18"/>
  <c r="P97" i="18"/>
  <c r="P98" i="18"/>
  <c r="P99" i="18"/>
  <c r="P100" i="18"/>
  <c r="P101" i="18"/>
  <c r="P102" i="18"/>
  <c r="P103" i="18"/>
  <c r="P96" i="18"/>
  <c r="J99" i="18"/>
  <c r="C96" i="18"/>
  <c r="E81" i="18"/>
  <c r="E82" i="18"/>
  <c r="E83" i="18"/>
  <c r="E84" i="18"/>
  <c r="E85" i="18"/>
  <c r="E86" i="18"/>
  <c r="E87" i="18"/>
  <c r="E80" i="18"/>
  <c r="D65" i="18"/>
  <c r="D66" i="18"/>
  <c r="D67" i="18"/>
  <c r="D68" i="18"/>
  <c r="D69" i="18"/>
  <c r="D70" i="18"/>
  <c r="D71" i="18"/>
  <c r="D64" i="18"/>
  <c r="D55" i="18"/>
  <c r="C55" i="18"/>
  <c r="C39" i="18"/>
  <c r="D39" i="18" s="1"/>
  <c r="C40" i="18"/>
  <c r="D40" i="18" s="1"/>
  <c r="C41" i="18"/>
  <c r="D41" i="18" s="1"/>
  <c r="C42" i="18"/>
  <c r="D42" i="18" s="1"/>
  <c r="C43" i="18"/>
  <c r="D43" i="18" s="1"/>
  <c r="C44" i="18"/>
  <c r="D44" i="18" s="1"/>
  <c r="C45" i="18"/>
  <c r="D45" i="18" s="1"/>
  <c r="C46" i="18"/>
  <c r="D46" i="18" s="1"/>
  <c r="C30" i="18"/>
  <c r="E26" i="18"/>
  <c r="E25" i="18"/>
  <c r="E24" i="18"/>
  <c r="J31" i="18"/>
  <c r="J32" i="18"/>
  <c r="J33" i="18"/>
  <c r="J34" i="18"/>
  <c r="J35" i="18"/>
  <c r="J36" i="18"/>
  <c r="J30" i="18"/>
  <c r="I31" i="18"/>
  <c r="I32" i="18"/>
  <c r="I33" i="18"/>
  <c r="I34" i="18"/>
  <c r="I35" i="18"/>
  <c r="I36" i="18"/>
  <c r="I30" i="18"/>
  <c r="G25" i="18" s="1"/>
  <c r="H31" i="18"/>
  <c r="H32" i="18"/>
  <c r="H33" i="18"/>
  <c r="H34" i="18"/>
  <c r="H35" i="18"/>
  <c r="H36" i="18"/>
  <c r="G31" i="18"/>
  <c r="G32" i="18"/>
  <c r="G33" i="18"/>
  <c r="G34" i="18"/>
  <c r="G35" i="18"/>
  <c r="G36" i="18"/>
  <c r="H30" i="18"/>
  <c r="G30" i="18"/>
  <c r="F31" i="18"/>
  <c r="F32" i="18"/>
  <c r="F33" i="18"/>
  <c r="F34" i="18"/>
  <c r="F35" i="18"/>
  <c r="F36" i="18"/>
  <c r="F30" i="18"/>
  <c r="J96" i="18" s="1"/>
  <c r="C31" i="18"/>
  <c r="D31" i="18" s="1"/>
  <c r="C32" i="18"/>
  <c r="D32" i="18" s="1"/>
  <c r="C33" i="18"/>
  <c r="E33" i="18" s="1"/>
  <c r="C34" i="18"/>
  <c r="D34" i="18" s="1"/>
  <c r="C35" i="18"/>
  <c r="D35" i="18" s="1"/>
  <c r="C36" i="18"/>
  <c r="D36" i="18" s="1"/>
  <c r="C21" i="18"/>
  <c r="D12" i="18"/>
  <c r="C16" i="18"/>
  <c r="C17" i="18"/>
  <c r="C18" i="18"/>
  <c r="C19" i="18"/>
  <c r="C20" i="18"/>
  <c r="D5" i="18"/>
  <c r="C5" i="18"/>
  <c r="D13" i="3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C97" i="18"/>
  <c r="C98" i="18"/>
  <c r="C99" i="18"/>
  <c r="C100" i="18"/>
  <c r="C101" i="18"/>
  <c r="C102" i="18"/>
  <c r="C103" i="18"/>
  <c r="A14" i="3"/>
  <c r="A15" i="3" s="1"/>
  <c r="A16" i="3" s="1"/>
  <c r="A17" i="3" s="1"/>
  <c r="A18" i="3" s="1"/>
  <c r="A19" i="3" s="1"/>
  <c r="D19" i="3" s="1"/>
  <c r="H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P93" i="4"/>
  <c r="C96" i="4"/>
  <c r="K83" i="4"/>
  <c r="K82" i="4"/>
  <c r="K81" i="4"/>
  <c r="K80" i="4"/>
  <c r="D64" i="4"/>
  <c r="D65" i="4"/>
  <c r="D66" i="4"/>
  <c r="D67" i="4"/>
  <c r="D68" i="4"/>
  <c r="D69" i="4"/>
  <c r="D70" i="4"/>
  <c r="D71" i="4"/>
  <c r="D40" i="4"/>
  <c r="D41" i="4"/>
  <c r="D42" i="4"/>
  <c r="D43" i="4"/>
  <c r="D44" i="4"/>
  <c r="D45" i="4"/>
  <c r="D46" i="4"/>
  <c r="D39" i="4"/>
  <c r="C39" i="4"/>
  <c r="C40" i="4"/>
  <c r="C41" i="4"/>
  <c r="C42" i="4"/>
  <c r="C43" i="4"/>
  <c r="C44" i="4"/>
  <c r="C45" i="4"/>
  <c r="C46" i="4"/>
  <c r="J31" i="4"/>
  <c r="J32" i="4"/>
  <c r="J33" i="4"/>
  <c r="J34" i="4"/>
  <c r="J35" i="4"/>
  <c r="J36" i="4"/>
  <c r="J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I30" i="4"/>
  <c r="H30" i="4"/>
  <c r="G30" i="4"/>
  <c r="F30" i="4"/>
  <c r="C15" i="4"/>
  <c r="C16" i="4"/>
  <c r="C17" i="4"/>
  <c r="C18" i="4"/>
  <c r="C19" i="4"/>
  <c r="C20" i="4"/>
  <c r="C21" i="4"/>
  <c r="H8" i="3"/>
  <c r="D12" i="4"/>
  <c r="E80" i="4"/>
  <c r="G14" i="16" l="1"/>
  <c r="A27" i="16"/>
  <c r="C27" i="16" s="1"/>
  <c r="F14" i="16"/>
  <c r="C26" i="16"/>
  <c r="E26" i="16" s="1"/>
  <c r="C14" i="16"/>
  <c r="A15" i="16"/>
  <c r="A16" i="16" s="1"/>
  <c r="A17" i="16" s="1"/>
  <c r="A18" i="16" s="1"/>
  <c r="A19" i="16" s="1"/>
  <c r="F19" i="16" s="1"/>
  <c r="B17" i="16"/>
  <c r="A31" i="16"/>
  <c r="B29" i="16"/>
  <c r="C19" i="16"/>
  <c r="H31" i="16" s="1"/>
  <c r="C15" i="16"/>
  <c r="D19" i="16"/>
  <c r="G17" i="16"/>
  <c r="F16" i="16"/>
  <c r="D15" i="16"/>
  <c r="B16" i="16"/>
  <c r="D1" i="16"/>
  <c r="A30" i="16"/>
  <c r="B28" i="16"/>
  <c r="C18" i="16"/>
  <c r="H30" i="16" s="1"/>
  <c r="G18" i="16"/>
  <c r="F17" i="16"/>
  <c r="D16" i="16"/>
  <c r="B19" i="16"/>
  <c r="A29" i="16"/>
  <c r="B31" i="16"/>
  <c r="B27" i="16"/>
  <c r="G19" i="16"/>
  <c r="D17" i="16"/>
  <c r="F27" i="16"/>
  <c r="F25" i="16"/>
  <c r="B15" i="16"/>
  <c r="C17" i="16"/>
  <c r="F18" i="16"/>
  <c r="G15" i="16"/>
  <c r="B18" i="16"/>
  <c r="B14" i="16"/>
  <c r="A28" i="16"/>
  <c r="B30" i="16"/>
  <c r="B26" i="16"/>
  <c r="C16" i="16"/>
  <c r="D18" i="16"/>
  <c r="G16" i="16"/>
  <c r="F15" i="16"/>
  <c r="C25" i="16"/>
  <c r="D27" i="16"/>
  <c r="H14" i="16"/>
  <c r="G25" i="16"/>
  <c r="H29" i="16"/>
  <c r="H28" i="16"/>
  <c r="H25" i="16"/>
  <c r="E14" i="16"/>
  <c r="H27" i="16"/>
  <c r="E17" i="16"/>
  <c r="G26" i="16"/>
  <c r="H26" i="16"/>
  <c r="E13" i="16"/>
  <c r="H13" i="16"/>
  <c r="H27" i="18"/>
  <c r="D33" i="18"/>
  <c r="E36" i="18"/>
  <c r="E32" i="18"/>
  <c r="E35" i="18"/>
  <c r="E31" i="18"/>
  <c r="E30" i="18"/>
  <c r="E34" i="18"/>
  <c r="D30" i="18"/>
  <c r="D16" i="3"/>
  <c r="D15" i="3"/>
  <c r="D18" i="3"/>
  <c r="D14" i="3"/>
  <c r="D17" i="3"/>
  <c r="C13" i="3"/>
  <c r="E16" i="16" l="1"/>
  <c r="H17" i="16"/>
  <c r="H19" i="16"/>
  <c r="G20" i="16"/>
  <c r="H15" i="16"/>
  <c r="C20" i="16"/>
  <c r="H32" i="16" s="1"/>
  <c r="D20" i="16"/>
  <c r="C9" i="16" s="1"/>
  <c r="D9" i="16" s="1"/>
  <c r="F20" i="16"/>
  <c r="A9" i="16" s="1"/>
  <c r="B9" i="16" s="1"/>
  <c r="H18" i="16"/>
  <c r="H16" i="16"/>
  <c r="F28" i="16"/>
  <c r="C28" i="16"/>
  <c r="D28" i="16"/>
  <c r="F30" i="16"/>
  <c r="D30" i="16"/>
  <c r="C30" i="16"/>
  <c r="D29" i="16"/>
  <c r="F29" i="16"/>
  <c r="C29" i="16"/>
  <c r="E27" i="16"/>
  <c r="G27" i="16"/>
  <c r="E18" i="16"/>
  <c r="E19" i="16"/>
  <c r="E25" i="16"/>
  <c r="C31" i="16"/>
  <c r="D31" i="16"/>
  <c r="F31" i="16"/>
  <c r="E15" i="16"/>
  <c r="D20" i="3"/>
  <c r="D1" i="3"/>
  <c r="B1" i="3"/>
  <c r="H20" i="16" l="1"/>
  <c r="E20" i="16"/>
  <c r="E9" i="16" s="1"/>
  <c r="F9" i="16" s="1"/>
  <c r="C32" i="16"/>
  <c r="A6" i="16" s="1"/>
  <c r="G31" i="16"/>
  <c r="E30" i="16"/>
  <c r="G28" i="16"/>
  <c r="E31" i="16"/>
  <c r="G29" i="16"/>
  <c r="G30" i="16"/>
  <c r="E29" i="16"/>
  <c r="E28" i="16"/>
  <c r="F32" i="16"/>
  <c r="D32" i="16"/>
  <c r="F26" i="3"/>
  <c r="F27" i="3"/>
  <c r="F28" i="3"/>
  <c r="F29" i="3"/>
  <c r="F30" i="3"/>
  <c r="F31" i="3"/>
  <c r="F25" i="3"/>
  <c r="D26" i="3"/>
  <c r="D27" i="3"/>
  <c r="D28" i="3"/>
  <c r="D29" i="3"/>
  <c r="D30" i="3"/>
  <c r="D31" i="3"/>
  <c r="D25" i="3"/>
  <c r="C26" i="3"/>
  <c r="C27" i="3"/>
  <c r="C28" i="3"/>
  <c r="C29" i="3"/>
  <c r="C30" i="3"/>
  <c r="C31" i="3"/>
  <c r="C25" i="3"/>
  <c r="F14" i="3"/>
  <c r="G14" i="3"/>
  <c r="F15" i="3"/>
  <c r="G15" i="3"/>
  <c r="F16" i="3"/>
  <c r="G16" i="3"/>
  <c r="F17" i="3"/>
  <c r="G17" i="3"/>
  <c r="F18" i="3"/>
  <c r="G18" i="3"/>
  <c r="F19" i="3"/>
  <c r="G19" i="3"/>
  <c r="G13" i="3"/>
  <c r="F13" i="3"/>
  <c r="C14" i="3"/>
  <c r="C15" i="3"/>
  <c r="H27" i="3" s="1"/>
  <c r="C16" i="3"/>
  <c r="H28" i="3" s="1"/>
  <c r="C17" i="3"/>
  <c r="H29" i="3" s="1"/>
  <c r="C18" i="3"/>
  <c r="H30" i="3" s="1"/>
  <c r="C19" i="3"/>
  <c r="H31" i="3" s="1"/>
  <c r="H25" i="3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P97" i="4"/>
  <c r="P98" i="4"/>
  <c r="P99" i="4"/>
  <c r="P100" i="4"/>
  <c r="P101" i="4"/>
  <c r="P102" i="4"/>
  <c r="P103" i="4"/>
  <c r="P96" i="4"/>
  <c r="J99" i="4"/>
  <c r="J96" i="4"/>
  <c r="C97" i="4"/>
  <c r="C98" i="4"/>
  <c r="C99" i="4"/>
  <c r="C100" i="4"/>
  <c r="C101" i="4"/>
  <c r="C102" i="4"/>
  <c r="C103" i="4"/>
  <c r="E81" i="4"/>
  <c r="E82" i="4"/>
  <c r="E83" i="4"/>
  <c r="E84" i="4"/>
  <c r="E85" i="4"/>
  <c r="E86" i="4"/>
  <c r="E87" i="4"/>
  <c r="D55" i="4"/>
  <c r="C55" i="4"/>
  <c r="C36" i="4"/>
  <c r="E39" i="4"/>
  <c r="G40" i="4"/>
  <c r="G41" i="4"/>
  <c r="G42" i="4"/>
  <c r="G43" i="4"/>
  <c r="G44" i="4"/>
  <c r="G45" i="4"/>
  <c r="G46" i="4"/>
  <c r="G39" i="4"/>
  <c r="F41" i="4"/>
  <c r="F42" i="4"/>
  <c r="F43" i="4"/>
  <c r="F44" i="4"/>
  <c r="F45" i="4"/>
  <c r="F46" i="4"/>
  <c r="F40" i="4"/>
  <c r="F39" i="4"/>
  <c r="E40" i="4"/>
  <c r="E41" i="4"/>
  <c r="E42" i="4"/>
  <c r="E43" i="4"/>
  <c r="E44" i="4"/>
  <c r="E45" i="4"/>
  <c r="E46" i="4"/>
  <c r="E31" i="4"/>
  <c r="E32" i="4"/>
  <c r="E33" i="4"/>
  <c r="E34" i="4"/>
  <c r="E35" i="4"/>
  <c r="E36" i="4"/>
  <c r="E30" i="4"/>
  <c r="D34" i="4"/>
  <c r="D31" i="4"/>
  <c r="D32" i="4"/>
  <c r="D33" i="4"/>
  <c r="D35" i="4"/>
  <c r="D36" i="4"/>
  <c r="D30" i="4"/>
  <c r="C31" i="4"/>
  <c r="C32" i="4"/>
  <c r="C33" i="4"/>
  <c r="C34" i="4"/>
  <c r="C35" i="4"/>
  <c r="C30" i="4"/>
  <c r="D5" i="4"/>
  <c r="C5" i="4"/>
  <c r="E32" i="16" l="1"/>
  <c r="C6" i="16" s="1"/>
  <c r="G32" i="16"/>
  <c r="E6" i="16" s="1"/>
  <c r="G20" i="3"/>
  <c r="H26" i="3"/>
  <c r="C20" i="3"/>
  <c r="F20" i="3"/>
  <c r="A9" i="3" s="1"/>
  <c r="B9" i="3" s="1"/>
  <c r="G31" i="3"/>
  <c r="A31" i="3"/>
  <c r="B31" i="3" s="1"/>
  <c r="A30" i="3"/>
  <c r="G29" i="3"/>
  <c r="A29" i="3"/>
  <c r="B29" i="3" s="1"/>
  <c r="A28" i="3"/>
  <c r="A27" i="3"/>
  <c r="B27" i="3" s="1"/>
  <c r="A26" i="3"/>
  <c r="D32" i="3"/>
  <c r="C32" i="3"/>
  <c r="A6" i="3" s="1"/>
  <c r="A25" i="3"/>
  <c r="B25" i="3" s="1"/>
  <c r="H19" i="3"/>
  <c r="B19" i="3"/>
  <c r="E18" i="3"/>
  <c r="B18" i="3"/>
  <c r="B17" i="3"/>
  <c r="B16" i="3"/>
  <c r="B15" i="3"/>
  <c r="B14" i="3"/>
  <c r="B13" i="3"/>
  <c r="G7" i="3"/>
  <c r="H20" i="3" l="1"/>
  <c r="H32" i="3"/>
  <c r="E20" i="3"/>
  <c r="E28" i="3"/>
  <c r="C6" i="3"/>
  <c r="E14" i="3"/>
  <c r="H14" i="3"/>
  <c r="G26" i="3"/>
  <c r="G30" i="3"/>
  <c r="H16" i="3"/>
  <c r="E13" i="3"/>
  <c r="H18" i="3"/>
  <c r="E17" i="3"/>
  <c r="E29" i="3"/>
  <c r="E27" i="3"/>
  <c r="E26" i="3"/>
  <c r="E30" i="3"/>
  <c r="E15" i="3"/>
  <c r="E31" i="3"/>
  <c r="G28" i="3"/>
  <c r="G27" i="3"/>
  <c r="E19" i="3"/>
  <c r="E16" i="3"/>
  <c r="E32" i="3"/>
  <c r="F32" i="3"/>
  <c r="G32" i="3" s="1"/>
  <c r="E6" i="3" s="1"/>
  <c r="H17" i="3"/>
  <c r="H15" i="3"/>
  <c r="H13" i="3"/>
  <c r="E25" i="3"/>
  <c r="G25" i="3"/>
  <c r="B26" i="3"/>
  <c r="B28" i="3"/>
  <c r="B30" i="3"/>
  <c r="E9" i="3" l="1"/>
  <c r="F9" i="3" s="1"/>
  <c r="C9" i="3"/>
  <c r="D9" i="3" s="1"/>
  <c r="C15" i="18"/>
</calcChain>
</file>

<file path=xl/sharedStrings.xml><?xml version="1.0" encoding="utf-8"?>
<sst xmlns="http://schemas.openxmlformats.org/spreadsheetml/2006/main" count="8329" uniqueCount="167">
  <si>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</si>
  <si>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</si>
  <si>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</si>
  <si>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</si>
  <si>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</si>
  <si>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</si>
  <si>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</si>
  <si>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</si>
  <si>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</si>
  <si>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</si>
  <si>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</si>
  <si>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</si>
  <si>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</si>
  <si>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</si>
  <si>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</si>
  <si>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</si>
  <si>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</si>
  <si>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</si>
  <si>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</si>
  <si>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</si>
  <si>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</si>
  <si>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</si>
  <si>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</si>
  <si>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</si>
  <si>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</si>
  <si>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</si>
  <si>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</si>
  <si>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</si>
  <si>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</si>
  <si>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</si>
  <si>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</si>
  <si>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</si>
  <si>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</si>
  <si>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</si>
  <si>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</si>
  <si>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</si>
  <si>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</si>
  <si>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</si>
  <si>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</si>
  <si>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</si>
  <si>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</si>
  <si>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</si>
  <si>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</si>
  <si>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</si>
  <si>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</si>
  <si>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</si>
  <si>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</si>
  <si>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</si>
  <si>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</si>
  <si>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</si>
  <si>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</si>
  <si>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</si>
  <si>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</si>
  <si>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</si>
  <si>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</si>
  <si>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</si>
  <si>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</si>
  <si>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20年8月第二周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</si>
  <si>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</si>
  <si>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</si>
  <si>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</si>
  <si>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</si>
  <si>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</si>
  <si>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</si>
  <si>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</si>
  <si>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</si>
  <si>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</si>
  <si>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</si>
  <si>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</si>
  <si>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</si>
  <si>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</si>
  <si>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</si>
  <si>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</si>
  <si>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</si>
  <si>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</si>
  <si>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</si>
  <si>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</si>
  <si>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</si>
  <si>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一、sum - 求和</t>
    <phoneticPr fontId="18" type="noConversion"/>
  </si>
  <si>
    <t>二、sumif -单条件求和</t>
    <phoneticPr fontId="18" type="noConversion"/>
  </si>
  <si>
    <t>三、sumifs - 多条件求和</t>
    <phoneticPr fontId="18" type="noConversion"/>
  </si>
  <si>
    <t>四、sum和subtotal的区别</t>
    <phoneticPr fontId="18" type="noConversion"/>
  </si>
  <si>
    <t>五、if函数</t>
    <phoneticPr fontId="18" type="noConversion"/>
  </si>
  <si>
    <t>1-8月GMV</t>
    <phoneticPr fontId="18" type="noConversion"/>
  </si>
  <si>
    <t>1月和8月GMV</t>
    <phoneticPr fontId="18" type="noConversion"/>
  </si>
  <si>
    <t>日同比</t>
    <phoneticPr fontId="18" type="noConversion"/>
  </si>
  <si>
    <t>日环比</t>
    <phoneticPr fontId="18" type="noConversion"/>
  </si>
  <si>
    <t>月环比</t>
    <phoneticPr fontId="18" type="noConversion"/>
  </si>
  <si>
    <t>sum函数</t>
    <phoneticPr fontId="18" type="noConversion"/>
  </si>
  <si>
    <t>subtotal函数</t>
    <phoneticPr fontId="18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</si>
  <si>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</si>
  <si>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</si>
  <si>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</si>
  <si>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</si>
  <si>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</si>
  <si>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</si>
  <si>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</si>
  <si>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</si>
  <si>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月份</t>
    <phoneticPr fontId="18" type="noConversion"/>
  </si>
  <si>
    <t>cpc总费用</t>
    <phoneticPr fontId="18" type="noConversion"/>
  </si>
  <si>
    <t>判断是否大于月目标10万</t>
    <phoneticPr fontId="18" type="noConversion"/>
  </si>
  <si>
    <t>六、if嵌套</t>
    <phoneticPr fontId="18" type="noConversion"/>
  </si>
  <si>
    <t>大于月目标10万且花费少于5千的为达标</t>
    <phoneticPr fontId="18" type="noConversion"/>
  </si>
  <si>
    <t>门店ID</t>
    <phoneticPr fontId="18" type="noConversion"/>
  </si>
  <si>
    <t>门店名称</t>
    <phoneticPr fontId="18" type="noConversion"/>
  </si>
  <si>
    <t>七、vlookup函数和数据透视表聚合</t>
    <phoneticPr fontId="18" type="noConversion"/>
  </si>
  <si>
    <t>A</t>
    <phoneticPr fontId="18" type="noConversion"/>
  </si>
  <si>
    <t>B</t>
    <phoneticPr fontId="18" type="noConversion"/>
  </si>
  <si>
    <t>判断</t>
    <phoneticPr fontId="18" type="noConversion"/>
  </si>
  <si>
    <t>嵌套举例：</t>
    <phoneticPr fontId="18" type="noConversion"/>
  </si>
  <si>
    <t>类别一</t>
    <phoneticPr fontId="18" type="noConversion"/>
  </si>
  <si>
    <t>C</t>
    <phoneticPr fontId="18" type="noConversion"/>
  </si>
  <si>
    <t>D</t>
    <phoneticPr fontId="18" type="noConversion"/>
  </si>
  <si>
    <t>类别二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</si>
  <si>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</si>
  <si>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</si>
  <si>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</si>
  <si>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值</t>
    <phoneticPr fontId="18" type="noConversion"/>
  </si>
  <si>
    <t>聚合（分类汇总）举例</t>
    <phoneticPr fontId="18" type="noConversion"/>
  </si>
  <si>
    <t>bc</t>
    <phoneticPr fontId="18" type="noConversion"/>
  </si>
  <si>
    <t>bcc</t>
    <phoneticPr fontId="18" type="noConversion"/>
  </si>
  <si>
    <t>模糊查询</t>
    <phoneticPr fontId="18" type="noConversion"/>
  </si>
  <si>
    <t>全名</t>
    <phoneticPr fontId="18" type="noConversion"/>
  </si>
  <si>
    <t>ddd</t>
    <phoneticPr fontId="18" type="noConversion"/>
  </si>
  <si>
    <t>查找项</t>
    <phoneticPr fontId="18" type="noConversion"/>
  </si>
  <si>
    <t>返回值</t>
    <phoneticPr fontId="18" type="noConversion"/>
  </si>
  <si>
    <t>abcd</t>
    <phoneticPr fontId="18" type="noConversion"/>
  </si>
  <si>
    <t>abc</t>
    <phoneticPr fontId="18" type="noConversion"/>
  </si>
  <si>
    <t>查找b开头并且是三个字符所对应的数值</t>
    <phoneticPr fontId="18" type="noConversion"/>
  </si>
  <si>
    <t xml:space="preserve">a </t>
    <phoneticPr fontId="18" type="noConversion"/>
  </si>
  <si>
    <t>查找a对应的值</t>
    <phoneticPr fontId="18" type="noConversion"/>
  </si>
  <si>
    <t>品牌名称</t>
    <phoneticPr fontId="18" type="noConversion"/>
  </si>
  <si>
    <t>品牌ID</t>
    <phoneticPr fontId="18" type="noConversion"/>
  </si>
  <si>
    <t>八、index和match函数</t>
    <phoneticPr fontId="18" type="noConversion"/>
  </si>
  <si>
    <t>美团GMV</t>
    <phoneticPr fontId="18" type="noConversion"/>
  </si>
  <si>
    <t>行标签</t>
  </si>
  <si>
    <t>总计</t>
  </si>
  <si>
    <t>求和项:GMV</t>
  </si>
  <si>
    <t>acd</t>
    <phoneticPr fontId="18" type="noConversion"/>
  </si>
  <si>
    <t>cb</t>
    <phoneticPr fontId="18" type="noConversion"/>
  </si>
  <si>
    <t>A</t>
  </si>
  <si>
    <t>B</t>
  </si>
  <si>
    <t>C</t>
  </si>
  <si>
    <t>D</t>
  </si>
  <si>
    <t>求和项:值2</t>
  </si>
  <si>
    <t>a</t>
  </si>
  <si>
    <t>b</t>
  </si>
  <si>
    <t>c</t>
  </si>
  <si>
    <t>求和项:商家实收</t>
  </si>
  <si>
    <t>文本</t>
    <phoneticPr fontId="18" type="noConversion"/>
  </si>
  <si>
    <t>年</t>
    <phoneticPr fontId="18" type="noConversion"/>
  </si>
  <si>
    <t>月</t>
    <phoneticPr fontId="18" type="noConversion"/>
  </si>
  <si>
    <t>日</t>
    <phoneticPr fontId="18" type="noConversion"/>
  </si>
  <si>
    <t>日期组合</t>
    <phoneticPr fontId="18" type="noConversion"/>
  </si>
  <si>
    <t>上个月这一天的GMV</t>
    <phoneticPr fontId="18" type="noConversion"/>
  </si>
  <si>
    <t>每个月第一天</t>
    <phoneticPr fontId="18" type="noConversion"/>
  </si>
  <si>
    <t>错误的每个月最后一天</t>
    <phoneticPr fontId="18" type="noConversion"/>
  </si>
  <si>
    <t>正确的每个月最后一天</t>
    <phoneticPr fontId="18" type="noConversion"/>
  </si>
  <si>
    <t>蛙小辣·美蛙火锅杯(宝山店)</t>
    <phoneticPr fontId="18" type="noConversion"/>
  </si>
  <si>
    <t>bdd1</t>
    <phoneticPr fontId="18" type="noConversion"/>
  </si>
  <si>
    <t>蛙小辣火锅杯（总账号）</t>
    <phoneticPr fontId="18" type="noConversion"/>
  </si>
  <si>
    <t>GMV_sum</t>
  </si>
  <si>
    <t>求和项:访问转化率</t>
  </si>
  <si>
    <t>(全部)</t>
  </si>
  <si>
    <t>(空白)</t>
  </si>
  <si>
    <t>全部</t>
    <phoneticPr fontId="18" type="noConversion"/>
  </si>
  <si>
    <t>月目标GMV：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</si>
</sst>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 * #,##0.00_ ;_ * \-#,##0.00_ ;_ * &quot;-&quot;??_ ;_ @_ "/>
    <numFmt numFmtId="176" formatCode="_ * #,##0_ ;_ * \-#,##0_ ;_ * &quot;-&quot;??_ ;_ @_ "/>
    <numFmt numFmtId="177" formatCode="0.00%;0.00%"/>
    <numFmt numFmtId="178" formatCode="[$-804]aaa;@"/>
    <numFmt numFmtId="179" formatCode="yyyymmdd"/>
    <numFmt numFmtId="180" formatCode="yyyy/mm/dd"/>
    <numFmt numFmtId="181" formatCode="yyyy/mm"/>
    <numFmt numFmtId="182" formatCode="0.00_);[Red]\(0.00\)"/>
    <numFmt numFmtId="183" formatCode="0_);[Red]\(0\)"/>
  </numFmts>
  <fonts count="2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3F3F3F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20"/>
      <color theme="1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21" fillId="33" borderId="0" xfId="0" applyFont="1" applyFill="1">
      <alignment vertical="center"/>
    </xf>
    <xf numFmtId="0" fontId="22" fillId="33" borderId="0" xfId="0" applyFont="1" applyFill="1" applyAlignment="1">
      <alignment horizontal="right" vertical="center"/>
    </xf>
    <xf numFmtId="0" fontId="22" fillId="33" borderId="0" xfId="0" applyFont="1" applyFill="1" applyAlignment="1">
      <alignment horizontal="center" vertical="center"/>
    </xf>
    <xf numFmtId="0" fontId="23" fillId="33" borderId="10" xfId="10" applyFont="1" applyFill="1" applyBorder="1" applyAlignment="1">
      <alignment horizontal="center" vertical="center"/>
    </xf>
    <xf numFmtId="0" fontId="21" fillId="33" borderId="11" xfId="10" applyFont="1" applyFill="1" applyBorder="1" applyAlignment="1">
      <alignment horizontal="center" vertical="center"/>
    </xf>
    <xf numFmtId="176" fontId="22" fillId="33" borderId="0" xfId="42" applyNumberFormat="1" applyFont="1" applyFill="1" applyAlignment="1">
      <alignment horizontal="right" vertical="center"/>
    </xf>
    <xf numFmtId="10" fontId="22" fillId="33" borderId="0" xfId="43" applyNumberFormat="1" applyFont="1" applyFill="1" applyAlignment="1">
      <alignment horizontal="right" vertical="center"/>
    </xf>
    <xf numFmtId="14" fontId="19" fillId="33" borderId="0" xfId="0" applyNumberFormat="1" applyFont="1" applyFill="1">
      <alignment vertical="center"/>
    </xf>
    <xf numFmtId="0" fontId="19" fillId="33" borderId="14" xfId="0" applyFont="1" applyFill="1" applyBorder="1">
      <alignment vertical="center"/>
    </xf>
    <xf numFmtId="176" fontId="19" fillId="33" borderId="15" xfId="42" applyNumberFormat="1" applyFont="1" applyFill="1" applyBorder="1">
      <alignment vertical="center"/>
    </xf>
    <xf numFmtId="177" fontId="22" fillId="33" borderId="0" xfId="43" applyNumberFormat="1" applyFont="1" applyFill="1" applyAlignment="1">
      <alignment horizontal="right" vertical="center"/>
    </xf>
    <xf numFmtId="10" fontId="22" fillId="33" borderId="0" xfId="0" applyNumberFormat="1" applyFont="1" applyFill="1" applyAlignment="1">
      <alignment horizontal="right" vertical="center"/>
    </xf>
    <xf numFmtId="10" fontId="19" fillId="33" borderId="0" xfId="43" applyNumberFormat="1" applyFont="1" applyFill="1">
      <alignment vertical="center"/>
    </xf>
    <xf numFmtId="0" fontId="21" fillId="33" borderId="16" xfId="0" applyFont="1" applyFill="1" applyBorder="1">
      <alignment vertical="center"/>
    </xf>
    <xf numFmtId="0" fontId="19" fillId="33" borderId="17" xfId="0" applyFont="1" applyFill="1" applyBorder="1">
      <alignment vertical="center"/>
    </xf>
    <xf numFmtId="0" fontId="19" fillId="33" borderId="18" xfId="0" applyFont="1" applyFill="1" applyBorder="1">
      <alignment vertical="center"/>
    </xf>
    <xf numFmtId="0" fontId="24" fillId="34" borderId="19" xfId="0" applyFont="1" applyFill="1" applyBorder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4" fillId="34" borderId="20" xfId="0" applyFont="1" applyFill="1" applyBorder="1" applyAlignment="1">
      <alignment horizontal="center" vertical="center"/>
    </xf>
    <xf numFmtId="14" fontId="19" fillId="33" borderId="19" xfId="0" applyNumberFormat="1" applyFont="1" applyFill="1" applyBorder="1" applyAlignment="1">
      <alignment horizontal="center" vertical="center"/>
    </xf>
    <xf numFmtId="178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0" fontId="19" fillId="33" borderId="0" xfId="43" applyNumberFormat="1" applyFont="1" applyFill="1" applyBorder="1" applyAlignment="1">
      <alignment horizontal="center" vertical="center"/>
    </xf>
    <xf numFmtId="2" fontId="19" fillId="33" borderId="20" xfId="0" applyNumberFormat="1" applyFont="1" applyFill="1" applyBorder="1" applyAlignment="1">
      <alignment horizontal="center" vertical="center"/>
    </xf>
    <xf numFmtId="14" fontId="19" fillId="33" borderId="21" xfId="0" applyNumberFormat="1" applyFont="1" applyFill="1" applyBorder="1" applyAlignment="1">
      <alignment horizontal="center" vertical="center"/>
    </xf>
    <xf numFmtId="178" fontId="19" fillId="33" borderId="22" xfId="0" applyNumberFormat="1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10" fontId="19" fillId="33" borderId="22" xfId="43" applyNumberFormat="1" applyFont="1" applyFill="1" applyBorder="1" applyAlignment="1">
      <alignment horizontal="center" vertical="center"/>
    </xf>
    <xf numFmtId="2" fontId="19" fillId="33" borderId="23" xfId="0" applyNumberFormat="1" applyFont="1" applyFill="1" applyBorder="1" applyAlignment="1">
      <alignment horizontal="center" vertical="center"/>
    </xf>
    <xf numFmtId="2" fontId="19" fillId="33" borderId="0" xfId="0" applyNumberFormat="1" applyFont="1" applyFill="1" applyAlignment="1">
      <alignment horizontal="center" vertical="center"/>
    </xf>
    <xf numFmtId="10" fontId="19" fillId="33" borderId="20" xfId="43" applyNumberFormat="1" applyFont="1" applyFill="1" applyBorder="1" applyAlignment="1">
      <alignment horizontal="center" vertical="center"/>
    </xf>
    <xf numFmtId="10" fontId="19" fillId="33" borderId="23" xfId="43" applyNumberFormat="1" applyFont="1" applyFill="1" applyBorder="1" applyAlignment="1">
      <alignment horizontal="center" vertical="center"/>
    </xf>
    <xf numFmtId="10" fontId="19" fillId="33" borderId="0" xfId="43" applyNumberFormat="1" applyFont="1" applyFill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0" fillId="0" borderId="24" xfId="0" applyFill="1" applyBorder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43" fontId="0" fillId="0" borderId="0" xfId="42" applyFont="1" applyFill="1">
      <alignment vertical="center"/>
    </xf>
    <xf numFmtId="180" fontId="0" fillId="0" borderId="24" xfId="0" applyNumberFormat="1" applyFill="1" applyBorder="1" applyAlignment="1">
      <alignment horizontal="center" vertical="center"/>
    </xf>
    <xf numFmtId="182" fontId="0" fillId="0" borderId="0" xfId="0" applyNumberFormat="1" applyFill="1">
      <alignment vertical="center"/>
    </xf>
    <xf numFmtId="180" fontId="0" fillId="0" borderId="0" xfId="0" applyNumberFormat="1" applyFill="1" applyBorder="1" applyAlignment="1">
      <alignment horizontal="center" vertical="center"/>
    </xf>
    <xf numFmtId="181" fontId="0" fillId="0" borderId="24" xfId="0" applyNumberFormat="1" applyFill="1" applyBorder="1" applyAlignment="1">
      <alignment horizontal="center" vertical="center"/>
    </xf>
    <xf numFmtId="181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80" fontId="0" fillId="0" borderId="0" xfId="0" applyNumberFormat="1" applyFill="1">
      <alignment vertical="center"/>
    </xf>
    <xf numFmtId="10" fontId="0" fillId="0" borderId="24" xfId="43" applyNumberFormat="1" applyFont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10" fontId="0" fillId="0" borderId="24" xfId="43" applyNumberFormat="1" applyFont="1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43" fontId="19" fillId="33" borderId="0" xfId="0" applyNumberFormat="1" applyFont="1" applyFill="1">
      <alignment vertical="center"/>
    </xf>
    <xf numFmtId="183" fontId="19" fillId="33" borderId="0" xfId="0" applyNumberFormat="1" applyFont="1" applyFill="1" applyAlignment="1">
      <alignment horizontal="center" vertical="center"/>
    </xf>
    <xf numFmtId="183" fontId="19" fillId="33" borderId="22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0" fontId="0" fillId="0" borderId="0" xfId="0" applyNumberFormat="1" applyFill="1">
      <alignment vertical="center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4" xfId="0" applyNumberFormat="1" applyFill="1" applyBorder="1" applyAlignment="1">
      <alignment horizontal="center" vertical="center"/>
    </xf>
    <xf numFmtId="181" fontId="0" fillId="0" borderId="0" xfId="0" applyNumberFormat="1" applyFill="1" applyBorder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24" xfId="43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Fill="1" applyBorder="1">
      <alignment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57" fontId="20" fillId="33" borderId="0" xfId="0" applyNumberFormat="1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9" fontId="19" fillId="33" borderId="12" xfId="43" applyFont="1" applyFill="1" applyBorder="1" applyAlignment="1">
      <alignment horizontal="right" vertical="center"/>
    </xf>
    <xf numFmtId="9" fontId="19" fillId="33" borderId="13" xfId="43" applyFont="1" applyFill="1" applyBorder="1" applyAlignment="1">
      <alignment horizontal="right" vertical="center"/>
    </xf>
    <xf numFmtId="14" fontId="19" fillId="0" borderId="0" xfId="0" applyNumberFormat="1" applyFont="1">
      <alignment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>
      <alignment vertical="center"/>
    </xf>
    <xf numFmtId="10" fontId="19" fillId="0" borderId="0" xfId="0" applyNumberFormat="1" applyFont="1">
      <alignment vertical="center"/>
    </xf>
    <xf numFmtId="0" fontId="25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19" fillId="0" borderId="16" xfId="0" applyFont="1" applyBorder="1">
      <alignment vertical="center"/>
    </xf>
    <xf numFmtId="0" fontId="19" fillId="0" borderId="18" xfId="0" applyFont="1" applyBorder="1">
      <alignment vertical="center"/>
    </xf>
    <xf numFmtId="0" fontId="19" fillId="0" borderId="19" xfId="0" applyFont="1" applyBorder="1">
      <alignment vertical="center"/>
    </xf>
    <xf numFmtId="0" fontId="19" fillId="0" borderId="20" xfId="0" applyFont="1" applyBorder="1">
      <alignment vertical="center"/>
    </xf>
    <xf numFmtId="9" fontId="19" fillId="0" borderId="19" xfId="0" applyNumberFormat="1" applyFont="1" applyBorder="1" applyAlignment="1">
      <alignment horizontal="center" vertical="center"/>
    </xf>
    <xf numFmtId="9" fontId="19" fillId="0" borderId="20" xfId="0" applyNumberFormat="1" applyFont="1" applyBorder="1" applyAlignment="1">
      <alignment horizontal="center" vertical="center"/>
    </xf>
    <xf numFmtId="0" fontId="19" fillId="0" borderId="21" xfId="0" applyFont="1" applyBorder="1">
      <alignment vertical="center"/>
    </xf>
    <xf numFmtId="0" fontId="19" fillId="0" borderId="23" xfId="0" applyFont="1" applyBorder="1">
      <alignment vertical="center"/>
    </xf>
    <xf numFmtId="0" fontId="22" fillId="0" borderId="16" xfId="0" applyFont="1" applyBorder="1">
      <alignment vertical="center"/>
    </xf>
    <xf numFmtId="0" fontId="19" fillId="0" borderId="17" xfId="0" applyFont="1" applyBorder="1">
      <alignment vertical="center"/>
    </xf>
    <xf numFmtId="0" fontId="19" fillId="0" borderId="0" xfId="0" applyFont="1" applyBorder="1">
      <alignment vertical="center"/>
    </xf>
    <xf numFmtId="14" fontId="19" fillId="0" borderId="19" xfId="0" applyNumberFormat="1" applyFont="1" applyBorder="1">
      <alignment vertical="center"/>
    </xf>
    <xf numFmtId="178" fontId="19" fillId="0" borderId="0" xfId="0" applyNumberFormat="1" applyFont="1" applyBorder="1">
      <alignment vertical="center"/>
    </xf>
    <xf numFmtId="1" fontId="19" fillId="0" borderId="0" xfId="0" applyNumberFormat="1" applyFont="1" applyBorder="1">
      <alignment vertical="center"/>
    </xf>
    <xf numFmtId="10" fontId="19" fillId="0" borderId="0" xfId="0" applyNumberFormat="1" applyFont="1" applyBorder="1">
      <alignment vertical="center"/>
    </xf>
    <xf numFmtId="1" fontId="19" fillId="0" borderId="20" xfId="0" applyNumberFormat="1" applyFont="1" applyBorder="1">
      <alignment vertical="center"/>
    </xf>
    <xf numFmtId="0" fontId="19" fillId="0" borderId="22" xfId="0" applyFont="1" applyBorder="1">
      <alignment vertical="center"/>
    </xf>
    <xf numFmtId="1" fontId="19" fillId="0" borderId="22" xfId="0" applyNumberFormat="1" applyFont="1" applyBorder="1">
      <alignment vertical="center"/>
    </xf>
    <xf numFmtId="10" fontId="19" fillId="0" borderId="22" xfId="0" applyNumberFormat="1" applyFont="1" applyBorder="1">
      <alignment vertical="center"/>
    </xf>
    <xf numFmtId="1" fontId="19" fillId="0" borderId="23" xfId="0" applyNumberFormat="1" applyFont="1" applyBorder="1">
      <alignment vertical="center"/>
    </xf>
    <xf numFmtId="10" fontId="19" fillId="0" borderId="20" xfId="0" applyNumberFormat="1" applyFont="1" applyBorder="1">
      <alignment vertical="center"/>
    </xf>
    <xf numFmtId="10" fontId="19" fillId="0" borderId="23" xfId="0" applyNumberFormat="1" applyFont="1" applyBorder="1">
      <alignment vertical="center"/>
    </xf>
    <xf numFmtId="0" fontId="24" fillId="34" borderId="19" xfId="0" applyFont="1" applyFill="1" applyBorder="1">
      <alignment vertical="center"/>
    </xf>
    <xf numFmtId="0" fontId="24" fillId="34" borderId="0" xfId="0" applyFont="1" applyFill="1" applyBorder="1">
      <alignment vertical="center"/>
    </xf>
    <xf numFmtId="0" fontId="24" fillId="34" borderId="20" xfId="0" applyFont="1" applyFill="1" applyBorder="1">
      <alignment vertical="center"/>
    </xf>
    <xf numFmtId="14" fontId="19" fillId="0" borderId="21" xfId="0" applyNumberFormat="1" applyFont="1" applyBorder="1">
      <alignment vertical="center"/>
    </xf>
    <xf numFmtId="178" fontId="19" fillId="0" borderId="22" xfId="0" applyNumberFormat="1" applyFont="1" applyBorder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0">
    <dxf>
      <font>
        <b/>
        <i val="0"/>
        <u/>
      </font>
    </dxf>
    <dxf>
      <font>
        <color theme="9"/>
      </font>
      <numFmt numFmtId="190" formatCode="0.00_ "/>
    </dxf>
    <dxf>
      <font>
        <color rgb="FFFF0000"/>
      </font>
    </dxf>
    <dxf>
      <font>
        <color theme="9"/>
      </font>
      <numFmt numFmtId="190" formatCode="0.00_ "/>
    </dxf>
    <dxf>
      <font>
        <color rgb="FFFF0000"/>
      </font>
    </dxf>
    <dxf>
      <font>
        <color theme="9"/>
      </font>
      <numFmt numFmtId="190" formatCode="0.00_ "/>
    </dxf>
    <dxf>
      <font>
        <color rgb="FFFF0000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u/>
        <color auto="1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u/>
      </font>
    </dxf>
    <dxf>
      <font>
        <b/>
        <i val="0"/>
        <u/>
      </font>
    </dxf>
    <dxf>
      <font>
        <color theme="9"/>
      </font>
      <numFmt numFmtId="190" formatCode="0.00_ "/>
    </dxf>
    <dxf>
      <font>
        <color rgb="FFFF0000"/>
      </font>
    </dxf>
    <dxf>
      <font>
        <color theme="9"/>
      </font>
      <numFmt numFmtId="190" formatCode="0.00_ "/>
    </dxf>
    <dxf>
      <font>
        <color rgb="FFFF0000"/>
      </font>
    </dxf>
    <dxf>
      <font>
        <color rgb="FFFF0000"/>
      </font>
    </dxf>
    <dxf>
      <font>
        <color theme="9"/>
      </font>
      <numFmt numFmtId="190" formatCode="0.00_ "/>
    </dxf>
    <dxf>
      <font>
        <color rgb="FFFF0000"/>
      </font>
    </dxf>
    <dxf>
      <font>
        <color theme="9"/>
      </font>
      <numFmt numFmtId="190" formatCode="0.00_ "/>
    </dxf>
    <dxf>
      <font>
        <color rgb="FFFF0000"/>
      </font>
    </dxf>
    <dxf>
      <font>
        <color theme="9"/>
      </font>
      <numFmt numFmtId="190" formatCode="0.00_ "/>
    </dxf>
    <dxf>
      <font>
        <color theme="9"/>
      </font>
      <numFmt numFmtId="190" formatCode="0.00_ "/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39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[戴师兄数据分析启蒙课_Excel练习.xlsx]Sheet3!数据透视表1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GMV_sum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怒江路店</c:v>
                </c:pt>
                <c:pt idx="4">
                  <c:v>五角场店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539753.19999999984</c:v>
                </c:pt>
                <c:pt idx="1">
                  <c:v>443829.61999999976</c:v>
                </c:pt>
                <c:pt idx="2">
                  <c:v>6452.04</c:v>
                </c:pt>
                <c:pt idx="3">
                  <c:v>4313.57</c:v>
                </c:pt>
                <c:pt idx="4">
                  <c:v>77124.820000000007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A-4203-BE81-A6614EA31B64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求和项:访问转化率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怒江路店</c:v>
                </c:pt>
                <c:pt idx="4">
                  <c:v>五角场店</c:v>
                </c:pt>
              </c:strCache>
            </c:strRef>
          </c:cat>
          <c:val>
            <c:numRef>
              <c:f>Sheet3!$C$4:$C$9</c:f>
              <c:numCache>
                <c:formatCode>General</c:formatCode>
                <c:ptCount val="5"/>
                <c:pt idx="0">
                  <c:v>0.27818972761876515</c:v>
                </c:pt>
                <c:pt idx="1">
                  <c:v>0.1953604243122338</c:v>
                </c:pt>
                <c:pt idx="2">
                  <c:v>0.20323741007194246</c:v>
                </c:pt>
                <c:pt idx="3">
                  <c:v>0.18528610354223432</c:v>
                </c:pt>
                <c:pt idx="4">
                  <c:v>0.21559633027522937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A-4203-BE81-A6614EA3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4893871"/>
        <c:axId val="1904889711"/>
      </c:barChart>
      <c:lineChart>
        <c:grouping val="standard"/>
        <c:varyColors val="0"/>
        <c:ser>
          <c:idx val="2"/>
          <c:order val="2"/>
          <c:tx>
            <c:strRef>
              <c:f>Sheet3!$D$3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Sheet3!$A$4:$A$9</c:f>
              <c:strCache>
                <c:ptCount val="5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怒江路店</c:v>
                </c:pt>
                <c:pt idx="4">
                  <c:v>五角场店</c:v>
                </c:pt>
              </c:strCache>
            </c:strRef>
          </c:cat>
          <c:val>
            <c:numRef>
              <c:f>Sheet3!$D$4:$D$9</c:f>
              <c:numCache>
                <c:formatCode>General</c:formatCode>
                <c:ptCount val="5"/>
                <c:pt idx="0">
                  <c:v>178809.0800000001</c:v>
                </c:pt>
                <c:pt idx="1">
                  <c:v>166133.90000000011</c:v>
                </c:pt>
                <c:pt idx="2">
                  <c:v>2445.6</c:v>
                </c:pt>
                <c:pt idx="3">
                  <c:v>1897.6299999999999</c:v>
                </c:pt>
                <c:pt idx="4">
                  <c:v>28950.860000000011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1A-4203-BE81-A6614EA3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93871"/>
        <c:axId val="1904889711"/>
      </c:lineChart>
      <c:catAx>
        <c:axId val="190489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889711"/>
        <c:crosses val="autoZero"/>
        <c:auto val="1"/>
        <c:lblAlgn val="ctr"/>
        <c:lblOffset val="100"/>
        <c:noMultiLvlLbl val="0"/>
      </c:catAx>
      <c:valAx>
        <c:axId val="190488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89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[戴师兄数据分析启蒙课_Excel练习.xlsx]数据透视图表-完成版!数据透视表4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[戴师兄数据分析启蒙课_Excel练习.xlsx]数据透视图表-完成版!数据透视表4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435-A9FC-DDFF9BACA98B}"/>
            </c:ext>
          </c:extLst>
        </c:ser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435-A9FC-DDFF9BAC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2</xdr:row>
      <xdr:rowOff>28574</xdr:rowOff>
    </xdr:from>
    <xdr:to>
      <xdr:col>13</xdr:col>
      <xdr:colOff>647700</xdr:colOff>
      <xdr:row>23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A0C6866-12A2-4DCA-A00D-16658787A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333375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1">
              <a:extLst>
                <a:ext uri="{FF2B5EF4-FFF2-40B4-BE49-F238E27FC236}">
                  <a16:creationId xmlns:a16="http://schemas.microsoft.com/office/drawing/2014/main" id="{B9F7D232-F71C-4BA9-AF97-92D44D322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1714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5623B3-7062-44D9-BB55-FAF1DFAF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15</xdr:row>
      <xdr:rowOff>133350</xdr:rowOff>
    </xdr:from>
    <xdr:to>
      <xdr:col>10</xdr:col>
      <xdr:colOff>533400</xdr:colOff>
      <xdr:row>30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ABE736-9F7E-4E3F-B38A-DB2A82B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拌客源数据1-8月"/>
  </cacheSource>
  <cacheFields count="31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 count="1">
        <s v="上海"/>
      </sharedItems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  <cacheField name="访问转化率" numFmtId="0" formula="门店下单量/门店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674458796297" createdVersion="7" refreshedVersion="7" minRefreshableVersion="3" recordCount="8" xr:uid="{1FE6FBB3-CCE5-4ACE-9A3E-E427D01BD665}">
  <cacheSource type="worksheet">
    <worksheetSource ref="S95:U103" sheet="常用函数-完成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512.406349884259" createdVersion="7" refreshedVersion="7" minRefreshableVersion="3" recordCount="8" xr:uid="{56E41D12-6F5B-46B4-BD0C-F5DA26835770}">
  <cacheSource type="worksheet">
    <worksheetSource ref="S95:U103" sheet="常用函数-练习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512.421793171299" createdVersion="7" refreshedVersion="7" minRefreshableVersion="3" recordCount="562" xr:uid="{5EAD22CE-454A-4BA0-9777-56D176809C7F}">
  <cacheSource type="worksheet">
    <worksheetSource ref="D1:J1048576" sheet="拌客源数据1-8月"/>
  </cacheSource>
  <cacheFields count="7">
    <cacheField name="门店ID" numFmtId="0">
      <sharedItems containsBlank="1" count="9">
        <s v="2001104355"/>
        <s v="8184590"/>
        <s v="305225345"/>
        <s v="2000507076"/>
        <s v="8106681"/>
        <s v="8491999"/>
        <s v="337460136"/>
        <s v="9428110"/>
        <m/>
      </sharedItems>
    </cacheField>
    <cacheField name="门店名称" numFmtId="0">
      <sharedItems containsBlank="1"/>
    </cacheField>
    <cacheField name="城市" numFmtId="0">
      <sharedItems containsBlank="1"/>
    </cacheField>
    <cacheField name="平台" numFmtId="0">
      <sharedItems containsBlank="1"/>
    </cacheField>
    <cacheField name="平台i" numFmtId="0">
      <sharedItems containsBlank="1"/>
    </cacheField>
    <cacheField name="平台门店名称" numFmtId="0">
      <sharedItems containsBlank="1"/>
    </cacheField>
    <cacheField name="GMV" numFmtId="0">
      <sharedItems containsString="0" containsBlank="1" containsNumber="1" minValue="0" maxValue="11012.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x v="0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x v="0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x v="0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x v="0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x v="0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x v="0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x v="0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x v="0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x v="0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x v="0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x v="0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x v="0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x v="0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x v="0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x v="0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x v="0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x v="0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x v="0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x v="0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x v="0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x v="0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x v="0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x v="0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x v="0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x v="0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x v="0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x v="0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x v="0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x v="0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x v="0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x v="0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x v="0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x v="0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x v="0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x v="0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x v="0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x v="0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x v="0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x v="0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x v="0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x v="0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x v="0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x v="0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x v="0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x v="0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x v="0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x v="0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x v="0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x v="0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x v="0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x v="0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x v="0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x v="0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x v="0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x v="0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x v="0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x v="0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x v="0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x v="0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x v="0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x v="0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x v="0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x v="0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x v="0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x v="0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x v="0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x v="0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x v="0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x v="0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x v="0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x v="0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x v="0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x v="0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x v="0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x v="0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x v="0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x v="0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x v="0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x v="0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x v="0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x v="0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x v="0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x v="0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x v="0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x v="0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x v="0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x v="0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x v="0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x v="0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x v="0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x v="0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x v="0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x v="0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x v="0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x v="0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x v="0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x v="0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x v="0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x v="0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x v="0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x v="0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x v="0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x v="0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x v="0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x v="0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x v="0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x v="0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x v="0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x v="0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x v="0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x v="0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x v="0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x v="0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x v="0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x v="0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x v="0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x v="0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x v="0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x v="0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x v="0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x v="0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x v="0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x v="0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x v="0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x v="0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x v="0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x v="0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x v="0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x v="0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x v="0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x v="0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x v="0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x v="0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x v="0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x v="0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x v="0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x v="0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x v="0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x v="0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x v="0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x v="0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x v="0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x v="0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x v="0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x v="0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x v="0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x v="0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x v="0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x v="0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x v="0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x v="0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x v="0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x v="0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x v="0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x v="0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x v="0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x v="0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x v="0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x v="0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x v="0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x v="0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x v="0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x v="0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x v="0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x v="0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x v="0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x v="0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x v="0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x v="0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x v="0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x v="0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x v="0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x v="0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x v="0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x v="0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x v="0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x v="0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x v="0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x v="0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x v="0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x v="0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x v="0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x v="0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x v="0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x v="0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x v="0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x v="0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x v="0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x v="0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x v="0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x v="0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x v="0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x v="0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x v="0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x v="0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x v="0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x v="0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x v="0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x v="0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x v="0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x v="0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x v="0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x v="0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x v="0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x v="0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x v="0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x v="0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x v="0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x v="0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x v="0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x v="0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x v="0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x v="0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x v="0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x v="0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x v="0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x v="0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x v="0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x v="0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x v="0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x v="0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x v="0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x v="0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x v="0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x v="0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x v="0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x v="0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x v="0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x v="0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x v="0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x v="0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x v="0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x v="0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x v="0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x v="0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x v="0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x v="0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x v="0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x v="0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x v="0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x v="0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x v="0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x v="0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x v="0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x v="0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x v="0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x v="0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x v="0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x v="0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x v="0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x v="0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x v="0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x v="0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x v="0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x v="0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x v="0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x v="0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x v="0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x v="0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x v="0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x v="0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x v="0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x v="0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x v="0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x v="0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x v="0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x v="0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x v="0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x v="0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x v="0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x v="0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x v="0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x v="0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x v="0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x v="0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x v="0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x v="0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x v="0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x v="0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x v="0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x v="0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x v="0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x v="0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x v="0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x v="0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x v="0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x v="0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x v="0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x v="0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x v="0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x v="0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x v="0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x v="0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x v="0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x v="0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x v="0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x v="0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x v="0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x v="0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x v="0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x v="0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x v="0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x v="0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x v="0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x v="0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x v="0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x v="0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x v="0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x v="0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x v="0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x v="0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x v="0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x v="0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x v="0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x v="0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x v="0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x v="0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x v="0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x v="0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x v="0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x v="0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x v="0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x v="0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x v="0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x v="0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x v="0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x v="0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x v="0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x v="0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x v="0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x v="0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x v="0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x v="0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x v="0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x v="0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x v="0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x v="0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x v="0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x v="0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x v="0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x v="0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x v="0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x v="0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x v="0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x v="0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x v="0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x v="0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x v="0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x v="0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x v="0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x v="0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x v="0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x v="0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x v="0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x v="0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x v="0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x v="0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x v="0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x v="0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x v="0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x v="0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x v="0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x v="0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x v="0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x v="0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x v="0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x v="0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x v="0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x v="0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x v="0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x v="0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x v="0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x v="0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x v="0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x v="0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x v="0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x v="0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x v="0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x v="0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x v="0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x v="0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x v="0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x v="0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x v="0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x v="0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x v="0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x v="0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x v="0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x v="0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x v="0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x v="0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x v="0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x v="0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x v="0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x v="0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x v="0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x v="0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x v="0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x v="0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x v="0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x v="0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x v="0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x v="0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x v="0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x v="0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x v="0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x v="0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x v="0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x v="0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x v="0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x v="0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x v="0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x v="0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x v="0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x v="0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x v="0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x v="0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x v="0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x v="0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x v="0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x v="0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x v="0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x v="0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x v="0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x v="0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x v="0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x v="0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x v="0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x v="0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x v="0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x v="0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x v="0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x v="0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x v="0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x v="0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x v="0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x v="0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x v="0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x v="0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x v="0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x v="0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x v="0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x v="0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x v="0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x v="0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x v="0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x v="0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x v="0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x v="0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x v="0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x v="0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x v="0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x v="0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x v="0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x v="0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x v="0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x v="0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x v="0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x v="0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x v="0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x v="0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x v="0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x v="0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x v="0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x v="0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x v="0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x v="0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x v="0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x v="0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x v="0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x v="0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x v="0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x v="0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x v="0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x v="0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x v="0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x v="0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x v="0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x v="0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x v="0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x v="0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x v="0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x v="0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x v="0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x v="0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x v="0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x v="0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x v="0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x v="0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x v="0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x v="0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x v="0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x v="0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x v="0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x v="0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x v="0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x v="0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x v="0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x v="0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x v="0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x v="0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x v="0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x v="0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x v="0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x v="0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x v="0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x v="0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x v="0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x v="0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x v="0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x v="0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x v="0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x v="0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x v="0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x v="0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x v="0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x v="0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x v="0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x v="0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x v="0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x v="0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x v="0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x v="0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x v="0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x v="0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x v="0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x v="0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x v="0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x v="0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x v="0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x v="0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x v="0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x v="0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x v="0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x v="0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x v="0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x v="0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x v="0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x v="0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x v="0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x v="0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x v="0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x v="0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x v="0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x v="0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x v="0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x v="0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x v="0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x v="0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x v="0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x v="0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x v="0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x v="0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x v="0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x v="0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x v="0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x v="0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x v="0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x v="0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x v="0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x v="0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2">
  <r>
    <x v="0"/>
    <s v="宝山店"/>
    <s v="上海"/>
    <s v="eleme"/>
    <s v="饿了么"/>
    <s v="蛙小辣·美蛙火锅杯(宝山店)"/>
    <n v="3545.74"/>
  </r>
  <r>
    <x v="1"/>
    <s v="五角场店"/>
    <s v="上海"/>
    <s v="meituan"/>
    <s v="美团"/>
    <s v="蛙小辣火锅杯（合生汇店）"/>
    <n v="2065.6"/>
  </r>
  <r>
    <x v="2"/>
    <s v="龙阳广场店"/>
    <s v="上海"/>
    <s v="eleme"/>
    <s v="饿了么"/>
    <s v="蛙小辣火锅杯(龙阳广场店)"/>
    <n v="1498.22"/>
  </r>
  <r>
    <x v="3"/>
    <s v="五角场店"/>
    <s v="上海"/>
    <s v="eleme"/>
    <s v="饿了么"/>
    <s v="蛙小辣火锅杯(五角场店)"/>
    <n v="2184.44"/>
  </r>
  <r>
    <x v="0"/>
    <s v="宝山店"/>
    <s v="上海"/>
    <s v="eleme"/>
    <s v="饿了么"/>
    <s v="蛙小辣·美蛙火锅杯(宝山店)"/>
    <n v="2878.18"/>
  </r>
  <r>
    <x v="1"/>
    <s v="五角场店"/>
    <s v="上海"/>
    <s v="meituan"/>
    <s v="美团"/>
    <s v="蛙小辣火锅杯（合生汇店）"/>
    <n v="2592"/>
  </r>
  <r>
    <x v="2"/>
    <s v="龙阳广场店"/>
    <s v="上海"/>
    <s v="eleme"/>
    <s v="饿了么"/>
    <s v="蛙小辣火锅杯(龙阳广场店)"/>
    <n v="1640.77"/>
  </r>
  <r>
    <x v="3"/>
    <s v="五角场店"/>
    <s v="上海"/>
    <s v="eleme"/>
    <s v="饿了么"/>
    <s v="蛙小辣火锅杯(五角场店)"/>
    <n v="2225.1"/>
  </r>
  <r>
    <x v="0"/>
    <s v="宝山店"/>
    <s v="上海"/>
    <s v="eleme"/>
    <s v="饿了么"/>
    <s v="蛙小辣·美蛙火锅杯(宝山店)"/>
    <n v="4093.26"/>
  </r>
  <r>
    <x v="2"/>
    <s v="龙阳广场店"/>
    <s v="上海"/>
    <s v="eleme"/>
    <s v="饿了么"/>
    <s v="蛙小辣火锅杯(龙阳广场店)"/>
    <n v="1782.05"/>
  </r>
  <r>
    <x v="3"/>
    <s v="五角场店"/>
    <s v="上海"/>
    <s v="eleme"/>
    <s v="饿了么"/>
    <s v="蛙小辣火锅杯(五角场店)"/>
    <n v="3455.42"/>
  </r>
  <r>
    <x v="0"/>
    <s v="宝山店"/>
    <s v="上海"/>
    <s v="eleme"/>
    <s v="饿了么"/>
    <s v="蛙小辣·美蛙火锅杯(宝山店)"/>
    <n v="4058.06"/>
  </r>
  <r>
    <x v="1"/>
    <s v="五角场店"/>
    <s v="上海"/>
    <s v="meituan"/>
    <s v="美团"/>
    <s v="蛙小辣火锅杯（合生汇店）"/>
    <n v="2130.38"/>
  </r>
  <r>
    <x v="2"/>
    <s v="龙阳广场店"/>
    <s v="上海"/>
    <s v="eleme"/>
    <s v="饿了么"/>
    <s v="蛙小辣火锅杯(龙阳广场店)"/>
    <n v="1531"/>
  </r>
  <r>
    <x v="3"/>
    <s v="五角场店"/>
    <s v="上海"/>
    <s v="eleme"/>
    <s v="饿了么"/>
    <s v="蛙小辣火锅杯(五角场店)"/>
    <n v="2473.8200000000002"/>
  </r>
  <r>
    <x v="0"/>
    <s v="宝山店"/>
    <s v="上海"/>
    <s v="eleme"/>
    <s v="饿了么"/>
    <s v="蛙小辣·美蛙火锅杯(宝山店)"/>
    <n v="3576.58"/>
  </r>
  <r>
    <x v="3"/>
    <s v="五角场店"/>
    <s v="上海"/>
    <s v="eleme"/>
    <s v="饿了么"/>
    <s v="蛙小辣火锅杯(五角场店)"/>
    <n v="2655.38"/>
  </r>
  <r>
    <x v="0"/>
    <s v="宝山店"/>
    <s v="上海"/>
    <s v="eleme"/>
    <s v="饿了么"/>
    <s v="蛙小辣·美蛙火锅杯(宝山店)"/>
    <n v="2265.8200000000002"/>
  </r>
  <r>
    <x v="3"/>
    <s v="五角场店"/>
    <s v="上海"/>
    <s v="eleme"/>
    <s v="饿了么"/>
    <s v="蛙小辣火锅杯(五角场店)"/>
    <n v="2397.1999999999998"/>
  </r>
  <r>
    <x v="0"/>
    <s v="宝山店"/>
    <s v="上海"/>
    <s v="eleme"/>
    <s v="饿了么"/>
    <s v="蛙小辣·美蛙火锅杯(宝山店)"/>
    <n v="3735.26"/>
  </r>
  <r>
    <x v="0"/>
    <s v="宝山店"/>
    <s v="上海"/>
    <s v="eleme"/>
    <s v="饿了么"/>
    <s v="蛙小辣·美蛙火锅杯(宝山店)"/>
    <n v="3299.56"/>
  </r>
  <r>
    <x v="0"/>
    <s v="宝山店"/>
    <s v="上海"/>
    <s v="eleme"/>
    <s v="饿了么"/>
    <s v="蛙小辣·美蛙火锅杯(宝山店)"/>
    <n v="2757.22"/>
  </r>
  <r>
    <x v="0"/>
    <s v="宝山店"/>
    <s v="上海"/>
    <s v="eleme"/>
    <s v="饿了么"/>
    <s v="蛙小辣·美蛙火锅杯(宝山店)"/>
    <n v="3332.6"/>
  </r>
  <r>
    <x v="0"/>
    <s v="宝山店"/>
    <s v="上海"/>
    <s v="eleme"/>
    <s v="饿了么"/>
    <s v="蛙小辣·美蛙火锅杯(宝山店)"/>
    <n v="2059.71"/>
  </r>
  <r>
    <x v="0"/>
    <s v="宝山店"/>
    <s v="上海"/>
    <s v="eleme"/>
    <s v="饿了么"/>
    <s v="蛙小辣·美蛙火锅杯(宝山店)"/>
    <n v="1317.5"/>
  </r>
  <r>
    <x v="0"/>
    <s v="宝山店"/>
    <s v="上海"/>
    <s v="eleme"/>
    <s v="饿了么"/>
    <s v="蛙小辣·美蛙火锅杯(宝山店)"/>
    <n v="1654.01"/>
  </r>
  <r>
    <x v="0"/>
    <s v="宝山店"/>
    <s v="上海"/>
    <s v="eleme"/>
    <s v="饿了么"/>
    <s v="蛙小辣·美蛙火锅杯(宝山店)"/>
    <n v="1167.76"/>
  </r>
  <r>
    <x v="0"/>
    <s v="宝山店"/>
    <s v="上海"/>
    <s v="eleme"/>
    <s v="饿了么"/>
    <s v="蛙小辣·美蛙火锅杯(宝山店)"/>
    <n v="1908.22"/>
  </r>
  <r>
    <x v="0"/>
    <s v="宝山店"/>
    <s v="上海"/>
    <s v="eleme"/>
    <s v="饿了么"/>
    <s v="蛙小辣·美蛙火锅杯(宝山店)"/>
    <n v="1278.08"/>
  </r>
  <r>
    <x v="0"/>
    <s v="宝山店"/>
    <s v="上海"/>
    <s v="eleme"/>
    <s v="饿了么"/>
    <s v="蛙小辣·美蛙火锅杯(宝山店)"/>
    <n v="1738.06"/>
  </r>
  <r>
    <x v="0"/>
    <s v="宝山店"/>
    <s v="上海"/>
    <s v="eleme"/>
    <s v="饿了么"/>
    <s v="蛙小辣·美蛙火锅杯(宝山店)"/>
    <n v="1316.57"/>
  </r>
  <r>
    <x v="0"/>
    <s v="宝山店"/>
    <s v="上海"/>
    <s v="eleme"/>
    <s v="饿了么"/>
    <s v="蛙小辣·美蛙火锅杯(宝山店)"/>
    <n v="1915.36"/>
  </r>
  <r>
    <x v="0"/>
    <s v="宝山店"/>
    <s v="上海"/>
    <s v="eleme"/>
    <s v="饿了么"/>
    <s v="蛙小辣·美蛙火锅杯(宝山店)"/>
    <n v="1006.99"/>
  </r>
  <r>
    <x v="0"/>
    <s v="宝山店"/>
    <s v="上海"/>
    <s v="eleme"/>
    <s v="饿了么"/>
    <s v="蛙小辣·美蛙火锅杯(宝山店)"/>
    <n v="1384.55"/>
  </r>
  <r>
    <x v="0"/>
    <s v="宝山店"/>
    <s v="上海"/>
    <s v="eleme"/>
    <s v="饿了么"/>
    <s v="蛙小辣·美蛙火锅杯(宝山店)"/>
    <n v="1112.52"/>
  </r>
  <r>
    <x v="0"/>
    <s v="宝山店"/>
    <s v="上海"/>
    <s v="eleme"/>
    <s v="饿了么"/>
    <s v="蛙小辣·美蛙火锅杯(宝山店)"/>
    <n v="1513.37"/>
  </r>
  <r>
    <x v="0"/>
    <s v="宝山店"/>
    <s v="上海"/>
    <s v="eleme"/>
    <s v="饿了么"/>
    <s v="蛙小辣·美蛙火锅杯(宝山店)"/>
    <n v="1825.26"/>
  </r>
  <r>
    <x v="0"/>
    <s v="宝山店"/>
    <s v="上海"/>
    <s v="eleme"/>
    <s v="饿了么"/>
    <s v="蛙小辣·美蛙火锅杯(宝山店)"/>
    <n v="984.56"/>
  </r>
  <r>
    <x v="0"/>
    <s v="宝山店"/>
    <s v="上海"/>
    <s v="eleme"/>
    <s v="饿了么"/>
    <s v="蛙小辣·美蛙火锅杯(宝山店)"/>
    <n v="758.35"/>
  </r>
  <r>
    <x v="0"/>
    <s v="宝山店"/>
    <s v="上海"/>
    <s v="eleme"/>
    <s v="饿了么"/>
    <s v="蛙小辣·美蛙火锅杯(宝山店)"/>
    <n v="1135.1400000000001"/>
  </r>
  <r>
    <x v="0"/>
    <s v="宝山店"/>
    <s v="上海"/>
    <s v="eleme"/>
    <s v="饿了么"/>
    <s v="蛙小辣·美蛙火锅杯(宝山店)"/>
    <n v="1370.68"/>
  </r>
  <r>
    <x v="0"/>
    <s v="宝山店"/>
    <s v="上海"/>
    <s v="eleme"/>
    <s v="饿了么"/>
    <s v="蛙小辣·美蛙火锅杯(宝山店)"/>
    <n v="2294.79"/>
  </r>
  <r>
    <x v="0"/>
    <s v="宝山店"/>
    <s v="上海"/>
    <s v="eleme"/>
    <s v="饿了么"/>
    <s v="蛙小辣·美蛙火锅杯(宝山店)"/>
    <n v="1708.47"/>
  </r>
  <r>
    <x v="0"/>
    <s v="宝山店"/>
    <s v="上海"/>
    <s v="eleme"/>
    <s v="饿了么"/>
    <s v="蛙小辣·美蛙火锅杯(宝山店)"/>
    <n v="1470.49"/>
  </r>
  <r>
    <x v="4"/>
    <s v="怒江路店"/>
    <s v="上海"/>
    <s v="meituan"/>
    <s v="美团"/>
    <s v="蛙小辣·美蛙火锅杯（长风大悦城店）"/>
    <n v="1433.74"/>
  </r>
  <r>
    <x v="0"/>
    <s v="宝山店"/>
    <s v="上海"/>
    <s v="eleme"/>
    <s v="饿了么"/>
    <s v="蛙小辣·美蛙火锅杯(宝山店)"/>
    <n v="1216.3599999999999"/>
  </r>
  <r>
    <x v="4"/>
    <s v="怒江路店"/>
    <s v="上海"/>
    <s v="meituan"/>
    <s v="美团"/>
    <s v="蛙小辣·美蛙火锅杯（长风大悦城店）"/>
    <n v="1244.8800000000001"/>
  </r>
  <r>
    <x v="0"/>
    <s v="宝山店"/>
    <s v="上海"/>
    <s v="eleme"/>
    <s v="饿了么"/>
    <s v="蛙小辣·美蛙火锅杯(宝山店)"/>
    <n v="1798.82"/>
  </r>
  <r>
    <x v="4"/>
    <s v="怒江路店"/>
    <s v="上海"/>
    <s v="meituan"/>
    <s v="美团"/>
    <s v="蛙小辣·美蛙火锅杯（长风大悦城店）"/>
    <n v="930.74"/>
  </r>
  <r>
    <x v="0"/>
    <s v="宝山店"/>
    <s v="上海"/>
    <s v="eleme"/>
    <s v="饿了么"/>
    <s v="蛙小辣·美蛙火锅杯(宝山店)"/>
    <n v="1687.17"/>
  </r>
  <r>
    <x v="4"/>
    <s v="怒江路店"/>
    <s v="上海"/>
    <s v="meituan"/>
    <s v="美团"/>
    <s v="蛙小辣·美蛙火锅杯（长风大悦城店）"/>
    <n v="704.21"/>
  </r>
  <r>
    <x v="0"/>
    <s v="宝山店"/>
    <s v="上海"/>
    <s v="eleme"/>
    <s v="饿了么"/>
    <s v="蛙小辣·美蛙火锅杯(宝山店)"/>
    <n v="2072.36"/>
  </r>
  <r>
    <x v="0"/>
    <s v="宝山店"/>
    <s v="上海"/>
    <s v="eleme"/>
    <s v="饿了么"/>
    <s v="蛙小辣·美蛙火锅杯(宝山店)"/>
    <n v="1401.49"/>
  </r>
  <r>
    <x v="0"/>
    <s v="宝山店"/>
    <s v="上海"/>
    <s v="eleme"/>
    <s v="饿了么"/>
    <s v="蛙小辣·美蛙火锅杯(宝山店)"/>
    <n v="1085"/>
  </r>
  <r>
    <x v="0"/>
    <s v="宝山店"/>
    <s v="上海"/>
    <s v="eleme"/>
    <s v="饿了么"/>
    <s v="蛙小辣·美蛙火锅杯(宝山店)"/>
    <n v="1739.49"/>
  </r>
  <r>
    <x v="5"/>
    <s v="宝山店"/>
    <s v="上海"/>
    <s v="meituan"/>
    <s v="美团"/>
    <s v="蛙小辣火锅杯（宝山店）"/>
    <n v="723.57"/>
  </r>
  <r>
    <x v="0"/>
    <s v="宝山店"/>
    <s v="上海"/>
    <s v="eleme"/>
    <s v="饿了么"/>
    <s v="蛙小辣·美蛙火锅杯(宝山店)"/>
    <n v="1221.93"/>
  </r>
  <r>
    <x v="5"/>
    <s v="宝山店"/>
    <s v="上海"/>
    <s v="meituan"/>
    <s v="美团"/>
    <s v="蛙小辣火锅杯（宝山店）"/>
    <n v="545.27"/>
  </r>
  <r>
    <x v="0"/>
    <s v="宝山店"/>
    <s v="上海"/>
    <s v="eleme"/>
    <s v="饿了么"/>
    <s v="蛙小辣·美蛙火锅杯(宝山店)"/>
    <n v="1013.08"/>
  </r>
  <r>
    <x v="5"/>
    <s v="宝山店"/>
    <s v="上海"/>
    <s v="meituan"/>
    <s v="美团"/>
    <s v="蛙小辣火锅杯（宝山店）"/>
    <n v="639.20000000000005"/>
  </r>
  <r>
    <x v="0"/>
    <s v="宝山店"/>
    <s v="上海"/>
    <s v="eleme"/>
    <s v="饿了么"/>
    <s v="蛙小辣·美蛙火锅杯(宝山店)"/>
    <n v="1227.58"/>
  </r>
  <r>
    <x v="5"/>
    <s v="宝山店"/>
    <s v="上海"/>
    <s v="meituan"/>
    <s v="美团"/>
    <s v="蛙小辣火锅杯（宝山店）"/>
    <n v="448.37"/>
  </r>
  <r>
    <x v="1"/>
    <s v="五角场店"/>
    <s v="上海"/>
    <s v="meituan"/>
    <s v="美团"/>
    <s v="蛙小辣火锅杯（五角场店）"/>
    <n v="883.53"/>
  </r>
  <r>
    <x v="3"/>
    <s v="五角场店"/>
    <s v="上海"/>
    <s v="eleme"/>
    <s v="饿了么"/>
    <s v="蛙小辣火锅杯(五角场店)"/>
    <n v="601.70000000000005"/>
  </r>
  <r>
    <x v="0"/>
    <s v="宝山店"/>
    <s v="上海"/>
    <s v="eleme"/>
    <s v="饿了么"/>
    <s v="蛙小辣·美蛙火锅杯(宝山店)"/>
    <n v="1021.94"/>
  </r>
  <r>
    <x v="5"/>
    <s v="宝山店"/>
    <s v="上海"/>
    <s v="meituan"/>
    <s v="美团"/>
    <s v="蛙小辣火锅杯（宝山店）"/>
    <n v="384.1"/>
  </r>
  <r>
    <x v="1"/>
    <s v="五角场店"/>
    <s v="上海"/>
    <s v="meituan"/>
    <s v="美团"/>
    <s v="蛙小辣火锅杯（五角场店）"/>
    <n v="1112.56"/>
  </r>
  <r>
    <x v="3"/>
    <s v="五角场店"/>
    <s v="上海"/>
    <s v="eleme"/>
    <s v="饿了么"/>
    <s v="蛙小辣火锅杯(五角场店)"/>
    <n v="1367.21"/>
  </r>
  <r>
    <x v="0"/>
    <s v="宝山店"/>
    <s v="上海"/>
    <s v="eleme"/>
    <s v="饿了么"/>
    <s v="蛙小辣·美蛙火锅杯(宝山店)"/>
    <n v="894.03"/>
  </r>
  <r>
    <x v="5"/>
    <s v="宝山店"/>
    <s v="上海"/>
    <s v="meituan"/>
    <s v="美团"/>
    <s v="蛙小辣火锅杯（宝山店）"/>
    <n v="388.73"/>
  </r>
  <r>
    <x v="3"/>
    <s v="五角场店"/>
    <s v="上海"/>
    <s v="eleme"/>
    <s v="饿了么"/>
    <s v="蛙小辣火锅杯(五角场店)"/>
    <n v="1377.74"/>
  </r>
  <r>
    <x v="1"/>
    <s v="五角场店"/>
    <s v="上海"/>
    <s v="meituan"/>
    <s v="美团"/>
    <s v="蛙小辣火锅杯（五角场店）"/>
    <n v="968.82"/>
  </r>
  <r>
    <x v="0"/>
    <s v="宝山店"/>
    <s v="上海"/>
    <s v="eleme"/>
    <s v="饿了么"/>
    <s v="蛙小辣·美蛙火锅杯(宝山店)"/>
    <n v="2567"/>
  </r>
  <r>
    <x v="5"/>
    <s v="宝山店"/>
    <s v="上海"/>
    <s v="meituan"/>
    <s v="美团"/>
    <s v="蛙小辣火锅杯（宝山店）"/>
    <n v="640.04"/>
  </r>
  <r>
    <x v="0"/>
    <s v="宝山店"/>
    <s v="上海"/>
    <s v="eleme"/>
    <s v="饿了么"/>
    <s v="蛙小辣·美蛙火锅杯(宝山店)"/>
    <n v="1581.86"/>
  </r>
  <r>
    <x v="5"/>
    <s v="宝山店"/>
    <s v="上海"/>
    <s v="meituan"/>
    <s v="美团"/>
    <s v="蛙小辣火锅杯（宝山店）"/>
    <n v="583.72"/>
  </r>
  <r>
    <x v="0"/>
    <s v="宝山店"/>
    <s v="上海"/>
    <s v="eleme"/>
    <s v="饿了么"/>
    <s v="蛙小辣·美蛙火锅杯(宝山店)"/>
    <n v="1449.58"/>
  </r>
  <r>
    <x v="5"/>
    <s v="宝山店"/>
    <s v="上海"/>
    <s v="meituan"/>
    <s v="美团"/>
    <s v="蛙小辣火锅杯（宝山店）"/>
    <n v="815.11"/>
  </r>
  <r>
    <x v="0"/>
    <s v="宝山店"/>
    <s v="上海"/>
    <s v="eleme"/>
    <s v="饿了么"/>
    <s v="蛙小辣·美蛙火锅杯(宝山店)"/>
    <n v="529.41"/>
  </r>
  <r>
    <x v="5"/>
    <s v="宝山店"/>
    <s v="上海"/>
    <s v="meituan"/>
    <s v="美团"/>
    <s v="蛙小辣火锅杯（宝山店）"/>
    <n v="742.35"/>
  </r>
  <r>
    <x v="0"/>
    <s v="宝山店"/>
    <s v="上海"/>
    <s v="eleme"/>
    <s v="饿了么"/>
    <s v="蛙小辣·美蛙火锅杯(宝山店)"/>
    <n v="1595.19"/>
  </r>
  <r>
    <x v="5"/>
    <s v="宝山店"/>
    <s v="上海"/>
    <s v="meituan"/>
    <s v="美团"/>
    <s v="蛙小辣火锅杯（宝山店）"/>
    <n v="868.91"/>
  </r>
  <r>
    <x v="0"/>
    <s v="宝山店"/>
    <s v="上海"/>
    <s v="eleme"/>
    <s v="饿了么"/>
    <s v="蛙小辣·美蛙火锅杯(宝山店)"/>
    <n v="596.26"/>
  </r>
  <r>
    <x v="5"/>
    <s v="宝山店"/>
    <s v="上海"/>
    <s v="meituan"/>
    <s v="美团"/>
    <s v="蛙小辣火锅杯（宝山店）"/>
    <n v="522.53"/>
  </r>
  <r>
    <x v="0"/>
    <s v="宝山店"/>
    <s v="上海"/>
    <s v="eleme"/>
    <s v="饿了么"/>
    <s v="蛙小辣·美蛙火锅杯(宝山店)"/>
    <n v="1703.44"/>
  </r>
  <r>
    <x v="5"/>
    <s v="宝山店"/>
    <s v="上海"/>
    <s v="meituan"/>
    <s v="美团"/>
    <s v="蛙小辣火锅杯（宝山店）"/>
    <n v="402.23"/>
  </r>
  <r>
    <x v="0"/>
    <s v="宝山店"/>
    <s v="上海"/>
    <s v="eleme"/>
    <s v="饿了么"/>
    <s v="蛙小辣·美蛙火锅杯(宝山店)"/>
    <n v="1749.35"/>
  </r>
  <r>
    <x v="5"/>
    <s v="宝山店"/>
    <s v="上海"/>
    <s v="meituan"/>
    <s v="美团"/>
    <s v="蛙小辣火锅杯（宝山店）"/>
    <n v="596.30999999999995"/>
  </r>
  <r>
    <x v="0"/>
    <s v="宝山店"/>
    <s v="上海"/>
    <s v="eleme"/>
    <s v="饿了么"/>
    <s v="蛙小辣·美蛙火锅杯(宝山店)"/>
    <n v="1458.53"/>
  </r>
  <r>
    <x v="5"/>
    <s v="宝山店"/>
    <s v="上海"/>
    <s v="meituan"/>
    <s v="美团"/>
    <s v="蛙小辣火锅杯（宝山店）"/>
    <n v="849.38"/>
  </r>
  <r>
    <x v="1"/>
    <s v="五角场店"/>
    <s v="上海"/>
    <s v="meituan"/>
    <s v="美团"/>
    <s v="蛙小辣火锅杯（五角场店）"/>
    <n v="837.26"/>
  </r>
  <r>
    <x v="3"/>
    <s v="五角场店"/>
    <s v="上海"/>
    <s v="eleme"/>
    <s v="饿了么"/>
    <s v="蛙小辣火锅杯(五角场店)"/>
    <n v="706.88"/>
  </r>
  <r>
    <x v="0"/>
    <s v="宝山店"/>
    <s v="上海"/>
    <s v="eleme"/>
    <s v="饿了么"/>
    <s v="蛙小辣·美蛙火锅杯(宝山店)"/>
    <n v="1293.56"/>
  </r>
  <r>
    <x v="3"/>
    <s v="五角场店"/>
    <s v="上海"/>
    <s v="eleme"/>
    <s v="饿了么"/>
    <s v="蛙小辣火锅杯(五角场店)"/>
    <n v="1366.3"/>
  </r>
  <r>
    <x v="1"/>
    <s v="五角场店"/>
    <s v="上海"/>
    <s v="meituan"/>
    <s v="美团"/>
    <s v="蛙小辣火锅杯（五角场店）"/>
    <n v="299.62"/>
  </r>
  <r>
    <x v="0"/>
    <s v="宝山店"/>
    <s v="上海"/>
    <s v="eleme"/>
    <s v="饿了么"/>
    <s v="蛙小辣·美蛙火锅杯(宝山店)"/>
    <n v="1462.61"/>
  </r>
  <r>
    <x v="1"/>
    <s v="五角场店"/>
    <s v="上海"/>
    <s v="meituan"/>
    <s v="美团"/>
    <s v="蛙小辣火锅杯（五角场店）"/>
    <n v="561.78"/>
  </r>
  <r>
    <x v="3"/>
    <s v="五角场店"/>
    <s v="上海"/>
    <s v="eleme"/>
    <s v="饿了么"/>
    <s v="蛙小辣火锅杯(五角场店)"/>
    <n v="940.11"/>
  </r>
  <r>
    <x v="0"/>
    <s v="宝山店"/>
    <s v="上海"/>
    <s v="eleme"/>
    <s v="饿了么"/>
    <s v="蛙小辣·美蛙火锅杯(宝山店)"/>
    <n v="958.69"/>
  </r>
  <r>
    <x v="5"/>
    <s v="宝山店"/>
    <s v="上海"/>
    <s v="meituan"/>
    <s v="美团"/>
    <s v="蛙小辣火锅杯（宝山店）"/>
    <n v="414.71"/>
  </r>
  <r>
    <x v="1"/>
    <s v="五角场店"/>
    <s v="上海"/>
    <s v="meituan"/>
    <s v="美团"/>
    <s v="蛙小辣火锅杯（五角场店）"/>
    <n v="823.99"/>
  </r>
  <r>
    <x v="3"/>
    <s v="五角场店"/>
    <s v="上海"/>
    <s v="eleme"/>
    <s v="饿了么"/>
    <s v="蛙小辣火锅杯(五角场店)"/>
    <n v="1045.28"/>
  </r>
  <r>
    <x v="0"/>
    <s v="宝山店"/>
    <s v="上海"/>
    <s v="eleme"/>
    <s v="饿了么"/>
    <s v="蛙小辣·美蛙火锅杯(宝山店)"/>
    <n v="1337.57"/>
  </r>
  <r>
    <x v="5"/>
    <s v="宝山店"/>
    <s v="上海"/>
    <s v="meituan"/>
    <s v="美团"/>
    <s v="蛙小辣火锅杯（宝山店）"/>
    <n v="535.13"/>
  </r>
  <r>
    <x v="1"/>
    <s v="五角场店"/>
    <s v="上海"/>
    <s v="meituan"/>
    <s v="美团"/>
    <s v="蛙小辣火锅杯（五角场店）"/>
    <n v="842.06"/>
  </r>
  <r>
    <x v="3"/>
    <s v="五角场店"/>
    <s v="上海"/>
    <s v="eleme"/>
    <s v="饿了么"/>
    <s v="蛙小辣火锅杯(五角场店)"/>
    <n v="1096.1099999999999"/>
  </r>
  <r>
    <x v="0"/>
    <s v="宝山店"/>
    <s v="上海"/>
    <s v="eleme"/>
    <s v="饿了么"/>
    <s v="蛙小辣·美蛙火锅杯(宝山店)"/>
    <n v="1198.9000000000001"/>
  </r>
  <r>
    <x v="5"/>
    <s v="宝山店"/>
    <s v="上海"/>
    <s v="meituan"/>
    <s v="美团"/>
    <s v="蛙小辣火锅杯（宝山店）"/>
    <n v="495.56"/>
  </r>
  <r>
    <x v="1"/>
    <s v="五角场店"/>
    <s v="上海"/>
    <s v="meituan"/>
    <s v="美团"/>
    <s v="蛙小辣火锅杯（五角场店）"/>
    <n v="588.05999999999995"/>
  </r>
  <r>
    <x v="3"/>
    <s v="五角场店"/>
    <s v="上海"/>
    <s v="eleme"/>
    <s v="饿了么"/>
    <s v="蛙小辣火锅杯(五角场店)"/>
    <n v="644.99"/>
  </r>
  <r>
    <x v="0"/>
    <s v="宝山店"/>
    <s v="上海"/>
    <s v="eleme"/>
    <s v="饿了么"/>
    <s v="蛙小辣·美蛙火锅杯(宝山店)"/>
    <n v="1117.31"/>
  </r>
  <r>
    <x v="5"/>
    <s v="宝山店"/>
    <s v="上海"/>
    <s v="meituan"/>
    <s v="美团"/>
    <s v="蛙小辣火锅杯（宝山店）"/>
    <n v="721.7"/>
  </r>
  <r>
    <x v="3"/>
    <s v="五角场店"/>
    <s v="上海"/>
    <s v="eleme"/>
    <s v="饿了么"/>
    <s v="蛙小辣火锅杯(五角场店)"/>
    <n v="1385.08"/>
  </r>
  <r>
    <x v="0"/>
    <s v="宝山店"/>
    <s v="上海"/>
    <s v="eleme"/>
    <s v="饿了么"/>
    <s v="蛙小辣·美蛙火锅杯(宝山店)"/>
    <n v="1220.96"/>
  </r>
  <r>
    <x v="5"/>
    <s v="宝山店"/>
    <s v="上海"/>
    <s v="meituan"/>
    <s v="美团"/>
    <s v="蛙小辣火锅杯（宝山店）"/>
    <n v="772.45"/>
  </r>
  <r>
    <x v="3"/>
    <s v="五角场店"/>
    <s v="上海"/>
    <s v="eleme"/>
    <s v="饿了么"/>
    <s v="蛙小辣火锅杯(五角场店)"/>
    <n v="1478.17"/>
  </r>
  <r>
    <x v="0"/>
    <s v="宝山店"/>
    <s v="上海"/>
    <s v="eleme"/>
    <s v="饿了么"/>
    <s v="蛙小辣·美蛙火锅杯(宝山店)"/>
    <n v="1779.61"/>
  </r>
  <r>
    <x v="5"/>
    <s v="宝山店"/>
    <s v="上海"/>
    <s v="meituan"/>
    <s v="美团"/>
    <s v="蛙小辣火锅杯（宝山店）"/>
    <n v="1340.95"/>
  </r>
  <r>
    <x v="3"/>
    <s v="五角场店"/>
    <s v="上海"/>
    <s v="eleme"/>
    <s v="饿了么"/>
    <s v="蛙小辣火锅杯麻辣烫(五角场店)"/>
    <n v="784.71"/>
  </r>
  <r>
    <x v="0"/>
    <s v="宝山店"/>
    <s v="上海"/>
    <s v="eleme"/>
    <s v="饿了么"/>
    <s v="蛙小辣·美蛙火锅杯(宝山店)"/>
    <n v="1120.27"/>
  </r>
  <r>
    <x v="5"/>
    <s v="宝山店"/>
    <s v="上海"/>
    <s v="meituan"/>
    <s v="美团"/>
    <s v="蛙小辣火锅杯（宝山店）"/>
    <n v="1459.54"/>
  </r>
  <r>
    <x v="3"/>
    <s v="五角场店"/>
    <s v="上海"/>
    <s v="eleme"/>
    <s v="饿了么"/>
    <s v="蛙小辣火锅杯(五角场店)"/>
    <n v="1389.11"/>
  </r>
  <r>
    <x v="5"/>
    <s v="宝山店"/>
    <s v="上海"/>
    <s v="meituan"/>
    <s v="美团"/>
    <s v="蛙小辣火锅杯（宝山店）"/>
    <n v="865.17"/>
  </r>
  <r>
    <x v="5"/>
    <s v="宝山店"/>
    <s v="上海"/>
    <s v="meituan"/>
    <s v="美团"/>
    <s v="蛙小辣火锅杯（宝山店）"/>
    <n v="521.65"/>
  </r>
  <r>
    <x v="0"/>
    <s v="宝山店"/>
    <s v="上海"/>
    <s v="eleme"/>
    <s v="饿了么"/>
    <s v="蛙小辣·美蛙火锅杯(宝山店)"/>
    <n v="942.11"/>
  </r>
  <r>
    <x v="5"/>
    <s v="宝山店"/>
    <s v="上海"/>
    <s v="meituan"/>
    <s v="美团"/>
    <s v="蛙小辣火锅杯（宝山店）"/>
    <n v="626.38"/>
  </r>
  <r>
    <x v="0"/>
    <s v="宝山店"/>
    <s v="上海"/>
    <s v="eleme"/>
    <s v="饿了么"/>
    <s v="蛙小辣·美蛙火锅杯(宝山店)"/>
    <n v="1738.67"/>
  </r>
  <r>
    <x v="5"/>
    <s v="宝山店"/>
    <s v="上海"/>
    <s v="meituan"/>
    <s v="美团"/>
    <s v="蛙小辣火锅杯（宝山店）"/>
    <n v="942.31"/>
  </r>
  <r>
    <x v="3"/>
    <s v="五角场店"/>
    <s v="上海"/>
    <s v="eleme"/>
    <s v="饿了么"/>
    <s v="蛙小辣火锅杯(五角场店)"/>
    <n v="1139.1600000000001"/>
  </r>
  <r>
    <x v="1"/>
    <s v="五角场店"/>
    <s v="上海"/>
    <s v="meituan"/>
    <s v="美团"/>
    <s v="蛙小辣火锅杯（五角场店）"/>
    <n v="722.17"/>
  </r>
  <r>
    <x v="0"/>
    <s v="宝山店"/>
    <s v="上海"/>
    <s v="eleme"/>
    <s v="饿了么"/>
    <s v="蛙小辣·美蛙火锅杯(宝山店)"/>
    <n v="613.71"/>
  </r>
  <r>
    <x v="5"/>
    <s v="宝山店"/>
    <s v="上海"/>
    <s v="meituan"/>
    <s v="美团"/>
    <s v="蛙小辣火锅杯（宝山店）"/>
    <n v="699.07"/>
  </r>
  <r>
    <x v="3"/>
    <s v="五角场店"/>
    <s v="上海"/>
    <s v="eleme"/>
    <s v="饿了么"/>
    <s v="蛙小辣火锅杯(五角场店)"/>
    <n v="1142.8599999999999"/>
  </r>
  <r>
    <x v="0"/>
    <s v="宝山店"/>
    <s v="上海"/>
    <s v="eleme"/>
    <s v="饿了么"/>
    <s v="蛙小辣·美蛙火锅杯(宝山店)"/>
    <n v="1096.04"/>
  </r>
  <r>
    <x v="5"/>
    <s v="宝山店"/>
    <s v="上海"/>
    <s v="meituan"/>
    <s v="美团"/>
    <s v="蛙小辣火锅杯（宝山店）"/>
    <n v="867.68"/>
  </r>
  <r>
    <x v="3"/>
    <s v="五角场店"/>
    <s v="上海"/>
    <s v="eleme"/>
    <s v="饿了么"/>
    <s v="蛙小辣火锅杯(五角场店)"/>
    <n v="912.99"/>
  </r>
  <r>
    <x v="0"/>
    <s v="宝山店"/>
    <s v="上海"/>
    <s v="eleme"/>
    <s v="饿了么"/>
    <s v="蛙小辣·美蛙火锅杯(宝山店)"/>
    <n v="1093.71"/>
  </r>
  <r>
    <x v="5"/>
    <s v="宝山店"/>
    <s v="上海"/>
    <s v="meituan"/>
    <s v="美团"/>
    <s v="蛙小辣火锅杯（宝山店）"/>
    <n v="649.5"/>
  </r>
  <r>
    <x v="3"/>
    <s v="五角场店"/>
    <s v="上海"/>
    <s v="eleme"/>
    <s v="饿了么"/>
    <s v="蛙小辣火锅杯(五角场店)"/>
    <n v="605.23"/>
  </r>
  <r>
    <x v="0"/>
    <s v="宝山店"/>
    <s v="上海"/>
    <s v="eleme"/>
    <s v="饿了么"/>
    <s v="蛙小辣·美蛙火锅杯(宝山店)"/>
    <n v="989.16"/>
  </r>
  <r>
    <x v="5"/>
    <s v="宝山店"/>
    <s v="上海"/>
    <s v="meituan"/>
    <s v="美团"/>
    <s v="蛙小辣火锅杯（宝山店）"/>
    <n v="1078.27"/>
  </r>
  <r>
    <x v="3"/>
    <s v="五角场店"/>
    <s v="上海"/>
    <s v="eleme"/>
    <s v="饿了么"/>
    <s v="蛙小辣火锅杯(五角场店)"/>
    <n v="1154.54"/>
  </r>
  <r>
    <x v="0"/>
    <s v="宝山店"/>
    <s v="上海"/>
    <s v="eleme"/>
    <s v="饿了么"/>
    <s v="蛙小辣·美蛙火锅杯(宝山店)"/>
    <n v="816.51"/>
  </r>
  <r>
    <x v="3"/>
    <s v="五角场店"/>
    <s v="上海"/>
    <s v="eleme"/>
    <s v="饿了么"/>
    <s v="蛙小辣·美蛙火锅杯(五角场店)"/>
    <n v="1439.93"/>
  </r>
  <r>
    <x v="5"/>
    <s v="宝山店"/>
    <s v="上海"/>
    <s v="meituan"/>
    <s v="美团"/>
    <s v="蛙小辣火锅杯（宝山店）"/>
    <n v="904.72"/>
  </r>
  <r>
    <x v="0"/>
    <s v="宝山店"/>
    <s v="上海"/>
    <s v="eleme"/>
    <s v="饿了么"/>
    <s v="蛙小辣·美蛙火锅杯(宝山店)"/>
    <n v="915.11"/>
  </r>
  <r>
    <x v="3"/>
    <s v="五角场店"/>
    <s v="上海"/>
    <s v="eleme"/>
    <s v="饿了么"/>
    <s v="蛙小辣·美蛙火锅杯(五角场店)"/>
    <n v="1581.29"/>
  </r>
  <r>
    <x v="5"/>
    <s v="宝山店"/>
    <s v="上海"/>
    <s v="meituan"/>
    <s v="美团"/>
    <s v="蛙小辣火锅杯（宝山店）"/>
    <n v="572.22"/>
  </r>
  <r>
    <x v="0"/>
    <s v="宝山店"/>
    <s v="上海"/>
    <s v="eleme"/>
    <s v="饿了么"/>
    <s v="蛙小辣·美蛙火锅杯(宝山店)"/>
    <n v="1343.59"/>
  </r>
  <r>
    <x v="3"/>
    <s v="五角场店"/>
    <s v="上海"/>
    <s v="eleme"/>
    <s v="饿了么"/>
    <s v="蛙小辣·美蛙火锅杯(五角场店)"/>
    <n v="1160.4100000000001"/>
  </r>
  <r>
    <x v="5"/>
    <s v="宝山店"/>
    <s v="上海"/>
    <s v="meituan"/>
    <s v="美团"/>
    <s v="蛙小辣火锅杯（宝山店）"/>
    <n v="1122.72"/>
  </r>
  <r>
    <x v="0"/>
    <s v="宝山店"/>
    <s v="上海"/>
    <s v="eleme"/>
    <s v="饿了么"/>
    <s v="蛙小辣·美蛙火锅杯(宝山店)"/>
    <n v="1232.58"/>
  </r>
  <r>
    <x v="3"/>
    <s v="五角场店"/>
    <s v="上海"/>
    <s v="eleme"/>
    <s v="饿了么"/>
    <s v="蛙小辣·美蛙火锅杯(五角场店)"/>
    <n v="925.98"/>
  </r>
  <r>
    <x v="5"/>
    <s v="宝山店"/>
    <s v="上海"/>
    <s v="meituan"/>
    <s v="美团"/>
    <s v="蛙小辣火锅杯（宝山店）"/>
    <n v="1581.67"/>
  </r>
  <r>
    <x v="3"/>
    <s v="五角场店"/>
    <s v="上海"/>
    <s v="eleme"/>
    <s v="饿了么"/>
    <s v="蛙小辣·美蛙火锅杯(五角场店)"/>
    <n v="1624.43"/>
  </r>
  <r>
    <x v="0"/>
    <s v="宝山店"/>
    <s v="上海"/>
    <s v="eleme"/>
    <s v="饿了么"/>
    <s v="蛙小辣·美蛙火锅杯麻辣烫(宝山店)"/>
    <n v="2244.4"/>
  </r>
  <r>
    <x v="5"/>
    <s v="宝山店"/>
    <s v="上海"/>
    <s v="meituan"/>
    <s v="美团"/>
    <s v="蛙小辣火锅杯（宝山店）"/>
    <n v="1550.12"/>
  </r>
  <r>
    <x v="3"/>
    <s v="五角场店"/>
    <s v="上海"/>
    <s v="eleme"/>
    <s v="饿了么"/>
    <s v="蛙小辣·美蛙火锅杯(五角场店)"/>
    <n v="628.23"/>
  </r>
  <r>
    <x v="0"/>
    <s v="宝山店"/>
    <s v="上海"/>
    <s v="eleme"/>
    <s v="饿了么"/>
    <s v="蛙小辣·美蛙火锅杯麻辣烫(宝山店)"/>
    <n v="1394.61"/>
  </r>
  <r>
    <x v="5"/>
    <s v="宝山店"/>
    <s v="上海"/>
    <s v="meituan"/>
    <s v="美团"/>
    <s v="蛙小辣火锅杯（宝山店）"/>
    <n v="434.58"/>
  </r>
  <r>
    <x v="3"/>
    <s v="五角场店"/>
    <s v="上海"/>
    <s v="eleme"/>
    <s v="饿了么"/>
    <s v="蛙小辣·美蛙火锅杯(五角场店)"/>
    <n v="969.22"/>
  </r>
  <r>
    <x v="0"/>
    <s v="宝山店"/>
    <s v="上海"/>
    <s v="eleme"/>
    <s v="饿了么"/>
    <s v="蛙小辣·美蛙火锅杯麻辣烫(宝山店)"/>
    <n v="732.99"/>
  </r>
  <r>
    <x v="5"/>
    <s v="宝山店"/>
    <s v="上海"/>
    <s v="meituan"/>
    <s v="美团"/>
    <s v="蛙小辣火锅杯（宝山店）"/>
    <n v="1028.3399999999999"/>
  </r>
  <r>
    <x v="3"/>
    <s v="五角场店"/>
    <s v="上海"/>
    <s v="eleme"/>
    <s v="饿了么"/>
    <s v="蛙小辣·美蛙火锅杯(五角场店)"/>
    <n v="1244.75"/>
  </r>
  <r>
    <x v="0"/>
    <s v="宝山店"/>
    <s v="上海"/>
    <s v="eleme"/>
    <s v="饿了么"/>
    <s v="蛙小辣·美蛙火锅杯麻辣烫(宝山店)"/>
    <n v="1548.92"/>
  </r>
  <r>
    <x v="5"/>
    <s v="宝山店"/>
    <s v="上海"/>
    <s v="meituan"/>
    <s v="美团"/>
    <s v="蛙小辣火锅杯（宝山店）"/>
    <n v="1252.94"/>
  </r>
  <r>
    <x v="3"/>
    <s v="五角场店"/>
    <s v="上海"/>
    <s v="eleme"/>
    <s v="饿了么"/>
    <s v="蛙小辣·美蛙火锅杯(五角场店)"/>
    <n v="1442.36"/>
  </r>
  <r>
    <x v="0"/>
    <s v="宝山店"/>
    <s v="上海"/>
    <s v="eleme"/>
    <s v="饿了么"/>
    <s v="蛙小辣·美蛙火锅杯麻辣烫(宝山店)"/>
    <n v="1541.06"/>
  </r>
  <r>
    <x v="5"/>
    <s v="宝山店"/>
    <s v="上海"/>
    <s v="meituan"/>
    <s v="美团"/>
    <s v="蛙小辣火锅杯（宝山店）"/>
    <n v="1037.31"/>
  </r>
  <r>
    <x v="3"/>
    <s v="五角场店"/>
    <s v="上海"/>
    <s v="eleme"/>
    <s v="饿了么"/>
    <s v="蛙小辣·美蛙火锅杯(五角场店)"/>
    <n v="916.39"/>
  </r>
  <r>
    <x v="0"/>
    <s v="宝山店"/>
    <s v="上海"/>
    <s v="eleme"/>
    <s v="饿了么"/>
    <s v="蛙小辣·美蛙火锅杯麻辣烫(宝山店)"/>
    <n v="1377.46"/>
  </r>
  <r>
    <x v="5"/>
    <s v="宝山店"/>
    <s v="上海"/>
    <s v="meituan"/>
    <s v="美团"/>
    <s v="蛙小辣火锅杯（宝山店）"/>
    <n v="1131.1300000000001"/>
  </r>
  <r>
    <x v="0"/>
    <s v="宝山店"/>
    <s v="上海"/>
    <s v="eleme"/>
    <s v="饿了么"/>
    <s v="蛙小辣·美蛙火锅杯麻辣烫(宝山店)"/>
    <n v="1043.3499999999999"/>
  </r>
  <r>
    <x v="3"/>
    <s v="五角场店"/>
    <s v="上海"/>
    <s v="eleme"/>
    <s v="饿了么"/>
    <s v="蛙小辣·美蛙火锅杯麻辣烫(五角场店)"/>
    <n v="1144.9100000000001"/>
  </r>
  <r>
    <x v="5"/>
    <s v="宝山店"/>
    <s v="上海"/>
    <s v="meituan"/>
    <s v="美团"/>
    <s v="蛙小辣火锅杯（宝山店）"/>
    <n v="1996.39"/>
  </r>
  <r>
    <x v="0"/>
    <s v="宝山店"/>
    <s v="上海"/>
    <s v="eleme"/>
    <s v="饿了么"/>
    <s v="蛙小辣·美蛙火锅杯麻辣烫(宝山店)"/>
    <n v="1304.3399999999999"/>
  </r>
  <r>
    <x v="3"/>
    <s v="五角场店"/>
    <s v="上海"/>
    <s v="eleme"/>
    <s v="饿了么"/>
    <s v="蛙小辣·美蛙火锅杯麻辣烫(五角场店)"/>
    <n v="1102.18"/>
  </r>
  <r>
    <x v="5"/>
    <s v="宝山店"/>
    <s v="上海"/>
    <s v="meituan"/>
    <s v="美团"/>
    <s v="蛙小辣火锅杯（宝山店）"/>
    <n v="1260.33"/>
  </r>
  <r>
    <x v="0"/>
    <s v="宝山店"/>
    <s v="上海"/>
    <s v="eleme"/>
    <s v="饿了么"/>
    <s v="蛙小辣·美蛙火锅杯麻辣烫(宝山店)"/>
    <n v="1018.93"/>
  </r>
  <r>
    <x v="3"/>
    <s v="五角场店"/>
    <s v="上海"/>
    <s v="eleme"/>
    <s v="饿了么"/>
    <s v="蛙小辣·美蛙火锅杯麻辣烫(五角场店)"/>
    <n v="1255.31"/>
  </r>
  <r>
    <x v="5"/>
    <s v="宝山店"/>
    <s v="上海"/>
    <s v="meituan"/>
    <s v="美团"/>
    <s v="蛙小辣火锅杯（宝山店）"/>
    <n v="1190.5999999999999"/>
  </r>
  <r>
    <x v="0"/>
    <s v="宝山店"/>
    <s v="上海"/>
    <s v="eleme"/>
    <s v="饿了么"/>
    <s v="蛙小辣·美蛙火锅杯麻辣烫(宝山店)"/>
    <n v="1381.03"/>
  </r>
  <r>
    <x v="3"/>
    <s v="五角场店"/>
    <s v="上海"/>
    <s v="eleme"/>
    <s v="饿了么"/>
    <s v="蛙小辣·美蛙火锅杯麻辣烫(五角场店)"/>
    <n v="998.14"/>
  </r>
  <r>
    <x v="5"/>
    <s v="宝山店"/>
    <s v="上海"/>
    <s v="meituan"/>
    <s v="美团"/>
    <s v="蛙小辣火锅杯（宝山店）"/>
    <n v="1114.4100000000001"/>
  </r>
  <r>
    <x v="1"/>
    <s v="五角场店"/>
    <s v="上海"/>
    <s v="meituan"/>
    <s v="美团"/>
    <s v="蛙小辣火锅杯（五角场店）"/>
    <n v="689.82"/>
  </r>
  <r>
    <x v="0"/>
    <s v="宝山店"/>
    <s v="上海"/>
    <s v="eleme"/>
    <s v="饿了么"/>
    <s v="蛙小辣·美蛙火锅杯麻辣烫(宝山店)"/>
    <n v="1309.72"/>
  </r>
  <r>
    <x v="3"/>
    <s v="五角场店"/>
    <s v="上海"/>
    <s v="eleme"/>
    <s v="饿了么"/>
    <s v="蛙小辣·美蛙火锅杯麻辣烫(五角场店)"/>
    <n v="1213"/>
  </r>
  <r>
    <x v="5"/>
    <s v="宝山店"/>
    <s v="上海"/>
    <s v="meituan"/>
    <s v="美团"/>
    <s v="蛙小辣火锅杯（宝山店）"/>
    <n v="1968.36"/>
  </r>
  <r>
    <x v="1"/>
    <s v="五角场店"/>
    <s v="上海"/>
    <s v="meituan"/>
    <s v="美团"/>
    <s v="蛙小辣火锅杯（五角场店）"/>
    <n v="476.4"/>
  </r>
  <r>
    <x v="0"/>
    <s v="宝山店"/>
    <s v="上海"/>
    <s v="eleme"/>
    <s v="饿了么"/>
    <s v="蛙小辣·美蛙火锅杯麻辣烫(宝山店)"/>
    <n v="1381.09"/>
  </r>
  <r>
    <x v="3"/>
    <s v="五角场店"/>
    <s v="上海"/>
    <s v="eleme"/>
    <s v="饿了么"/>
    <s v="蛙小辣·美蛙火锅杯麻辣烫(五角场店)"/>
    <n v="1060.02"/>
  </r>
  <r>
    <x v="5"/>
    <s v="宝山店"/>
    <s v="上海"/>
    <s v="meituan"/>
    <s v="美团"/>
    <s v="蛙小辣火锅杯（宝山店）"/>
    <n v="1101.4000000000001"/>
  </r>
  <r>
    <x v="1"/>
    <s v="五角场店"/>
    <s v="上海"/>
    <s v="meituan"/>
    <s v="美团"/>
    <s v="蛙小辣火锅杯（五角场店）"/>
    <n v="562.64"/>
  </r>
  <r>
    <x v="0"/>
    <s v="宝山店"/>
    <s v="上海"/>
    <s v="eleme"/>
    <s v="饿了么"/>
    <s v="蛙小辣·美蛙火锅杯麻辣烫(宝山店)"/>
    <n v="1122.81"/>
  </r>
  <r>
    <x v="1"/>
    <s v="五角场店"/>
    <s v="上海"/>
    <s v="meituan"/>
    <s v="美团"/>
    <s v="蛙小辣·美蛙火锅杯麻辣烫（五角场店）"/>
    <n v="682.13"/>
  </r>
  <r>
    <x v="3"/>
    <s v="五角场店"/>
    <s v="上海"/>
    <s v="eleme"/>
    <s v="饿了么"/>
    <s v="蛙小辣·美蛙火锅杯麻辣烫(五角场店)"/>
    <n v="1255.4100000000001"/>
  </r>
  <r>
    <x v="5"/>
    <s v="宝山店"/>
    <s v="上海"/>
    <s v="meituan"/>
    <s v="美团"/>
    <s v="蛙小辣火锅杯（宝山店）"/>
    <n v="1147.7"/>
  </r>
  <r>
    <x v="0"/>
    <s v="宝山店"/>
    <s v="上海"/>
    <s v="eleme"/>
    <s v="饿了么"/>
    <s v="蛙小辣·美蛙火锅杯麻辣烫(宝山店)"/>
    <n v="1316.44"/>
  </r>
  <r>
    <x v="3"/>
    <s v="五角场店"/>
    <s v="上海"/>
    <s v="eleme"/>
    <s v="饿了么"/>
    <s v="蛙小辣·美蛙火锅杯麻辣烫(五角场店)"/>
    <n v="1035"/>
  </r>
  <r>
    <x v="5"/>
    <s v="宝山店"/>
    <s v="上海"/>
    <s v="meituan"/>
    <s v="美团"/>
    <s v="蛙小辣火锅杯（宝山店）"/>
    <n v="1774.86"/>
  </r>
  <r>
    <x v="0"/>
    <s v="宝山店"/>
    <s v="上海"/>
    <s v="eleme"/>
    <s v="饿了么"/>
    <s v="蛙小辣·美蛙火锅杯麻辣烫(宝山店)"/>
    <n v="1612.33"/>
  </r>
  <r>
    <x v="3"/>
    <s v="五角场店"/>
    <s v="上海"/>
    <s v="eleme"/>
    <s v="饿了么"/>
    <s v="蛙小辣·美蛙火锅杯麻辣烫(五角场店)"/>
    <n v="784.28"/>
  </r>
  <r>
    <x v="5"/>
    <s v="宝山店"/>
    <s v="上海"/>
    <s v="meituan"/>
    <s v="美团"/>
    <s v="蛙小辣火锅杯（宝山店）"/>
    <n v="1641.93"/>
  </r>
  <r>
    <x v="0"/>
    <s v="宝山店"/>
    <s v="上海"/>
    <s v="eleme"/>
    <s v="饿了么"/>
    <s v="蛙小辣·美蛙火锅杯麻辣烫(宝山店)"/>
    <n v="2393.9299999999998"/>
  </r>
  <r>
    <x v="5"/>
    <s v="宝山店"/>
    <s v="上海"/>
    <s v="meituan"/>
    <s v="美团"/>
    <s v="蛙小辣火锅杯（宝山店）"/>
    <n v="771.92"/>
  </r>
  <r>
    <x v="0"/>
    <s v="宝山店"/>
    <s v="上海"/>
    <s v="eleme"/>
    <s v="饿了么"/>
    <s v="蛙小辣·美蛙火锅杯麻辣烫(宝山店)"/>
    <n v="1088.92"/>
  </r>
  <r>
    <x v="3"/>
    <s v="五角场店"/>
    <s v="上海"/>
    <s v="eleme"/>
    <s v="饿了么"/>
    <s v="蛙小辣·美蛙火锅杯麻辣烫(五角场店)"/>
    <n v="939.51"/>
  </r>
  <r>
    <x v="5"/>
    <s v="宝山店"/>
    <s v="上海"/>
    <s v="meituan"/>
    <s v="美团"/>
    <s v="蛙小辣火锅杯（宝山店）"/>
    <n v="1645.35"/>
  </r>
  <r>
    <x v="0"/>
    <s v="宝山店"/>
    <s v="上海"/>
    <s v="eleme"/>
    <s v="饿了么"/>
    <s v="蛙小辣·美蛙火锅杯麻辣烫(宝山店)"/>
    <n v="1299.9100000000001"/>
  </r>
  <r>
    <x v="3"/>
    <s v="五角场店"/>
    <s v="上海"/>
    <s v="eleme"/>
    <s v="饿了么"/>
    <s v="蛙小辣·美蛙火锅杯麻辣烫(五角场店)"/>
    <n v="654"/>
  </r>
  <r>
    <x v="5"/>
    <s v="宝山店"/>
    <s v="上海"/>
    <s v="meituan"/>
    <s v="美团"/>
    <s v="蛙小辣火锅杯（宝山店）"/>
    <n v="2096.54"/>
  </r>
  <r>
    <x v="0"/>
    <s v="宝山店"/>
    <s v="上海"/>
    <s v="eleme"/>
    <s v="饿了么"/>
    <s v="蛙小辣·美蛙火锅杯麻辣烫(宝山店)"/>
    <n v="1956.95"/>
  </r>
  <r>
    <x v="3"/>
    <s v="五角场店"/>
    <s v="上海"/>
    <s v="eleme"/>
    <s v="饿了么"/>
    <s v="蛙小辣·美蛙火锅杯麻辣烫(五角场店)"/>
    <n v="1126.08"/>
  </r>
  <r>
    <x v="5"/>
    <s v="宝山店"/>
    <s v="上海"/>
    <s v="meituan"/>
    <s v="美团"/>
    <s v="蛙小辣火锅杯（宝山店）"/>
    <n v="1160.52"/>
  </r>
  <r>
    <x v="0"/>
    <s v="宝山店"/>
    <s v="上海"/>
    <s v="eleme"/>
    <s v="饿了么"/>
    <s v="蛙小辣·美蛙火锅杯麻辣烫(宝山店)"/>
    <n v="1547.39"/>
  </r>
  <r>
    <x v="3"/>
    <s v="五角场店"/>
    <s v="上海"/>
    <s v="eleme"/>
    <s v="饿了么"/>
    <s v="蛙小辣·美蛙火锅杯麻辣烫(五角场店)"/>
    <n v="754.7"/>
  </r>
  <r>
    <x v="5"/>
    <s v="宝山店"/>
    <s v="上海"/>
    <s v="meituan"/>
    <s v="美团"/>
    <s v="蛙小辣火锅杯（宝山店）"/>
    <n v="1216.56"/>
  </r>
  <r>
    <x v="0"/>
    <s v="宝山店"/>
    <s v="上海"/>
    <s v="eleme"/>
    <s v="饿了么"/>
    <s v="蛙小辣·美蛙火锅杯麻辣烫(宝山店)"/>
    <n v="753.97"/>
  </r>
  <r>
    <x v="3"/>
    <s v="五角场店"/>
    <s v="上海"/>
    <s v="eleme"/>
    <s v="饿了么"/>
    <s v="蛙小辣·美蛙火锅杯麻辣烫(五角场店)"/>
    <n v="500.94"/>
  </r>
  <r>
    <x v="5"/>
    <s v="宝山店"/>
    <s v="上海"/>
    <s v="meituan"/>
    <s v="美团"/>
    <s v="蛙小辣火锅杯（宝山店）"/>
    <n v="1838.31"/>
  </r>
  <r>
    <x v="0"/>
    <s v="宝山店"/>
    <s v="上海"/>
    <s v="eleme"/>
    <s v="饿了么"/>
    <s v="蛙小辣·美蛙火锅杯麻辣烫(宝山店)"/>
    <n v="812.12"/>
  </r>
  <r>
    <x v="5"/>
    <s v="宝山店"/>
    <s v="上海"/>
    <s v="meituan"/>
    <s v="美团"/>
    <s v="蛙小辣火锅杯（宝山店）"/>
    <n v="1398.73"/>
  </r>
  <r>
    <x v="0"/>
    <s v="宝山店"/>
    <s v="上海"/>
    <s v="eleme"/>
    <s v="饿了么"/>
    <s v="蛙小辣·美蛙火锅杯麻辣烫(宝山店)"/>
    <n v="423.09"/>
  </r>
  <r>
    <x v="5"/>
    <s v="宝山店"/>
    <s v="上海"/>
    <s v="meituan"/>
    <s v="美团"/>
    <s v="蛙小辣火锅杯（宝山店）"/>
    <n v="2279.29"/>
  </r>
  <r>
    <x v="0"/>
    <s v="宝山店"/>
    <s v="上海"/>
    <s v="eleme"/>
    <s v="饿了么"/>
    <s v="蛙小辣·美蛙火锅杯麻辣烫(宝山店)"/>
    <n v="1217.47"/>
  </r>
  <r>
    <x v="5"/>
    <s v="宝山店"/>
    <s v="上海"/>
    <s v="meituan"/>
    <s v="美团"/>
    <s v="蛙小辣火锅杯（宝山店）"/>
    <n v="1266.68"/>
  </r>
  <r>
    <x v="0"/>
    <s v="宝山店"/>
    <s v="上海"/>
    <s v="eleme"/>
    <s v="饿了么"/>
    <s v="蛙小辣·美蛙火锅杯麻辣烫(宝山店)"/>
    <n v="1257.0999999999999"/>
  </r>
  <r>
    <x v="5"/>
    <s v="宝山店"/>
    <s v="上海"/>
    <s v="meituan"/>
    <s v="美团"/>
    <s v="蛙小辣火锅杯（宝山店）"/>
    <n v="971.14"/>
  </r>
  <r>
    <x v="0"/>
    <s v="宝山店"/>
    <s v="上海"/>
    <s v="eleme"/>
    <s v="饿了么"/>
    <s v="蛙小辣·美蛙火锅杯麻辣烫(宝山店)"/>
    <n v="1270.51"/>
  </r>
  <r>
    <x v="0"/>
    <s v="宝山店"/>
    <s v="上海"/>
    <s v="eleme"/>
    <s v="饿了么"/>
    <s v="蛙小辣·美蛙火锅杯麻辣烫(宝山店)"/>
    <n v="1088.55"/>
  </r>
  <r>
    <x v="5"/>
    <s v="宝山店"/>
    <s v="上海"/>
    <s v="meituan"/>
    <s v="美团"/>
    <s v="蛙小辣火锅杯（宝山店）"/>
    <n v="0"/>
  </r>
  <r>
    <x v="0"/>
    <s v="宝山店"/>
    <s v="上海"/>
    <s v="eleme"/>
    <s v="饿了么"/>
    <s v="蛙小辣·美蛙火锅杯麻辣烫(宝山店)"/>
    <n v="1512.86"/>
  </r>
  <r>
    <x v="5"/>
    <s v="宝山店"/>
    <s v="上海"/>
    <s v="meituan"/>
    <s v="美团"/>
    <s v="蛙小辣火锅杯（宝山店）"/>
    <n v="0"/>
  </r>
  <r>
    <x v="0"/>
    <s v="宝山店"/>
    <s v="上海"/>
    <s v="eleme"/>
    <s v="饿了么"/>
    <s v="蛙小辣·美蛙火锅杯麻辣烫(宝山店)"/>
    <n v="1446.19"/>
  </r>
  <r>
    <x v="5"/>
    <s v="宝山店"/>
    <s v="上海"/>
    <s v="meituan"/>
    <s v="美团"/>
    <s v="蛙小辣火锅杯（宝山店）"/>
    <n v="0"/>
  </r>
  <r>
    <x v="6"/>
    <s v="拌客干拌麻辣烫(武宁路店)"/>
    <s v="上海"/>
    <s v="eleme"/>
    <s v="饿了么"/>
    <s v="拌客干拌麻辣烫(武宁路店)"/>
    <n v="1481.46"/>
  </r>
  <r>
    <x v="0"/>
    <s v="宝山店"/>
    <s v="上海"/>
    <s v="eleme"/>
    <s v="饿了么"/>
    <s v="蛙小辣·美蛙火锅杯麻辣烫(宝山店)"/>
    <n v="1772.64"/>
  </r>
  <r>
    <x v="5"/>
    <s v="宝山店"/>
    <s v="上海"/>
    <s v="meituan"/>
    <s v="美团"/>
    <s v="蛙小辣火锅杯（宝山店）"/>
    <n v="0"/>
  </r>
  <r>
    <x v="6"/>
    <s v="拌客干拌麻辣烫(武宁路店)"/>
    <s v="上海"/>
    <s v="eleme"/>
    <s v="饿了么"/>
    <s v="拌客干拌麻辣烫(武宁路店)"/>
    <n v="2432.3000000000002"/>
  </r>
  <r>
    <x v="0"/>
    <s v="宝山店"/>
    <s v="上海"/>
    <s v="eleme"/>
    <s v="饿了么"/>
    <s v="蛙小辣·美蛙火锅杯麻辣烫(宝山店)"/>
    <n v="1204.7"/>
  </r>
  <r>
    <x v="5"/>
    <s v="宝山店"/>
    <s v="上海"/>
    <s v="meituan"/>
    <s v="美团"/>
    <s v="蛙小辣火锅杯（宝山店）"/>
    <n v="0"/>
  </r>
  <r>
    <x v="6"/>
    <s v="拌客干拌麻辣烫(武宁路店)"/>
    <s v="上海"/>
    <s v="eleme"/>
    <s v="饿了么"/>
    <s v="拌客·干拌麻辣烫(武宁路店)"/>
    <n v="3397.32"/>
  </r>
  <r>
    <x v="0"/>
    <s v="宝山店"/>
    <s v="上海"/>
    <s v="eleme"/>
    <s v="饿了么"/>
    <s v="蛙小辣·美蛙火锅杯麻辣烫(宝山店)"/>
    <n v="1679.15"/>
  </r>
  <r>
    <x v="5"/>
    <s v="宝山店"/>
    <s v="上海"/>
    <s v="meituan"/>
    <s v="美团"/>
    <s v="蛙小辣火锅杯（宝山店）"/>
    <n v="0"/>
  </r>
  <r>
    <x v="6"/>
    <s v="拌客干拌麻辣烫(武宁路店)"/>
    <s v="上海"/>
    <s v="eleme"/>
    <s v="饿了么"/>
    <s v="拌客·干拌麻辣烫(武宁路店)"/>
    <n v="2978.46"/>
  </r>
  <r>
    <x v="0"/>
    <s v="宝山店"/>
    <s v="上海"/>
    <s v="eleme"/>
    <s v="饿了么"/>
    <s v="蛙小辣·美蛙火锅杯麻辣烫(宝山店)"/>
    <n v="1980.86"/>
  </r>
  <r>
    <x v="5"/>
    <s v="宝山店"/>
    <s v="上海"/>
    <s v="meituan"/>
    <s v="美团"/>
    <s v="蛙小辣火锅杯（宝山店）"/>
    <n v="1228.8"/>
  </r>
  <r>
    <x v="6"/>
    <s v="拌客干拌麻辣烫(武宁路店)"/>
    <s v="上海"/>
    <s v="eleme"/>
    <s v="饿了么"/>
    <s v="拌客·干拌麻辣烫(武宁路店)"/>
    <n v="4054.28"/>
  </r>
  <r>
    <x v="0"/>
    <s v="宝山店"/>
    <s v="上海"/>
    <s v="eleme"/>
    <s v="饿了么"/>
    <s v="蛙小辣·美蛙火锅杯麻辣烫(宝山店)"/>
    <n v="1614.63"/>
  </r>
  <r>
    <x v="5"/>
    <s v="宝山店"/>
    <s v="上海"/>
    <s v="meituan"/>
    <s v="美团"/>
    <s v="蛙小辣火锅杯（宝山店）"/>
    <n v="1702.43"/>
  </r>
  <r>
    <x v="6"/>
    <s v="拌客干拌麻辣烫(武宁路店)"/>
    <s v="上海"/>
    <s v="eleme"/>
    <s v="饿了么"/>
    <s v="拌客·干拌麻辣烫(武宁路店)"/>
    <n v="4838.26"/>
  </r>
  <r>
    <x v="0"/>
    <s v="宝山店"/>
    <s v="上海"/>
    <s v="eleme"/>
    <s v="饿了么"/>
    <s v="蛙小辣·美蛙火锅杯麻辣烫(宝山店)"/>
    <n v="1428.49"/>
  </r>
  <r>
    <x v="5"/>
    <s v="宝山店"/>
    <s v="上海"/>
    <s v="meituan"/>
    <s v="美团"/>
    <s v="蛙小辣火锅杯（宝山店）"/>
    <n v="1416.87"/>
  </r>
  <r>
    <x v="6"/>
    <s v="拌客干拌麻辣烫(武宁路店)"/>
    <s v="上海"/>
    <s v="eleme"/>
    <s v="饿了么"/>
    <s v="拌客·干拌麻辣烫(武宁路店)"/>
    <n v="3843.94"/>
  </r>
  <r>
    <x v="0"/>
    <s v="宝山店"/>
    <s v="上海"/>
    <s v="eleme"/>
    <s v="饿了么"/>
    <s v="蛙小辣·美蛙火锅杯麻辣烫(宝山店)"/>
    <n v="1436"/>
  </r>
  <r>
    <x v="5"/>
    <s v="宝山店"/>
    <s v="上海"/>
    <s v="meituan"/>
    <s v="美团"/>
    <s v="蛙小辣火锅杯（宝山店）"/>
    <n v="1081.05"/>
  </r>
  <r>
    <x v="6"/>
    <s v="拌客干拌麻辣烫(武宁路店)"/>
    <s v="上海"/>
    <s v="eleme"/>
    <s v="饿了么"/>
    <s v="拌客·干拌麻辣烫(武宁路店)"/>
    <n v="4531.12"/>
  </r>
  <r>
    <x v="0"/>
    <s v="宝山店"/>
    <s v="上海"/>
    <s v="eleme"/>
    <s v="饿了么"/>
    <s v="蛙小辣·美蛙火锅杯麻辣烫(宝山店)"/>
    <n v="1080.22"/>
  </r>
  <r>
    <x v="5"/>
    <s v="宝山店"/>
    <s v="上海"/>
    <s v="meituan"/>
    <s v="美团"/>
    <s v="蛙小辣火锅杯（宝山店）"/>
    <n v="1279.46"/>
  </r>
  <r>
    <x v="6"/>
    <s v="拌客干拌麻辣烫(武宁路店)"/>
    <s v="上海"/>
    <s v="eleme"/>
    <s v="饿了么"/>
    <s v="拌客·干拌麻辣烫(武宁路店)"/>
    <n v="4559.76"/>
  </r>
  <r>
    <x v="0"/>
    <s v="宝山店"/>
    <s v="上海"/>
    <s v="eleme"/>
    <s v="饿了么"/>
    <s v="蛙小辣·美蛙火锅杯麻辣烫(宝山店)"/>
    <n v="1353.97"/>
  </r>
  <r>
    <x v="5"/>
    <s v="宝山店"/>
    <s v="上海"/>
    <s v="meituan"/>
    <s v="美团"/>
    <s v="蛙小辣火锅杯（宝山店）"/>
    <n v="1010.16"/>
  </r>
  <r>
    <x v="6"/>
    <s v="拌客干拌麻辣烫(武宁路店)"/>
    <s v="上海"/>
    <s v="eleme"/>
    <s v="饿了么"/>
    <s v="拌客·干拌麻辣烫(武宁路店)"/>
    <n v="6077.68"/>
  </r>
  <r>
    <x v="0"/>
    <s v="宝山店"/>
    <s v="上海"/>
    <s v="eleme"/>
    <s v="饿了么"/>
    <s v="蛙小辣·美蛙火锅杯麻辣烫(宝山店)"/>
    <n v="1652.9"/>
  </r>
  <r>
    <x v="5"/>
    <s v="宝山店"/>
    <s v="上海"/>
    <s v="meituan"/>
    <s v="美团"/>
    <s v="蛙小辣火锅杯（宝山店）"/>
    <n v="1078.1400000000001"/>
  </r>
  <r>
    <x v="6"/>
    <s v="拌客干拌麻辣烫(武宁路店)"/>
    <s v="上海"/>
    <s v="eleme"/>
    <s v="饿了么"/>
    <s v="拌客·干拌麻辣烫(武宁路店)"/>
    <n v="5724.72"/>
  </r>
  <r>
    <x v="0"/>
    <s v="宝山店"/>
    <s v="上海"/>
    <s v="eleme"/>
    <s v="饿了么"/>
    <s v="蛙小辣·美蛙火锅杯麻辣烫(宝山店)"/>
    <n v="1284.21"/>
  </r>
  <r>
    <x v="5"/>
    <s v="宝山店"/>
    <s v="上海"/>
    <s v="meituan"/>
    <s v="美团"/>
    <s v="蛙小辣火锅杯（宝山店）"/>
    <n v="1301.3"/>
  </r>
  <r>
    <x v="6"/>
    <s v="拌客干拌麻辣烫(武宁路店)"/>
    <s v="上海"/>
    <s v="eleme"/>
    <s v="饿了么"/>
    <s v="拌客·干拌麻辣烫(武宁路店)"/>
    <n v="5849.3"/>
  </r>
  <r>
    <x v="0"/>
    <s v="宝山店"/>
    <s v="上海"/>
    <s v="eleme"/>
    <s v="饿了么"/>
    <s v="蛙小辣·美蛙火锅杯麻辣烫(宝山店)"/>
    <n v="1022.18"/>
  </r>
  <r>
    <x v="5"/>
    <s v="宝山店"/>
    <s v="上海"/>
    <s v="meituan"/>
    <s v="美团"/>
    <s v="蛙小辣火锅杯（宝山店）"/>
    <n v="1218.28"/>
  </r>
  <r>
    <x v="6"/>
    <s v="拌客干拌麻辣烫(武宁路店)"/>
    <s v="上海"/>
    <s v="eleme"/>
    <s v="饿了么"/>
    <s v="拌客·干拌麻辣烫(武宁路店)"/>
    <n v="7174.94"/>
  </r>
  <r>
    <x v="0"/>
    <s v="宝山店"/>
    <s v="上海"/>
    <s v="eleme"/>
    <s v="饿了么"/>
    <s v="蛙小辣·美蛙火锅杯麻辣烫(宝山店)"/>
    <n v="904.57"/>
  </r>
  <r>
    <x v="5"/>
    <s v="宝山店"/>
    <s v="上海"/>
    <s v="meituan"/>
    <s v="美团"/>
    <s v="蛙小辣火锅杯（宝山店）"/>
    <n v="1680.79"/>
  </r>
  <r>
    <x v="6"/>
    <s v="拌客干拌麻辣烫(武宁路店)"/>
    <s v="上海"/>
    <s v="eleme"/>
    <s v="饿了么"/>
    <s v="拌客·干拌麻辣烫(武宁路店)"/>
    <n v="4405.0600000000004"/>
  </r>
  <r>
    <x v="0"/>
    <s v="宝山店"/>
    <s v="上海"/>
    <s v="eleme"/>
    <s v="饿了么"/>
    <s v="蛙小辣·美蛙火锅杯麻辣烫(宝山店)"/>
    <n v="681.8"/>
  </r>
  <r>
    <x v="5"/>
    <s v="宝山店"/>
    <s v="上海"/>
    <s v="meituan"/>
    <s v="美团"/>
    <s v="蛙小辣火锅杯（宝山店）"/>
    <n v="1255.1600000000001"/>
  </r>
  <r>
    <x v="6"/>
    <s v="拌客干拌麻辣烫(武宁路店)"/>
    <s v="上海"/>
    <s v="eleme"/>
    <s v="饿了么"/>
    <s v="拌客·干拌麻辣烫(武宁路店)"/>
    <n v="5858.64"/>
  </r>
  <r>
    <x v="0"/>
    <s v="宝山店"/>
    <s v="上海"/>
    <s v="eleme"/>
    <s v="饿了么"/>
    <s v="蛙小辣·美蛙火锅杯麻辣烫(宝山店)"/>
    <n v="1592.9"/>
  </r>
  <r>
    <x v="5"/>
    <s v="宝山店"/>
    <s v="上海"/>
    <s v="meituan"/>
    <s v="美团"/>
    <s v="蛙小辣火锅杯（宝山店）"/>
    <n v="1243.21"/>
  </r>
  <r>
    <x v="6"/>
    <s v="拌客干拌麻辣烫(武宁路店)"/>
    <s v="上海"/>
    <s v="eleme"/>
    <s v="饿了么"/>
    <s v="拌客·干拌麻辣烫(武宁路店)"/>
    <n v="7527.96"/>
  </r>
  <r>
    <x v="0"/>
    <s v="宝山店"/>
    <s v="上海"/>
    <s v="eleme"/>
    <s v="饿了么"/>
    <s v="蛙小辣·美蛙火锅杯麻辣烫(宝山店)"/>
    <n v="724.8"/>
  </r>
  <r>
    <x v="5"/>
    <s v="宝山店"/>
    <s v="上海"/>
    <s v="meituan"/>
    <s v="美团"/>
    <s v="蛙小辣火锅杯（宝山店）"/>
    <n v="888.55"/>
  </r>
  <r>
    <x v="6"/>
    <s v="拌客干拌麻辣烫(武宁路店)"/>
    <s v="上海"/>
    <s v="eleme"/>
    <s v="饿了么"/>
    <s v="拌客·干拌麻辣烫(武宁路店)"/>
    <n v="9230.5400000000009"/>
  </r>
  <r>
    <x v="0"/>
    <s v="宝山店"/>
    <s v="上海"/>
    <s v="eleme"/>
    <s v="饿了么"/>
    <s v="蛙小辣·美蛙火锅杯麻辣烫(宝山店)"/>
    <n v="1203.94"/>
  </r>
  <r>
    <x v="5"/>
    <s v="宝山店"/>
    <s v="上海"/>
    <s v="meituan"/>
    <s v="美团"/>
    <s v="蛙小辣火锅杯（宝山店）"/>
    <n v="798.86"/>
  </r>
  <r>
    <x v="6"/>
    <s v="拌客干拌麻辣烫(武宁路店)"/>
    <s v="上海"/>
    <s v="eleme"/>
    <s v="饿了么"/>
    <s v="拌客·干拌麻辣烫(武宁路店)"/>
    <n v="8404.02"/>
  </r>
  <r>
    <x v="0"/>
    <s v="宝山店"/>
    <s v="上海"/>
    <s v="eleme"/>
    <s v="饿了么"/>
    <s v="蛙小辣·美蛙火锅杯麻辣烫(宝山店)"/>
    <n v="600.83000000000004"/>
  </r>
  <r>
    <x v="5"/>
    <s v="宝山店"/>
    <s v="上海"/>
    <s v="meituan"/>
    <s v="美团"/>
    <s v="蛙小辣火锅杯（宝山店）"/>
    <n v="750.51"/>
  </r>
  <r>
    <x v="6"/>
    <s v="拌客干拌麻辣烫(武宁路店)"/>
    <s v="上海"/>
    <s v="eleme"/>
    <s v="饿了么"/>
    <s v="拌客·干拌麻辣烫(武宁路店)"/>
    <n v="7598.3"/>
  </r>
  <r>
    <x v="0"/>
    <s v="宝山店"/>
    <s v="上海"/>
    <s v="eleme"/>
    <s v="饿了么"/>
    <s v="蛙小辣·美蛙火锅杯麻辣烫(宝山店)"/>
    <n v="783.5"/>
  </r>
  <r>
    <x v="5"/>
    <s v="宝山店"/>
    <s v="上海"/>
    <s v="meituan"/>
    <s v="美团"/>
    <s v="蛙小辣火锅杯（宝山店）"/>
    <n v="1278.8800000000001"/>
  </r>
  <r>
    <x v="6"/>
    <s v="拌客干拌麻辣烫(武宁路店)"/>
    <s v="上海"/>
    <s v="eleme"/>
    <s v="饿了么"/>
    <s v="拌客·干拌麻辣烫(武宁路店)"/>
    <n v="8633"/>
  </r>
  <r>
    <x v="0"/>
    <s v="宝山店"/>
    <s v="上海"/>
    <s v="eleme"/>
    <s v="饿了么"/>
    <s v="蛙小辣·美蛙火锅杯麻辣烫(宝山店)"/>
    <n v="1145.81"/>
  </r>
  <r>
    <x v="5"/>
    <s v="宝山店"/>
    <s v="上海"/>
    <s v="meituan"/>
    <s v="美团"/>
    <s v="蛙小辣火锅杯（宝山店）"/>
    <n v="612.80999999999995"/>
  </r>
  <r>
    <x v="6"/>
    <s v="拌客干拌麻辣烫(武宁路店)"/>
    <s v="上海"/>
    <s v="eleme"/>
    <s v="饿了么"/>
    <s v="拌客·干拌麻辣烫(武宁路店)"/>
    <n v="8992.48"/>
  </r>
  <r>
    <x v="0"/>
    <s v="宝山店"/>
    <s v="上海"/>
    <s v="eleme"/>
    <s v="饿了么"/>
    <s v="蛙小辣·美蛙火锅杯麻辣烫(宝山店)"/>
    <n v="1713.99"/>
  </r>
  <r>
    <x v="5"/>
    <s v="宝山店"/>
    <s v="上海"/>
    <s v="meituan"/>
    <s v="美团"/>
    <s v="蛙小辣火锅杯（宝山店）"/>
    <n v="1606.52"/>
  </r>
  <r>
    <x v="6"/>
    <s v="拌客干拌麻辣烫(武宁路店)"/>
    <s v="上海"/>
    <s v="eleme"/>
    <s v="饿了么"/>
    <s v="拌客·干拌麻辣烫(武宁路店)"/>
    <n v="7903.2"/>
  </r>
  <r>
    <x v="0"/>
    <s v="宝山店"/>
    <s v="上海"/>
    <s v="eleme"/>
    <s v="饿了么"/>
    <s v="蛙小辣·美蛙火锅杯麻辣烫(宝山店)"/>
    <n v="1237.56"/>
  </r>
  <r>
    <x v="5"/>
    <s v="宝山店"/>
    <s v="上海"/>
    <s v="meituan"/>
    <s v="美团"/>
    <s v="蛙小辣火锅杯（宝山店）"/>
    <n v="1211.8499999999999"/>
  </r>
  <r>
    <x v="6"/>
    <s v="拌客干拌麻辣烫(武宁路店)"/>
    <s v="上海"/>
    <s v="eleme"/>
    <s v="饿了么"/>
    <s v="拌客·干拌麻辣烫(武宁路店)"/>
    <n v="8847.58"/>
  </r>
  <r>
    <x v="0"/>
    <s v="宝山店"/>
    <s v="上海"/>
    <s v="eleme"/>
    <s v="饿了么"/>
    <s v="蛙小辣·美蛙火锅杯麻辣烫(宝山店)"/>
    <n v="1093.08"/>
  </r>
  <r>
    <x v="5"/>
    <s v="宝山店"/>
    <s v="上海"/>
    <s v="meituan"/>
    <s v="美团"/>
    <s v="蛙小辣火锅杯（宝山店）"/>
    <n v="1131.45"/>
  </r>
  <r>
    <x v="6"/>
    <s v="拌客干拌麻辣烫(武宁路店)"/>
    <s v="上海"/>
    <s v="eleme"/>
    <s v="饿了么"/>
    <s v="拌客·干拌麻辣烫(武宁路店)"/>
    <n v="9614.5"/>
  </r>
  <r>
    <x v="0"/>
    <s v="宝山店"/>
    <s v="上海"/>
    <s v="eleme"/>
    <s v="饿了么"/>
    <s v="蛙小辣·美蛙火锅杯麻辣烫(宝山店)"/>
    <n v="1171.1600000000001"/>
  </r>
  <r>
    <x v="5"/>
    <s v="宝山店"/>
    <s v="上海"/>
    <s v="meituan"/>
    <s v="美团"/>
    <s v="蛙小辣火锅杯（宝山店）"/>
    <n v="839.37"/>
  </r>
  <r>
    <x v="6"/>
    <s v="拌客干拌麻辣烫(武宁路店)"/>
    <s v="上海"/>
    <s v="eleme"/>
    <s v="饿了么"/>
    <s v="拌客·干拌麻辣烫(武宁路店)"/>
    <n v="9423.76"/>
  </r>
  <r>
    <x v="0"/>
    <s v="宝山店"/>
    <s v="上海"/>
    <s v="eleme"/>
    <s v="饿了么"/>
    <s v="蛙小辣·美蛙火锅杯麻辣烫(宝山店)"/>
    <n v="1373.93"/>
  </r>
  <r>
    <x v="5"/>
    <s v="宝山店"/>
    <s v="上海"/>
    <s v="meituan"/>
    <s v="美团"/>
    <s v="蛙小辣火锅杯（宝山店）"/>
    <n v="1220.3699999999999"/>
  </r>
  <r>
    <x v="6"/>
    <s v="拌客干拌麻辣烫(武宁路店)"/>
    <s v="上海"/>
    <s v="eleme"/>
    <s v="饿了么"/>
    <s v="拌客·干拌麻辣烫(武宁路店)"/>
    <n v="11012.76"/>
  </r>
  <r>
    <x v="0"/>
    <s v="宝山店"/>
    <s v="上海"/>
    <s v="eleme"/>
    <s v="饿了么"/>
    <s v="蛙小辣·美蛙火锅杯麻辣烫(宝山店)"/>
    <n v="1371.05"/>
  </r>
  <r>
    <x v="5"/>
    <s v="宝山店"/>
    <s v="上海"/>
    <s v="meituan"/>
    <s v="美团"/>
    <s v="蛙小辣火锅杯（宝山店）"/>
    <n v="1474.39"/>
  </r>
  <r>
    <x v="6"/>
    <s v="拌客干拌麻辣烫(武宁路店)"/>
    <s v="上海"/>
    <s v="eleme"/>
    <s v="饿了么"/>
    <s v="拌客·干拌麻辣烫(武宁路店)"/>
    <n v="7396.28"/>
  </r>
  <r>
    <x v="0"/>
    <s v="宝山店"/>
    <s v="上海"/>
    <s v="eleme"/>
    <s v="饿了么"/>
    <s v="蛙小辣·美蛙火锅杯麻辣烫(宝山店)"/>
    <n v="1987.12"/>
  </r>
  <r>
    <x v="5"/>
    <s v="宝山店"/>
    <s v="上海"/>
    <s v="meituan"/>
    <s v="美团"/>
    <s v="蛙小辣火锅杯（宝山店）"/>
    <n v="1143.3399999999999"/>
  </r>
  <r>
    <x v="6"/>
    <s v="拌客干拌麻辣烫(武宁路店)"/>
    <s v="上海"/>
    <s v="eleme"/>
    <s v="饿了么"/>
    <s v="拌客·干拌麻辣烫(武宁路店)"/>
    <n v="8589.2999999999993"/>
  </r>
  <r>
    <x v="0"/>
    <s v="宝山店"/>
    <s v="上海"/>
    <s v="eleme"/>
    <s v="饿了么"/>
    <s v="蛙小辣·美蛙火锅杯麻辣烫(宝山店)"/>
    <n v="1179.8800000000001"/>
  </r>
  <r>
    <x v="5"/>
    <s v="宝山店"/>
    <s v="上海"/>
    <s v="meituan"/>
    <s v="美团"/>
    <s v="蛙小辣火锅杯（宝山店）"/>
    <n v="1118.3900000000001"/>
  </r>
  <r>
    <x v="6"/>
    <s v="拌客干拌麻辣烫(武宁路店)"/>
    <s v="上海"/>
    <s v="eleme"/>
    <s v="饿了么"/>
    <s v="拌客·干拌麻辣烫(武宁路店)"/>
    <n v="8415.34"/>
  </r>
  <r>
    <x v="0"/>
    <s v="宝山店"/>
    <s v="上海"/>
    <s v="eleme"/>
    <s v="饿了么"/>
    <s v="蛙小辣·美蛙火锅杯麻辣烫(宝山店)"/>
    <n v="1167.1400000000001"/>
  </r>
  <r>
    <x v="5"/>
    <s v="宝山店"/>
    <s v="上海"/>
    <s v="meituan"/>
    <s v="美团"/>
    <s v="蛙小辣火锅杯（宝山店）"/>
    <n v="412.69"/>
  </r>
  <r>
    <x v="6"/>
    <s v="拌客干拌麻辣烫(武宁路店)"/>
    <s v="上海"/>
    <s v="eleme"/>
    <s v="饿了么"/>
    <s v="拌客·干拌麻辣烫(武宁路店)"/>
    <n v="6646.12"/>
  </r>
  <r>
    <x v="0"/>
    <s v="宝山店"/>
    <s v="上海"/>
    <s v="eleme"/>
    <s v="饿了么"/>
    <s v="蛙小辣·美蛙火锅杯麻辣烫(宝山店)"/>
    <n v="1111.3"/>
  </r>
  <r>
    <x v="5"/>
    <s v="宝山店"/>
    <s v="上海"/>
    <s v="meituan"/>
    <s v="美团"/>
    <s v="蛙小辣火锅杯（宝山店）"/>
    <n v="663.67"/>
  </r>
  <r>
    <x v="6"/>
    <s v="拌客干拌麻辣烫(武宁路店)"/>
    <s v="上海"/>
    <s v="eleme"/>
    <s v="饿了么"/>
    <s v="拌客·干拌麻辣烫(武宁路店)"/>
    <n v="7555.66"/>
  </r>
  <r>
    <x v="0"/>
    <s v="宝山店"/>
    <s v="上海"/>
    <s v="eleme"/>
    <s v="饿了么"/>
    <s v="蛙小辣·美蛙火锅杯麻辣烫(宝山店)"/>
    <n v="1009.49"/>
  </r>
  <r>
    <x v="5"/>
    <s v="宝山店"/>
    <s v="上海"/>
    <s v="meituan"/>
    <s v="美团"/>
    <s v="蛙小辣火锅杯（宝山店）"/>
    <n v="893.69"/>
  </r>
  <r>
    <x v="6"/>
    <s v="拌客干拌麻辣烫(武宁路店)"/>
    <s v="上海"/>
    <s v="eleme"/>
    <s v="饿了么"/>
    <s v="拌客·干拌麻辣烫(武宁路店)"/>
    <n v="7359.1"/>
  </r>
  <r>
    <x v="0"/>
    <s v="宝山店"/>
    <s v="上海"/>
    <s v="eleme"/>
    <s v="饿了么"/>
    <s v="蛙小辣·美蛙火锅杯麻辣烫(宝山店)"/>
    <n v="1115.02"/>
  </r>
  <r>
    <x v="6"/>
    <s v="拌客干拌麻辣烫(武宁路店)"/>
    <s v="上海"/>
    <s v="eleme"/>
    <s v="饿了么"/>
    <s v="拌客·干拌麻辣烫(武宁路店)"/>
    <n v="6686.34"/>
  </r>
  <r>
    <x v="0"/>
    <s v="宝山店"/>
    <s v="上海"/>
    <s v="eleme"/>
    <s v="饿了么"/>
    <s v="蛙小辣·美蛙火锅杯麻辣烫(宝山店)"/>
    <n v="1074.9100000000001"/>
  </r>
  <r>
    <x v="6"/>
    <s v="拌客干拌麻辣烫(武宁路店)"/>
    <s v="上海"/>
    <s v="eleme"/>
    <s v="饿了么"/>
    <s v="拌客·干拌麻辣烫(武宁路店)"/>
    <n v="7506.96"/>
  </r>
  <r>
    <x v="0"/>
    <s v="宝山店"/>
    <s v="上海"/>
    <s v="eleme"/>
    <s v="饿了么"/>
    <s v="蛙小辣·美蛙火锅杯麻辣烫(宝山店)"/>
    <n v="1048.17"/>
  </r>
  <r>
    <x v="5"/>
    <s v="宝山店"/>
    <s v="上海"/>
    <s v="meituan"/>
    <s v="美团"/>
    <s v="蛙小辣火锅杯（宝山店）"/>
    <n v="1309.0899999999999"/>
  </r>
  <r>
    <x v="6"/>
    <s v="拌客干拌麻辣烫(武宁路店)"/>
    <s v="上海"/>
    <s v="eleme"/>
    <s v="饿了么"/>
    <s v="拌客·干拌麻辣烫(武宁路店)"/>
    <n v="5435.2"/>
  </r>
  <r>
    <x v="0"/>
    <s v="宝山店"/>
    <s v="上海"/>
    <s v="eleme"/>
    <s v="饿了么"/>
    <s v="蛙小辣·美蛙火锅杯麻辣烫(宝山店)"/>
    <n v="683.97"/>
  </r>
  <r>
    <x v="5"/>
    <s v="宝山店"/>
    <s v="上海"/>
    <s v="meituan"/>
    <s v="美团"/>
    <s v="蛙小辣火锅杯（宝山店）"/>
    <n v="1246.8800000000001"/>
  </r>
  <r>
    <x v="6"/>
    <s v="拌客干拌麻辣烫(武宁路店)"/>
    <s v="上海"/>
    <s v="eleme"/>
    <s v="饿了么"/>
    <s v="拌客·干拌麻辣烫(武宁路店)"/>
    <n v="5645.9"/>
  </r>
  <r>
    <x v="0"/>
    <s v="宝山店"/>
    <s v="上海"/>
    <s v="eleme"/>
    <s v="饿了么"/>
    <s v="蛙小辣·美蛙火锅杯麻辣烫(宝山店)"/>
    <n v="921.67"/>
  </r>
  <r>
    <x v="5"/>
    <s v="宝山店"/>
    <s v="上海"/>
    <s v="meituan"/>
    <s v="美团"/>
    <s v="蛙小辣火锅杯（宝山店）"/>
    <n v="926.36"/>
  </r>
  <r>
    <x v="6"/>
    <s v="拌客干拌麻辣烫(武宁路店)"/>
    <s v="上海"/>
    <s v="eleme"/>
    <s v="饿了么"/>
    <s v="拌客·干拌麻辣烫(武宁路店)"/>
    <n v="6062.04"/>
  </r>
  <r>
    <x v="0"/>
    <s v="宝山店"/>
    <s v="上海"/>
    <s v="eleme"/>
    <s v="饿了么"/>
    <s v="蛙小辣·美蛙火锅杯麻辣烫(宝山店)"/>
    <n v="1028.98"/>
  </r>
  <r>
    <x v="5"/>
    <s v="宝山店"/>
    <s v="上海"/>
    <s v="meituan"/>
    <s v="美团"/>
    <s v="蛙小辣火锅杯（宝山店）"/>
    <n v="1188.56"/>
  </r>
  <r>
    <x v="6"/>
    <s v="拌客干拌麻辣烫(武宁路店)"/>
    <s v="上海"/>
    <s v="eleme"/>
    <s v="饿了么"/>
    <s v="拌客·干拌麻辣烫(武宁路店)"/>
    <n v="6308.08"/>
  </r>
  <r>
    <x v="0"/>
    <s v="宝山店"/>
    <s v="上海"/>
    <s v="eleme"/>
    <s v="饿了么"/>
    <s v="蛙小辣·美蛙火锅杯麻辣烫(宝山店)"/>
    <n v="1225.9100000000001"/>
  </r>
  <r>
    <x v="5"/>
    <s v="宝山店"/>
    <s v="上海"/>
    <s v="meituan"/>
    <s v="美团"/>
    <s v="蛙小辣火锅杯（宝山店）"/>
    <n v="1023.08"/>
  </r>
  <r>
    <x v="6"/>
    <s v="拌客干拌麻辣烫(武宁路店)"/>
    <s v="上海"/>
    <s v="eleme"/>
    <s v="饿了么"/>
    <s v="拌客·干拌麻辣烫(武宁路店)"/>
    <n v="7264.28"/>
  </r>
  <r>
    <x v="0"/>
    <s v="宝山店"/>
    <s v="上海"/>
    <s v="eleme"/>
    <s v="饿了么"/>
    <s v="蛙小辣·美蛙火锅杯麻辣烫(宝山店)"/>
    <n v="1249.05"/>
  </r>
  <r>
    <x v="5"/>
    <s v="宝山店"/>
    <s v="上海"/>
    <s v="meituan"/>
    <s v="美团"/>
    <s v="蛙小辣火锅杯（宝山店）"/>
    <n v="621.87"/>
  </r>
  <r>
    <x v="6"/>
    <s v="拌客干拌麻辣烫(武宁路店)"/>
    <s v="上海"/>
    <s v="eleme"/>
    <s v="饿了么"/>
    <s v="拌客·干拌麻辣烫(武宁路店)"/>
    <n v="6747.18"/>
  </r>
  <r>
    <x v="0"/>
    <s v="宝山店"/>
    <s v="上海"/>
    <s v="eleme"/>
    <s v="饿了么"/>
    <s v="蛙小辣·美蛙火锅杯麻辣烫(宝山店)"/>
    <n v="1114.76"/>
  </r>
  <r>
    <x v="5"/>
    <s v="宝山店"/>
    <s v="上海"/>
    <s v="meituan"/>
    <s v="美团"/>
    <s v="蛙小辣火锅杯（宝山店）"/>
    <n v="726.48"/>
  </r>
  <r>
    <x v="6"/>
    <s v="拌客干拌麻辣烫(武宁路店)"/>
    <s v="上海"/>
    <s v="eleme"/>
    <s v="饿了么"/>
    <s v="拌客·干拌麻辣烫(武宁路店)"/>
    <n v="7206.96"/>
  </r>
  <r>
    <x v="0"/>
    <s v="宝山店"/>
    <s v="上海"/>
    <s v="eleme"/>
    <s v="饿了么"/>
    <s v="蛙小辣·美蛙火锅杯麻辣烫(宝山店)"/>
    <n v="776.34"/>
  </r>
  <r>
    <x v="5"/>
    <s v="宝山店"/>
    <s v="上海"/>
    <s v="meituan"/>
    <s v="美团"/>
    <s v="蛙小辣火锅杯（宝山店）"/>
    <n v="1345.21"/>
  </r>
  <r>
    <x v="6"/>
    <s v="拌客干拌麻辣烫(武宁路店)"/>
    <s v="上海"/>
    <s v="eleme"/>
    <s v="饿了么"/>
    <s v="拌客·干拌麻辣烫(武宁路店)"/>
    <n v="5097.66"/>
  </r>
  <r>
    <x v="0"/>
    <s v="宝山店"/>
    <s v="上海"/>
    <s v="eleme"/>
    <s v="饿了么"/>
    <s v="蛙小辣·美蛙火锅杯麻辣烫(宝山店)"/>
    <n v="884.92"/>
  </r>
  <r>
    <x v="5"/>
    <s v="宝山店"/>
    <s v="上海"/>
    <s v="meituan"/>
    <s v="美团"/>
    <s v="蛙小辣火锅杯（宝山店）"/>
    <n v="849.23"/>
  </r>
  <r>
    <x v="6"/>
    <s v="拌客干拌麻辣烫(武宁路店)"/>
    <s v="上海"/>
    <s v="eleme"/>
    <s v="饿了么"/>
    <s v="拌客·干拌麻辣烫(武宁路店)"/>
    <n v="4318.16"/>
  </r>
  <r>
    <x v="0"/>
    <s v="宝山店"/>
    <s v="上海"/>
    <s v="eleme"/>
    <s v="饿了么"/>
    <s v="蛙小辣·美蛙火锅杯麻辣烫(宝山店)"/>
    <n v="623.66"/>
  </r>
  <r>
    <x v="5"/>
    <s v="宝山店"/>
    <s v="上海"/>
    <s v="meituan"/>
    <s v="美团"/>
    <s v="蛙小辣火锅杯（宝山店）"/>
    <n v="372.7"/>
  </r>
  <r>
    <x v="6"/>
    <s v="拌客干拌麻辣烫(武宁路店)"/>
    <s v="上海"/>
    <s v="eleme"/>
    <s v="饿了么"/>
    <s v="拌客·干拌麻辣烫(武宁路店)"/>
    <n v="5131.1400000000003"/>
  </r>
  <r>
    <x v="0"/>
    <s v="宝山店"/>
    <s v="上海"/>
    <s v="eleme"/>
    <s v="饿了么"/>
    <s v="蛙小辣·美蛙火锅杯麻辣烫(宝山店)"/>
    <n v="728.88"/>
  </r>
  <r>
    <x v="5"/>
    <s v="宝山店"/>
    <s v="上海"/>
    <s v="meituan"/>
    <s v="美团"/>
    <s v="蛙小辣火锅杯（宝山店）"/>
    <n v="738.79"/>
  </r>
  <r>
    <x v="6"/>
    <s v="拌客干拌麻辣烫(武宁路店)"/>
    <s v="上海"/>
    <s v="eleme"/>
    <s v="饿了么"/>
    <s v="拌客·干拌麻辣烫(武宁路店)"/>
    <n v="5989.36"/>
  </r>
  <r>
    <x v="0"/>
    <s v="宝山店"/>
    <s v="上海"/>
    <s v="eleme"/>
    <s v="饿了么"/>
    <s v="蛙小辣·美蛙火锅杯麻辣烫(宝山店)"/>
    <n v="557.08000000000004"/>
  </r>
  <r>
    <x v="5"/>
    <s v="宝山店"/>
    <s v="上海"/>
    <s v="meituan"/>
    <s v="美团"/>
    <s v="蛙小辣火锅杯（宝山店）"/>
    <n v="841.7"/>
  </r>
  <r>
    <x v="6"/>
    <s v="拌客干拌麻辣烫(武宁路店)"/>
    <s v="上海"/>
    <s v="eleme"/>
    <s v="饿了么"/>
    <s v="拌客·干拌麻辣烫(武宁路店)"/>
    <n v="6057.96"/>
  </r>
  <r>
    <x v="0"/>
    <s v="宝山店"/>
    <s v="上海"/>
    <s v="eleme"/>
    <s v="饿了么"/>
    <s v="蛙小辣·美蛙火锅杯麻辣烫(宝山店)"/>
    <n v="822.57"/>
  </r>
  <r>
    <x v="5"/>
    <s v="宝山店"/>
    <s v="上海"/>
    <s v="meituan"/>
    <s v="美团"/>
    <s v="蛙小辣火锅杯（宝山店）"/>
    <n v="792.65"/>
  </r>
  <r>
    <x v="6"/>
    <s v="拌客干拌麻辣烫(武宁路店)"/>
    <s v="上海"/>
    <s v="eleme"/>
    <s v="饿了么"/>
    <s v="拌客·干拌麻辣烫(武宁路店)"/>
    <n v="3726.24"/>
  </r>
  <r>
    <x v="0"/>
    <s v="宝山店"/>
    <s v="上海"/>
    <s v="eleme"/>
    <s v="饿了么"/>
    <s v="蛙小辣·美蛙火锅杯麻辣烫(宝山店)"/>
    <n v="1444.26"/>
  </r>
  <r>
    <x v="5"/>
    <s v="宝山店"/>
    <s v="上海"/>
    <s v="meituan"/>
    <s v="美团"/>
    <s v="蛙小辣火锅杯（宝山店）"/>
    <n v="843.64"/>
  </r>
  <r>
    <x v="6"/>
    <s v="拌客干拌麻辣烫(武宁路店)"/>
    <s v="上海"/>
    <s v="eleme"/>
    <s v="饿了么"/>
    <s v="拌客·干拌麻辣烫(武宁路店)"/>
    <n v="3968.66"/>
  </r>
  <r>
    <x v="0"/>
    <s v="宝山店"/>
    <s v="上海"/>
    <s v="eleme"/>
    <s v="饿了么"/>
    <s v="蛙小辣·美蛙火锅杯麻辣烫(宝山店)"/>
    <n v="1230.6400000000001"/>
  </r>
  <r>
    <x v="5"/>
    <s v="宝山店"/>
    <s v="上海"/>
    <s v="meituan"/>
    <s v="美团"/>
    <s v="蛙小辣火锅杯（宝山店）"/>
    <n v="569.04"/>
  </r>
  <r>
    <x v="6"/>
    <s v="拌客干拌麻辣烫(武宁路店)"/>
    <s v="上海"/>
    <s v="eleme"/>
    <s v="饿了么"/>
    <s v="拌客·干拌麻辣烫(武宁路店)"/>
    <n v="5250.46"/>
  </r>
  <r>
    <x v="0"/>
    <s v="宝山店"/>
    <s v="上海"/>
    <s v="eleme"/>
    <s v="饿了么"/>
    <s v="蛙小辣·美蛙火锅杯麻辣烫(宝山店)"/>
    <n v="1641.73"/>
  </r>
  <r>
    <x v="5"/>
    <s v="宝山店"/>
    <s v="上海"/>
    <s v="meituan"/>
    <s v="美团"/>
    <s v="蛙小辣火锅杯（宝山店）"/>
    <n v="1067.8399999999999"/>
  </r>
  <r>
    <x v="6"/>
    <s v="拌客干拌麻辣烫(武宁路店)"/>
    <s v="上海"/>
    <s v="eleme"/>
    <s v="饿了么"/>
    <s v="拌客·干拌麻辣烫(武宁路店)"/>
    <n v="4908.66"/>
  </r>
  <r>
    <x v="0"/>
    <s v="宝山店"/>
    <s v="上海"/>
    <s v="eleme"/>
    <s v="饿了么"/>
    <s v="蛙小辣·美蛙火锅杯麻辣烫(宝山店)"/>
    <n v="1501.9"/>
  </r>
  <r>
    <x v="5"/>
    <s v="宝山店"/>
    <s v="上海"/>
    <s v="meituan"/>
    <s v="美团"/>
    <s v="蛙小辣火锅杯（宝山店）"/>
    <n v="856.82"/>
  </r>
  <r>
    <x v="6"/>
    <s v="拌客干拌麻辣烫(武宁路店)"/>
    <s v="上海"/>
    <s v="eleme"/>
    <s v="饿了么"/>
    <s v="拌客·干拌麻辣烫(武宁路店)"/>
    <n v="4302.28"/>
  </r>
  <r>
    <x v="0"/>
    <s v="宝山店"/>
    <s v="上海"/>
    <s v="eleme"/>
    <s v="饿了么"/>
    <s v="蛙小辣·美蛙火锅杯麻辣烫(宝山店)"/>
    <n v="619.76"/>
  </r>
  <r>
    <x v="5"/>
    <s v="宝山店"/>
    <s v="上海"/>
    <s v="meituan"/>
    <s v="美团"/>
    <s v="蛙小辣火锅杯（宝山店）"/>
    <n v="888.53"/>
  </r>
  <r>
    <x v="6"/>
    <s v="拌客干拌麻辣烫(武宁路店)"/>
    <s v="上海"/>
    <s v="eleme"/>
    <s v="饿了么"/>
    <s v="拌客·干拌麻辣烫(武宁路店)"/>
    <n v="4423.18"/>
  </r>
  <r>
    <x v="0"/>
    <s v="宝山店"/>
    <s v="上海"/>
    <s v="eleme"/>
    <s v="饿了么"/>
    <s v="蛙小辣·美蛙火锅杯麻辣烫(宝山店)"/>
    <n v="1034.82"/>
  </r>
  <r>
    <x v="5"/>
    <s v="宝山店"/>
    <s v="上海"/>
    <s v="meituan"/>
    <s v="美团"/>
    <s v="蛙小辣火锅杯（宝山店）"/>
    <n v="931.71"/>
  </r>
  <r>
    <x v="6"/>
    <s v="拌客干拌麻辣烫(武宁路店)"/>
    <s v="上海"/>
    <s v="eleme"/>
    <s v="饿了么"/>
    <s v="拌客·干拌麻辣烫(武宁路店)"/>
    <n v="3824.26"/>
  </r>
  <r>
    <x v="0"/>
    <s v="宝山店"/>
    <s v="上海"/>
    <s v="eleme"/>
    <s v="饿了么"/>
    <s v="蛙小辣·美蛙火锅杯麻辣烫(宝山店)"/>
    <n v="1168.8399999999999"/>
  </r>
  <r>
    <x v="5"/>
    <s v="宝山店"/>
    <s v="上海"/>
    <s v="meituan"/>
    <s v="美团"/>
    <s v="蛙小辣火锅杯（宝山店）"/>
    <n v="1008.28"/>
  </r>
  <r>
    <x v="6"/>
    <s v="拌客干拌麻辣烫(武宁路店)"/>
    <s v="上海"/>
    <s v="eleme"/>
    <s v="饿了么"/>
    <s v="拌客·干拌麻辣烫(武宁路店)"/>
    <n v="4943.76"/>
  </r>
  <r>
    <x v="0"/>
    <s v="宝山店"/>
    <s v="上海"/>
    <s v="eleme"/>
    <s v="饿了么"/>
    <s v="蛙小辣·美蛙火锅杯麻辣烫(宝山店)"/>
    <n v="1257.6099999999999"/>
  </r>
  <r>
    <x v="5"/>
    <s v="宝山店"/>
    <s v="上海"/>
    <s v="meituan"/>
    <s v="美团"/>
    <s v="蛙小辣火锅杯（宝山店）"/>
    <n v="1023.39"/>
  </r>
  <r>
    <x v="6"/>
    <s v="拌客干拌麻辣烫(武宁路店)"/>
    <s v="上海"/>
    <s v="eleme"/>
    <s v="饿了么"/>
    <s v="拌客·干拌麻辣烫(武宁路店)"/>
    <n v="3219.04"/>
  </r>
  <r>
    <x v="0"/>
    <s v="宝山店"/>
    <s v="上海"/>
    <s v="eleme"/>
    <s v="饿了么"/>
    <s v="蛙小辣·美蛙火锅杯麻辣烫(宝山店)"/>
    <n v="1066.54"/>
  </r>
  <r>
    <x v="5"/>
    <s v="宝山店"/>
    <s v="上海"/>
    <s v="meituan"/>
    <s v="美团"/>
    <s v="蛙小辣火锅杯（宝山店）"/>
    <n v="999.86"/>
  </r>
  <r>
    <x v="6"/>
    <s v="拌客干拌麻辣烫(武宁路店)"/>
    <s v="上海"/>
    <s v="eleme"/>
    <s v="饿了么"/>
    <s v="拌客·干拌麻辣烫(武宁路店)"/>
    <n v="2946.86"/>
  </r>
  <r>
    <x v="0"/>
    <s v="宝山店"/>
    <s v="上海"/>
    <s v="eleme"/>
    <s v="饿了么"/>
    <s v="蛙小辣·美蛙火锅杯麻辣烫(宝山店)"/>
    <n v="1034.2"/>
  </r>
  <r>
    <x v="5"/>
    <s v="宝山店"/>
    <s v="上海"/>
    <s v="meituan"/>
    <s v="美团"/>
    <s v="蛙小辣火锅杯（宝山店）"/>
    <n v="1144.82"/>
  </r>
  <r>
    <x v="6"/>
    <s v="拌客干拌麻辣烫(武宁路店)"/>
    <s v="上海"/>
    <s v="eleme"/>
    <s v="饿了么"/>
    <s v="拌客·干拌麻辣烫(武宁路店)"/>
    <n v="2690.46"/>
  </r>
  <r>
    <x v="0"/>
    <s v="宝山店"/>
    <s v="上海"/>
    <s v="eleme"/>
    <s v="饿了么"/>
    <s v="蛙小辣·美蛙火锅杯麻辣烫(宝山店)"/>
    <n v="927.85"/>
  </r>
  <r>
    <x v="5"/>
    <s v="宝山店"/>
    <s v="上海"/>
    <s v="meituan"/>
    <s v="美团"/>
    <s v="蛙小辣火锅杯（宝山店）"/>
    <n v="755.47"/>
  </r>
  <r>
    <x v="0"/>
    <s v="宝山店"/>
    <s v="上海"/>
    <s v="eleme"/>
    <s v="饿了么"/>
    <s v="蛙小辣·美蛙火锅杯麻辣烫(宝山店)"/>
    <n v="978.89"/>
  </r>
  <r>
    <x v="5"/>
    <s v="宝山店"/>
    <s v="上海"/>
    <s v="meituan"/>
    <s v="美团"/>
    <s v="蛙小辣火锅杯（宝山店）"/>
    <n v="1171.43"/>
  </r>
  <r>
    <x v="6"/>
    <s v="拌客干拌麻辣烫(武宁路店)"/>
    <s v="上海"/>
    <s v="eleme"/>
    <s v="饿了么"/>
    <s v="拌客·干拌麻辣烫(武宁路店)"/>
    <n v="3240.96"/>
  </r>
  <r>
    <x v="0"/>
    <s v="宝山店"/>
    <s v="上海"/>
    <s v="eleme"/>
    <s v="饿了么"/>
    <s v="蛙小辣·美蛙火锅杯麻辣烫(宝山店)"/>
    <n v="781.55"/>
  </r>
  <r>
    <x v="5"/>
    <s v="宝山店"/>
    <s v="上海"/>
    <s v="meituan"/>
    <s v="美团"/>
    <s v="蛙小辣火锅杯（宝山店）"/>
    <n v="742.2"/>
  </r>
  <r>
    <x v="6"/>
    <s v="拌客干拌麻辣烫(武宁路店)"/>
    <s v="上海"/>
    <s v="eleme"/>
    <s v="饿了么"/>
    <s v="拌客·干拌麻辣烫(武宁路店)"/>
    <n v="3378.12"/>
  </r>
  <r>
    <x v="7"/>
    <s v="拌客干拌麻辣烫(武宁路店)"/>
    <s v="上海"/>
    <s v="meituan"/>
    <s v="美团"/>
    <s v="拌客干拌麻辣烫（武宁路店）"/>
    <n v="4978.66"/>
  </r>
  <r>
    <x v="0"/>
    <s v="宝山店"/>
    <s v="上海"/>
    <s v="eleme"/>
    <s v="饿了么"/>
    <s v="蛙小辣·美蛙火锅杯麻辣烫(宝山店)"/>
    <n v="1230.72"/>
  </r>
  <r>
    <x v="5"/>
    <s v="宝山店"/>
    <s v="上海"/>
    <s v="meituan"/>
    <s v="美团"/>
    <s v="蛙小辣火锅杯（宝山店）"/>
    <n v="605.22"/>
  </r>
  <r>
    <x v="6"/>
    <s v="拌客干拌麻辣烫(武宁路店)"/>
    <s v="上海"/>
    <s v="eleme"/>
    <s v="饿了么"/>
    <s v="拌客·干拌麻辣烫(武宁路店)"/>
    <n v="3427.6"/>
  </r>
  <r>
    <x v="7"/>
    <s v="拌客干拌麻辣烫(武宁路店)"/>
    <s v="上海"/>
    <s v="meituan"/>
    <s v="美团"/>
    <s v="拌客干拌麻辣烫（武宁路店）"/>
    <n v="4772.74"/>
  </r>
  <r>
    <x v="0"/>
    <s v="宝山店"/>
    <s v="上海"/>
    <s v="eleme"/>
    <s v="饿了么"/>
    <s v="蛙小辣·美蛙火锅杯麻辣烫(宝山店)"/>
    <n v="960.69"/>
  </r>
  <r>
    <x v="5"/>
    <s v="宝山店"/>
    <s v="上海"/>
    <s v="meituan"/>
    <s v="美团"/>
    <s v="蛙小辣火锅杯（宝山店）"/>
    <n v="766.23"/>
  </r>
  <r>
    <x v="6"/>
    <s v="拌客干拌麻辣烫(武宁路店)"/>
    <s v="上海"/>
    <s v="eleme"/>
    <s v="饿了么"/>
    <s v="拌客·干拌麻辣烫(武宁路店)"/>
    <n v="2797.24"/>
  </r>
  <r>
    <x v="7"/>
    <s v="拌客干拌麻辣烫(武宁路店)"/>
    <s v="上海"/>
    <s v="meituan"/>
    <s v="美团"/>
    <s v="拌客干拌麻辣烫（武宁路店）"/>
    <n v="4644.68"/>
  </r>
  <r>
    <x v="0"/>
    <s v="宝山店"/>
    <s v="上海"/>
    <s v="eleme"/>
    <s v="饿了么"/>
    <s v="蛙小辣·美蛙火锅杯麻辣烫(宝山店)"/>
    <n v="1658.28"/>
  </r>
  <r>
    <x v="5"/>
    <s v="宝山店"/>
    <s v="上海"/>
    <s v="meituan"/>
    <s v="美团"/>
    <s v="蛙小辣火锅杯（宝山店）"/>
    <n v="813"/>
  </r>
  <r>
    <x v="6"/>
    <s v="拌客干拌麻辣烫(武宁路店)"/>
    <s v="上海"/>
    <s v="eleme"/>
    <s v="饿了么"/>
    <s v="拌客·干拌麻辣烫(武宁路店)"/>
    <n v="2584.6799999999998"/>
  </r>
  <r>
    <x v="7"/>
    <s v="拌客干拌麻辣烫(武宁路店)"/>
    <s v="上海"/>
    <s v="meituan"/>
    <s v="美团"/>
    <s v="拌客干拌麻辣烫（武宁路店）"/>
    <n v="3374.12"/>
  </r>
  <r>
    <x v="0"/>
    <s v="宝山店"/>
    <s v="上海"/>
    <s v="eleme"/>
    <s v="饿了么"/>
    <s v="蛙小辣·美蛙火锅杯麻辣烫(宝山店)"/>
    <n v="801.72"/>
  </r>
  <r>
    <x v="5"/>
    <s v="宝山店"/>
    <s v="上海"/>
    <s v="meituan"/>
    <s v="美团"/>
    <s v="蛙小辣火锅杯（宝山店）"/>
    <n v="802.14"/>
  </r>
  <r>
    <x v="6"/>
    <s v="拌客干拌麻辣烫(武宁路店)"/>
    <s v="上海"/>
    <s v="eleme"/>
    <s v="饿了么"/>
    <s v="拌客·干拌麻辣烫(武宁路店)"/>
    <n v="1839.2"/>
  </r>
  <r>
    <x v="7"/>
    <s v="拌客干拌麻辣烫(武宁路店)"/>
    <s v="上海"/>
    <s v="meituan"/>
    <s v="美团"/>
    <s v="拌客干拌麻辣烫（武宁路店）"/>
    <n v="2967.4"/>
  </r>
  <r>
    <x v="0"/>
    <s v="宝山店"/>
    <s v="上海"/>
    <s v="eleme"/>
    <s v="饿了么"/>
    <s v="蛙小辣·美蛙火锅杯麻辣烫(宝山店)"/>
    <n v="981.76"/>
  </r>
  <r>
    <x v="5"/>
    <s v="宝山店"/>
    <s v="上海"/>
    <s v="meituan"/>
    <s v="美团"/>
    <s v="蛙小辣火锅杯（宝山店）"/>
    <n v="1162.96"/>
  </r>
  <r>
    <x v="6"/>
    <s v="拌客干拌麻辣烫(武宁路店)"/>
    <s v="上海"/>
    <s v="eleme"/>
    <s v="饿了么"/>
    <s v="拌客·干拌麻辣烫(武宁路店)"/>
    <n v="2870.86"/>
  </r>
  <r>
    <x v="7"/>
    <s v="拌客干拌麻辣烫(武宁路店)"/>
    <s v="上海"/>
    <s v="meituan"/>
    <s v="美团"/>
    <s v="拌客干拌麻辣烫（武宁路店）"/>
    <n v="4035.58"/>
  </r>
  <r>
    <x v="0"/>
    <s v="宝山店"/>
    <s v="上海"/>
    <s v="eleme"/>
    <s v="饿了么"/>
    <s v="蛙小辣·美蛙火锅杯麻辣烫(宝山店)"/>
    <n v="865.98"/>
  </r>
  <r>
    <x v="5"/>
    <s v="宝山店"/>
    <s v="上海"/>
    <s v="meituan"/>
    <s v="美团"/>
    <s v="蛙小辣火锅杯（宝山店）"/>
    <n v="917.18"/>
  </r>
  <r>
    <x v="6"/>
    <s v="拌客干拌麻辣烫(武宁路店)"/>
    <s v="上海"/>
    <s v="eleme"/>
    <s v="饿了么"/>
    <s v="拌客·干拌麻辣烫(武宁路店)"/>
    <n v="3212.68"/>
  </r>
  <r>
    <x v="7"/>
    <s v="拌客干拌麻辣烫(武宁路店)"/>
    <s v="上海"/>
    <s v="meituan"/>
    <s v="美团"/>
    <s v="拌客干拌麻辣烫（武宁路店）"/>
    <n v="5440.48"/>
  </r>
  <r>
    <x v="0"/>
    <s v="宝山店"/>
    <s v="上海"/>
    <s v="eleme"/>
    <s v="饿了么"/>
    <s v="蛙小辣·美蛙火锅杯麻辣烫(宝山店)"/>
    <n v="710.3"/>
  </r>
  <r>
    <x v="5"/>
    <s v="宝山店"/>
    <s v="上海"/>
    <s v="meituan"/>
    <s v="美团"/>
    <s v="蛙小辣火锅杯（宝山店）"/>
    <n v="1075.7"/>
  </r>
  <r>
    <x v="6"/>
    <s v="拌客干拌麻辣烫(武宁路店)"/>
    <s v="上海"/>
    <s v="eleme"/>
    <s v="饿了么"/>
    <s v="拌客·干拌麻辣烫(武宁路店)"/>
    <n v="3539.82"/>
  </r>
  <r>
    <x v="7"/>
    <s v="拌客干拌麻辣烫(武宁路店)"/>
    <s v="上海"/>
    <s v="meituan"/>
    <s v="美团"/>
    <s v="拌客干拌麻辣烫（武宁路店）"/>
    <n v="7633.74"/>
  </r>
  <r>
    <x v="0"/>
    <s v="宝山店"/>
    <s v="上海"/>
    <s v="eleme"/>
    <s v="饿了么"/>
    <s v="蛙小辣·美蛙火锅杯麻辣烫(宝山店)"/>
    <n v="1208.0899999999999"/>
  </r>
  <r>
    <x v="5"/>
    <s v="宝山店"/>
    <s v="上海"/>
    <s v="meituan"/>
    <s v="美团"/>
    <s v="蛙小辣火锅杯（宝山店）"/>
    <n v="909.68"/>
  </r>
  <r>
    <x v="6"/>
    <s v="拌客干拌麻辣烫(武宁路店)"/>
    <s v="上海"/>
    <s v="eleme"/>
    <s v="饿了么"/>
    <s v="拌客·干拌麻辣烫(武宁路店)"/>
    <n v="3405.32"/>
  </r>
  <r>
    <x v="7"/>
    <s v="拌客干拌麻辣烫(武宁路店)"/>
    <s v="上海"/>
    <s v="meituan"/>
    <s v="美团"/>
    <s v="拌客干拌麻辣烫（武宁路店）"/>
    <n v="6502.66"/>
  </r>
  <r>
    <x v="0"/>
    <s v="宝山店"/>
    <s v="上海"/>
    <s v="eleme"/>
    <s v="饿了么"/>
    <s v="蛙小辣·美蛙火锅杯麻辣烫(宝山店)"/>
    <n v="1250.93"/>
  </r>
  <r>
    <x v="6"/>
    <s v="拌客干拌麻辣烫(武宁路店)"/>
    <s v="上海"/>
    <s v="eleme"/>
    <s v="饿了么"/>
    <s v="拌客·干拌麻辣烫(武宁路店)"/>
    <n v="3097.62"/>
  </r>
  <r>
    <x v="7"/>
    <s v="拌客干拌麻辣烫(武宁路店)"/>
    <s v="上海"/>
    <s v="meituan"/>
    <s v="美团"/>
    <s v="拌客干拌麻辣烫（武宁路店）"/>
    <n v="6540.56"/>
  </r>
  <r>
    <x v="0"/>
    <s v="宝山店"/>
    <s v="上海"/>
    <s v="eleme"/>
    <s v="饿了么"/>
    <s v="蛙小辣·美蛙火锅杯麻辣烫(宝山店)"/>
    <n v="1150.23"/>
  </r>
  <r>
    <x v="6"/>
    <s v="拌客干拌麻辣烫(武宁路店)"/>
    <s v="上海"/>
    <s v="eleme"/>
    <s v="饿了么"/>
    <s v="拌客·干拌麻辣烫(武宁路店)"/>
    <n v="2162.2199999999998"/>
  </r>
  <r>
    <x v="7"/>
    <s v="拌客干拌麻辣烫(武宁路店)"/>
    <s v="上海"/>
    <s v="meituan"/>
    <s v="美团"/>
    <s v="拌客干拌麻辣烫（武宁路店）"/>
    <n v="3945.32"/>
  </r>
  <r>
    <x v="0"/>
    <s v="宝山店"/>
    <s v="上海"/>
    <s v="eleme"/>
    <s v="饿了么"/>
    <s v="蛙小辣·美蛙火锅杯麻辣烫(宝山店)"/>
    <n v="1078.07"/>
  </r>
  <r>
    <x v="6"/>
    <s v="拌客干拌麻辣烫(武宁路店)"/>
    <s v="上海"/>
    <s v="eleme"/>
    <s v="饿了么"/>
    <s v="拌客·干拌麻辣烫(武宁路店)"/>
    <n v="1994.08"/>
  </r>
  <r>
    <x v="7"/>
    <s v="拌客干拌麻辣烫(武宁路店)"/>
    <s v="上海"/>
    <s v="meituan"/>
    <s v="美团"/>
    <s v="拌客干拌麻辣烫（武宁路店）"/>
    <n v="3775.28"/>
  </r>
  <r>
    <x v="0"/>
    <s v="宝山店"/>
    <s v="上海"/>
    <s v="eleme"/>
    <s v="饿了么"/>
    <s v="蛙小辣·美蛙火锅杯麻辣烫(宝山店)"/>
    <n v="311.94"/>
  </r>
  <r>
    <x v="6"/>
    <s v="拌客干拌麻辣烫(武宁路店)"/>
    <s v="上海"/>
    <s v="eleme"/>
    <s v="饿了么"/>
    <s v="拌客·干拌麻辣烫(武宁路店)"/>
    <n v="3771.52"/>
  </r>
  <r>
    <x v="7"/>
    <s v="拌客干拌麻辣烫(武宁路店)"/>
    <s v="上海"/>
    <s v="meituan"/>
    <s v="美团"/>
    <s v="拌客干拌麻辣烫（武宁路店）"/>
    <n v="5450.54"/>
  </r>
  <r>
    <x v="6"/>
    <s v="拌客干拌麻辣烫(武宁路店)"/>
    <s v="上海"/>
    <s v="eleme"/>
    <s v="饿了么"/>
    <s v="拌客·干拌麻辣烫(武宁路店)"/>
    <n v="3173.74"/>
  </r>
  <r>
    <x v="7"/>
    <s v="拌客干拌麻辣烫(武宁路店)"/>
    <s v="上海"/>
    <s v="meituan"/>
    <s v="美团"/>
    <s v="拌客干拌麻辣烫（武宁路店）"/>
    <n v="4533.6000000000004"/>
  </r>
  <r>
    <x v="0"/>
    <s v="宝山店"/>
    <s v="上海"/>
    <s v="eleme"/>
    <s v="饿了么"/>
    <s v="蛙小辣·美蛙火锅杯麻辣烫(宝山店)"/>
    <n v="906.2"/>
  </r>
  <r>
    <x v="6"/>
    <s v="拌客干拌麻辣烫(武宁路店)"/>
    <s v="上海"/>
    <s v="eleme"/>
    <s v="饿了么"/>
    <s v="拌客·干拌麻辣烫(武宁路店)"/>
    <n v="3558.84"/>
  </r>
  <r>
    <x v="7"/>
    <s v="拌客干拌麻辣烫(武宁路店)"/>
    <s v="上海"/>
    <s v="meituan"/>
    <s v="美团"/>
    <s v="拌客干拌麻辣烫（武宁路店）"/>
    <n v="5140.9799999999996"/>
  </r>
  <r>
    <x v="0"/>
    <s v="宝山店"/>
    <s v="上海"/>
    <s v="eleme"/>
    <s v="饿了么"/>
    <s v="蛙小辣·美蛙火锅杯麻辣烫(宝山店)"/>
    <n v="1185.92"/>
  </r>
  <r>
    <x v="5"/>
    <s v="宝山店"/>
    <s v="上海"/>
    <s v="meituan"/>
    <s v="美团"/>
    <s v="蛙小辣火锅杯（宝山店）"/>
    <n v="863.77"/>
  </r>
  <r>
    <x v="6"/>
    <s v="拌客干拌麻辣烫(武宁路店)"/>
    <s v="上海"/>
    <s v="eleme"/>
    <s v="饿了么"/>
    <s v="拌客·干拌麻辣烫(武宁路店)"/>
    <n v="2769.7"/>
  </r>
  <r>
    <x v="7"/>
    <s v="拌客干拌麻辣烫(武宁路店)"/>
    <s v="上海"/>
    <s v="meituan"/>
    <s v="美团"/>
    <s v="拌客干拌麻辣烫（武宁路店）"/>
    <n v="5289.66"/>
  </r>
  <r>
    <x v="0"/>
    <s v="宝山店"/>
    <s v="上海"/>
    <s v="eleme"/>
    <s v="饿了么"/>
    <s v="蛙小辣·美蛙火锅杯麻辣烫(宝山店)"/>
    <n v="1240.07"/>
  </r>
  <r>
    <x v="5"/>
    <s v="宝山店"/>
    <s v="上海"/>
    <s v="meituan"/>
    <s v="美团"/>
    <s v="蛙小辣火锅杯（宝山店）"/>
    <n v="1345.44"/>
  </r>
  <r>
    <x v="6"/>
    <s v="拌客干拌麻辣烫(武宁路店)"/>
    <s v="上海"/>
    <s v="eleme"/>
    <s v="饿了么"/>
    <s v="拌客·干拌麻辣烫(武宁路店)"/>
    <n v="2791.1"/>
  </r>
  <r>
    <x v="7"/>
    <s v="拌客干拌麻辣烫(武宁路店)"/>
    <s v="上海"/>
    <s v="meituan"/>
    <s v="美团"/>
    <s v="拌客干拌麻辣烫（武宁路店）"/>
    <n v="5455.66"/>
  </r>
  <r>
    <x v="0"/>
    <s v="宝山店"/>
    <s v="上海"/>
    <s v="eleme"/>
    <s v="饿了么"/>
    <s v="蛙小辣·美蛙火锅杯麻辣烫(宝山店)"/>
    <n v="1522.05"/>
  </r>
  <r>
    <x v="5"/>
    <s v="宝山店"/>
    <s v="上海"/>
    <s v="meituan"/>
    <s v="美团"/>
    <s v="蛙小辣火锅杯（宝山店）"/>
    <n v="1139.06"/>
  </r>
  <r>
    <x v="6"/>
    <s v="拌客干拌麻辣烫(武宁路店)"/>
    <s v="上海"/>
    <s v="eleme"/>
    <s v="饿了么"/>
    <s v="拌客·干拌麻辣烫(武宁路店)"/>
    <n v="2446"/>
  </r>
  <r>
    <x v="5"/>
    <s v="宝山店"/>
    <s v="上海"/>
    <s v="meituan"/>
    <s v="美团"/>
    <s v="蛙小辣火锅杯（宝山店）"/>
    <n v="1491.77"/>
  </r>
  <r>
    <x v="6"/>
    <s v="拌客干拌麻辣烫(武宁路店)"/>
    <s v="上海"/>
    <s v="eleme"/>
    <s v="饿了么"/>
    <s v="拌客·干拌麻辣烫(武宁路店)"/>
    <n v="3059.28"/>
  </r>
  <r>
    <x v="7"/>
    <s v="拌客干拌麻辣烫(武宁路店)"/>
    <s v="上海"/>
    <s v="meituan"/>
    <s v="美团"/>
    <s v="拌客干拌麻辣烫（武宁路店）"/>
    <n v="3700.24"/>
  </r>
  <r>
    <x v="5"/>
    <s v="宝山店"/>
    <s v="上海"/>
    <s v="meituan"/>
    <s v="美团"/>
    <s v="蛙小辣火锅杯（宝山店）"/>
    <n v="1204.4100000000001"/>
  </r>
  <r>
    <x v="6"/>
    <s v="拌客干拌麻辣烫(武宁路店)"/>
    <s v="上海"/>
    <s v="eleme"/>
    <s v="饿了么"/>
    <s v="拌客·干拌麻辣烫(武宁路店)"/>
    <n v="2848.94"/>
  </r>
  <r>
    <x v="7"/>
    <s v="拌客干拌麻辣烫(武宁路店)"/>
    <s v="上海"/>
    <s v="meituan"/>
    <s v="美团"/>
    <s v="拌客干拌麻辣烫（武宁路店）"/>
    <n v="4271.26"/>
  </r>
  <r>
    <x v="5"/>
    <s v="宝山店"/>
    <s v="上海"/>
    <s v="meituan"/>
    <s v="美团"/>
    <s v="蛙小辣火锅杯（宝山店）"/>
    <n v="1416.77"/>
  </r>
  <r>
    <x v="6"/>
    <s v="拌客干拌麻辣烫(武宁路店)"/>
    <s v="上海"/>
    <s v="eleme"/>
    <s v="饿了么"/>
    <s v="拌客·干拌麻辣烫(武宁路店)"/>
    <n v="4116.74"/>
  </r>
  <r>
    <x v="7"/>
    <s v="拌客干拌麻辣烫(武宁路店)"/>
    <s v="上海"/>
    <s v="meituan"/>
    <s v="美团"/>
    <s v="拌客干拌麻辣烫（武宁路店）"/>
    <n v="3338.34"/>
  </r>
  <r>
    <x v="0"/>
    <s v="宝山店"/>
    <s v="上海"/>
    <s v="eleme"/>
    <s v="饿了么"/>
    <s v="蛙小辣·美蛙火锅杯麻辣烫(宝山店)"/>
    <n v="920.29"/>
  </r>
  <r>
    <x v="5"/>
    <s v="宝山店"/>
    <s v="上海"/>
    <s v="meituan"/>
    <s v="美团"/>
    <s v="蛙小辣火锅杯（宝山店）"/>
    <n v="1466.39"/>
  </r>
  <r>
    <x v="6"/>
    <s v="拌客干拌麻辣烫(武宁路店)"/>
    <s v="上海"/>
    <s v="eleme"/>
    <s v="饿了么"/>
    <s v="拌客·干拌麻辣烫(武宁路店)"/>
    <n v="3094.72"/>
  </r>
  <r>
    <x v="7"/>
    <s v="拌客干拌麻辣烫(武宁路店)"/>
    <s v="上海"/>
    <s v="meituan"/>
    <s v="美团"/>
    <s v="拌客干拌麻辣烫（武宁路店）"/>
    <n v="3300.02"/>
  </r>
  <r>
    <x v="0"/>
    <s v="宝山店"/>
    <s v="上海"/>
    <s v="eleme"/>
    <s v="饿了么"/>
    <s v="蛙小辣·美蛙火锅杯麻辣烫(宝山店)"/>
    <n v="1024.71"/>
  </r>
  <r>
    <x v="5"/>
    <s v="宝山店"/>
    <s v="上海"/>
    <s v="meituan"/>
    <s v="美团"/>
    <s v="蛙小辣火锅杯（宝山店）"/>
    <n v="789.09"/>
  </r>
  <r>
    <x v="6"/>
    <s v="拌客干拌麻辣烫(武宁路店)"/>
    <s v="上海"/>
    <s v="eleme"/>
    <s v="饿了么"/>
    <s v="拌客·干拌麻辣烫(武宁路店)"/>
    <n v="3651.06"/>
  </r>
  <r>
    <x v="7"/>
    <s v="拌客干拌麻辣烫(武宁路店)"/>
    <s v="上海"/>
    <s v="meituan"/>
    <s v="美团"/>
    <s v="拌客干拌麻辣烫（武宁路店）"/>
    <n v="3402.26"/>
  </r>
  <r>
    <x v="0"/>
    <s v="宝山店"/>
    <s v="上海"/>
    <s v="eleme"/>
    <s v="饿了么"/>
    <s v="蛙小辣·美蛙火锅杯麻辣烫(宝山店)"/>
    <n v="1244.1300000000001"/>
  </r>
  <r>
    <x v="5"/>
    <s v="宝山店"/>
    <s v="上海"/>
    <s v="meituan"/>
    <s v="美团"/>
    <s v="蛙小辣火锅杯（宝山店）"/>
    <n v="1163.7"/>
  </r>
  <r>
    <x v="6"/>
    <s v="拌客干拌麻辣烫(武宁路店)"/>
    <s v="上海"/>
    <s v="eleme"/>
    <s v="饿了么"/>
    <s v="拌客·干拌麻辣烫(武宁路店)"/>
    <n v="3744.96"/>
  </r>
  <r>
    <x v="7"/>
    <s v="拌客干拌麻辣烫(武宁路店)"/>
    <s v="上海"/>
    <s v="meituan"/>
    <s v="美团"/>
    <s v="拌客干拌麻辣烫（武宁路店）"/>
    <n v="3920.22"/>
  </r>
  <r>
    <x v="0"/>
    <s v="宝山店"/>
    <s v="上海"/>
    <s v="eleme"/>
    <s v="饿了么"/>
    <s v="蛙小辣·美蛙火锅杯麻辣烫(宝山店)"/>
    <n v="1177.3599999999999"/>
  </r>
  <r>
    <x v="5"/>
    <s v="宝山店"/>
    <s v="上海"/>
    <s v="meituan"/>
    <s v="美团"/>
    <s v="蛙小辣火锅杯（宝山店）"/>
    <n v="1853.47"/>
  </r>
  <r>
    <x v="6"/>
    <s v="拌客干拌麻辣烫(武宁路店)"/>
    <s v="上海"/>
    <s v="eleme"/>
    <s v="饿了么"/>
    <s v="拌客·干拌麻辣烫(武宁路店)"/>
    <n v="3093.24"/>
  </r>
  <r>
    <x v="7"/>
    <s v="拌客干拌麻辣烫(武宁路店)"/>
    <s v="上海"/>
    <s v="meituan"/>
    <s v="美团"/>
    <s v="拌客干拌麻辣烫（武宁路店）"/>
    <n v="2346.3000000000002"/>
  </r>
  <r>
    <x v="0"/>
    <s v="宝山店"/>
    <s v="上海"/>
    <s v="eleme"/>
    <s v="饿了么"/>
    <s v="蛙小辣·美蛙火锅杯麻辣烫(宝山店)"/>
    <n v="1231.55"/>
  </r>
  <r>
    <x v="5"/>
    <s v="宝山店"/>
    <s v="上海"/>
    <s v="meituan"/>
    <s v="美团"/>
    <s v="蛙小辣火锅杯（宝山店）"/>
    <n v="1040.8"/>
  </r>
  <r>
    <x v="6"/>
    <s v="拌客干拌麻辣烫(武宁路店)"/>
    <s v="上海"/>
    <s v="eleme"/>
    <s v="饿了么"/>
    <s v="拌客·干拌麻辣烫(武宁路店)"/>
    <n v="2989.62"/>
  </r>
  <r>
    <x v="7"/>
    <s v="拌客干拌麻辣烫(武宁路店)"/>
    <s v="上海"/>
    <s v="meituan"/>
    <s v="美团"/>
    <s v="拌客干拌麻辣烫（武宁路店）"/>
    <n v="2934.5"/>
  </r>
  <r>
    <x v="0"/>
    <s v="宝山店"/>
    <s v="上海"/>
    <s v="eleme"/>
    <s v="饿了么"/>
    <s v="蛙小辣·美蛙火锅杯麻辣烫(宝山店)"/>
    <n v="955.18"/>
  </r>
  <r>
    <x v="5"/>
    <s v="宝山店"/>
    <s v="上海"/>
    <s v="meituan"/>
    <s v="美团"/>
    <s v="蛙小辣火锅杯（宝山店）"/>
    <n v="1136.29"/>
  </r>
  <r>
    <x v="6"/>
    <s v="拌客干拌麻辣烫(武宁路店)"/>
    <s v="上海"/>
    <s v="eleme"/>
    <s v="饿了么"/>
    <s v="拌客·干拌麻辣烫(武宁路店)"/>
    <n v="3067.38"/>
  </r>
  <r>
    <x v="7"/>
    <s v="拌客干拌麻辣烫(武宁路店)"/>
    <s v="上海"/>
    <s v="meituan"/>
    <s v="美团"/>
    <s v="拌客干拌麻辣烫（武宁路店）"/>
    <n v="2312.94"/>
  </r>
  <r>
    <x v="0"/>
    <s v="宝山店"/>
    <s v="上海"/>
    <s v="eleme"/>
    <s v="饿了么"/>
    <s v="蛙小辣·美蛙火锅杯麻辣烫(宝山店)"/>
    <n v="1022.11"/>
  </r>
  <r>
    <x v="5"/>
    <s v="宝山店"/>
    <s v="上海"/>
    <s v="meituan"/>
    <s v="美团"/>
    <s v="蛙小辣火锅杯（宝山店）"/>
    <n v="1083.77"/>
  </r>
  <r>
    <x v="0"/>
    <s v="宝山店"/>
    <s v="上海"/>
    <s v="eleme"/>
    <s v="饿了么"/>
    <s v="蛙小辣·美蛙火锅杯麻辣烫(宝山店)"/>
    <n v="1167.6600000000001"/>
  </r>
  <r>
    <x v="5"/>
    <s v="宝山店"/>
    <s v="上海"/>
    <s v="meituan"/>
    <s v="美团"/>
    <s v="蛙小辣火锅杯（宝山店）"/>
    <n v="1617"/>
  </r>
  <r>
    <x v="0"/>
    <s v="宝山店"/>
    <s v="上海"/>
    <s v="eleme"/>
    <s v="饿了么"/>
    <s v="蛙小辣·美蛙火锅杯麻辣烫(宝山店)"/>
    <n v="877.66"/>
  </r>
  <r>
    <x v="5"/>
    <s v="宝山店"/>
    <s v="上海"/>
    <s v="meituan"/>
    <s v="美团"/>
    <s v="蛙小辣火锅杯（宝山店）"/>
    <n v="1817.37"/>
  </r>
  <r>
    <x v="0"/>
    <s v="宝山店"/>
    <s v="上海"/>
    <s v="eleme"/>
    <s v="饿了么"/>
    <s v="蛙小辣·美蛙火锅杯麻辣烫(宝山店)"/>
    <n v="963.34"/>
  </r>
  <r>
    <x v="5"/>
    <s v="宝山店"/>
    <s v="上海"/>
    <s v="meituan"/>
    <s v="美团"/>
    <s v="蛙小辣火锅杯（宝山店）"/>
    <n v="1105.81"/>
  </r>
  <r>
    <x v="0"/>
    <s v="宝山店"/>
    <s v="上海"/>
    <s v="eleme"/>
    <s v="饿了么"/>
    <s v="蛙小辣·美蛙火锅杯麻辣烫(宝山店)"/>
    <n v="1459.53"/>
  </r>
  <r>
    <x v="5"/>
    <s v="宝山店"/>
    <s v="上海"/>
    <s v="meituan"/>
    <s v="美团"/>
    <s v="蛙小辣火锅杯（宝山店）"/>
    <n v="1145.82"/>
  </r>
  <r>
    <x v="0"/>
    <s v="宝山店"/>
    <s v="上海"/>
    <s v="eleme"/>
    <s v="饿了么"/>
    <s v="蛙小辣·美蛙火锅杯麻辣烫(宝山店)"/>
    <n v="532.48"/>
  </r>
  <r>
    <x v="5"/>
    <s v="宝山店"/>
    <s v="上海"/>
    <s v="meituan"/>
    <s v="美团"/>
    <s v="蛙小辣火锅杯（宝山店）"/>
    <n v="841.93"/>
  </r>
  <r>
    <x v="0"/>
    <s v="宝山店"/>
    <s v="上海"/>
    <s v="eleme"/>
    <s v="饿了么"/>
    <s v="蛙小辣·美蛙火锅杯麻辣烫(宝山店)"/>
    <n v="769.03"/>
  </r>
  <r>
    <x v="5"/>
    <s v="宝山店"/>
    <s v="上海"/>
    <s v="meituan"/>
    <s v="美团"/>
    <s v="蛙小辣火锅杯（宝山店）"/>
    <n v="1461.14"/>
  </r>
  <r>
    <x v="0"/>
    <s v="宝山店"/>
    <s v="上海"/>
    <s v="eleme"/>
    <s v="饿了么"/>
    <s v="蛙小辣·美蛙火锅杯麻辣烫(宝山店)"/>
    <n v="695.55"/>
  </r>
  <r>
    <x v="5"/>
    <s v="宝山店"/>
    <s v="上海"/>
    <s v="meituan"/>
    <s v="美团"/>
    <s v="蛙小辣火锅杯（宝山店）"/>
    <n v="1538.37"/>
  </r>
  <r>
    <x v="0"/>
    <s v="宝山店"/>
    <s v="上海"/>
    <s v="eleme"/>
    <s v="饿了么"/>
    <s v="蛙小辣·美蛙火锅杯麻辣烫(宝山店)"/>
    <n v="1107.25"/>
  </r>
  <r>
    <x v="5"/>
    <s v="宝山店"/>
    <s v="上海"/>
    <s v="meituan"/>
    <s v="美团"/>
    <s v="蛙小辣火锅杯（宝山店）"/>
    <n v="1252.93"/>
  </r>
  <r>
    <x v="0"/>
    <s v="宝山店"/>
    <s v="上海"/>
    <s v="eleme"/>
    <s v="饿了么"/>
    <s v="蛙小辣·美蛙火锅杯麻辣烫(宝山店)"/>
    <n v="875.68"/>
  </r>
  <r>
    <x v="5"/>
    <s v="宝山店"/>
    <s v="上海"/>
    <s v="meituan"/>
    <s v="美团"/>
    <s v="蛙小辣火锅杯（宝山店）"/>
    <n v="911.86"/>
  </r>
  <r>
    <x v="0"/>
    <s v="宝山店"/>
    <s v="上海"/>
    <s v="eleme"/>
    <s v="饿了么"/>
    <s v="蛙小辣·美蛙火锅杯麻辣烫(宝山店)"/>
    <n v="760.49"/>
  </r>
  <r>
    <x v="5"/>
    <s v="宝山店"/>
    <s v="上海"/>
    <s v="meituan"/>
    <s v="美团"/>
    <s v="蛙小辣火锅杯（宝山店）"/>
    <n v="1054.44"/>
  </r>
  <r>
    <x v="0"/>
    <s v="宝山店"/>
    <s v="上海"/>
    <s v="eleme"/>
    <s v="饿了么"/>
    <s v="蛙小辣·美蛙火锅杯麻辣烫(宝山店)"/>
    <n v="1210.5999999999999"/>
  </r>
  <r>
    <x v="5"/>
    <s v="宝山店"/>
    <s v="上海"/>
    <s v="meituan"/>
    <s v="美团"/>
    <s v="蛙小辣火锅杯（宝山店）"/>
    <n v="1011.71"/>
  </r>
  <r>
    <x v="0"/>
    <s v="宝山店"/>
    <s v="上海"/>
    <s v="eleme"/>
    <s v="饿了么"/>
    <s v="蛙小辣·美蛙火锅杯麻辣烫(宝山店)"/>
    <n v="1389.29"/>
  </r>
  <r>
    <x v="5"/>
    <s v="宝山店"/>
    <s v="上海"/>
    <s v="meituan"/>
    <s v="美团"/>
    <s v="蛙小辣火锅杯（宝山店）"/>
    <n v="1139.3499999999999"/>
  </r>
  <r>
    <x v="0"/>
    <s v="宝山店"/>
    <s v="上海"/>
    <s v="eleme"/>
    <s v="饿了么"/>
    <s v="蛙小辣·美蛙火锅杯麻辣烫(宝山店)"/>
    <n v="886"/>
  </r>
  <r>
    <x v="5"/>
    <s v="宝山店"/>
    <s v="上海"/>
    <s v="meituan"/>
    <s v="美团"/>
    <s v="蛙小辣火锅杯（宝山店）"/>
    <n v="1164.02"/>
  </r>
  <r>
    <x v="0"/>
    <s v="宝山店"/>
    <s v="上海"/>
    <s v="eleme"/>
    <s v="饿了么"/>
    <s v="蛙小辣·美蛙火锅杯麻辣烫(宝山店)"/>
    <n v="1116.4000000000001"/>
  </r>
  <r>
    <x v="5"/>
    <s v="宝山店"/>
    <s v="上海"/>
    <s v="meituan"/>
    <s v="美团"/>
    <s v="蛙小辣火锅杯（宝山店）"/>
    <n v="979.64"/>
  </r>
  <r>
    <x v="0"/>
    <s v="宝山店"/>
    <s v="上海"/>
    <s v="eleme"/>
    <s v="饿了么"/>
    <s v="蛙小辣·美蛙火锅杯麻辣烫(宝山店)"/>
    <n v="954.76"/>
  </r>
  <r>
    <x v="5"/>
    <s v="宝山店"/>
    <s v="上海"/>
    <s v="meituan"/>
    <s v="美团"/>
    <s v="蛙小辣火锅杯（宝山店）"/>
    <n v="923.86"/>
  </r>
  <r>
    <x v="0"/>
    <s v="宝山店"/>
    <s v="上海"/>
    <s v="eleme"/>
    <s v="饿了么"/>
    <s v="蛙小辣·美蛙火锅杯麻辣烫(宝山店)"/>
    <n v="1515.71"/>
  </r>
  <r>
    <x v="5"/>
    <s v="宝山店"/>
    <s v="上海"/>
    <s v="meituan"/>
    <s v="美团"/>
    <s v="蛙小辣火锅杯（宝山店）"/>
    <n v="1072.98"/>
  </r>
  <r>
    <x v="0"/>
    <s v="宝山店"/>
    <s v="上海"/>
    <s v="eleme"/>
    <s v="饿了么"/>
    <s v="蛙小辣·美蛙火锅杯麻辣烫(宝山店)"/>
    <n v="881.23"/>
  </r>
  <r>
    <x v="5"/>
    <s v="宝山店"/>
    <s v="上海"/>
    <s v="meituan"/>
    <s v="美团"/>
    <s v="蛙小辣火锅杯（宝山店）"/>
    <n v="976.94"/>
  </r>
  <r>
    <x v="0"/>
    <s v="宝山店"/>
    <s v="上海"/>
    <s v="eleme"/>
    <s v="饿了么"/>
    <s v="蛙小辣·美蛙火锅杯麻辣烫(宝山店)"/>
    <n v="707.68"/>
  </r>
  <r>
    <x v="5"/>
    <s v="宝山店"/>
    <s v="上海"/>
    <s v="meituan"/>
    <s v="美团"/>
    <s v="蛙小辣火锅杯（宝山店）"/>
    <n v="1411.11"/>
  </r>
  <r>
    <x v="0"/>
    <s v="宝山店"/>
    <s v="上海"/>
    <s v="eleme"/>
    <s v="饿了么"/>
    <s v="蛙小辣·美蛙火锅杯麻辣烫(宝山店)"/>
    <n v="720.95"/>
  </r>
  <r>
    <x v="5"/>
    <s v="宝山店"/>
    <s v="上海"/>
    <s v="meituan"/>
    <s v="美团"/>
    <s v="蛙小辣火锅杯（宝山店）"/>
    <n v="1219.2"/>
  </r>
  <r>
    <x v="0"/>
    <s v="宝山店"/>
    <s v="上海"/>
    <s v="eleme"/>
    <s v="饿了么"/>
    <s v="蛙小辣·美蛙火锅杯麻辣烫(宝山店)"/>
    <n v="661.55"/>
  </r>
  <r>
    <x v="5"/>
    <s v="宝山店"/>
    <s v="上海"/>
    <s v="meituan"/>
    <s v="美团"/>
    <s v="蛙小辣火锅杯（宝山店）"/>
    <n v="1094.55"/>
  </r>
  <r>
    <x v="0"/>
    <s v="宝山店"/>
    <s v="上海"/>
    <s v="eleme"/>
    <s v="饿了么"/>
    <s v="蛙小辣·美蛙火锅杯麻辣烫(宝山店)"/>
    <n v="622.86"/>
  </r>
  <r>
    <x v="5"/>
    <s v="宝山店"/>
    <s v="上海"/>
    <s v="meituan"/>
    <s v="美团"/>
    <s v="蛙小辣火锅杯（宝山店）"/>
    <n v="1093.42"/>
  </r>
  <r>
    <x v="0"/>
    <s v="宝山店"/>
    <s v="上海"/>
    <s v="eleme"/>
    <s v="饿了么"/>
    <s v="蛙小辣·美蛙火锅杯麻辣烫(宝山店)"/>
    <n v="710.52"/>
  </r>
  <r>
    <x v="5"/>
    <s v="宝山店"/>
    <s v="上海"/>
    <s v="meituan"/>
    <s v="美团"/>
    <s v="蛙小辣火锅杯（宝山店）"/>
    <n v="1003.88"/>
  </r>
  <r>
    <x v="5"/>
    <s v="宝山店"/>
    <s v="上海"/>
    <s v="meituan"/>
    <s v="美团"/>
    <s v="蛙小辣火锅杯（宝山店）"/>
    <n v="771.47"/>
  </r>
  <r>
    <x v="0"/>
    <s v="宝山店"/>
    <s v="上海"/>
    <s v="eleme"/>
    <s v="饿了么"/>
    <s v="蛙小辣·美蛙火锅杯麻辣烫(宝山店)"/>
    <n v="1199.8"/>
  </r>
  <r>
    <x v="5"/>
    <s v="宝山店"/>
    <s v="上海"/>
    <s v="meituan"/>
    <s v="美团"/>
    <s v="蛙小辣火锅杯（宝山店）"/>
    <n v="1036.1500000000001"/>
  </r>
  <r>
    <x v="0"/>
    <s v="宝山店"/>
    <s v="上海"/>
    <s v="eleme"/>
    <s v="饿了么"/>
    <s v="蛙小辣·美蛙火锅杯麻辣烫(宝山店)"/>
    <n v="2058.86"/>
  </r>
  <r>
    <x v="5"/>
    <s v="宝山店"/>
    <s v="上海"/>
    <s v="meituan"/>
    <s v="美团"/>
    <s v="蛙小辣火锅杯（宝山店）"/>
    <n v="1343.79"/>
  </r>
  <r>
    <x v="0"/>
    <s v="宝山店"/>
    <s v="上海"/>
    <s v="eleme"/>
    <s v="饿了么"/>
    <s v="蛙小辣·美蛙火锅杯麻辣烫(宝山店)"/>
    <n v="946.64"/>
  </r>
  <r>
    <x v="5"/>
    <s v="宝山店"/>
    <s v="上海"/>
    <s v="meituan"/>
    <s v="美团"/>
    <s v="蛙小辣火锅杯（宝山店）"/>
    <n v="1297.9000000000001"/>
  </r>
  <r>
    <x v="0"/>
    <s v="宝山店"/>
    <s v="上海"/>
    <s v="eleme"/>
    <s v="饿了么"/>
    <s v="蛙小辣·美蛙火锅杯麻辣烫(宝山店)"/>
    <n v="768.83"/>
  </r>
  <r>
    <x v="5"/>
    <s v="宝山店"/>
    <s v="上海"/>
    <s v="meituan"/>
    <s v="美团"/>
    <s v="蛙小辣火锅杯（宝山店）"/>
    <n v="660.37"/>
  </r>
  <r>
    <x v="0"/>
    <s v="宝山店"/>
    <s v="上海"/>
    <s v="eleme"/>
    <s v="饿了么"/>
    <s v="蛙小辣·美蛙火锅杯麻辣烫(宝山店)"/>
    <n v="805.97"/>
  </r>
  <r>
    <x v="5"/>
    <s v="宝山店"/>
    <s v="上海"/>
    <s v="meituan"/>
    <s v="美团"/>
    <s v="蛙小辣火锅杯（宝山店）"/>
    <n v="857.91"/>
  </r>
  <r>
    <x v="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1CDE4-B311-4D50-8798-0B5B51011FBC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3:D9" firstHeaderRow="0" firstDataRow="1" firstDataCol="1" rowPageCount="1" colPageCount="1"/>
  <pivotFields count="31">
    <pivotField numFmtId="14" showAll="0"/>
    <pivotField showAll="0"/>
    <pivotField showAll="0"/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>
      <items count="2">
        <item x="0"/>
        <item t="default"/>
      </items>
    </pivotField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GMV_sum" fld="9" baseField="4" baseItem="0"/>
    <dataField name="求和项:访问转化率" fld="30" baseField="0" baseItem="0"/>
    <dataField name="求和项:商家实收" fld="1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DB482-D9BB-4BEE-BD84-EB06BAD503B4}" name="数据透视表4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A3:C8" firstHeaderRow="0" firstDataRow="1" firstDataCol="1" rowPageCount="1" colPageCount="1"/>
  <pivotFields count="31"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722BD-6E1B-4400-ADF8-D6CE78BAF546}" name="数据透视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O109:P118" firstHeaderRow="1" firstDataRow="1" firstDataCol="1"/>
  <pivotFields count="31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2E8CC-4E00-4C96-80BC-7C1EF50B1679}" name="数据透视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W95:X105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1"/>
    <field x="0"/>
  </rowFields>
  <rowItems count="10">
    <i>
      <x/>
    </i>
    <i r="1">
      <x/>
    </i>
    <i r="1">
      <x v="1"/>
    </i>
    <i r="1">
      <x v="2"/>
    </i>
    <i>
      <x v="1"/>
    </i>
    <i r="1">
      <x/>
    </i>
    <i r="1">
      <x v="3"/>
    </i>
    <i>
      <x v="2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2AE5A-679A-44BF-8A10-D6830F046F5C}" name="数据透视表4" cacheId="1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O106:P116" firstHeaderRow="1" firstDataRow="1" firstDataCol="1"/>
  <pivotFields count="7">
    <pivotField axis="axisRow" showAll="0">
      <items count="10">
        <item x="3"/>
        <item x="0"/>
        <item x="2"/>
        <item x="6"/>
        <item x="4"/>
        <item x="1"/>
        <item x="5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求和项:GMV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77411-8426-4D94-85FE-CD9F99E04A43}" name="数据透视表2" cacheId="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S105:T116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1"/>
  </rowFields>
  <rowItems count="11">
    <i>
      <x/>
    </i>
    <i r="1">
      <x/>
    </i>
    <i r="1">
      <x v="1"/>
    </i>
    <i>
      <x v="1"/>
    </i>
    <i r="1">
      <x/>
    </i>
    <i r="1">
      <x v="2"/>
    </i>
    <i>
      <x v="2"/>
    </i>
    <i r="1">
      <x/>
    </i>
    <i>
      <x v="3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1" xr10:uid="{8AE37B48-7984-4349-A40C-762316465CEF}" sourceName="平台i">
  <pivotTables>
    <pivotTable tabId="28" name="数据透视表4"/>
  </pivotTables>
  <data>
    <tabular pivotCacheId="1807577818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 1" xr10:uid="{A1B746F4-38E7-4AA1-9212-AC550AB1AE79}" cache="切片器_平台i1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F85A-E04D-4A98-B75F-E8183DC14F8F}">
  <dimension ref="A1:D9"/>
  <sheetViews>
    <sheetView workbookViewId="0">
      <selection activeCell="C4" sqref="C4"/>
    </sheetView>
    <sheetView workbookViewId="1"/>
  </sheetViews>
  <sheetFormatPr defaultRowHeight="14.25" x14ac:dyDescent="0.2"/>
  <cols>
    <col min="1" max="1" width="24.5" bestFit="1" customWidth="1"/>
    <col min="2" max="2" width="11.625" bestFit="1" customWidth="1"/>
    <col min="3" max="3" width="17.75" bestFit="1" customWidth="1"/>
    <col min="4" max="4" width="15.625" bestFit="1" customWidth="1"/>
  </cols>
  <sheetData>
    <row r="1" spans="1:4" x14ac:dyDescent="0.2">
      <c r="A1" s="59" t="s">
        <v>10</v>
      </c>
      <c r="B1" t="s">
        <v>163</v>
      </c>
    </row>
    <row r="3" spans="1:4" x14ac:dyDescent="0.2">
      <c r="A3" s="59" t="s">
        <v>135</v>
      </c>
      <c r="B3" t="s">
        <v>161</v>
      </c>
      <c r="C3" t="s">
        <v>162</v>
      </c>
      <c r="D3" t="s">
        <v>148</v>
      </c>
    </row>
    <row r="4" spans="1:4" x14ac:dyDescent="0.2">
      <c r="A4" s="60" t="s">
        <v>41</v>
      </c>
      <c r="B4" s="61">
        <v>539753.19999999984</v>
      </c>
      <c r="C4" s="61">
        <v>0.27818972761876515</v>
      </c>
      <c r="D4" s="61">
        <v>178809.0800000001</v>
      </c>
    </row>
    <row r="5" spans="1:4" x14ac:dyDescent="0.2">
      <c r="A5" s="60" t="s">
        <v>28</v>
      </c>
      <c r="B5" s="61">
        <v>443829.61999999976</v>
      </c>
      <c r="C5" s="61">
        <v>0.1953604243122338</v>
      </c>
      <c r="D5" s="61">
        <v>166133.90000000011</v>
      </c>
    </row>
    <row r="6" spans="1:4" x14ac:dyDescent="0.2">
      <c r="A6" s="60" t="s">
        <v>31</v>
      </c>
      <c r="B6" s="61">
        <v>6452.04</v>
      </c>
      <c r="C6" s="61">
        <v>0.20323741007194246</v>
      </c>
      <c r="D6" s="61">
        <v>2445.6</v>
      </c>
    </row>
    <row r="7" spans="1:4" x14ac:dyDescent="0.2">
      <c r="A7" s="60" t="s">
        <v>24</v>
      </c>
      <c r="B7" s="61">
        <v>4313.57</v>
      </c>
      <c r="C7" s="61">
        <v>0.18528610354223432</v>
      </c>
      <c r="D7" s="61">
        <v>1897.6299999999999</v>
      </c>
    </row>
    <row r="8" spans="1:4" x14ac:dyDescent="0.2">
      <c r="A8" s="60" t="s">
        <v>21</v>
      </c>
      <c r="B8" s="61">
        <v>77124.820000000007</v>
      </c>
      <c r="C8" s="61">
        <v>0.21559633027522937</v>
      </c>
      <c r="D8" s="61">
        <v>28950.860000000011</v>
      </c>
    </row>
    <row r="9" spans="1:4" x14ac:dyDescent="0.2">
      <c r="A9" s="60" t="s">
        <v>136</v>
      </c>
      <c r="B9" s="61">
        <v>1071473.2499999995</v>
      </c>
      <c r="C9" s="61">
        <v>0.23644228490163546</v>
      </c>
      <c r="D9" s="61">
        <v>378237.07000000018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workbookViewId="0">
      <selection activeCell="J1" sqref="J1:J1048576"/>
    </sheetView>
    <sheetView tabSelected="1" workbookViewId="1">
      <pane xSplit="1" ySplit="1" topLeftCell="P2" activePane="bottomRight" state="frozen"/>
      <selection pane="topRight" activeCell="B1" sqref="B1"/>
      <selection pane="bottomLeft" activeCell="A2" sqref="A2"/>
      <selection pane="bottomRight" activeCell="T1" sqref="T1"/>
    </sheetView>
  </sheetViews>
  <sheetFormatPr defaultRowHeight="14.25" x14ac:dyDescent="0.2"/>
  <cols>
    <col min="1" max="1" width="10.5" style="1" bestFit="1" customWidth="1"/>
    <col min="3" max="3" width="23.5" bestFit="1" customWidth="1"/>
    <col min="4" max="4" width="11.625" bestFit="1" customWidth="1"/>
    <col min="5" max="5" width="24.5" bestFit="1" customWidth="1"/>
    <col min="9" max="9" width="30.125" customWidth="1"/>
    <col min="10" max="10" width="8.875" customWidth="1"/>
    <col min="11" max="11" width="10.25" customWidth="1"/>
    <col min="12" max="14" width="12.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2">
      <c r="A1" s="1" t="s">
        <v>69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99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2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60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60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60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60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60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60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60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">
      <c r="A9" s="1">
        <v>43832</v>
      </c>
      <c r="B9">
        <v>4636</v>
      </c>
      <c r="C9" t="s">
        <v>160</v>
      </c>
      <c r="D9" t="s">
        <v>45</v>
      </c>
      <c r="E9" t="s">
        <v>21</v>
      </c>
      <c r="F9" s="60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2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2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2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2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2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2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2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2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2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2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2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2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2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2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2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2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2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2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2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2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2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2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2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2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2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2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2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2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2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2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2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2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2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2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2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2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2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2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2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2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2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2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2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2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2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2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2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2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2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2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2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2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2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2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2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2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2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2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2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2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2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2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2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2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2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2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2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2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2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2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2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2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2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2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2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2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2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2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2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2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2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2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2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2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2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2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2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2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2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2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2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2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2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2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2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2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2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2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2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2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2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2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2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2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2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2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2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2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2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2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2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2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2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2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2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2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2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2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2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2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2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2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2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2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2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2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2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2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2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2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2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2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2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2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2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2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2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2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2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2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2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2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2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2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2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2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2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2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2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2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2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2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2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2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2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2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2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2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2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2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2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2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2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2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2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2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2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2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2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2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2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2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2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2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2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2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2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2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2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2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2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2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2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2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2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2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2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2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2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2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2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2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2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2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2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2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2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2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2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2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2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2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2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2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2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2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2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2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2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2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2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2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2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2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2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2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2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2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2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2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2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2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2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2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2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2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2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2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2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2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2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2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2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2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2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2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2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2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2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2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2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2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2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2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2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2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2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2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2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2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2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2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2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2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2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2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2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2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2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2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2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2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2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2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2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2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2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A1:X562" xr:uid="{E0942033-AF8A-492B-A35C-ABA2A3AA8982}"/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C739-38EB-43B6-B2E7-958193B1F73D}">
  <sheetPr>
    <tabColor rgb="FFFFC000"/>
  </sheetPr>
  <dimension ref="A1:C8"/>
  <sheetViews>
    <sheetView workbookViewId="0"/>
    <sheetView workbookViewId="1"/>
  </sheetViews>
  <sheetFormatPr defaultRowHeight="14.25" x14ac:dyDescent="0.2"/>
  <cols>
    <col min="1" max="1" width="24.5" bestFit="1" customWidth="1"/>
    <col min="2" max="2" width="12.125" bestFit="1" customWidth="1"/>
    <col min="3" max="3" width="15.625" bestFit="1" customWidth="1"/>
    <col min="4" max="4" width="23" bestFit="1" customWidth="1"/>
  </cols>
  <sheetData>
    <row r="1" spans="1:3" x14ac:dyDescent="0.2">
      <c r="A1" s="59" t="s">
        <v>10</v>
      </c>
      <c r="B1" t="s">
        <v>22</v>
      </c>
    </row>
    <row r="3" spans="1:3" x14ac:dyDescent="0.2">
      <c r="A3" s="59" t="s">
        <v>135</v>
      </c>
      <c r="B3" t="s">
        <v>137</v>
      </c>
      <c r="C3" t="s">
        <v>148</v>
      </c>
    </row>
    <row r="4" spans="1:3" x14ac:dyDescent="0.2">
      <c r="A4" s="60" t="s">
        <v>41</v>
      </c>
      <c r="B4" s="61">
        <v>114007.74</v>
      </c>
      <c r="C4" s="61">
        <v>36582.480000000003</v>
      </c>
    </row>
    <row r="5" spans="1:3" x14ac:dyDescent="0.2">
      <c r="A5" s="60" t="s">
        <v>28</v>
      </c>
      <c r="B5" s="61">
        <v>169975.03999999992</v>
      </c>
      <c r="C5" s="61">
        <v>63680.929999999986</v>
      </c>
    </row>
    <row r="6" spans="1:3" x14ac:dyDescent="0.2">
      <c r="A6" s="60" t="s">
        <v>24</v>
      </c>
      <c r="B6" s="61">
        <v>4313.57</v>
      </c>
      <c r="C6" s="61">
        <v>1897.6299999999999</v>
      </c>
    </row>
    <row r="7" spans="1:3" x14ac:dyDescent="0.2">
      <c r="A7" s="60" t="s">
        <v>21</v>
      </c>
      <c r="B7" s="61">
        <v>16838.82</v>
      </c>
      <c r="C7" s="61">
        <v>5992.61</v>
      </c>
    </row>
    <row r="8" spans="1:3" x14ac:dyDescent="0.2">
      <c r="A8" s="60" t="s">
        <v>136</v>
      </c>
      <c r="B8" s="61">
        <v>305135.16999999993</v>
      </c>
      <c r="C8" s="61">
        <v>108153.65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3F97E-D0AA-4BE4-8D30-196484EDF7C8}">
  <dimension ref="A1"/>
  <sheetViews>
    <sheetView workbookViewId="0"/>
    <sheetView workbookViewId="1"/>
  </sheetViews>
  <sheetFormatPr defaultRowHeight="14.25" x14ac:dyDescent="0.2"/>
  <sheetData/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E52F-C4E7-43C6-91AE-DAA0575C4C20}">
  <sheetPr>
    <tabColor theme="9" tint="0.39997558519241921"/>
  </sheetPr>
  <dimension ref="B1:Y145"/>
  <sheetViews>
    <sheetView topLeftCell="F91" workbookViewId="0">
      <selection activeCell="H116" sqref="H116"/>
    </sheetView>
    <sheetView workbookViewId="1"/>
  </sheetViews>
  <sheetFormatPr defaultRowHeight="14.25" x14ac:dyDescent="0.2"/>
  <cols>
    <col min="1" max="1" width="9" style="37"/>
    <col min="2" max="2" width="13.375" style="37" customWidth="1"/>
    <col min="3" max="3" width="45.25" style="37" customWidth="1"/>
    <col min="4" max="4" width="31.375" style="37" customWidth="1"/>
    <col min="5" max="5" width="34.25" style="37" customWidth="1"/>
    <col min="6" max="6" width="21.375" style="37" bestFit="1" customWidth="1"/>
    <col min="7" max="7" width="24.5" style="37" bestFit="1" customWidth="1"/>
    <col min="8" max="8" width="14.25" style="37" customWidth="1"/>
    <col min="9" max="9" width="12.125" style="37" customWidth="1"/>
    <col min="10" max="10" width="19.5" style="37" bestFit="1" customWidth="1"/>
    <col min="11" max="11" width="28.125" style="37" customWidth="1"/>
    <col min="12" max="12" width="21.75" style="37" customWidth="1"/>
    <col min="13" max="13" width="11.625" style="37" bestFit="1" customWidth="1"/>
    <col min="14" max="14" width="9" style="37"/>
    <col min="15" max="15" width="11.625" style="37" bestFit="1" customWidth="1"/>
    <col min="16" max="16" width="12.125" style="37" bestFit="1" customWidth="1"/>
    <col min="17" max="18" width="9" style="37"/>
    <col min="19" max="19" width="9.125" style="37" bestFit="1" customWidth="1"/>
    <col min="20" max="20" width="10.5" style="37" bestFit="1" customWidth="1"/>
    <col min="21" max="22" width="9" style="37"/>
    <col min="23" max="23" width="9.125" style="37" bestFit="1" customWidth="1"/>
    <col min="24" max="24" width="10.5" style="37" bestFit="1" customWidth="1"/>
    <col min="25" max="16384" width="9" style="37"/>
  </cols>
  <sheetData>
    <row r="1" spans="2:13" x14ac:dyDescent="0.2">
      <c r="M1" s="38"/>
    </row>
    <row r="2" spans="2:13" x14ac:dyDescent="0.2">
      <c r="B2" s="37" t="s">
        <v>78</v>
      </c>
      <c r="M2" s="38"/>
    </row>
    <row r="3" spans="2:13" x14ac:dyDescent="0.2">
      <c r="M3" s="38"/>
    </row>
    <row r="4" spans="2:13" x14ac:dyDescent="0.2">
      <c r="B4" s="39"/>
      <c r="C4" s="40" t="s">
        <v>83</v>
      </c>
      <c r="D4" s="40" t="s">
        <v>84</v>
      </c>
      <c r="E4" s="67"/>
      <c r="M4" s="38"/>
    </row>
    <row r="5" spans="2:13" x14ac:dyDescent="0.2">
      <c r="B5" s="40" t="s">
        <v>72</v>
      </c>
      <c r="C5" s="40">
        <f>SUM('拌客源数据1-8月'!J:J)</f>
        <v>1071473.2499999998</v>
      </c>
      <c r="D5" s="40">
        <f>SUM('拌客源数据1-8月'!J2:J25,'拌客源数据1-8月'!J496:J562)</f>
        <v>145618.28999999995</v>
      </c>
      <c r="M5" s="38"/>
    </row>
    <row r="6" spans="2:13" x14ac:dyDescent="0.2">
      <c r="B6" s="41"/>
      <c r="C6" s="41"/>
      <c r="D6" s="42"/>
      <c r="M6" s="38"/>
    </row>
    <row r="7" spans="2:13" x14ac:dyDescent="0.2">
      <c r="B7" s="41"/>
      <c r="C7" s="41"/>
      <c r="D7" s="42"/>
      <c r="M7" s="38"/>
    </row>
    <row r="8" spans="2:13" x14ac:dyDescent="0.2">
      <c r="B8" s="41"/>
      <c r="C8" s="41"/>
      <c r="D8" s="42"/>
      <c r="M8" s="38"/>
    </row>
    <row r="9" spans="2:13" x14ac:dyDescent="0.2">
      <c r="B9" s="41"/>
      <c r="C9" s="41"/>
      <c r="D9" s="42"/>
      <c r="M9" s="38"/>
    </row>
    <row r="10" spans="2:13" x14ac:dyDescent="0.2">
      <c r="C10" s="43"/>
      <c r="M10" s="38"/>
    </row>
    <row r="11" spans="2:13" x14ac:dyDescent="0.2">
      <c r="M11" s="38"/>
    </row>
    <row r="12" spans="2:13" x14ac:dyDescent="0.2">
      <c r="B12" s="37" t="s">
        <v>79</v>
      </c>
      <c r="D12" s="53">
        <f>B16</f>
        <v>44019</v>
      </c>
      <c r="M12" s="38"/>
    </row>
    <row r="13" spans="2:13" x14ac:dyDescent="0.2">
      <c r="M13" s="38"/>
    </row>
    <row r="14" spans="2:13" x14ac:dyDescent="0.2">
      <c r="B14" s="39"/>
      <c r="C14" s="40" t="s">
        <v>55</v>
      </c>
      <c r="F14" s="53"/>
      <c r="G14" s="53"/>
    </row>
    <row r="15" spans="2:13" x14ac:dyDescent="0.2">
      <c r="B15" s="44">
        <v>44013</v>
      </c>
      <c r="C15" s="40">
        <f>SUMIF('拌客源数据1-8月'!A:A,'常用函数-完成版'!B15,'拌客源数据1-8月'!J:J)</f>
        <v>6001.38</v>
      </c>
      <c r="D15" s="45" t="s">
        <v>149</v>
      </c>
      <c r="E15" s="37">
        <v>1</v>
      </c>
      <c r="F15" s="53"/>
      <c r="G15" s="53"/>
    </row>
    <row r="16" spans="2:13" x14ac:dyDescent="0.2">
      <c r="B16" s="44">
        <v>44019</v>
      </c>
      <c r="C16" s="40">
        <f>SUMIF('拌客源数据1-8月'!A:A,'常用函数-完成版'!B16,'拌客源数据1-8月'!J:J)</f>
        <v>4764.71</v>
      </c>
      <c r="D16" s="45" t="s">
        <v>149</v>
      </c>
      <c r="E16" s="37">
        <v>2</v>
      </c>
      <c r="F16" s="53"/>
      <c r="G16" s="53"/>
    </row>
    <row r="17" spans="2:12" x14ac:dyDescent="0.2">
      <c r="B17" s="44">
        <v>44028</v>
      </c>
      <c r="C17" s="40">
        <f>SUMIF('拌客源数据1-8月'!A:A,'常用函数-完成版'!B17,'拌客源数据1-8月'!J:J)</f>
        <v>11158.91</v>
      </c>
      <c r="D17" s="45" t="s">
        <v>149</v>
      </c>
      <c r="E17" s="37">
        <v>1</v>
      </c>
      <c r="F17" s="53"/>
      <c r="G17" s="53"/>
    </row>
    <row r="18" spans="2:12" x14ac:dyDescent="0.2">
      <c r="B18" s="44">
        <v>44029</v>
      </c>
      <c r="C18" s="40">
        <f>SUMIF('拌客源数据1-8月'!A:A,'常用函数-完成版'!B18,'拌客源数据1-8月'!J:J)</f>
        <v>10788.41</v>
      </c>
      <c r="D18" s="45" t="s">
        <v>149</v>
      </c>
      <c r="E18" s="37">
        <v>2</v>
      </c>
      <c r="F18" s="53"/>
    </row>
    <row r="19" spans="2:12" x14ac:dyDescent="0.2">
      <c r="B19" s="44">
        <v>44051</v>
      </c>
      <c r="C19" s="40">
        <f>SUMIF('拌客源数据1-8月'!A:A,'常用函数-完成版'!B19,'拌客源数据1-8月'!J:J)</f>
        <v>1374.4099999999999</v>
      </c>
      <c r="D19" s="45" t="s">
        <v>149</v>
      </c>
      <c r="E19" s="37">
        <v>1</v>
      </c>
      <c r="F19" s="53"/>
    </row>
    <row r="20" spans="2:12" x14ac:dyDescent="0.2">
      <c r="B20" s="44">
        <v>44062</v>
      </c>
      <c r="C20" s="40">
        <f>SUMIF('拌客源数据1-8月'!A:A,'常用函数-完成版'!B20,'拌客源数据1-8月'!J:J)</f>
        <v>2588.69</v>
      </c>
      <c r="D20" s="45" t="s">
        <v>149</v>
      </c>
      <c r="E20" s="37">
        <v>2</v>
      </c>
      <c r="F20" s="53"/>
    </row>
    <row r="21" spans="2:12" x14ac:dyDescent="0.2">
      <c r="B21" s="44">
        <v>44064</v>
      </c>
      <c r="C21" s="40">
        <f>SUMIF('拌客源数据1-8月'!A:A,'常用函数-完成版'!B21,'拌客源数据1-8月'!J:J)</f>
        <v>2118.79</v>
      </c>
      <c r="D21" s="45" t="s">
        <v>149</v>
      </c>
      <c r="E21" s="37">
        <v>1</v>
      </c>
      <c r="F21" s="53"/>
    </row>
    <row r="22" spans="2:12" x14ac:dyDescent="0.2">
      <c r="B22" s="46"/>
      <c r="C22" s="41"/>
    </row>
    <row r="23" spans="2:12" x14ac:dyDescent="0.2">
      <c r="B23" s="46"/>
      <c r="C23" s="41"/>
    </row>
    <row r="24" spans="2:12" x14ac:dyDescent="0.2">
      <c r="B24" s="46"/>
      <c r="C24" s="41"/>
    </row>
    <row r="27" spans="2:12" x14ac:dyDescent="0.2">
      <c r="B27" s="37" t="s">
        <v>80</v>
      </c>
    </row>
    <row r="29" spans="2:12" x14ac:dyDescent="0.2">
      <c r="B29" s="39"/>
      <c r="C29" s="40" t="s">
        <v>134</v>
      </c>
      <c r="D29" s="40" t="s">
        <v>86</v>
      </c>
      <c r="E29" s="40" t="s">
        <v>85</v>
      </c>
      <c r="F29" s="41" t="s">
        <v>150</v>
      </c>
      <c r="G29" s="41" t="s">
        <v>151</v>
      </c>
      <c r="H29" s="41" t="s">
        <v>152</v>
      </c>
      <c r="I29" s="41" t="s">
        <v>153</v>
      </c>
      <c r="J29" s="41" t="s">
        <v>154</v>
      </c>
    </row>
    <row r="30" spans="2:12" x14ac:dyDescent="0.2">
      <c r="B30" s="44">
        <v>44013</v>
      </c>
      <c r="C30" s="40">
        <f>SUMIFS('拌客源数据1-8月'!J:J,'拌客源数据1-8月'!A:A,'常用函数-完成版'!B30,'拌客源数据1-8月'!H:H,"美团")</f>
        <v>1008.28</v>
      </c>
      <c r="D30" s="54">
        <f>SUMIFS('拌客源数据1-8月'!J:J,'拌客源数据1-8月'!A:A,'常用函数-完成版'!B30,'拌客源数据1-8月'!H:H,"美团")/SUMIFS('拌客源数据1-8月'!J:J,'拌客源数据1-8月'!A:A,'常用函数-完成版'!B30-1,'拌客源数据1-8月'!H:H,"美团")-1</f>
        <v>8.2182224082600674E-2</v>
      </c>
      <c r="E30" s="54">
        <f>SUMIFS('拌客源数据1-8月'!J:J,'拌客源数据1-8月'!A:A,'常用函数-完成版'!B30,'拌客源数据1-8月'!H:H,"美团")/SUMIFS('拌客源数据1-8月'!J:J,'拌客源数据1-8月'!A:A,DATE(YEAR(B30),MONTH(B30)-1,DAY(B30)),'拌客源数据1-8月'!H:H,"美团")-1</f>
        <v>-0.10886031198904067</v>
      </c>
      <c r="F30" s="45">
        <f>YEAR(B30)</f>
        <v>2020</v>
      </c>
      <c r="G30" s="45">
        <f>MONTH(B30)</f>
        <v>7</v>
      </c>
      <c r="H30" s="45">
        <f>DAY(B30)</f>
        <v>1</v>
      </c>
      <c r="I30" s="55">
        <f>DATE(YEAR(B30),MONTH(B30)-1,DAY(B30))</f>
        <v>43983</v>
      </c>
      <c r="J30" s="37">
        <f>SUMIFS('拌客源数据1-8月'!J:J,'拌客源数据1-8月'!A:A,DATE(YEAR(B30),MONTH(B30)-1,DAY(B30)),'拌客源数据1-8月'!H:H,"美团")</f>
        <v>1131.45</v>
      </c>
      <c r="K30" s="55"/>
      <c r="L30" s="53"/>
    </row>
    <row r="31" spans="2:12" x14ac:dyDescent="0.2">
      <c r="B31" s="44">
        <v>44014</v>
      </c>
      <c r="C31" s="40">
        <f>SUMIFS('拌客源数据1-8月'!J:J,'拌客源数据1-8月'!A:A,'常用函数-完成版'!B31,'拌客源数据1-8月'!H:H,"美团")</f>
        <v>1023.39</v>
      </c>
      <c r="D31" s="54">
        <f>SUMIFS('拌客源数据1-8月'!J:J,'拌客源数据1-8月'!A:A,'常用函数-完成版'!B31,'拌客源数据1-8月'!H:H,"美团")/SUMIFS('拌客源数据1-8月'!J:J,'拌客源数据1-8月'!A:A,'常用函数-完成版'!B31-1,'拌客源数据1-8月'!H:H,"美团")-1</f>
        <v>1.4985916610465333E-2</v>
      </c>
      <c r="E31" s="54">
        <f>SUMIFS('拌客源数据1-8月'!J:J,'拌客源数据1-8月'!A:A,'常用函数-完成版'!B31,'拌客源数据1-8月'!H:H,"美团")/SUMIFS('拌客源数据1-8月'!J:J,'拌客源数据1-8月'!A:A,DATE(YEAR(B31),MONTH(B31)-1,DAY(B31)),'拌客源数据1-8月'!H:H,"美团")-1</f>
        <v>0.21923585546302582</v>
      </c>
      <c r="F31" s="45">
        <f t="shared" ref="F31:F36" si="0">YEAR(B31)</f>
        <v>2020</v>
      </c>
      <c r="G31" s="45">
        <f t="shared" ref="G31:G36" si="1">MONTH(B31)</f>
        <v>7</v>
      </c>
      <c r="H31" s="45">
        <f t="shared" ref="H31:H36" si="2">DAY(B31)</f>
        <v>2</v>
      </c>
      <c r="I31" s="55">
        <f t="shared" ref="I31:I36" si="3">DATE(YEAR(B31),MONTH(B31)-1,DAY(B31))</f>
        <v>43984</v>
      </c>
      <c r="J31" s="37">
        <f>SUMIFS('拌客源数据1-8月'!J:J,'拌客源数据1-8月'!A:A,DATE(YEAR(B31),MONTH(B31)-1,DAY(B31)),'拌客源数据1-8月'!H:H,"美团")</f>
        <v>839.37</v>
      </c>
    </row>
    <row r="32" spans="2:12" x14ac:dyDescent="0.2">
      <c r="B32" s="44">
        <v>44015</v>
      </c>
      <c r="C32" s="40">
        <f>SUMIFS('拌客源数据1-8月'!J:J,'拌客源数据1-8月'!A:A,'常用函数-完成版'!B32,'拌客源数据1-8月'!H:H,"美团")</f>
        <v>999.86</v>
      </c>
      <c r="D32" s="54">
        <f>SUMIFS('拌客源数据1-8月'!J:J,'拌客源数据1-8月'!A:A,'常用函数-完成版'!B32,'拌客源数据1-8月'!H:H,"美团")/SUMIFS('拌客源数据1-8月'!J:J,'拌客源数据1-8月'!A:A,'常用函数-完成版'!B32-1,'拌客源数据1-8月'!H:H,"美团")-1</f>
        <v>-2.2992212157632919E-2</v>
      </c>
      <c r="E32" s="54">
        <f>SUMIFS('拌客源数据1-8月'!J:J,'拌客源数据1-8月'!A:A,'常用函数-完成版'!B32,'拌客源数据1-8月'!H:H,"美团")/SUMIFS('拌客源数据1-8月'!J:J,'拌客源数据1-8月'!A:A,DATE(YEAR(B32),MONTH(B32)-1,DAY(B32)),'拌客源数据1-8月'!H:H,"美团")-1</f>
        <v>-0.18069110187893822</v>
      </c>
      <c r="F32" s="45">
        <f t="shared" si="0"/>
        <v>2020</v>
      </c>
      <c r="G32" s="45">
        <f t="shared" si="1"/>
        <v>7</v>
      </c>
      <c r="H32" s="45">
        <f t="shared" si="2"/>
        <v>3</v>
      </c>
      <c r="I32" s="55">
        <f t="shared" si="3"/>
        <v>43985</v>
      </c>
      <c r="J32" s="37">
        <f>SUMIFS('拌客源数据1-8月'!J:J,'拌客源数据1-8月'!A:A,DATE(YEAR(B32),MONTH(B32)-1,DAY(B32)),'拌客源数据1-8月'!H:H,"美团")</f>
        <v>1220.3699999999999</v>
      </c>
    </row>
    <row r="33" spans="2:10" x14ac:dyDescent="0.2">
      <c r="B33" s="44">
        <v>44016</v>
      </c>
      <c r="C33" s="40">
        <f>SUMIFS('拌客源数据1-8月'!J:J,'拌客源数据1-8月'!A:A,'常用函数-完成版'!B33,'拌客源数据1-8月'!H:H,"美团")</f>
        <v>1144.82</v>
      </c>
      <c r="D33" s="54">
        <f>SUMIFS('拌客源数据1-8月'!J:J,'拌客源数据1-8月'!A:A,'常用函数-完成版'!B33,'拌客源数据1-8月'!H:H,"美团")/SUMIFS('拌客源数据1-8月'!J:J,'拌客源数据1-8月'!A:A,'常用函数-完成版'!B33-1,'拌客源数据1-8月'!H:H,"美团")-1</f>
        <v>0.14498029724161365</v>
      </c>
      <c r="E33" s="54">
        <f>SUMIFS('拌客源数据1-8月'!J:J,'拌客源数据1-8月'!A:A,'常用函数-完成版'!B33,'拌客源数据1-8月'!H:H,"美团")/SUMIFS('拌客源数据1-8月'!J:J,'拌客源数据1-8月'!A:A,DATE(YEAR(B33),MONTH(B33)-1,DAY(B33)),'拌客源数据1-8月'!H:H,"美团")-1</f>
        <v>-0.22352973093957507</v>
      </c>
      <c r="F33" s="45">
        <f t="shared" si="0"/>
        <v>2020</v>
      </c>
      <c r="G33" s="45">
        <f t="shared" si="1"/>
        <v>7</v>
      </c>
      <c r="H33" s="45">
        <f t="shared" si="2"/>
        <v>4</v>
      </c>
      <c r="I33" s="55">
        <f t="shared" si="3"/>
        <v>43986</v>
      </c>
      <c r="J33" s="37">
        <f>SUMIFS('拌客源数据1-8月'!J:J,'拌客源数据1-8月'!A:A,DATE(YEAR(B33),MONTH(B33)-1,DAY(B33)),'拌客源数据1-8月'!H:H,"美团")</f>
        <v>1474.39</v>
      </c>
    </row>
    <row r="34" spans="2:10" x14ac:dyDescent="0.2">
      <c r="B34" s="44">
        <v>44017</v>
      </c>
      <c r="C34" s="40">
        <f>SUMIFS('拌客源数据1-8月'!J:J,'拌客源数据1-8月'!A:A,'常用函数-完成版'!B34,'拌客源数据1-8月'!H:H,"美团")</f>
        <v>755.47</v>
      </c>
      <c r="D34" s="54">
        <f>SUMIFS('拌客源数据1-8月'!J:J,'拌客源数据1-8月'!A:A,'常用函数-完成版'!B34,'拌客源数据1-8月'!H:H,"美团")/SUMIFS('拌客源数据1-8月'!J:J,'拌客源数据1-8月'!A:A,'常用函数-完成版'!B34-1,'拌客源数据1-8月'!H:H,"美团")-1</f>
        <v>-0.34009713317377399</v>
      </c>
      <c r="E34" s="54">
        <f>SUMIFS('拌客源数据1-8月'!J:J,'拌客源数据1-8月'!A:A,'常用函数-完成版'!B34,'拌客源数据1-8月'!H:H,"美团")/SUMIFS('拌客源数据1-8月'!J:J,'拌客源数据1-8月'!A:A,DATE(YEAR(B34),MONTH(B34)-1,DAY(B34)),'拌客源数据1-8月'!H:H,"美团")-1</f>
        <v>-0.33924291986635635</v>
      </c>
      <c r="F34" s="45">
        <f t="shared" si="0"/>
        <v>2020</v>
      </c>
      <c r="G34" s="45">
        <f t="shared" si="1"/>
        <v>7</v>
      </c>
      <c r="H34" s="45">
        <f t="shared" si="2"/>
        <v>5</v>
      </c>
      <c r="I34" s="55">
        <f t="shared" si="3"/>
        <v>43987</v>
      </c>
      <c r="J34" s="37">
        <f>SUMIFS('拌客源数据1-8月'!J:J,'拌客源数据1-8月'!A:A,DATE(YEAR(B34),MONTH(B34)-1,DAY(B34)),'拌客源数据1-8月'!H:H,"美团")</f>
        <v>1143.3399999999999</v>
      </c>
    </row>
    <row r="35" spans="2:10" x14ac:dyDescent="0.2">
      <c r="B35" s="44">
        <v>44044</v>
      </c>
      <c r="C35" s="40">
        <f>SUMIFS('拌客源数据1-8月'!J:J,'拌客源数据1-8月'!A:A,'常用函数-完成版'!B35,'拌客源数据1-8月'!H:H,"美团")</f>
        <v>3387.1000000000004</v>
      </c>
      <c r="D35" s="54">
        <f>SUMIFS('拌客源数据1-8月'!J:J,'拌客源数据1-8月'!A:A,'常用函数-完成版'!B35,'拌客源数据1-8月'!H:H,"美团")/SUMIFS('拌客源数据1-8月'!J:J,'拌客源数据1-8月'!A:A,'常用函数-完成版'!B35-1,'拌客源数据1-8月'!H:H,"美团")-1</f>
        <v>-0.41335610328923089</v>
      </c>
      <c r="E35" s="54">
        <f>SUMIFS('拌客源数据1-8月'!J:J,'拌客源数据1-8月'!A:A,'常用函数-完成版'!B35,'拌客源数据1-8月'!H:H,"美团")/SUMIFS('拌客源数据1-8月'!J:J,'拌客源数据1-8月'!A:A,DATE(YEAR(B35),MONTH(B35)-1,DAY(B35)),'拌客源数据1-8月'!H:H,"美团")-1</f>
        <v>2.3592851192129176</v>
      </c>
      <c r="F35" s="45">
        <f t="shared" si="0"/>
        <v>2020</v>
      </c>
      <c r="G35" s="45">
        <f t="shared" si="1"/>
        <v>8</v>
      </c>
      <c r="H35" s="45">
        <f t="shared" si="2"/>
        <v>1</v>
      </c>
      <c r="I35" s="55">
        <f t="shared" si="3"/>
        <v>44013</v>
      </c>
      <c r="J35" s="37">
        <f>SUMIFS('拌客源数据1-8月'!J:J,'拌客源数据1-8月'!A:A,DATE(YEAR(B35),MONTH(B35)-1,DAY(B35)),'拌客源数据1-8月'!H:H,"美团")</f>
        <v>1008.28</v>
      </c>
    </row>
    <row r="36" spans="2:10" x14ac:dyDescent="0.2">
      <c r="B36" s="44">
        <v>44048</v>
      </c>
      <c r="C36" s="40">
        <f>SUMIFS('拌客源数据1-8月'!J:J,'拌客源数据1-8月'!A:A,'常用函数-完成版'!B36,'拌客源数据1-8月'!H:H,"美团")</f>
        <v>1817.37</v>
      </c>
      <c r="D36" s="54">
        <f>SUMIFS('拌客源数据1-8月'!J:J,'拌客源数据1-8月'!A:A,'常用函数-完成版'!B36,'拌客源数据1-8月'!H:H,"美团")/SUMIFS('拌客源数据1-8月'!J:J,'拌客源数据1-8月'!A:A,'常用函数-完成版'!B36-1,'拌客源数据1-8月'!H:H,"美团")-1</f>
        <v>0.12391465677179947</v>
      </c>
      <c r="E36" s="54">
        <f>SUMIFS('拌客源数据1-8月'!J:J,'拌客源数据1-8月'!A:A,'常用函数-完成版'!B36,'拌客源数据1-8月'!H:H,"美团")/SUMIFS('拌客源数据1-8月'!J:J,'拌客源数据1-8月'!A:A,DATE(YEAR(B36),MONTH(B36)-1,DAY(B36)),'拌客源数据1-8月'!H:H,"美团")-1</f>
        <v>1.4056150475862705</v>
      </c>
      <c r="F36" s="45">
        <f t="shared" si="0"/>
        <v>2020</v>
      </c>
      <c r="G36" s="45">
        <f t="shared" si="1"/>
        <v>8</v>
      </c>
      <c r="H36" s="45">
        <f t="shared" si="2"/>
        <v>5</v>
      </c>
      <c r="I36" s="55">
        <f t="shared" si="3"/>
        <v>44017</v>
      </c>
      <c r="J36" s="37">
        <f>SUMIFS('拌客源数据1-8月'!J:J,'拌客源数据1-8月'!A:A,DATE(YEAR(B36),MONTH(B36)-1,DAY(B36)),'拌客源数据1-8月'!H:H,"美团")</f>
        <v>755.47</v>
      </c>
    </row>
    <row r="37" spans="2:10" x14ac:dyDescent="0.2">
      <c r="F37" s="56"/>
    </row>
    <row r="38" spans="2:10" x14ac:dyDescent="0.2">
      <c r="B38" s="39"/>
      <c r="C38" s="40" t="s">
        <v>134</v>
      </c>
      <c r="D38" s="40" t="s">
        <v>87</v>
      </c>
      <c r="E38" s="41" t="s">
        <v>155</v>
      </c>
      <c r="F38" s="41" t="s">
        <v>156</v>
      </c>
      <c r="G38" s="41" t="s">
        <v>157</v>
      </c>
    </row>
    <row r="39" spans="2:10" x14ac:dyDescent="0.2">
      <c r="B39" s="47">
        <v>43831</v>
      </c>
      <c r="C39" s="40">
        <f>SUMIFS('拌客源数据1-8月'!J:J,'拌客源数据1-8月'!H:H,"美团",'拌客源数据1-8月'!A:A,"&gt;="&amp;DATE(YEAR(B39),MONTH(B39),1),'拌客源数据1-8月'!A:A,"&lt;="&amp;(DATE(YEAR(B39),MONTH(B39)+1,1)-1))</f>
        <v>6787.9800000000005</v>
      </c>
      <c r="D39" s="57" t="e">
        <f>SUMIFS('拌客源数据1-8月'!J:J,'拌客源数据1-8月'!H:H,"美团",'拌客源数据1-8月'!A:A,"&gt;="&amp;DATE(YEAR(B39),MONTH(B39),1),'拌客源数据1-8月'!A:A,"&lt;="&amp;(DATE(YEAR(B39),MONTH(B39)+1,1)-1))/SUMIFS('拌客源数据1-8月'!J:J,'拌客源数据1-8月'!H:H,"美团",'拌客源数据1-8月'!A:A,"&gt;="&amp;DATE(YEAR(B39),MONTH(B39)-1,1),'拌客源数据1-8月'!A:A,"&lt;="&amp;(DATE(YEAR(B39),MONTH(B39),1)-1))-1</f>
        <v>#DIV/0!</v>
      </c>
      <c r="E39" s="58">
        <f>DATE(YEAR(B39),MONTH(B39),1)</f>
        <v>43831</v>
      </c>
      <c r="F39" s="55">
        <f>DATE(YEAR(B39),MONTH(B39),31)</f>
        <v>43861</v>
      </c>
      <c r="G39" s="55">
        <f>DATE(YEAR(B39),MONTH(B39)+1,1)-1</f>
        <v>43861</v>
      </c>
    </row>
    <row r="40" spans="2:10" x14ac:dyDescent="0.2">
      <c r="B40" s="47">
        <v>43862</v>
      </c>
      <c r="C40" s="40">
        <f>SUMIFS('拌客源数据1-8月'!J:J,'拌客源数据1-8月'!H:H,"美团",'拌客源数据1-8月'!A:A,"&gt;="&amp;DATE(YEAR(B40),MONTH(B40),1),'拌客源数据1-8月'!A:A,"&lt;="&amp;(DATE(YEAR(B40),MONTH(B40)+1,1)-1))</f>
        <v>2678.62</v>
      </c>
      <c r="D40" s="57">
        <f>SUMIFS('拌客源数据1-8月'!J:J,'拌客源数据1-8月'!H:H,"美团",'拌客源数据1-8月'!A:A,"&gt;="&amp;DATE(YEAR(B40),MONTH(B40),1),'拌客源数据1-8月'!A:A,"&lt;="&amp;(DATE(YEAR(B40),MONTH(B40)+1,1)-1))/SUMIFS('拌客源数据1-8月'!J:J,'拌客源数据1-8月'!H:H,"美团",'拌客源数据1-8月'!A:A,"&gt;="&amp;DATE(YEAR(B40),MONTH(B40)-1,1),'拌客源数据1-8月'!A:A,"&lt;="&amp;(DATE(YEAR(B40),MONTH(B40),1)-1))-1</f>
        <v>-0.60538775895037999</v>
      </c>
      <c r="E40" s="58">
        <f t="shared" ref="E40:E46" si="4">DATE(YEAR(B40),MONTH(B40),1)</f>
        <v>43862</v>
      </c>
      <c r="F40" s="55">
        <f>DATE(YEAR(B40),MONTH(B40),31)</f>
        <v>43892</v>
      </c>
      <c r="G40" s="55">
        <f t="shared" ref="G40:G46" si="5">DATE(YEAR(B40),MONTH(B40)+1,1)-1</f>
        <v>43890</v>
      </c>
    </row>
    <row r="41" spans="2:10" x14ac:dyDescent="0.2">
      <c r="B41" s="47">
        <v>43891</v>
      </c>
      <c r="C41" s="40">
        <f>SUMIFS('拌客源数据1-8月'!J:J,'拌客源数据1-8月'!H:H,"美团",'拌客源数据1-8月'!A:A,"&gt;="&amp;DATE(YEAR(B41),MONTH(B41),1),'拌客源数据1-8月'!A:A,"&lt;="&amp;(DATE(YEAR(B41),MONTH(B41)+1,1)-1))</f>
        <v>24829.310000000009</v>
      </c>
      <c r="D41" s="57">
        <f>SUMIFS('拌客源数据1-8月'!J:J,'拌客源数据1-8月'!H:H,"美团",'拌客源数据1-8月'!A:A,"&gt;="&amp;DATE(YEAR(B41),MONTH(B41),1),'拌客源数据1-8月'!A:A,"&lt;="&amp;(DATE(YEAR(B41),MONTH(B41)+1,1)-1))/SUMIFS('拌客源数据1-8月'!J:J,'拌客源数据1-8月'!H:H,"美团",'拌客源数据1-8月'!A:A,"&gt;="&amp;DATE(YEAR(B41),MONTH(B41)-1,1),'拌客源数据1-8月'!A:A,"&lt;="&amp;(DATE(YEAR(B41),MONTH(B41),1)-1))-1</f>
        <v>8.2694409808035516</v>
      </c>
      <c r="E41" s="58">
        <f t="shared" si="4"/>
        <v>43891</v>
      </c>
      <c r="F41" s="55">
        <f t="shared" ref="F41:F46" si="6">DATE(YEAR(B41),MONTH(B41),31)</f>
        <v>43921</v>
      </c>
      <c r="G41" s="55">
        <f t="shared" si="5"/>
        <v>43921</v>
      </c>
    </row>
    <row r="42" spans="2:10" x14ac:dyDescent="0.2">
      <c r="B42" s="47">
        <v>43922</v>
      </c>
      <c r="C42" s="40">
        <f>SUMIFS('拌客源数据1-8月'!J:J,'拌客源数据1-8月'!H:H,"美团",'拌客源数据1-8月'!A:A,"&gt;="&amp;DATE(YEAR(B42),MONTH(B42),1),'拌客源数据1-8月'!A:A,"&lt;="&amp;(DATE(YEAR(B42),MONTH(B42)+1,1)-1))</f>
        <v>38698.99</v>
      </c>
      <c r="D42" s="57">
        <f>SUMIFS('拌客源数据1-8月'!J:J,'拌客源数据1-8月'!H:H,"美团",'拌客源数据1-8月'!A:A,"&gt;="&amp;DATE(YEAR(B42),MONTH(B42),1),'拌客源数据1-8月'!A:A,"&lt;="&amp;(DATE(YEAR(B42),MONTH(B42)+1,1)-1))/SUMIFS('拌客源数据1-8月'!J:J,'拌客源数据1-8月'!H:H,"美团",'拌客源数据1-8月'!A:A,"&gt;="&amp;DATE(YEAR(B42),MONTH(B42)-1,1),'拌客源数据1-8月'!A:A,"&lt;="&amp;(DATE(YEAR(B42),MONTH(B42),1)-1))-1</f>
        <v>0.55860110490384085</v>
      </c>
      <c r="E42" s="58">
        <f t="shared" si="4"/>
        <v>43922</v>
      </c>
      <c r="F42" s="55">
        <f t="shared" si="6"/>
        <v>43952</v>
      </c>
      <c r="G42" s="55">
        <f t="shared" si="5"/>
        <v>43951</v>
      </c>
    </row>
    <row r="43" spans="2:10" x14ac:dyDescent="0.2">
      <c r="B43" s="47">
        <v>43952</v>
      </c>
      <c r="C43" s="40">
        <f>SUMIFS('拌客源数据1-8月'!J:J,'拌客源数据1-8月'!H:H,"美团",'拌客源数据1-8月'!A:A,"&gt;="&amp;DATE(YEAR(B43),MONTH(B43),1),'拌客源数据1-8月'!A:A,"&lt;="&amp;(DATE(YEAR(B43),MONTH(B43)+1,1)-1))</f>
        <v>30397.779999999995</v>
      </c>
      <c r="D43" s="57">
        <f>SUMIFS('拌客源数据1-8月'!J:J,'拌客源数据1-8月'!H:H,"美团",'拌客源数据1-8月'!A:A,"&gt;="&amp;DATE(YEAR(B43),MONTH(B43),1),'拌客源数据1-8月'!A:A,"&lt;="&amp;(DATE(YEAR(B43),MONTH(B43)+1,1)-1))/SUMIFS('拌客源数据1-8月'!J:J,'拌客源数据1-8月'!H:H,"美团",'拌客源数据1-8月'!A:A,"&gt;="&amp;DATE(YEAR(B43),MONTH(B43)-1,1),'拌客源数据1-8月'!A:A,"&lt;="&amp;(DATE(YEAR(B43),MONTH(B43),1)-1))-1</f>
        <v>-0.21450714863617892</v>
      </c>
      <c r="E43" s="58">
        <f t="shared" si="4"/>
        <v>43952</v>
      </c>
      <c r="F43" s="55">
        <f t="shared" si="6"/>
        <v>43982</v>
      </c>
      <c r="G43" s="55">
        <f t="shared" si="5"/>
        <v>43982</v>
      </c>
    </row>
    <row r="44" spans="2:10" x14ac:dyDescent="0.2">
      <c r="B44" s="47">
        <v>43983</v>
      </c>
      <c r="C44" s="40">
        <f>SUMIFS('拌客源数据1-8月'!J:J,'拌客源数据1-8月'!H:H,"美团",'拌客源数据1-8月'!A:A,"&gt;="&amp;DATE(YEAR(B44),MONTH(B44),1),'拌客源数据1-8月'!A:A,"&lt;="&amp;(DATE(YEAR(B44),MONTH(B44)+1,1)-1))</f>
        <v>26037.540000000005</v>
      </c>
      <c r="D44" s="57">
        <f>SUMIFS('拌客源数据1-8月'!J:J,'拌客源数据1-8月'!H:H,"美团",'拌客源数据1-8月'!A:A,"&gt;="&amp;DATE(YEAR(B44),MONTH(B44),1),'拌客源数据1-8月'!A:A,"&lt;="&amp;(DATE(YEAR(B44),MONTH(B44)+1,1)-1))/SUMIFS('拌客源数据1-8月'!J:J,'拌客源数据1-8月'!H:H,"美团",'拌客源数据1-8月'!A:A,"&gt;="&amp;DATE(YEAR(B44),MONTH(B44)-1,1),'拌客源数据1-8月'!A:A,"&lt;="&amp;(DATE(YEAR(B44),MONTH(B44),1)-1))-1</f>
        <v>-0.14343942222096451</v>
      </c>
      <c r="E44" s="58">
        <f t="shared" si="4"/>
        <v>43983</v>
      </c>
      <c r="F44" s="55">
        <f t="shared" si="6"/>
        <v>44013</v>
      </c>
      <c r="G44" s="55">
        <f t="shared" si="5"/>
        <v>44012</v>
      </c>
    </row>
    <row r="45" spans="2:10" x14ac:dyDescent="0.2">
      <c r="B45" s="47">
        <v>44013</v>
      </c>
      <c r="C45" s="40">
        <f>SUMIFS('拌客源数据1-8月'!J:J,'拌客源数据1-8月'!H:H,"美团",'拌客源数据1-8月'!A:A,"&gt;="&amp;DATE(YEAR(B45),MONTH(B45),1),'拌客源数据1-8月'!A:A,"&lt;="&amp;(DATE(YEAR(B45),MONTH(B45)+1,1)-1))</f>
        <v>133045.43</v>
      </c>
      <c r="D45" s="57">
        <f>SUMIFS('拌客源数据1-8月'!J:J,'拌客源数据1-8月'!H:H,"美团",'拌客源数据1-8月'!A:A,"&gt;="&amp;DATE(YEAR(B45),MONTH(B45),1),'拌客源数据1-8月'!A:A,"&lt;="&amp;(DATE(YEAR(B45),MONTH(B45)+1,1)-1))/SUMIFS('拌客源数据1-8月'!J:J,'拌客源数据1-8月'!H:H,"美团",'拌客源数据1-8月'!A:A,"&gt;="&amp;DATE(YEAR(B45),MONTH(B45)-1,1),'拌客源数据1-8月'!A:A,"&lt;="&amp;(DATE(YEAR(B45),MONTH(B45),1)-1))-1</f>
        <v>4.1097542240933658</v>
      </c>
      <c r="E45" s="58">
        <f t="shared" si="4"/>
        <v>44013</v>
      </c>
      <c r="F45" s="55">
        <f t="shared" si="6"/>
        <v>44043</v>
      </c>
      <c r="G45" s="55">
        <f t="shared" si="5"/>
        <v>44043</v>
      </c>
    </row>
    <row r="46" spans="2:10" x14ac:dyDescent="0.2">
      <c r="B46" s="47">
        <v>44044</v>
      </c>
      <c r="C46" s="40">
        <f>SUMIFS('拌客源数据1-8月'!J:J,'拌客源数据1-8月'!H:H,"美团",'拌客源数据1-8月'!A:A,"&gt;="&amp;DATE(YEAR(B46),MONTH(B46),1),'拌客源数据1-8月'!A:A,"&lt;="&amp;(DATE(YEAR(B46),MONTH(B46)+1,1)-1))</f>
        <v>42659.520000000004</v>
      </c>
      <c r="D46" s="57">
        <f>SUMIFS('拌客源数据1-8月'!J:J,'拌客源数据1-8月'!H:H,"美团",'拌客源数据1-8月'!A:A,"&gt;="&amp;DATE(YEAR(B46),MONTH(B46),1),'拌客源数据1-8月'!A:A,"&lt;="&amp;(DATE(YEAR(B46),MONTH(B46)+1,1)-1))/SUMIFS('拌客源数据1-8月'!J:J,'拌客源数据1-8月'!H:H,"美团",'拌客源数据1-8月'!A:A,"&gt;="&amp;DATE(YEAR(B46),MONTH(B46)-1,1),'拌客源数据1-8月'!A:A,"&lt;="&amp;(DATE(YEAR(B46),MONTH(B46),1)-1))-1</f>
        <v>-0.67936125276907289</v>
      </c>
      <c r="E46" s="58">
        <f t="shared" si="4"/>
        <v>44044</v>
      </c>
      <c r="F46" s="55">
        <f t="shared" si="6"/>
        <v>44074</v>
      </c>
      <c r="G46" s="55">
        <f t="shared" si="5"/>
        <v>44074</v>
      </c>
    </row>
    <row r="47" spans="2:10" x14ac:dyDescent="0.2">
      <c r="B47" s="48"/>
      <c r="C47" s="42"/>
      <c r="D47" s="42"/>
      <c r="E47" s="42"/>
    </row>
    <row r="48" spans="2:10" x14ac:dyDescent="0.2">
      <c r="B48" s="48"/>
      <c r="C48" s="42"/>
      <c r="D48" s="42"/>
      <c r="E48" s="42"/>
    </row>
    <row r="49" spans="2:5" x14ac:dyDescent="0.2">
      <c r="B49" s="48"/>
      <c r="C49" s="42"/>
      <c r="D49" s="42"/>
      <c r="E49" s="42"/>
    </row>
    <row r="52" spans="2:5" x14ac:dyDescent="0.2">
      <c r="B52" s="37" t="s">
        <v>81</v>
      </c>
    </row>
    <row r="54" spans="2:5" x14ac:dyDescent="0.2">
      <c r="B54" s="39"/>
      <c r="C54" s="40" t="s">
        <v>88</v>
      </c>
      <c r="D54" s="40" t="s">
        <v>89</v>
      </c>
    </row>
    <row r="55" spans="2:5" x14ac:dyDescent="0.2">
      <c r="B55" s="40" t="s">
        <v>55</v>
      </c>
      <c r="C55" s="39">
        <f>SUM('拌客源数据1-8月'!J:J)</f>
        <v>1071473.2499999998</v>
      </c>
      <c r="D55" s="39">
        <f>SUBTOTAL(9,'拌客源数据1-8月'!J:J)</f>
        <v>1071473.2499999998</v>
      </c>
    </row>
    <row r="56" spans="2:5" x14ac:dyDescent="0.2">
      <c r="B56" s="41"/>
      <c r="C56" s="42"/>
      <c r="D56" s="42"/>
    </row>
    <row r="57" spans="2:5" x14ac:dyDescent="0.2">
      <c r="B57" s="41"/>
      <c r="C57" s="42"/>
      <c r="D57" s="42"/>
    </row>
    <row r="58" spans="2:5" x14ac:dyDescent="0.2">
      <c r="B58" s="41"/>
      <c r="C58" s="42"/>
      <c r="D58" s="42"/>
    </row>
    <row r="61" spans="2:5" x14ac:dyDescent="0.2">
      <c r="B61" s="37" t="s">
        <v>82</v>
      </c>
    </row>
    <row r="63" spans="2:5" x14ac:dyDescent="0.2">
      <c r="B63" s="40" t="s">
        <v>98</v>
      </c>
      <c r="C63" s="40" t="s">
        <v>55</v>
      </c>
      <c r="D63" s="40" t="s">
        <v>100</v>
      </c>
      <c r="E63" s="49"/>
    </row>
    <row r="64" spans="2:5" x14ac:dyDescent="0.2">
      <c r="B64" s="40" t="s">
        <v>90</v>
      </c>
      <c r="C64" s="40">
        <v>64233.369999999995</v>
      </c>
      <c r="D64" s="40" t="str">
        <f>IF(C64&gt;100000,"达标","不达标")</f>
        <v>不达标</v>
      </c>
      <c r="E64" s="49"/>
    </row>
    <row r="65" spans="2:11" x14ac:dyDescent="0.2">
      <c r="B65" s="40" t="s">
        <v>91</v>
      </c>
      <c r="C65" s="40">
        <v>32755.710000000006</v>
      </c>
      <c r="D65" s="40" t="str">
        <f t="shared" ref="D65:D71" si="7">IF(C65&gt;100000,"达标","不达标")</f>
        <v>不达标</v>
      </c>
      <c r="E65" s="49"/>
    </row>
    <row r="66" spans="2:11" x14ac:dyDescent="0.2">
      <c r="B66" s="40" t="s">
        <v>92</v>
      </c>
      <c r="C66" s="40">
        <v>78895.689999999988</v>
      </c>
      <c r="D66" s="40" t="str">
        <f t="shared" si="7"/>
        <v>不达标</v>
      </c>
      <c r="E66" s="49"/>
    </row>
    <row r="67" spans="2:11" x14ac:dyDescent="0.2">
      <c r="B67" s="40" t="s">
        <v>93</v>
      </c>
      <c r="C67" s="40">
        <v>108307.06999999999</v>
      </c>
      <c r="D67" s="40" t="str">
        <f t="shared" si="7"/>
        <v>达标</v>
      </c>
      <c r="E67" s="49"/>
    </row>
    <row r="68" spans="2:11" x14ac:dyDescent="0.2">
      <c r="B68" s="40" t="s">
        <v>94</v>
      </c>
      <c r="C68" s="40">
        <v>194276.97</v>
      </c>
      <c r="D68" s="40" t="str">
        <f t="shared" si="7"/>
        <v>达标</v>
      </c>
      <c r="E68" s="49"/>
    </row>
    <row r="69" spans="2:11" x14ac:dyDescent="0.2">
      <c r="B69" s="40" t="s">
        <v>95</v>
      </c>
      <c r="C69" s="40">
        <v>255727.79000000007</v>
      </c>
      <c r="D69" s="40" t="str">
        <f t="shared" si="7"/>
        <v>达标</v>
      </c>
      <c r="E69" s="49"/>
    </row>
    <row r="70" spans="2:11" x14ac:dyDescent="0.2">
      <c r="B70" s="40" t="s">
        <v>96</v>
      </c>
      <c r="C70" s="40">
        <v>255891.73</v>
      </c>
      <c r="D70" s="40" t="str">
        <f t="shared" si="7"/>
        <v>达标</v>
      </c>
      <c r="E70" s="49"/>
    </row>
    <row r="71" spans="2:11" x14ac:dyDescent="0.2">
      <c r="B71" s="40" t="s">
        <v>97</v>
      </c>
      <c r="C71" s="40">
        <v>81384.920000000013</v>
      </c>
      <c r="D71" s="40" t="str">
        <f t="shared" si="7"/>
        <v>不达标</v>
      </c>
      <c r="E71" s="49"/>
    </row>
    <row r="72" spans="2:11" x14ac:dyDescent="0.2">
      <c r="B72" s="41"/>
      <c r="C72" s="41"/>
      <c r="D72" s="41"/>
      <c r="E72" s="49"/>
    </row>
    <row r="73" spans="2:11" x14ac:dyDescent="0.2">
      <c r="B73" s="41"/>
      <c r="C73" s="41"/>
      <c r="D73" s="41"/>
      <c r="E73" s="49"/>
    </row>
    <row r="74" spans="2:11" x14ac:dyDescent="0.2">
      <c r="B74" s="41"/>
      <c r="C74" s="41"/>
      <c r="D74" s="41"/>
      <c r="E74" s="49"/>
    </row>
    <row r="77" spans="2:11" x14ac:dyDescent="0.2">
      <c r="B77" s="37" t="s">
        <v>101</v>
      </c>
    </row>
    <row r="78" spans="2:11" x14ac:dyDescent="0.2">
      <c r="I78" s="37" t="s">
        <v>109</v>
      </c>
    </row>
    <row r="79" spans="2:11" x14ac:dyDescent="0.2">
      <c r="B79" s="40" t="s">
        <v>98</v>
      </c>
      <c r="C79" s="40" t="s">
        <v>55</v>
      </c>
      <c r="D79" s="40" t="s">
        <v>99</v>
      </c>
      <c r="E79" s="39" t="s">
        <v>102</v>
      </c>
      <c r="I79" s="40" t="s">
        <v>106</v>
      </c>
      <c r="J79" s="40" t="s">
        <v>107</v>
      </c>
      <c r="K79" s="40" t="s">
        <v>108</v>
      </c>
    </row>
    <row r="80" spans="2:11" x14ac:dyDescent="0.2">
      <c r="B80" s="40" t="s">
        <v>90</v>
      </c>
      <c r="C80" s="40">
        <v>64233.369999999995</v>
      </c>
      <c r="D80" s="40">
        <v>3344.24</v>
      </c>
      <c r="E80" s="40" t="str">
        <f>IF(C80&gt;100000,IF(D80&lt;5000,"达标","不达标"),"不达标")</f>
        <v>不达标</v>
      </c>
      <c r="I80" s="40">
        <v>0</v>
      </c>
      <c r="J80" s="40">
        <v>0</v>
      </c>
      <c r="K80" s="40" t="str">
        <f>IF(I80=0,IF(J80=0,"AB都等于","A等于B不等于"),IF(J80=0,"A不等于B等于","AB都不等于"))</f>
        <v>AB都等于</v>
      </c>
    </row>
    <row r="81" spans="2:25" x14ac:dyDescent="0.2">
      <c r="B81" s="40" t="s">
        <v>91</v>
      </c>
      <c r="C81" s="40">
        <v>32755.710000000006</v>
      </c>
      <c r="D81" s="40">
        <v>902.87</v>
      </c>
      <c r="E81" s="40" t="str">
        <f t="shared" ref="E81:E87" si="8">IF(C81&gt;100000,IF(D81&lt;5000,"达标","不达标"),"不达标")</f>
        <v>不达标</v>
      </c>
      <c r="I81" s="40">
        <v>1</v>
      </c>
      <c r="J81" s="40">
        <v>0</v>
      </c>
      <c r="K81" s="40" t="str">
        <f>IF(I81=0,IF(J81=0,"AB都等于","A等于B不等于"),IF(J81=0,"A不等于B等于","AB都不等于"))</f>
        <v>A不等于B等于</v>
      </c>
    </row>
    <row r="82" spans="2:25" x14ac:dyDescent="0.2">
      <c r="B82" s="40" t="s">
        <v>92</v>
      </c>
      <c r="C82" s="40">
        <v>78895.689999999988</v>
      </c>
      <c r="D82" s="40">
        <v>2645.3200000000006</v>
      </c>
      <c r="E82" s="40" t="str">
        <f t="shared" si="8"/>
        <v>不达标</v>
      </c>
      <c r="I82" s="40">
        <v>1</v>
      </c>
      <c r="J82" s="40">
        <v>1</v>
      </c>
      <c r="K82" s="40" t="str">
        <f>IF(I82=0,IF(J82=0,"AB都等于","A等于B不等于"),IF(J82=0,"A不等于B等于","AB都不等于"))</f>
        <v>AB都不等于</v>
      </c>
    </row>
    <row r="83" spans="2:25" x14ac:dyDescent="0.2">
      <c r="B83" s="40" t="s">
        <v>93</v>
      </c>
      <c r="C83" s="40">
        <v>108307.06999999999</v>
      </c>
      <c r="D83" s="40">
        <v>4513.12</v>
      </c>
      <c r="E83" s="40" t="str">
        <f t="shared" si="8"/>
        <v>达标</v>
      </c>
      <c r="I83" s="40">
        <v>0</v>
      </c>
      <c r="J83" s="40">
        <v>1</v>
      </c>
      <c r="K83" s="40" t="str">
        <f>IF(I83=0,IF(J83=0,"AB都等于","A等于B不等于"),IF(J83=0,"A不等于B等于","AB都不等于"))</f>
        <v>A等于B不等于</v>
      </c>
    </row>
    <row r="84" spans="2:25" x14ac:dyDescent="0.2">
      <c r="B84" s="40" t="s">
        <v>94</v>
      </c>
      <c r="C84" s="40">
        <v>194276.97</v>
      </c>
      <c r="D84" s="40">
        <v>11804.4</v>
      </c>
      <c r="E84" s="40" t="str">
        <f t="shared" si="8"/>
        <v>不达标</v>
      </c>
    </row>
    <row r="85" spans="2:25" x14ac:dyDescent="0.2">
      <c r="B85" s="40" t="s">
        <v>95</v>
      </c>
      <c r="C85" s="40">
        <v>255727.79000000007</v>
      </c>
      <c r="D85" s="40">
        <v>8302.5300000000007</v>
      </c>
      <c r="E85" s="40" t="str">
        <f t="shared" si="8"/>
        <v>不达标</v>
      </c>
    </row>
    <row r="86" spans="2:25" x14ac:dyDescent="0.2">
      <c r="B86" s="40" t="s">
        <v>96</v>
      </c>
      <c r="C86" s="40">
        <v>255891.73</v>
      </c>
      <c r="D86" s="40">
        <v>13616.330000000004</v>
      </c>
      <c r="E86" s="40" t="str">
        <f t="shared" si="8"/>
        <v>不达标</v>
      </c>
    </row>
    <row r="87" spans="2:25" x14ac:dyDescent="0.2">
      <c r="B87" s="40" t="s">
        <v>97</v>
      </c>
      <c r="C87" s="40">
        <v>81384.920000000013</v>
      </c>
      <c r="D87" s="40">
        <v>3680.309999999999</v>
      </c>
      <c r="E87" s="40" t="str">
        <f t="shared" si="8"/>
        <v>不达标</v>
      </c>
    </row>
    <row r="88" spans="2:25" x14ac:dyDescent="0.2">
      <c r="B88" s="41"/>
      <c r="C88" s="41"/>
      <c r="D88" s="41"/>
      <c r="E88" s="42"/>
    </row>
    <row r="89" spans="2:25" x14ac:dyDescent="0.2">
      <c r="B89" s="41"/>
      <c r="C89" s="41"/>
      <c r="D89" s="41"/>
      <c r="E89" s="42"/>
    </row>
    <row r="90" spans="2:25" x14ac:dyDescent="0.2">
      <c r="B90" s="41"/>
      <c r="C90" s="41"/>
      <c r="D90" s="41"/>
      <c r="E90" s="42"/>
    </row>
    <row r="93" spans="2:25" x14ac:dyDescent="0.2">
      <c r="B93" s="37" t="s">
        <v>105</v>
      </c>
      <c r="P93" s="37">
        <f>VLOOKUP(O96,O110:P117,2,FALSE)</f>
        <v>273854.58</v>
      </c>
    </row>
    <row r="94" spans="2:25" x14ac:dyDescent="0.2">
      <c r="F94" s="37" t="s">
        <v>121</v>
      </c>
      <c r="I94" s="37" t="s">
        <v>130</v>
      </c>
      <c r="S94" s="37" t="s">
        <v>118</v>
      </c>
    </row>
    <row r="95" spans="2:25" x14ac:dyDescent="0.2">
      <c r="B95" s="40" t="s">
        <v>103</v>
      </c>
      <c r="C95" s="40" t="s">
        <v>104</v>
      </c>
      <c r="D95" s="41"/>
      <c r="E95" s="41"/>
      <c r="F95" s="40" t="s">
        <v>122</v>
      </c>
      <c r="G95" s="40" t="s">
        <v>117</v>
      </c>
      <c r="I95" s="40" t="s">
        <v>124</v>
      </c>
      <c r="J95" s="40" t="s">
        <v>125</v>
      </c>
      <c r="L95"/>
      <c r="M95"/>
      <c r="N95"/>
      <c r="O95" s="40" t="s">
        <v>103</v>
      </c>
      <c r="P95" s="40" t="s">
        <v>55</v>
      </c>
      <c r="Q95" s="41"/>
      <c r="R95" s="41"/>
      <c r="S95" s="40" t="s">
        <v>110</v>
      </c>
      <c r="T95" s="40" t="s">
        <v>113</v>
      </c>
      <c r="U95" s="40" t="s">
        <v>117</v>
      </c>
      <c r="W95" s="59" t="s">
        <v>135</v>
      </c>
      <c r="X95" t="s">
        <v>144</v>
      </c>
      <c r="Y95"/>
    </row>
    <row r="96" spans="2:25" x14ac:dyDescent="0.2">
      <c r="B96" s="50" t="s">
        <v>46</v>
      </c>
      <c r="C96" s="40" t="str">
        <f>VLOOKUP(B96,'拌客源数据1-8月'!D:E,2,FALSE)</f>
        <v>宝山店</v>
      </c>
      <c r="D96" s="41"/>
      <c r="E96" s="41"/>
      <c r="F96" s="40" t="s">
        <v>129</v>
      </c>
      <c r="G96" s="40">
        <v>1</v>
      </c>
      <c r="I96" s="40" t="s">
        <v>114</v>
      </c>
      <c r="J96" s="40">
        <f>VLOOKUP(I96&amp;"*",F96:G103,2,TRUE)</f>
        <v>1</v>
      </c>
      <c r="L96"/>
      <c r="M96"/>
      <c r="N96"/>
      <c r="O96" s="50" t="s">
        <v>46</v>
      </c>
      <c r="P96" s="39">
        <f>VLOOKUP(O96,$O$109:$P$118,2,FALSE)</f>
        <v>273854.58</v>
      </c>
      <c r="Q96" s="42"/>
      <c r="R96" s="42"/>
      <c r="S96" s="40" t="s">
        <v>106</v>
      </c>
      <c r="T96" s="40" t="s">
        <v>114</v>
      </c>
      <c r="U96" s="40">
        <v>1</v>
      </c>
      <c r="W96" s="60" t="s">
        <v>145</v>
      </c>
      <c r="X96" s="61">
        <v>19</v>
      </c>
      <c r="Y96"/>
    </row>
    <row r="97" spans="2:25" x14ac:dyDescent="0.2">
      <c r="B97" s="50" t="s">
        <v>47</v>
      </c>
      <c r="C97" s="40" t="str">
        <f>VLOOKUP(B97,'拌客源数据1-8月'!D:E,2,FALSE)</f>
        <v>五角场店</v>
      </c>
      <c r="D97" s="41"/>
      <c r="E97" s="41"/>
      <c r="F97" s="40" t="s">
        <v>127</v>
      </c>
      <c r="G97" s="40">
        <v>2</v>
      </c>
      <c r="L97"/>
      <c r="M97"/>
      <c r="N97"/>
      <c r="O97" s="50" t="s">
        <v>47</v>
      </c>
      <c r="P97" s="39">
        <f t="shared" ref="P97:P103" si="9">VLOOKUP(O97,$O$109:$P$118,2,FALSE)</f>
        <v>16838.82</v>
      </c>
      <c r="Q97" s="42"/>
      <c r="R97" s="42"/>
      <c r="S97" s="40" t="s">
        <v>106</v>
      </c>
      <c r="T97" s="40" t="s">
        <v>115</v>
      </c>
      <c r="U97" s="40">
        <v>2</v>
      </c>
      <c r="W97" s="62" t="s">
        <v>140</v>
      </c>
      <c r="X97" s="61">
        <v>1</v>
      </c>
      <c r="Y97"/>
    </row>
    <row r="98" spans="2:25" x14ac:dyDescent="0.2">
      <c r="B98" s="50" t="s">
        <v>44</v>
      </c>
      <c r="C98" s="40" t="str">
        <f>VLOOKUP(B98,'拌客源数据1-8月'!D:E,2,FALSE)</f>
        <v>龙阳广场店</v>
      </c>
      <c r="D98" s="41"/>
      <c r="E98" s="41"/>
      <c r="F98" s="40" t="s">
        <v>126</v>
      </c>
      <c r="G98" s="40">
        <v>3</v>
      </c>
      <c r="I98" s="37" t="s">
        <v>128</v>
      </c>
      <c r="L98"/>
      <c r="M98"/>
      <c r="N98"/>
      <c r="O98" s="50" t="s">
        <v>44</v>
      </c>
      <c r="P98" s="39">
        <f t="shared" si="9"/>
        <v>6452.04</v>
      </c>
      <c r="Q98" s="42"/>
      <c r="R98" s="42"/>
      <c r="S98" s="40" t="s">
        <v>107</v>
      </c>
      <c r="T98" s="40" t="s">
        <v>116</v>
      </c>
      <c r="U98" s="40">
        <v>3</v>
      </c>
      <c r="W98" s="62" t="s">
        <v>141</v>
      </c>
      <c r="X98" s="61">
        <v>5</v>
      </c>
      <c r="Y98"/>
    </row>
    <row r="99" spans="2:25" x14ac:dyDescent="0.2">
      <c r="B99" s="50" t="s">
        <v>45</v>
      </c>
      <c r="C99" s="40" t="str">
        <f>VLOOKUP(B99,'拌客源数据1-8月'!D:E,2,FALSE)</f>
        <v>五角场店</v>
      </c>
      <c r="D99" s="41"/>
      <c r="E99" s="41"/>
      <c r="F99" s="40" t="s">
        <v>138</v>
      </c>
      <c r="G99" s="40">
        <v>4</v>
      </c>
      <c r="I99" s="40" t="s">
        <v>115</v>
      </c>
      <c r="J99" s="40">
        <f>VLOOKUP(I99&amp;"??",F95:G103,2,FALSE)</f>
        <v>7</v>
      </c>
      <c r="L99"/>
      <c r="M99"/>
      <c r="N99"/>
      <c r="O99" s="50" t="s">
        <v>45</v>
      </c>
      <c r="P99" s="39">
        <f t="shared" si="9"/>
        <v>60286.000000000022</v>
      </c>
      <c r="Q99" s="42"/>
      <c r="R99" s="42"/>
      <c r="S99" s="40" t="s">
        <v>107</v>
      </c>
      <c r="T99" s="40" t="s">
        <v>116</v>
      </c>
      <c r="U99" s="40">
        <v>4</v>
      </c>
      <c r="W99" s="62" t="s">
        <v>142</v>
      </c>
      <c r="X99" s="61">
        <v>13</v>
      </c>
      <c r="Y99"/>
    </row>
    <row r="100" spans="2:25" x14ac:dyDescent="0.2">
      <c r="B100" s="50" t="s">
        <v>48</v>
      </c>
      <c r="C100" s="40" t="str">
        <f>VLOOKUP(B100,'拌客源数据1-8月'!D:E,2,FALSE)</f>
        <v>怒江路店</v>
      </c>
      <c r="D100" s="41"/>
      <c r="E100" s="41"/>
      <c r="F100" s="40" t="s">
        <v>139</v>
      </c>
      <c r="G100" s="40">
        <v>5</v>
      </c>
      <c r="L100"/>
      <c r="M100"/>
      <c r="N100"/>
      <c r="O100" s="50" t="s">
        <v>48</v>
      </c>
      <c r="P100" s="39">
        <f t="shared" si="9"/>
        <v>4313.57</v>
      </c>
      <c r="Q100" s="42"/>
      <c r="R100" s="42"/>
      <c r="S100" s="40" t="s">
        <v>107</v>
      </c>
      <c r="T100" s="40" t="s">
        <v>114</v>
      </c>
      <c r="U100" s="40">
        <v>5</v>
      </c>
      <c r="W100" s="60" t="s">
        <v>146</v>
      </c>
      <c r="X100" s="61">
        <v>10</v>
      </c>
      <c r="Y100"/>
    </row>
    <row r="101" spans="2:25" x14ac:dyDescent="0.2">
      <c r="B101" s="50" t="s">
        <v>49</v>
      </c>
      <c r="C101" s="40" t="str">
        <f>VLOOKUP(B101,'拌客源数据1-8月'!D:E,2,FALSE)</f>
        <v>宝山店</v>
      </c>
      <c r="D101" s="41"/>
      <c r="E101" s="41"/>
      <c r="F101" s="40" t="s">
        <v>119</v>
      </c>
      <c r="G101" s="40">
        <v>6</v>
      </c>
      <c r="L101"/>
      <c r="M101"/>
      <c r="N101"/>
      <c r="O101" s="50" t="s">
        <v>49</v>
      </c>
      <c r="P101" s="39">
        <f t="shared" si="9"/>
        <v>169975.03999999998</v>
      </c>
      <c r="Q101" s="42"/>
      <c r="R101" s="42"/>
      <c r="S101" s="40" t="s">
        <v>111</v>
      </c>
      <c r="T101" s="40" t="s">
        <v>114</v>
      </c>
      <c r="U101" s="40">
        <v>6</v>
      </c>
      <c r="W101" s="62" t="s">
        <v>140</v>
      </c>
      <c r="X101" s="61">
        <v>2</v>
      </c>
      <c r="Y101"/>
    </row>
    <row r="102" spans="2:25" x14ac:dyDescent="0.2">
      <c r="B102" s="50" t="s">
        <v>50</v>
      </c>
      <c r="C102" s="40" t="str">
        <f>VLOOKUP(B102,'拌客源数据1-8月'!D:E,2,FALSE)</f>
        <v>拌客干拌麻辣烫(武宁路店)</v>
      </c>
      <c r="D102" s="41"/>
      <c r="E102" s="41"/>
      <c r="F102" s="40" t="s">
        <v>120</v>
      </c>
      <c r="G102" s="40">
        <v>7</v>
      </c>
      <c r="L102"/>
      <c r="M102"/>
      <c r="N102"/>
      <c r="O102" s="50" t="s">
        <v>50</v>
      </c>
      <c r="P102" s="39">
        <f t="shared" si="9"/>
        <v>425745.45999999996</v>
      </c>
      <c r="Q102" s="42"/>
      <c r="R102" s="42"/>
      <c r="S102" s="40" t="s">
        <v>111</v>
      </c>
      <c r="T102" s="40" t="s">
        <v>114</v>
      </c>
      <c r="U102" s="40">
        <v>7</v>
      </c>
      <c r="W102" s="62" t="s">
        <v>143</v>
      </c>
      <c r="X102" s="61">
        <v>8</v>
      </c>
      <c r="Y102"/>
    </row>
    <row r="103" spans="2:25" x14ac:dyDescent="0.2">
      <c r="B103" s="50" t="s">
        <v>51</v>
      </c>
      <c r="C103" s="40" t="str">
        <f>VLOOKUP(B103,'拌客源数据1-8月'!D:E,2,FALSE)</f>
        <v>拌客干拌麻辣烫(武宁路店)</v>
      </c>
      <c r="D103" s="41"/>
      <c r="E103" s="41"/>
      <c r="F103" s="40" t="s">
        <v>123</v>
      </c>
      <c r="G103" s="40">
        <v>8</v>
      </c>
      <c r="L103"/>
      <c r="M103"/>
      <c r="N103"/>
      <c r="O103" s="50" t="s">
        <v>51</v>
      </c>
      <c r="P103" s="39">
        <f t="shared" si="9"/>
        <v>114007.74</v>
      </c>
      <c r="Q103" s="42"/>
      <c r="R103" s="42"/>
      <c r="S103" s="40" t="s">
        <v>112</v>
      </c>
      <c r="T103" s="40" t="s">
        <v>115</v>
      </c>
      <c r="U103" s="40">
        <v>8</v>
      </c>
      <c r="W103" s="60" t="s">
        <v>147</v>
      </c>
      <c r="X103" s="61">
        <v>7</v>
      </c>
      <c r="Y103"/>
    </row>
    <row r="104" spans="2:25" x14ac:dyDescent="0.2">
      <c r="B104" s="51"/>
      <c r="C104" s="41"/>
      <c r="D104" s="41"/>
      <c r="E104" s="41"/>
      <c r="F104" s="41"/>
      <c r="G104" s="41"/>
      <c r="L104"/>
      <c r="M104"/>
      <c r="N104"/>
      <c r="O104" s="51"/>
      <c r="P104" s="42"/>
      <c r="Q104" s="42"/>
      <c r="R104" s="42"/>
      <c r="S104" s="41"/>
      <c r="T104" s="41"/>
      <c r="U104" s="41"/>
      <c r="W104" s="62" t="s">
        <v>141</v>
      </c>
      <c r="X104" s="61">
        <v>7</v>
      </c>
      <c r="Y104"/>
    </row>
    <row r="105" spans="2:25" x14ac:dyDescent="0.2">
      <c r="B105" s="51"/>
      <c r="C105" s="41"/>
      <c r="D105" s="41"/>
      <c r="E105" s="41"/>
      <c r="F105" s="41"/>
      <c r="G105" s="41"/>
      <c r="L105"/>
      <c r="M105"/>
      <c r="N105"/>
      <c r="O105" s="51"/>
      <c r="P105" s="42"/>
      <c r="Q105" s="42"/>
      <c r="R105" s="42"/>
      <c r="S105" s="41"/>
      <c r="T105" s="41"/>
      <c r="U105" s="41"/>
      <c r="W105" s="60" t="s">
        <v>136</v>
      </c>
      <c r="X105" s="61">
        <v>36</v>
      </c>
      <c r="Y105"/>
    </row>
    <row r="106" spans="2:25" x14ac:dyDescent="0.2">
      <c r="B106" s="51"/>
      <c r="C106" s="41"/>
      <c r="D106" s="41"/>
      <c r="E106" s="41"/>
      <c r="F106" s="41"/>
      <c r="G106" s="41"/>
      <c r="L106"/>
      <c r="M106"/>
      <c r="N106"/>
      <c r="O106" s="51"/>
      <c r="P106" s="42"/>
      <c r="Q106" s="42"/>
      <c r="R106" s="42"/>
      <c r="S106"/>
      <c r="T106"/>
      <c r="U106"/>
      <c r="W106"/>
      <c r="X106"/>
      <c r="Y106"/>
    </row>
    <row r="107" spans="2:25" x14ac:dyDescent="0.2">
      <c r="L107"/>
      <c r="M107"/>
      <c r="N107"/>
      <c r="S107"/>
      <c r="T107"/>
      <c r="U107"/>
      <c r="W107"/>
      <c r="X107"/>
      <c r="Y107"/>
    </row>
    <row r="108" spans="2:25" x14ac:dyDescent="0.2">
      <c r="L108"/>
      <c r="M108"/>
      <c r="N108"/>
      <c r="S108"/>
      <c r="T108"/>
      <c r="U108"/>
      <c r="W108"/>
      <c r="X108"/>
      <c r="Y108"/>
    </row>
    <row r="109" spans="2:25" x14ac:dyDescent="0.2">
      <c r="B109" s="37" t="s">
        <v>133</v>
      </c>
      <c r="L109"/>
      <c r="M109"/>
      <c r="N109"/>
      <c r="O109" s="59" t="s">
        <v>135</v>
      </c>
      <c r="P109" t="s">
        <v>137</v>
      </c>
      <c r="Q109"/>
      <c r="S109"/>
      <c r="T109"/>
      <c r="U109"/>
      <c r="W109"/>
      <c r="X109"/>
      <c r="Y109"/>
    </row>
    <row r="110" spans="2:25" x14ac:dyDescent="0.2">
      <c r="L110"/>
      <c r="M110"/>
      <c r="N110"/>
      <c r="O110" s="60" t="s">
        <v>45</v>
      </c>
      <c r="P110" s="61">
        <v>60286.000000000022</v>
      </c>
      <c r="Q110"/>
      <c r="S110"/>
      <c r="T110"/>
      <c r="U110"/>
      <c r="W110"/>
      <c r="X110"/>
      <c r="Y110"/>
    </row>
    <row r="111" spans="2:25" x14ac:dyDescent="0.2">
      <c r="B111" s="77" t="s">
        <v>11</v>
      </c>
      <c r="C111" s="78"/>
      <c r="D111" s="40" t="s">
        <v>103</v>
      </c>
      <c r="E111" s="40" t="s">
        <v>131</v>
      </c>
      <c r="F111" s="40" t="s">
        <v>132</v>
      </c>
      <c r="G111" s="40" t="s">
        <v>104</v>
      </c>
      <c r="H111" s="40" t="s">
        <v>55</v>
      </c>
      <c r="I111" s="40" t="s">
        <v>74</v>
      </c>
      <c r="J111" s="40" t="s">
        <v>75</v>
      </c>
      <c r="K111" s="41"/>
      <c r="L111"/>
      <c r="M111"/>
      <c r="N111"/>
      <c r="O111" s="60" t="s">
        <v>46</v>
      </c>
      <c r="P111" s="61">
        <v>273854.58</v>
      </c>
      <c r="Q111"/>
      <c r="S111"/>
      <c r="T111"/>
      <c r="U111"/>
      <c r="W111"/>
      <c r="X111"/>
      <c r="Y111"/>
    </row>
    <row r="112" spans="2:25" x14ac:dyDescent="0.2">
      <c r="B112" s="68" t="s">
        <v>158</v>
      </c>
      <c r="C112" s="69"/>
      <c r="D112" s="40" t="str">
        <f>INDEX('拌客源数据1-8月'!$A:$I,MATCH($B112,'拌客源数据1-8月'!$I:$I,0),MATCH(D$111,'拌客源数据1-8月'!$A$1:$I$1,0))</f>
        <v>2001104355</v>
      </c>
      <c r="E112" s="40" t="str">
        <f>INDEX('拌客源数据1-8月'!$A:$I,MATCH('常用函数-完成版'!$B112,'拌客源数据1-8月'!$I:$I,0),MATCH('常用函数-完成版'!E$111,'拌客源数据1-8月'!$A$1:$I$1,0))</f>
        <v>蛙小辣火锅杯（总账号）</v>
      </c>
      <c r="F112" s="40">
        <f>INDEX('拌客源数据1-8月'!$A:$I,MATCH('常用函数-完成版'!$B112,'拌客源数据1-8月'!$I:$I,0),MATCH('常用函数-完成版'!F$111,'拌客源数据1-8月'!$A$1:$I$1,0))</f>
        <v>4636</v>
      </c>
      <c r="G112" s="40" t="str">
        <f>INDEX('拌客源数据1-8月'!$A:$I,MATCH('常用函数-完成版'!$B112,'拌客源数据1-8月'!$I:$I,0),MATCH('常用函数-完成版'!G$111,'拌客源数据1-8月'!$A$1:$I$1,0))</f>
        <v>宝山店</v>
      </c>
      <c r="H112" s="40">
        <f>SUMIFS(INDEX('拌客源数据1-8月'!$A:$X,0,MATCH('常用函数-完成版'!H$111,'拌客源数据1-8月'!$A$1:$X$1,0)),'拌客源数据1-8月'!$I:$I,'常用函数-完成版'!$B112)</f>
        <v>116343.26000000004</v>
      </c>
      <c r="I112" s="40">
        <f>SUMIFS(INDEX('拌客源数据1-8月'!$A:$X,0,MATCH('常用函数-完成版'!I$111,'拌客源数据1-8月'!$A$1:$X$1,0)),'拌客源数据1-8月'!$I:$I,'常用函数-完成版'!$B112)</f>
        <v>11204</v>
      </c>
      <c r="J112" s="40">
        <f>SUMIFS(INDEX('拌客源数据1-8月'!$A:$X,0,MATCH('常用函数-完成版'!J$111,'拌客源数据1-8月'!$A$1:$X$1,0)),'拌客源数据1-8月'!$I:$I,'常用函数-完成版'!$B112)</f>
        <v>1646</v>
      </c>
      <c r="L112"/>
      <c r="M112"/>
      <c r="N112"/>
      <c r="O112" s="60" t="s">
        <v>44</v>
      </c>
      <c r="P112" s="61">
        <v>6452.04</v>
      </c>
      <c r="Q112"/>
      <c r="S112"/>
      <c r="T112"/>
      <c r="U112"/>
      <c r="W112"/>
      <c r="X112"/>
      <c r="Y112"/>
    </row>
    <row r="113" spans="2:21" x14ac:dyDescent="0.2">
      <c r="B113" s="68" t="s">
        <v>23</v>
      </c>
      <c r="C113" s="69"/>
      <c r="D113" s="40" t="str">
        <f>INDEX('拌客源数据1-8月'!$A:$I,MATCH($B113,'拌客源数据1-8月'!$I:$I,0),MATCH(D$111,'拌客源数据1-8月'!$A$1:$I$1,0))</f>
        <v>8184590</v>
      </c>
      <c r="E113" s="40" t="str">
        <f>INDEX('拌客源数据1-8月'!$A:$I,MATCH('常用函数-完成版'!$B113,'拌客源数据1-8月'!$I:$I,0),MATCH('常用函数-完成版'!E$111,'拌客源数据1-8月'!$A$1:$I$1,0))</f>
        <v>蛙小辣火锅杯（总账号）</v>
      </c>
      <c r="F113" s="40">
        <f>INDEX('拌客源数据1-8月'!$A:$I,MATCH('常用函数-完成版'!$B113,'拌客源数据1-8月'!$I:$I,0),MATCH('常用函数-完成版'!F$111,'拌客源数据1-8月'!$A$1:$I$1,0))</f>
        <v>4636</v>
      </c>
      <c r="G113" s="40" t="str">
        <f>INDEX('拌客源数据1-8月'!$A:$I,MATCH('常用函数-完成版'!$B113,'拌客源数据1-8月'!$I:$I,0),MATCH('常用函数-完成版'!G$111,'拌客源数据1-8月'!$A$1:$I$1,0))</f>
        <v>五角场店</v>
      </c>
      <c r="H113" s="40">
        <f>SUMIFS(INDEX('拌客源数据1-8月'!$A:$X,0,MATCH('常用函数-完成版'!H$111,'拌客源数据1-8月'!$A$1:$X$1,0)),'拌客源数据1-8月'!$I:$I,'常用函数-完成版'!$B113)</f>
        <v>6787.9800000000005</v>
      </c>
      <c r="I113" s="40">
        <f>SUMIFS(INDEX('拌客源数据1-8月'!$A:$X,0,MATCH('常用函数-完成版'!I$111,'拌客源数据1-8月'!$A$1:$X$1,0)),'拌客源数据1-8月'!$I:$I,'常用函数-完成版'!$B113)</f>
        <v>775</v>
      </c>
      <c r="J113" s="40">
        <f>SUMIFS(INDEX('拌客源数据1-8月'!$A:$X,0,MATCH('常用函数-完成版'!J$111,'拌客源数据1-8月'!$A$1:$X$1,0)),'拌客源数据1-8月'!$I:$I,'常用函数-完成版'!$B113)</f>
        <v>113</v>
      </c>
      <c r="O113" s="60" t="s">
        <v>50</v>
      </c>
      <c r="P113" s="61">
        <v>425745.45999999996</v>
      </c>
      <c r="Q113"/>
      <c r="S113"/>
      <c r="T113"/>
      <c r="U113"/>
    </row>
    <row r="114" spans="2:21" x14ac:dyDescent="0.2">
      <c r="B114" s="68" t="s">
        <v>32</v>
      </c>
      <c r="C114" s="69"/>
      <c r="D114" s="40" t="str">
        <f>INDEX('拌客源数据1-8月'!$A:$I,MATCH($B114,'拌客源数据1-8月'!$I:$I,0),MATCH(D$111,'拌客源数据1-8月'!$A$1:$I$1,0))</f>
        <v>305225345</v>
      </c>
      <c r="E114" s="40" t="str">
        <f>INDEX('拌客源数据1-8月'!$A:$I,MATCH('常用函数-完成版'!$B114,'拌客源数据1-8月'!$I:$I,0),MATCH('常用函数-完成版'!E$111,'拌客源数据1-8月'!$A$1:$I$1,0))</f>
        <v>蛙小辣火锅杯（总账号）</v>
      </c>
      <c r="F114" s="40">
        <f>INDEX('拌客源数据1-8月'!$A:$I,MATCH('常用函数-完成版'!$B114,'拌客源数据1-8月'!$I:$I,0),MATCH('常用函数-完成版'!F$111,'拌客源数据1-8月'!$A$1:$I$1,0))</f>
        <v>4636</v>
      </c>
      <c r="G114" s="40" t="str">
        <f>INDEX('拌客源数据1-8月'!$A:$I,MATCH('常用函数-完成版'!$B114,'拌客源数据1-8月'!$I:$I,0),MATCH('常用函数-完成版'!G$111,'拌客源数据1-8月'!$A$1:$I$1,0))</f>
        <v>龙阳广场店</v>
      </c>
      <c r="H114" s="40">
        <f>SUMIFS(INDEX('拌客源数据1-8月'!$A:$X,0,MATCH('常用函数-完成版'!H$111,'拌客源数据1-8月'!$A$1:$X$1,0)),'拌客源数据1-8月'!$I:$I,'常用函数-完成版'!$B114)</f>
        <v>6452.04</v>
      </c>
      <c r="I114" s="40">
        <f>SUMIFS(INDEX('拌客源数据1-8月'!$A:$X,0,MATCH('常用函数-完成版'!I$111,'拌客源数据1-8月'!$A$1:$X$1,0)),'拌客源数据1-8月'!$I:$I,'常用函数-完成版'!$B114)</f>
        <v>590</v>
      </c>
      <c r="J114" s="40">
        <f>SUMIFS(INDEX('拌客源数据1-8月'!$A:$X,0,MATCH('常用函数-完成版'!J$111,'拌客源数据1-8月'!$A$1:$X$1,0)),'拌客源数据1-8月'!$I:$I,'常用函数-完成版'!$B114)</f>
        <v>108</v>
      </c>
      <c r="O114" s="60" t="s">
        <v>48</v>
      </c>
      <c r="P114" s="61">
        <v>4313.57</v>
      </c>
      <c r="Q114"/>
      <c r="S114"/>
      <c r="T114"/>
      <c r="U114"/>
    </row>
    <row r="115" spans="2:21" x14ac:dyDescent="0.2">
      <c r="B115" s="68" t="s">
        <v>30</v>
      </c>
      <c r="C115" s="69"/>
      <c r="D115" s="40" t="str">
        <f>INDEX('拌客源数据1-8月'!$A:$I,MATCH($B115,'拌客源数据1-8月'!$I:$I,0),MATCH(D$111,'拌客源数据1-8月'!$A$1:$I$1,0))</f>
        <v>2000507076</v>
      </c>
      <c r="E115" s="40" t="str">
        <f>INDEX('拌客源数据1-8月'!$A:$I,MATCH('常用函数-完成版'!$B115,'拌客源数据1-8月'!$I:$I,0),MATCH('常用函数-完成版'!E$111,'拌客源数据1-8月'!$A$1:$I$1,0))</f>
        <v>蛙小辣火锅杯（总账号）</v>
      </c>
      <c r="F115" s="40">
        <f>INDEX('拌客源数据1-8月'!$A:$I,MATCH('常用函数-完成版'!$B115,'拌客源数据1-8月'!$I:$I,0),MATCH('常用函数-完成版'!F$111,'拌客源数据1-8月'!$A$1:$I$1,0))</f>
        <v>4636</v>
      </c>
      <c r="G115" s="40" t="str">
        <f>INDEX('拌客源数据1-8月'!$A:$I,MATCH('常用函数-完成版'!$B115,'拌客源数据1-8月'!$I:$I,0),MATCH('常用函数-完成版'!G$111,'拌客源数据1-8月'!$A$1:$I$1,0))</f>
        <v>五角场店</v>
      </c>
      <c r="H115" s="40">
        <f>SUMIFS(INDEX('拌客源数据1-8月'!$A:$X,0,MATCH('常用函数-完成版'!H$111,'拌客源数据1-8月'!$A$1:$X$1,0)),'拌客源数据1-8月'!$I:$I,'常用函数-完成版'!$B115)</f>
        <v>33744.82</v>
      </c>
      <c r="I115" s="40">
        <f>SUMIFS(INDEX('拌客源数据1-8月'!$A:$X,0,MATCH('常用函数-完成版'!I$111,'拌客源数据1-8月'!$A$1:$X$1,0)),'拌客源数据1-8月'!$I:$I,'常用函数-完成版'!$B115)</f>
        <v>2490</v>
      </c>
      <c r="J115" s="40">
        <f>SUMIFS(INDEX('拌客源数据1-8月'!$A:$X,0,MATCH('常用函数-完成版'!J$111,'拌客源数据1-8月'!$A$1:$X$1,0)),'拌客源数据1-8月'!$I:$I,'常用函数-完成版'!$B115)</f>
        <v>512</v>
      </c>
      <c r="O115" s="60" t="s">
        <v>47</v>
      </c>
      <c r="P115" s="61">
        <v>16838.82</v>
      </c>
      <c r="Q115"/>
      <c r="S115"/>
      <c r="T115"/>
      <c r="U115"/>
    </row>
    <row r="116" spans="2:21" x14ac:dyDescent="0.2">
      <c r="B116" s="68" t="s">
        <v>25</v>
      </c>
      <c r="C116" s="69"/>
      <c r="D116" s="40" t="str">
        <f>INDEX('拌客源数据1-8月'!$A:$I,MATCH($B116,'拌客源数据1-8月'!$I:$I,0),MATCH(D$111,'拌客源数据1-8月'!$A$1:$I$1,0))</f>
        <v>8106681</v>
      </c>
      <c r="E116" s="40" t="str">
        <f>INDEX('拌客源数据1-8月'!$A:$I,MATCH('常用函数-完成版'!$B116,'拌客源数据1-8月'!$I:$I,0),MATCH('常用函数-完成版'!E$111,'拌客源数据1-8月'!$A$1:$I$1,0))</f>
        <v>蛙小辣火锅杯（总账号）</v>
      </c>
      <c r="F116" s="40">
        <f>INDEX('拌客源数据1-8月'!$A:$I,MATCH('常用函数-完成版'!$B116,'拌客源数据1-8月'!$I:$I,0),MATCH('常用函数-完成版'!F$111,'拌客源数据1-8月'!$A$1:$I$1,0))</f>
        <v>4636</v>
      </c>
      <c r="G116" s="40" t="str">
        <f>INDEX('拌客源数据1-8月'!$A:$I,MATCH('常用函数-完成版'!$B116,'拌客源数据1-8月'!$I:$I,0),MATCH('常用函数-完成版'!G$111,'拌客源数据1-8月'!$A$1:$I$1,0))</f>
        <v>怒江路店</v>
      </c>
      <c r="H116" s="40">
        <f>SUMIFS(INDEX('拌客源数据1-8月'!$A:$X,0,MATCH('常用函数-完成版'!H$111,'拌客源数据1-8月'!$A$1:$X$1,0)),'拌客源数据1-8月'!$I:$I,'常用函数-完成版'!$B116)</f>
        <v>4313.57</v>
      </c>
      <c r="I116" s="40">
        <f>SUMIFS(INDEX('拌客源数据1-8月'!$A:$X,0,MATCH('常用函数-完成版'!I$111,'拌客源数据1-8月'!$A$1:$X$1,0)),'拌客源数据1-8月'!$I:$I,'常用函数-完成版'!$B116)</f>
        <v>367</v>
      </c>
      <c r="J116" s="40">
        <f>SUMIFS(INDEX('拌客源数据1-8月'!$A:$X,0,MATCH('常用函数-完成版'!J$111,'拌客源数据1-8月'!$A$1:$X$1,0)),'拌客源数据1-8月'!$I:$I,'常用函数-完成版'!$B116)</f>
        <v>66</v>
      </c>
      <c r="O116" s="60" t="s">
        <v>49</v>
      </c>
      <c r="P116" s="61">
        <v>169975.03999999998</v>
      </c>
      <c r="Q116"/>
      <c r="S116"/>
      <c r="T116"/>
      <c r="U116"/>
    </row>
    <row r="117" spans="2:21" x14ac:dyDescent="0.2">
      <c r="B117" s="68" t="s">
        <v>34</v>
      </c>
      <c r="C117" s="69"/>
      <c r="D117" s="40" t="str">
        <f>INDEX('拌客源数据1-8月'!$A:$I,MATCH($B117,'拌客源数据1-8月'!$I:$I,0),MATCH(D$111,'拌客源数据1-8月'!$A$1:$I$1,0))</f>
        <v>8491999</v>
      </c>
      <c r="E117" s="40" t="str">
        <f>INDEX('拌客源数据1-8月'!$A:$I,MATCH('常用函数-完成版'!$B117,'拌客源数据1-8月'!$I:$I,0),MATCH('常用函数-完成版'!E$111,'拌客源数据1-8月'!$A$1:$I$1,0))</f>
        <v>蛙小辣火锅杯（总账号）</v>
      </c>
      <c r="F117" s="40">
        <f>INDEX('拌客源数据1-8月'!$A:$I,MATCH('常用函数-完成版'!$B117,'拌客源数据1-8月'!$I:$I,0),MATCH('常用函数-完成版'!F$111,'拌客源数据1-8月'!$A$1:$I$1,0))</f>
        <v>4636</v>
      </c>
      <c r="G117" s="40" t="str">
        <f>INDEX('拌客源数据1-8月'!$A:$I,MATCH('常用函数-完成版'!$B117,'拌客源数据1-8月'!$I:$I,0),MATCH('常用函数-完成版'!G$111,'拌客源数据1-8月'!$A$1:$I$1,0))</f>
        <v>宝山店</v>
      </c>
      <c r="H117" s="40">
        <f>SUMIFS(INDEX('拌客源数据1-8月'!$A:$X,0,MATCH('常用函数-完成版'!H$111,'拌客源数据1-8月'!$A$1:$X$1,0)),'拌客源数据1-8月'!$I:$I,'常用函数-完成版'!$B117)</f>
        <v>169975.03999999998</v>
      </c>
      <c r="I117" s="40">
        <f>SUMIFS(INDEX('拌客源数据1-8月'!$A:$X,0,MATCH('常用函数-完成版'!I$111,'拌客源数据1-8月'!$A$1:$X$1,0)),'拌客源数据1-8月'!$I:$I,'常用函数-完成版'!$B117)</f>
        <v>15813</v>
      </c>
      <c r="J117" s="40">
        <f>SUMIFS(INDEX('拌客源数据1-8月'!$A:$X,0,MATCH('常用函数-完成版'!J$111,'拌客源数据1-8月'!$A$1:$X$1,0)),'拌客源数据1-8月'!$I:$I,'常用函数-完成版'!$B117)</f>
        <v>2969</v>
      </c>
      <c r="O117" s="60" t="s">
        <v>51</v>
      </c>
      <c r="P117" s="61">
        <v>114007.74</v>
      </c>
      <c r="Q117"/>
      <c r="S117"/>
      <c r="T117"/>
      <c r="U117"/>
    </row>
    <row r="118" spans="2:21" x14ac:dyDescent="0.2">
      <c r="B118" s="68" t="s">
        <v>33</v>
      </c>
      <c r="C118" s="69"/>
      <c r="D118" s="40" t="str">
        <f>INDEX('拌客源数据1-8月'!$A:$I,MATCH($B118,'拌客源数据1-8月'!$I:$I,0),MATCH(D$111,'拌客源数据1-8月'!$A$1:$I$1,0))</f>
        <v>8184590</v>
      </c>
      <c r="E118" s="40" t="str">
        <f>INDEX('拌客源数据1-8月'!$A:$I,MATCH('常用函数-完成版'!$B118,'拌客源数据1-8月'!$I:$I,0),MATCH('常用函数-完成版'!E$111,'拌客源数据1-8月'!$A$1:$I$1,0))</f>
        <v>蛙小辣火锅杯（总账号）</v>
      </c>
      <c r="F118" s="40">
        <f>INDEX('拌客源数据1-8月'!$A:$I,MATCH('常用函数-完成版'!$B118,'拌客源数据1-8月'!$I:$I,0),MATCH('常用函数-完成版'!F$111,'拌客源数据1-8月'!$A$1:$I$1,0))</f>
        <v>4636</v>
      </c>
      <c r="G118" s="40" t="str">
        <f>INDEX('拌客源数据1-8月'!$A:$I,MATCH('常用函数-完成版'!$B118,'拌客源数据1-8月'!$I:$I,0),MATCH('常用函数-完成版'!G$111,'拌客源数据1-8月'!$A$1:$I$1,0))</f>
        <v>五角场店</v>
      </c>
      <c r="H118" s="40">
        <f>SUMIFS(INDEX('拌客源数据1-8月'!$A:$X,0,MATCH('常用函数-完成版'!H$111,'拌客源数据1-8月'!$A$1:$X$1,0)),'拌客源数据1-8月'!$I:$I,'常用函数-完成版'!$B118)</f>
        <v>9368.7099999999973</v>
      </c>
      <c r="I118" s="40">
        <f>SUMIFS(INDEX('拌客源数据1-8月'!$A:$X,0,MATCH('常用函数-完成版'!I$111,'拌客源数据1-8月'!$A$1:$X$1,0)),'拌客源数据1-8月'!$I:$I,'常用函数-完成版'!$B118)</f>
        <v>791</v>
      </c>
      <c r="J118" s="40">
        <f>SUMIFS(INDEX('拌客源数据1-8月'!$A:$X,0,MATCH('常用函数-完成版'!J$111,'拌客源数据1-8月'!$A$1:$X$1,0)),'拌客源数据1-8月'!$I:$I,'常用函数-完成版'!$B118)</f>
        <v>154</v>
      </c>
      <c r="O118" s="60" t="s">
        <v>136</v>
      </c>
      <c r="P118" s="61">
        <v>1071473.2499999998</v>
      </c>
      <c r="Q118"/>
      <c r="S118"/>
      <c r="T118"/>
      <c r="U118"/>
    </row>
    <row r="119" spans="2:21" x14ac:dyDescent="0.2">
      <c r="B119" s="68" t="s">
        <v>35</v>
      </c>
      <c r="C119" s="69"/>
      <c r="D119" s="40" t="str">
        <f>INDEX('拌客源数据1-8月'!$A:$I,MATCH($B119,'拌客源数据1-8月'!$I:$I,0),MATCH(D$111,'拌客源数据1-8月'!$A$1:$I$1,0))</f>
        <v>2000507076</v>
      </c>
      <c r="E119" s="40" t="str">
        <f>INDEX('拌客源数据1-8月'!$A:$I,MATCH('常用函数-完成版'!$B119,'拌客源数据1-8月'!$I:$I,0),MATCH('常用函数-完成版'!E$111,'拌客源数据1-8月'!$A$1:$I$1,0))</f>
        <v>蛙小辣火锅杯（总账号）</v>
      </c>
      <c r="F119" s="40">
        <f>INDEX('拌客源数据1-8月'!$A:$I,MATCH('常用函数-完成版'!$B119,'拌客源数据1-8月'!$I:$I,0),MATCH('常用函数-完成版'!F$111,'拌客源数据1-8月'!$A$1:$I$1,0))</f>
        <v>4636</v>
      </c>
      <c r="G119" s="40" t="str">
        <f>INDEX('拌客源数据1-8月'!$A:$I,MATCH('常用函数-完成版'!$B119,'拌客源数据1-8月'!$I:$I,0),MATCH('常用函数-完成版'!G$111,'拌客源数据1-8月'!$A$1:$I$1,0))</f>
        <v>五角场店</v>
      </c>
      <c r="H119" s="40">
        <f>SUMIFS(INDEX('拌客源数据1-8月'!$A:$X,0,MATCH('常用函数-完成版'!H$111,'拌客源数据1-8月'!$A$1:$X$1,0)),'拌客源数据1-8月'!$I:$I,'常用函数-完成版'!$B119)</f>
        <v>784.71</v>
      </c>
      <c r="I119" s="40">
        <f>SUMIFS(INDEX('拌客源数据1-8月'!$A:$X,0,MATCH('常用函数-完成版'!I$111,'拌客源数据1-8月'!$A$1:$X$1,0)),'拌客源数据1-8月'!$I:$I,'常用函数-完成版'!$B119)</f>
        <v>48</v>
      </c>
      <c r="J119" s="40">
        <f>SUMIFS(INDEX('拌客源数据1-8月'!$A:$X,0,MATCH('常用函数-完成版'!J$111,'拌客源数据1-8月'!$A$1:$X$1,0)),'拌客源数据1-8月'!$I:$I,'常用函数-完成版'!$B119)</f>
        <v>11</v>
      </c>
      <c r="O119"/>
      <c r="P119"/>
      <c r="Q119"/>
      <c r="S119"/>
      <c r="T119"/>
      <c r="U119"/>
    </row>
    <row r="120" spans="2:21" x14ac:dyDescent="0.2">
      <c r="B120" s="68" t="s">
        <v>36</v>
      </c>
      <c r="C120" s="69"/>
      <c r="D120" s="40" t="str">
        <f>INDEX('拌客源数据1-8月'!$A:$I,MATCH($B120,'拌客源数据1-8月'!$I:$I,0),MATCH(D$111,'拌客源数据1-8月'!$A$1:$I$1,0))</f>
        <v>2000507076</v>
      </c>
      <c r="E120" s="40" t="str">
        <f>INDEX('拌客源数据1-8月'!$A:$I,MATCH('常用函数-完成版'!$B120,'拌客源数据1-8月'!$I:$I,0),MATCH('常用函数-完成版'!E$111,'拌客源数据1-8月'!$A$1:$I$1,0))</f>
        <v>蛙小辣火锅杯（总账号）</v>
      </c>
      <c r="F120" s="40">
        <f>INDEX('拌客源数据1-8月'!$A:$I,MATCH('常用函数-完成版'!$B120,'拌客源数据1-8月'!$I:$I,0),MATCH('常用函数-完成版'!F$111,'拌客源数据1-8月'!$A$1:$I$1,0))</f>
        <v>4636</v>
      </c>
      <c r="G120" s="40" t="str">
        <f>INDEX('拌客源数据1-8月'!$A:$I,MATCH('常用函数-完成版'!$B120,'拌客源数据1-8月'!$I:$I,0),MATCH('常用函数-完成版'!G$111,'拌客源数据1-8月'!$A$1:$I$1,0))</f>
        <v>五角场店</v>
      </c>
      <c r="H120" s="40">
        <f>SUMIFS(INDEX('拌客源数据1-8月'!$A:$X,0,MATCH('常用函数-完成版'!H$111,'拌客源数据1-8月'!$A$1:$X$1,0)),'拌客源数据1-8月'!$I:$I,'常用函数-完成版'!$B120)</f>
        <v>11932.99</v>
      </c>
      <c r="I120" s="40">
        <f>SUMIFS(INDEX('拌客源数据1-8月'!$A:$X,0,MATCH('常用函数-完成版'!I$111,'拌客源数据1-8月'!$A$1:$X$1,0)),'拌客源数据1-8月'!$I:$I,'常用函数-完成版'!$B120)</f>
        <v>699</v>
      </c>
      <c r="J120" s="40">
        <f>SUMIFS(INDEX('拌客源数据1-8月'!$A:$X,0,MATCH('常用函数-完成版'!J$111,'拌客源数据1-8月'!$A$1:$X$1,0)),'拌客源数据1-8月'!$I:$I,'常用函数-完成版'!$B120)</f>
        <v>167</v>
      </c>
      <c r="O120"/>
      <c r="P120"/>
      <c r="Q120"/>
      <c r="S120"/>
      <c r="T120"/>
      <c r="U120"/>
    </row>
    <row r="121" spans="2:21" x14ac:dyDescent="0.2">
      <c r="B121" s="68" t="s">
        <v>37</v>
      </c>
      <c r="C121" s="69"/>
      <c r="D121" s="40" t="str">
        <f>INDEX('拌客源数据1-8月'!$A:$I,MATCH($B121,'拌客源数据1-8月'!$I:$I,0),MATCH(D$111,'拌客源数据1-8月'!$A$1:$I$1,0))</f>
        <v>2001104355</v>
      </c>
      <c r="E121" s="40" t="str">
        <f>INDEX('拌客源数据1-8月'!$A:$I,MATCH('常用函数-完成版'!$B121,'拌客源数据1-8月'!$I:$I,0),MATCH('常用函数-完成版'!E$111,'拌客源数据1-8月'!$A$1:$I$1,0))</f>
        <v>蛙小辣火锅杯（总账号）</v>
      </c>
      <c r="F121" s="40">
        <f>INDEX('拌客源数据1-8月'!$A:$I,MATCH('常用函数-完成版'!$B121,'拌客源数据1-8月'!$I:$I,0),MATCH('常用函数-完成版'!F$111,'拌客源数据1-8月'!$A$1:$I$1,0))</f>
        <v>4636</v>
      </c>
      <c r="G121" s="40" t="str">
        <f>INDEX('拌客源数据1-8月'!$A:$I,MATCH('常用函数-完成版'!$B121,'拌客源数据1-8月'!$I:$I,0),MATCH('常用函数-完成版'!G$111,'拌客源数据1-8月'!$A$1:$I$1,0))</f>
        <v>宝山店</v>
      </c>
      <c r="H121" s="40">
        <f>SUMIFS(INDEX('拌客源数据1-8月'!$A:$X,0,MATCH('常用函数-完成版'!H$111,'拌客源数据1-8月'!$A$1:$X$1,0)),'拌客源数据1-8月'!$I:$I,'常用函数-完成版'!$B121)</f>
        <v>157511.31999999995</v>
      </c>
      <c r="I121" s="40">
        <f>SUMIFS(INDEX('拌客源数据1-8月'!$A:$X,0,MATCH('常用函数-完成版'!I$111,'拌客源数据1-8月'!$A$1:$X$1,0)),'拌客源数据1-8月'!$I:$I,'常用函数-完成版'!$B121)</f>
        <v>10924</v>
      </c>
      <c r="J121" s="40">
        <f>SUMIFS(INDEX('拌客源数据1-8月'!$A:$X,0,MATCH('常用函数-完成版'!J$111,'拌客源数据1-8月'!$A$1:$X$1,0)),'拌客源数据1-8月'!$I:$I,'常用函数-完成版'!$B121)</f>
        <v>2362</v>
      </c>
      <c r="O121"/>
      <c r="P121"/>
      <c r="Q121"/>
      <c r="S121"/>
      <c r="T121"/>
      <c r="U121"/>
    </row>
    <row r="122" spans="2:21" x14ac:dyDescent="0.2">
      <c r="B122" s="68" t="s">
        <v>38</v>
      </c>
      <c r="C122" s="69"/>
      <c r="D122" s="40" t="str">
        <f>INDEX('拌客源数据1-8月'!$A:$I,MATCH($B122,'拌客源数据1-8月'!$I:$I,0),MATCH(D$111,'拌客源数据1-8月'!$A$1:$I$1,0))</f>
        <v>2000507076</v>
      </c>
      <c r="E122" s="40" t="str">
        <f>INDEX('拌客源数据1-8月'!$A:$I,MATCH('常用函数-完成版'!$B122,'拌客源数据1-8月'!$I:$I,0),MATCH('常用函数-完成版'!E$111,'拌客源数据1-8月'!$A$1:$I$1,0))</f>
        <v>蛙小辣火锅杯（总账号）</v>
      </c>
      <c r="F122" s="40">
        <f>INDEX('拌客源数据1-8月'!$A:$I,MATCH('常用函数-完成版'!$B122,'拌客源数据1-8月'!$I:$I,0),MATCH('常用函数-完成版'!F$111,'拌客源数据1-8月'!$A$1:$I$1,0))</f>
        <v>4636</v>
      </c>
      <c r="G122" s="40" t="str">
        <f>INDEX('拌客源数据1-8月'!$A:$I,MATCH('常用函数-完成版'!$B122,'拌客源数据1-8月'!$I:$I,0),MATCH('常用函数-完成版'!G$111,'拌客源数据1-8月'!$A$1:$I$1,0))</f>
        <v>五角场店</v>
      </c>
      <c r="H122" s="40">
        <f>SUMIFS(INDEX('拌客源数据1-8月'!$A:$X,0,MATCH('常用函数-完成版'!H$111,'拌客源数据1-8月'!$A$1:$X$1,0)),'拌客源数据1-8月'!$I:$I,'常用函数-完成版'!$B122)</f>
        <v>13823.480000000001</v>
      </c>
      <c r="I122" s="40">
        <f>SUMIFS(INDEX('拌客源数据1-8月'!$A:$X,0,MATCH('常用函数-完成版'!I$111,'拌客源数据1-8月'!$A$1:$X$1,0)),'拌客源数据1-8月'!$I:$I,'常用函数-完成版'!$B122)</f>
        <v>849</v>
      </c>
      <c r="J122" s="40">
        <f>SUMIFS(INDEX('拌客源数据1-8月'!$A:$X,0,MATCH('常用函数-完成版'!J$111,'拌客源数据1-8月'!$A$1:$X$1,0)),'拌客源数据1-8月'!$I:$I,'常用函数-完成版'!$B122)</f>
        <v>205</v>
      </c>
      <c r="O122"/>
      <c r="P122"/>
      <c r="Q122"/>
      <c r="S122"/>
      <c r="T122"/>
      <c r="U122"/>
    </row>
    <row r="123" spans="2:21" x14ac:dyDescent="0.2">
      <c r="B123" s="68" t="s">
        <v>39</v>
      </c>
      <c r="C123" s="69"/>
      <c r="D123" s="40" t="str">
        <f>INDEX('拌客源数据1-8月'!$A:$I,MATCH($B123,'拌客源数据1-8月'!$I:$I,0),MATCH(D$111,'拌客源数据1-8月'!$A$1:$I$1,0))</f>
        <v>8184590</v>
      </c>
      <c r="E123" s="40" t="str">
        <f>INDEX('拌客源数据1-8月'!$A:$I,MATCH('常用函数-完成版'!$B123,'拌客源数据1-8月'!$I:$I,0),MATCH('常用函数-完成版'!E$111,'拌客源数据1-8月'!$A$1:$I$1,0))</f>
        <v>蛙小辣火锅杯（总账号）</v>
      </c>
      <c r="F123" s="40">
        <f>INDEX('拌客源数据1-8月'!$A:$I,MATCH('常用函数-完成版'!$B123,'拌客源数据1-8月'!$I:$I,0),MATCH('常用函数-完成版'!F$111,'拌客源数据1-8月'!$A$1:$I$1,0))</f>
        <v>4636</v>
      </c>
      <c r="G123" s="40" t="str">
        <f>INDEX('拌客源数据1-8月'!$A:$I,MATCH('常用函数-完成版'!$B123,'拌客源数据1-8月'!$I:$I,0),MATCH('常用函数-完成版'!G$111,'拌客源数据1-8月'!$A$1:$I$1,0))</f>
        <v>五角场店</v>
      </c>
      <c r="H123" s="40">
        <f>SUMIFS(INDEX('拌客源数据1-8月'!$A:$X,0,MATCH('常用函数-完成版'!H$111,'拌客源数据1-8月'!$A$1:$X$1,0)),'拌客源数据1-8月'!$I:$I,'常用函数-完成版'!$B123)</f>
        <v>682.13</v>
      </c>
      <c r="I123" s="40">
        <f>SUMIFS(INDEX('拌客源数据1-8月'!$A:$X,0,MATCH('常用函数-完成版'!I$111,'拌客源数据1-8月'!$A$1:$X$1,0)),'拌客源数据1-8月'!$I:$I,'常用函数-完成版'!$B123)</f>
        <v>45</v>
      </c>
      <c r="J123" s="40">
        <f>SUMIFS(INDEX('拌客源数据1-8月'!$A:$X,0,MATCH('常用函数-完成版'!J$111,'拌客源数据1-8月'!$A$1:$X$1,0)),'拌客源数据1-8月'!$I:$I,'常用函数-完成版'!$B123)</f>
        <v>8</v>
      </c>
      <c r="O123"/>
      <c r="P123"/>
      <c r="Q123"/>
      <c r="S123"/>
      <c r="T123"/>
      <c r="U123"/>
    </row>
    <row r="124" spans="2:21" x14ac:dyDescent="0.2">
      <c r="B124" s="68" t="s">
        <v>41</v>
      </c>
      <c r="C124" s="69"/>
      <c r="D124" s="40" t="str">
        <f>INDEX('拌客源数据1-8月'!$A:$I,MATCH($B124,'拌客源数据1-8月'!$I:$I,0),MATCH(D$111,'拌客源数据1-8月'!$A$1:$I$1,0))</f>
        <v>337460136</v>
      </c>
      <c r="E124" s="40" t="str">
        <f>INDEX('拌客源数据1-8月'!$A:$I,MATCH('常用函数-完成版'!$B124,'拌客源数据1-8月'!$I:$I,0),MATCH('常用函数-完成版'!E$111,'拌客源数据1-8月'!$A$1:$I$1,0))</f>
        <v>拌客（武宁路店）</v>
      </c>
      <c r="F124" s="40">
        <f>INDEX('拌客源数据1-8月'!$A:$I,MATCH('常用函数-完成版'!$B124,'拌客源数据1-8月'!$I:$I,0),MATCH('常用函数-完成版'!F$111,'拌客源数据1-8月'!$A$1:$I$1,0))</f>
        <v>6108</v>
      </c>
      <c r="G124" s="40" t="str">
        <f>INDEX('拌客源数据1-8月'!$A:$I,MATCH('常用函数-完成版'!$B124,'拌客源数据1-8月'!$I:$I,0),MATCH('常用函数-完成版'!G$111,'拌客源数据1-8月'!$A$1:$I$1,0))</f>
        <v>拌客干拌麻辣烫(武宁路店)</v>
      </c>
      <c r="H124" s="40">
        <f>SUMIFS(INDEX('拌客源数据1-8月'!$A:$X,0,MATCH('常用函数-完成版'!H$111,'拌客源数据1-8月'!$A$1:$X$1,0)),'拌客源数据1-8月'!$I:$I,'常用函数-完成版'!$B124)</f>
        <v>3913.76</v>
      </c>
      <c r="I124" s="40">
        <f>SUMIFS(INDEX('拌客源数据1-8月'!$A:$X,0,MATCH('常用函数-完成版'!I$111,'拌客源数据1-8月'!$A$1:$X$1,0)),'拌客源数据1-8月'!$I:$I,'常用函数-完成版'!$B124)</f>
        <v>441</v>
      </c>
      <c r="J124" s="40">
        <f>SUMIFS(INDEX('拌客源数据1-8月'!$A:$X,0,MATCH('常用函数-完成版'!J$111,'拌客源数据1-8月'!$A$1:$X$1,0)),'拌客源数据1-8月'!$I:$I,'常用函数-完成版'!$B124)</f>
        <v>72</v>
      </c>
      <c r="O124"/>
      <c r="P124"/>
      <c r="Q124"/>
    </row>
    <row r="125" spans="2:21" x14ac:dyDescent="0.2">
      <c r="B125" s="68" t="s">
        <v>42</v>
      </c>
      <c r="C125" s="69"/>
      <c r="D125" s="40" t="str">
        <f>INDEX('拌客源数据1-8月'!$A:$I,MATCH($B125,'拌客源数据1-8月'!$I:$I,0),MATCH(D$111,'拌客源数据1-8月'!$A$1:$I$1,0))</f>
        <v>337460136</v>
      </c>
      <c r="E125" s="40" t="str">
        <f>INDEX('拌客源数据1-8月'!$A:$I,MATCH('常用函数-完成版'!$B125,'拌客源数据1-8月'!$I:$I,0),MATCH('常用函数-完成版'!E$111,'拌客源数据1-8月'!$A$1:$I$1,0))</f>
        <v>拌客（武宁路店）</v>
      </c>
      <c r="F125" s="40">
        <f>INDEX('拌客源数据1-8月'!$A:$I,MATCH('常用函数-完成版'!$B125,'拌客源数据1-8月'!$I:$I,0),MATCH('常用函数-完成版'!F$111,'拌客源数据1-8月'!$A$1:$I$1,0))</f>
        <v>6108</v>
      </c>
      <c r="G125" s="40" t="str">
        <f>INDEX('拌客源数据1-8月'!$A:$I,MATCH('常用函数-完成版'!$B125,'拌客源数据1-8月'!$I:$I,0),MATCH('常用函数-完成版'!G$111,'拌客源数据1-8月'!$A$1:$I$1,0))</f>
        <v>拌客干拌麻辣烫(武宁路店)</v>
      </c>
      <c r="H125" s="40">
        <f>SUMIFS(INDEX('拌客源数据1-8月'!$A:$X,0,MATCH('常用函数-完成版'!H$111,'拌客源数据1-8月'!$A$1:$X$1,0)),'拌客源数据1-8月'!$I:$I,'常用函数-完成版'!$B125)</f>
        <v>421831.69999999995</v>
      </c>
      <c r="I125" s="40">
        <f>SUMIFS(INDEX('拌客源数据1-8月'!$A:$X,0,MATCH('常用函数-完成版'!I$111,'拌客源数据1-8月'!$A$1:$X$1,0)),'拌客源数据1-8月'!$I:$I,'常用函数-完成版'!$B125)</f>
        <v>31427</v>
      </c>
      <c r="J125" s="40">
        <f>SUMIFS(INDEX('拌客源数据1-8月'!$A:$X,0,MATCH('常用函数-完成版'!J$111,'拌客源数据1-8月'!$A$1:$X$1,0)),'拌客源数据1-8月'!$I:$I,'常用函数-完成版'!$B125)</f>
        <v>8314</v>
      </c>
      <c r="O125"/>
      <c r="P125"/>
      <c r="Q125"/>
    </row>
    <row r="126" spans="2:21" x14ac:dyDescent="0.2">
      <c r="B126" s="68" t="s">
        <v>43</v>
      </c>
      <c r="C126" s="69"/>
      <c r="D126" s="40" t="str">
        <f>INDEX('拌客源数据1-8月'!$A:$I,MATCH($B126,'拌客源数据1-8月'!$I:$I,0),MATCH(D$111,'拌客源数据1-8月'!$A$1:$I$1,0))</f>
        <v>9428110</v>
      </c>
      <c r="E126" s="40" t="str">
        <f>INDEX('拌客源数据1-8月'!$A:$I,MATCH('常用函数-完成版'!$B126,'拌客源数据1-8月'!$I:$I,0),MATCH('常用函数-完成版'!E$111,'拌客源数据1-8月'!$A$1:$I$1,0))</f>
        <v>拌客（武宁路店）</v>
      </c>
      <c r="F126" s="40">
        <f>INDEX('拌客源数据1-8月'!$A:$I,MATCH('常用函数-完成版'!$B126,'拌客源数据1-8月'!$I:$I,0),MATCH('常用函数-完成版'!F$111,'拌客源数据1-8月'!$A$1:$I$1,0))</f>
        <v>6108</v>
      </c>
      <c r="G126" s="40" t="str">
        <f>INDEX('拌客源数据1-8月'!$A:$I,MATCH('常用函数-完成版'!$B126,'拌客源数据1-8月'!$I:$I,0),MATCH('常用函数-完成版'!G$111,'拌客源数据1-8月'!$A$1:$I$1,0))</f>
        <v>拌客干拌麻辣烫(武宁路店)</v>
      </c>
      <c r="H126" s="40">
        <f>SUMIFS(INDEX('拌客源数据1-8月'!$A:$X,0,MATCH('常用函数-完成版'!H$111,'拌客源数据1-8月'!$A$1:$X$1,0)),'拌客源数据1-8月'!$I:$I,'常用函数-完成版'!$B126)</f>
        <v>114007.74</v>
      </c>
      <c r="I126" s="40">
        <f>SUMIFS(INDEX('拌客源数据1-8月'!$A:$X,0,MATCH('常用函数-完成版'!I$111,'拌客源数据1-8月'!$A$1:$X$1,0)),'拌客源数据1-8月'!$I:$I,'常用函数-完成版'!$B126)</f>
        <v>7867</v>
      </c>
      <c r="J126" s="40">
        <f>SUMIFS(INDEX('拌客源数据1-8月'!$A:$X,0,MATCH('常用函数-完成版'!J$111,'拌客源数据1-8月'!$A$1:$X$1,0)),'拌客源数据1-8月'!$I:$I,'常用函数-完成版'!$B126)</f>
        <v>2329</v>
      </c>
      <c r="O126"/>
      <c r="P126"/>
      <c r="Q126"/>
    </row>
    <row r="127" spans="2:21" x14ac:dyDescent="0.2">
      <c r="B127" s="52"/>
      <c r="C127" s="52"/>
      <c r="D127" s="41"/>
      <c r="E127" s="41"/>
      <c r="F127" s="41"/>
      <c r="G127" s="41"/>
    </row>
    <row r="128" spans="2:21" x14ac:dyDescent="0.2">
      <c r="B128" s="52"/>
      <c r="C128" s="52"/>
      <c r="D128" s="41"/>
      <c r="E128" s="41"/>
      <c r="F128" s="41"/>
      <c r="G128" s="41"/>
      <c r="H128" s="41"/>
    </row>
    <row r="129" spans="2:10" x14ac:dyDescent="0.2">
      <c r="B129" s="52"/>
      <c r="C129" s="52"/>
      <c r="D129" s="52"/>
      <c r="E129" s="41"/>
      <c r="F129" s="41"/>
      <c r="G129" s="41"/>
      <c r="H129" s="41"/>
      <c r="I129" s="41"/>
      <c r="J129" s="41"/>
    </row>
    <row r="130" spans="2:10" x14ac:dyDescent="0.2">
      <c r="B130" s="52"/>
      <c r="C130" s="52"/>
      <c r="D130" s="41"/>
      <c r="E130" s="41"/>
      <c r="F130" s="41"/>
      <c r="G130" s="41"/>
      <c r="H130" s="41"/>
      <c r="I130" s="41"/>
      <c r="J130" s="41"/>
    </row>
    <row r="131" spans="2:10" x14ac:dyDescent="0.2">
      <c r="B131" s="52"/>
      <c r="C131" s="52"/>
      <c r="D131" s="41"/>
      <c r="E131" s="41"/>
      <c r="F131" s="41"/>
      <c r="G131" s="41"/>
      <c r="H131" s="41"/>
      <c r="I131" s="41"/>
      <c r="J131" s="41"/>
    </row>
    <row r="132" spans="2:10" x14ac:dyDescent="0.2">
      <c r="D132" s="41"/>
      <c r="E132" s="41"/>
      <c r="F132" s="41"/>
      <c r="G132" s="41"/>
      <c r="H132" s="41"/>
      <c r="I132" s="41"/>
      <c r="J132" s="41"/>
    </row>
    <row r="133" spans="2:10" x14ac:dyDescent="0.2">
      <c r="D133" s="41"/>
      <c r="E133" s="41"/>
      <c r="F133" s="41"/>
      <c r="G133" s="41"/>
      <c r="H133" s="41"/>
      <c r="I133" s="41"/>
      <c r="J133" s="41"/>
    </row>
    <row r="134" spans="2:10" x14ac:dyDescent="0.2">
      <c r="D134" s="41"/>
      <c r="E134" s="41"/>
      <c r="F134" s="41"/>
      <c r="G134" s="41"/>
      <c r="H134" s="41"/>
      <c r="I134" s="41"/>
      <c r="J134" s="41"/>
    </row>
    <row r="135" spans="2:10" x14ac:dyDescent="0.2">
      <c r="D135" s="41"/>
      <c r="E135" s="41"/>
      <c r="F135" s="41"/>
      <c r="G135" s="41"/>
      <c r="H135" s="41"/>
      <c r="I135" s="41"/>
      <c r="J135" s="41"/>
    </row>
    <row r="136" spans="2:10" x14ac:dyDescent="0.2">
      <c r="D136" s="41"/>
      <c r="E136" s="41"/>
      <c r="F136" s="41"/>
      <c r="G136" s="41"/>
      <c r="H136" s="41"/>
      <c r="I136" s="41"/>
      <c r="J136" s="41"/>
    </row>
    <row r="137" spans="2:10" x14ac:dyDescent="0.2">
      <c r="D137" s="41"/>
      <c r="E137" s="41"/>
      <c r="F137" s="41"/>
      <c r="G137" s="41"/>
      <c r="H137" s="41"/>
      <c r="I137" s="41"/>
      <c r="J137" s="41"/>
    </row>
    <row r="138" spans="2:10" x14ac:dyDescent="0.2">
      <c r="D138" s="41"/>
      <c r="E138" s="41"/>
      <c r="F138" s="41"/>
      <c r="G138" s="41"/>
      <c r="H138" s="41"/>
      <c r="I138" s="41"/>
      <c r="J138" s="41"/>
    </row>
    <row r="139" spans="2:10" x14ac:dyDescent="0.2">
      <c r="D139" s="41"/>
      <c r="E139" s="41"/>
      <c r="F139" s="41"/>
      <c r="G139" s="41"/>
      <c r="H139" s="41"/>
      <c r="I139" s="41"/>
      <c r="J139" s="41"/>
    </row>
    <row r="140" spans="2:10" x14ac:dyDescent="0.2">
      <c r="D140" s="41"/>
      <c r="E140" s="41"/>
      <c r="F140" s="41"/>
      <c r="G140" s="41"/>
      <c r="H140" s="41"/>
      <c r="I140" s="41"/>
      <c r="J140" s="41"/>
    </row>
    <row r="141" spans="2:10" x14ac:dyDescent="0.2">
      <c r="D141" s="41"/>
      <c r="E141" s="41"/>
      <c r="F141" s="41"/>
      <c r="G141" s="41"/>
      <c r="H141" s="41"/>
      <c r="I141" s="41"/>
      <c r="J141" s="41"/>
    </row>
    <row r="142" spans="2:10" x14ac:dyDescent="0.2">
      <c r="D142" s="41"/>
      <c r="E142" s="41"/>
      <c r="F142" s="41"/>
      <c r="G142" s="41"/>
      <c r="H142" s="41"/>
      <c r="I142" s="41"/>
      <c r="J142" s="41"/>
    </row>
    <row r="143" spans="2:10" x14ac:dyDescent="0.2">
      <c r="D143" s="41"/>
      <c r="E143" s="41"/>
      <c r="F143" s="41"/>
      <c r="G143" s="41"/>
      <c r="H143" s="41"/>
      <c r="I143" s="41"/>
      <c r="J143" s="41"/>
    </row>
    <row r="144" spans="2:10" x14ac:dyDescent="0.2">
      <c r="E144" s="41"/>
      <c r="F144" s="41"/>
      <c r="G144" s="41"/>
      <c r="H144" s="41"/>
      <c r="I144" s="41"/>
      <c r="J144" s="41"/>
    </row>
    <row r="145" spans="5:10" x14ac:dyDescent="0.2">
      <c r="E145" s="41"/>
      <c r="F145" s="41"/>
      <c r="G145" s="41"/>
      <c r="H145" s="41"/>
      <c r="I145" s="41"/>
      <c r="J145" s="41"/>
    </row>
  </sheetData>
  <mergeCells count="1">
    <mergeCell ref="B111:C111"/>
  </mergeCells>
  <phoneticPr fontId="18" type="noConversion"/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D98B-4F93-4580-87FD-028177DA27B4}">
  <sheetPr>
    <tabColor theme="9" tint="0.39997558519241921"/>
  </sheetPr>
  <dimension ref="B1:V131"/>
  <sheetViews>
    <sheetView topLeftCell="E109" workbookViewId="0">
      <selection activeCell="G133" sqref="G133"/>
    </sheetView>
    <sheetView topLeftCell="J67" workbookViewId="1">
      <selection activeCell="O106" sqref="O106"/>
    </sheetView>
  </sheetViews>
  <sheetFormatPr defaultRowHeight="14.25" x14ac:dyDescent="0.2"/>
  <cols>
    <col min="1" max="1" width="9" style="37"/>
    <col min="2" max="2" width="13.375" style="37" customWidth="1"/>
    <col min="3" max="3" width="42" style="37" customWidth="1"/>
    <col min="4" max="4" width="33" style="37" customWidth="1"/>
    <col min="5" max="5" width="34.125" style="37" customWidth="1"/>
    <col min="6" max="7" width="21.375" style="37" bestFit="1" customWidth="1"/>
    <col min="8" max="8" width="14.25" style="37" customWidth="1"/>
    <col min="9" max="9" width="12.125" style="37" customWidth="1"/>
    <col min="10" max="10" width="19.5" style="37" bestFit="1" customWidth="1"/>
    <col min="11" max="11" width="16.75" style="37" customWidth="1"/>
    <col min="12" max="13" width="11.625" style="37" bestFit="1" customWidth="1"/>
    <col min="14" max="14" width="9" style="37"/>
    <col min="15" max="15" width="11.625" style="37" bestFit="1" customWidth="1"/>
    <col min="16" max="16" width="12.125" style="37" bestFit="1" customWidth="1"/>
    <col min="17" max="18" width="9" style="37"/>
    <col min="19" max="19" width="9.125" style="37" bestFit="1" customWidth="1"/>
    <col min="20" max="20" width="10.5" style="37" bestFit="1" customWidth="1"/>
    <col min="21" max="22" width="9" style="37"/>
    <col min="23" max="23" width="9.125" style="37" bestFit="1" customWidth="1"/>
    <col min="24" max="24" width="10.5" style="37" bestFit="1" customWidth="1"/>
    <col min="25" max="16384" width="9" style="37"/>
  </cols>
  <sheetData>
    <row r="1" spans="2:13" x14ac:dyDescent="0.2">
      <c r="M1" s="38"/>
    </row>
    <row r="2" spans="2:13" x14ac:dyDescent="0.2">
      <c r="B2" s="37" t="s">
        <v>78</v>
      </c>
      <c r="M2" s="38"/>
    </row>
    <row r="3" spans="2:13" x14ac:dyDescent="0.2">
      <c r="M3" s="38"/>
    </row>
    <row r="4" spans="2:13" x14ac:dyDescent="0.2">
      <c r="B4" s="39"/>
      <c r="C4" s="40" t="s">
        <v>83</v>
      </c>
      <c r="D4" s="40" t="s">
        <v>84</v>
      </c>
      <c r="M4" s="38"/>
    </row>
    <row r="5" spans="2:13" x14ac:dyDescent="0.2">
      <c r="B5" s="40" t="s">
        <v>72</v>
      </c>
      <c r="C5" s="40">
        <f>SUM('拌客源数据1-8月'!J:J)</f>
        <v>1071473.2499999998</v>
      </c>
      <c r="D5" s="40">
        <f>SUM('拌客源数据1-8月'!J2:J25,'拌客源数据1-8月'!J496:J562)</f>
        <v>145618.28999999995</v>
      </c>
      <c r="M5" s="38"/>
    </row>
    <row r="6" spans="2:13" x14ac:dyDescent="0.2">
      <c r="B6" s="41"/>
      <c r="C6" s="41"/>
      <c r="D6" s="42"/>
      <c r="M6" s="38"/>
    </row>
    <row r="7" spans="2:13" x14ac:dyDescent="0.2">
      <c r="B7" s="41"/>
      <c r="C7" s="41"/>
      <c r="D7" s="42"/>
      <c r="M7" s="38"/>
    </row>
    <row r="8" spans="2:13" x14ac:dyDescent="0.2">
      <c r="B8" s="41"/>
      <c r="C8" s="41"/>
      <c r="D8" s="42"/>
      <c r="M8" s="38"/>
    </row>
    <row r="9" spans="2:13" x14ac:dyDescent="0.2">
      <c r="B9" s="41"/>
      <c r="C9" s="41"/>
      <c r="D9" s="42"/>
      <c r="M9" s="38"/>
    </row>
    <row r="10" spans="2:13" x14ac:dyDescent="0.2">
      <c r="C10" s="43"/>
      <c r="M10" s="38"/>
    </row>
    <row r="11" spans="2:13" x14ac:dyDescent="0.2">
      <c r="C11" s="55"/>
      <c r="D11" s="55"/>
      <c r="M11" s="38"/>
    </row>
    <row r="12" spans="2:13" x14ac:dyDescent="0.2">
      <c r="B12" s="37" t="s">
        <v>79</v>
      </c>
      <c r="D12" s="53">
        <f>B16</f>
        <v>44019</v>
      </c>
      <c r="M12" s="38"/>
    </row>
    <row r="13" spans="2:13" x14ac:dyDescent="0.2">
      <c r="M13" s="38"/>
    </row>
    <row r="14" spans="2:13" x14ac:dyDescent="0.2">
      <c r="B14" s="39"/>
      <c r="C14" s="40" t="s">
        <v>55</v>
      </c>
      <c r="E14" s="72">
        <v>1</v>
      </c>
      <c r="F14" s="53"/>
      <c r="G14" s="53"/>
    </row>
    <row r="15" spans="2:13" x14ac:dyDescent="0.2">
      <c r="B15" s="44">
        <v>44013</v>
      </c>
      <c r="C15" s="70">
        <f>SUMIF('拌客源数据1-8月'!$A:$A,$B15,'拌客源数据1-8月'!$J:$J)</f>
        <v>6001.38</v>
      </c>
      <c r="D15" s="37" t="s">
        <v>149</v>
      </c>
      <c r="E15" s="73">
        <v>2</v>
      </c>
      <c r="F15" s="53"/>
      <c r="G15" s="53"/>
    </row>
    <row r="16" spans="2:13" x14ac:dyDescent="0.2">
      <c r="B16" s="44">
        <v>44019</v>
      </c>
      <c r="C16" s="70">
        <f>SUMIF('拌客源数据1-8月'!$A:$A,$B16,'拌客源数据1-8月'!$J:$J)</f>
        <v>4764.71</v>
      </c>
      <c r="D16" s="37" t="s">
        <v>149</v>
      </c>
      <c r="E16" s="72">
        <v>1</v>
      </c>
      <c r="F16" s="53"/>
      <c r="G16" s="53"/>
    </row>
    <row r="17" spans="2:12" x14ac:dyDescent="0.2">
      <c r="B17" s="44">
        <v>44028</v>
      </c>
      <c r="C17" s="70">
        <f>SUMIF('拌客源数据1-8月'!$A:$A,$B17,'拌客源数据1-8月'!$J:$J)</f>
        <v>11158.91</v>
      </c>
      <c r="D17" s="37" t="s">
        <v>149</v>
      </c>
      <c r="E17" s="73">
        <v>2</v>
      </c>
      <c r="F17" s="53"/>
      <c r="G17" s="53"/>
    </row>
    <row r="18" spans="2:12" x14ac:dyDescent="0.2">
      <c r="B18" s="44">
        <v>44029</v>
      </c>
      <c r="C18" s="70">
        <f>SUMIF('拌客源数据1-8月'!$A:$A,$B18,'拌客源数据1-8月'!$J:$J)</f>
        <v>10788.41</v>
      </c>
      <c r="D18" s="37" t="s">
        <v>149</v>
      </c>
      <c r="E18" s="72">
        <v>1</v>
      </c>
      <c r="F18" s="53"/>
    </row>
    <row r="19" spans="2:12" x14ac:dyDescent="0.2">
      <c r="B19" s="44">
        <v>44051</v>
      </c>
      <c r="C19" s="70">
        <f>SUMIF('拌客源数据1-8月'!$A:$A,$B19,'拌客源数据1-8月'!$J:$J)</f>
        <v>1374.4099999999999</v>
      </c>
      <c r="D19" s="37" t="s">
        <v>149</v>
      </c>
      <c r="E19" s="73">
        <v>2</v>
      </c>
      <c r="F19" s="53"/>
    </row>
    <row r="20" spans="2:12" x14ac:dyDescent="0.2">
      <c r="B20" s="44">
        <v>44062</v>
      </c>
      <c r="C20" s="70">
        <f>SUMIF('拌客源数据1-8月'!$A:$A,$B20,'拌客源数据1-8月'!$J:$J)</f>
        <v>2588.69</v>
      </c>
      <c r="D20" s="37" t="s">
        <v>149</v>
      </c>
      <c r="E20" s="72">
        <v>1</v>
      </c>
      <c r="F20" s="53"/>
    </row>
    <row r="21" spans="2:12" x14ac:dyDescent="0.2">
      <c r="B21" s="44">
        <v>44064</v>
      </c>
      <c r="C21" s="70">
        <f>SUMIF('拌客源数据1-8月'!$A:$A,$B21,'拌客源数据1-8月'!$J:$J)</f>
        <v>2118.79</v>
      </c>
      <c r="D21" s="37" t="s">
        <v>149</v>
      </c>
      <c r="E21" s="73">
        <v>2</v>
      </c>
      <c r="F21" s="53"/>
    </row>
    <row r="22" spans="2:12" x14ac:dyDescent="0.2">
      <c r="B22" s="46"/>
      <c r="C22" s="41"/>
    </row>
    <row r="23" spans="2:12" x14ac:dyDescent="0.2">
      <c r="B23" s="46"/>
      <c r="C23" s="41"/>
    </row>
    <row r="24" spans="2:12" x14ac:dyDescent="0.2">
      <c r="B24" s="46"/>
      <c r="C24" s="41"/>
      <c r="D24" s="55">
        <v>44013</v>
      </c>
      <c r="E24" s="55">
        <f>DATE(YEAR(D24),MONTH(D24)+1,DAY(D24))</f>
        <v>44044</v>
      </c>
    </row>
    <row r="25" spans="2:12" x14ac:dyDescent="0.2">
      <c r="D25" s="55">
        <v>44043</v>
      </c>
      <c r="E25" s="55">
        <f>DATE(YEAR(D25),MONTH(D25)-1,DAY(D25))</f>
        <v>44013</v>
      </c>
      <c r="G25" s="55">
        <f>EDATE(I30,-1)</f>
        <v>44012</v>
      </c>
    </row>
    <row r="26" spans="2:12" x14ac:dyDescent="0.2">
      <c r="E26" s="55">
        <f>EOMONTH(D24,0)</f>
        <v>44043</v>
      </c>
    </row>
    <row r="27" spans="2:12" x14ac:dyDescent="0.2">
      <c r="B27" s="37" t="s">
        <v>80</v>
      </c>
      <c r="H27" s="55">
        <f>DATE(F30,G30-1,H30)</f>
        <v>44013</v>
      </c>
    </row>
    <row r="29" spans="2:12" x14ac:dyDescent="0.2">
      <c r="B29" s="39"/>
      <c r="C29" s="40" t="s">
        <v>134</v>
      </c>
      <c r="D29" s="40" t="s">
        <v>86</v>
      </c>
      <c r="E29" s="40" t="s">
        <v>85</v>
      </c>
      <c r="F29" s="41" t="s">
        <v>150</v>
      </c>
      <c r="G29" s="41" t="s">
        <v>151</v>
      </c>
      <c r="H29" s="41" t="s">
        <v>152</v>
      </c>
      <c r="I29" s="41" t="s">
        <v>153</v>
      </c>
      <c r="J29" s="41" t="s">
        <v>154</v>
      </c>
    </row>
    <row r="30" spans="2:12" x14ac:dyDescent="0.2">
      <c r="B30" s="44">
        <v>44043</v>
      </c>
      <c r="C30" s="40">
        <f>SUMIFS('拌客源数据1-8月'!J:J,'拌客源数据1-8月'!A:A,B30,'拌客源数据1-8月'!H:H,"美团")</f>
        <v>5773.69</v>
      </c>
      <c r="D30" s="54">
        <f>C30/SUMIFS('拌客源数据1-8月'!J:J,'拌客源数据1-8月'!A:A,B30-1,'拌客源数据1-8月'!H:H,"美团")-1</f>
        <v>0.2645073544227281</v>
      </c>
      <c r="E30" s="54">
        <f>C30/J30-1</f>
        <v>5.1968745639737683</v>
      </c>
      <c r="F30" s="75">
        <f>YEAR(B30)</f>
        <v>2020</v>
      </c>
      <c r="G30" s="75">
        <f>MONTH(B30)</f>
        <v>7</v>
      </c>
      <c r="H30" s="75">
        <f>DAY(B30)</f>
        <v>31</v>
      </c>
      <c r="I30" s="55">
        <f>DATE(YEAR(B30),MONTH(B30),DAY(B30))</f>
        <v>44043</v>
      </c>
      <c r="J30" s="75">
        <f>SUMIFS('拌客源数据1-8月'!J:J,'拌客源数据1-8月'!A:A,EDATE(B30,-1),'拌客源数据1-8月'!H:H,"美团")</f>
        <v>931.71</v>
      </c>
      <c r="K30" s="55"/>
      <c r="L30" s="53"/>
    </row>
    <row r="31" spans="2:12" x14ac:dyDescent="0.2">
      <c r="B31" s="44">
        <v>44014</v>
      </c>
      <c r="C31" s="40">
        <f>SUMIFS('拌客源数据1-8月'!J:J,'拌客源数据1-8月'!A:A,B31,'拌客源数据1-8月'!H:H,"美团")</f>
        <v>1023.39</v>
      </c>
      <c r="D31" s="54">
        <f>C31/SUMIFS('拌客源数据1-8月'!J:J,'拌客源数据1-8月'!A:A,B31-1,'拌客源数据1-8月'!H:H,"美团")-1</f>
        <v>1.4985916610465333E-2</v>
      </c>
      <c r="E31" s="54">
        <f t="shared" ref="E31:E36" si="0">C31/J31-1</f>
        <v>0.21923585546302582</v>
      </c>
      <c r="F31" s="75">
        <f t="shared" ref="F31:F36" si="1">YEAR(B31)</f>
        <v>2020</v>
      </c>
      <c r="G31" s="75">
        <f t="shared" ref="G31:G36" si="2">MONTH(B31)</f>
        <v>7</v>
      </c>
      <c r="H31" s="75">
        <f t="shared" ref="H31:H36" si="3">DAY(B31)</f>
        <v>2</v>
      </c>
      <c r="I31" s="55">
        <f t="shared" ref="I31:I36" si="4">DATE(YEAR(B31),MONTH(B31),DAY(B31))</f>
        <v>44014</v>
      </c>
      <c r="J31" s="75">
        <f>SUMIFS('拌客源数据1-8月'!J:J,'拌客源数据1-8月'!A:A,EDATE(B31,-1),'拌客源数据1-8月'!H:H,"美团")</f>
        <v>839.37</v>
      </c>
    </row>
    <row r="32" spans="2:12" x14ac:dyDescent="0.2">
      <c r="B32" s="44">
        <v>44015</v>
      </c>
      <c r="C32" s="40">
        <f>SUMIFS('拌客源数据1-8月'!J:J,'拌客源数据1-8月'!A:A,B32,'拌客源数据1-8月'!H:H,"美团")</f>
        <v>999.86</v>
      </c>
      <c r="D32" s="54">
        <f>C32/SUMIFS('拌客源数据1-8月'!J:J,'拌客源数据1-8月'!A:A,B32-1,'拌客源数据1-8月'!H:H,"美团")-1</f>
        <v>-2.2992212157632919E-2</v>
      </c>
      <c r="E32" s="54">
        <f t="shared" si="0"/>
        <v>-0.18069110187893822</v>
      </c>
      <c r="F32" s="75">
        <f t="shared" si="1"/>
        <v>2020</v>
      </c>
      <c r="G32" s="75">
        <f t="shared" si="2"/>
        <v>7</v>
      </c>
      <c r="H32" s="75">
        <f t="shared" si="3"/>
        <v>3</v>
      </c>
      <c r="I32" s="55">
        <f t="shared" si="4"/>
        <v>44015</v>
      </c>
      <c r="J32" s="75">
        <f>SUMIFS('拌客源数据1-8月'!J:J,'拌客源数据1-8月'!A:A,EDATE(B32,-1),'拌客源数据1-8月'!H:H,"美团")</f>
        <v>1220.3699999999999</v>
      </c>
    </row>
    <row r="33" spans="2:10" x14ac:dyDescent="0.2">
      <c r="B33" s="44">
        <v>44016</v>
      </c>
      <c r="C33" s="40">
        <f>SUMIFS('拌客源数据1-8月'!J:J,'拌客源数据1-8月'!A:A,B33,'拌客源数据1-8月'!H:H,"美团")</f>
        <v>1144.82</v>
      </c>
      <c r="D33" s="54">
        <f>C33/SUMIFS('拌客源数据1-8月'!J:J,'拌客源数据1-8月'!A:A,B33-1,'拌客源数据1-8月'!H:H,"美团")-1</f>
        <v>0.14498029724161365</v>
      </c>
      <c r="E33" s="54">
        <f t="shared" si="0"/>
        <v>-0.22352973093957507</v>
      </c>
      <c r="F33" s="75">
        <f t="shared" si="1"/>
        <v>2020</v>
      </c>
      <c r="G33" s="75">
        <f t="shared" si="2"/>
        <v>7</v>
      </c>
      <c r="H33" s="75">
        <f t="shared" si="3"/>
        <v>4</v>
      </c>
      <c r="I33" s="55">
        <f t="shared" si="4"/>
        <v>44016</v>
      </c>
      <c r="J33" s="75">
        <f>SUMIFS('拌客源数据1-8月'!J:J,'拌客源数据1-8月'!A:A,EDATE(B33,-1),'拌客源数据1-8月'!H:H,"美团")</f>
        <v>1474.39</v>
      </c>
    </row>
    <row r="34" spans="2:10" x14ac:dyDescent="0.2">
      <c r="B34" s="44">
        <v>44017</v>
      </c>
      <c r="C34" s="40">
        <f>SUMIFS('拌客源数据1-8月'!J:J,'拌客源数据1-8月'!A:A,B34,'拌客源数据1-8月'!H:H,"美团")</f>
        <v>755.47</v>
      </c>
      <c r="D34" s="54">
        <f>C34/SUMIFS('拌客源数据1-8月'!J:J,'拌客源数据1-8月'!A:A,B34-1,'拌客源数据1-8月'!H:H,"美团")-1</f>
        <v>-0.34009713317377399</v>
      </c>
      <c r="E34" s="54">
        <f t="shared" si="0"/>
        <v>-0.33924291986635635</v>
      </c>
      <c r="F34" s="75">
        <f t="shared" si="1"/>
        <v>2020</v>
      </c>
      <c r="G34" s="75">
        <f t="shared" si="2"/>
        <v>7</v>
      </c>
      <c r="H34" s="75">
        <f t="shared" si="3"/>
        <v>5</v>
      </c>
      <c r="I34" s="55">
        <f t="shared" si="4"/>
        <v>44017</v>
      </c>
      <c r="J34" s="75">
        <f>SUMIFS('拌客源数据1-8月'!J:J,'拌客源数据1-8月'!A:A,EDATE(B34,-1),'拌客源数据1-8月'!H:H,"美团")</f>
        <v>1143.3399999999999</v>
      </c>
    </row>
    <row r="35" spans="2:10" x14ac:dyDescent="0.2">
      <c r="B35" s="44">
        <v>44044</v>
      </c>
      <c r="C35" s="40">
        <f>SUMIFS('拌客源数据1-8月'!J:J,'拌客源数据1-8月'!A:A,B35,'拌客源数据1-8月'!H:H,"美团")</f>
        <v>3387.1000000000004</v>
      </c>
      <c r="D35" s="54">
        <f>C35/SUMIFS('拌客源数据1-8月'!J:J,'拌客源数据1-8月'!A:A,B35-1,'拌客源数据1-8月'!H:H,"美团")-1</f>
        <v>-0.41335610328923089</v>
      </c>
      <c r="E35" s="54">
        <f t="shared" si="0"/>
        <v>2.3592851192129176</v>
      </c>
      <c r="F35" s="75">
        <f t="shared" si="1"/>
        <v>2020</v>
      </c>
      <c r="G35" s="75">
        <f t="shared" si="2"/>
        <v>8</v>
      </c>
      <c r="H35" s="75">
        <f t="shared" si="3"/>
        <v>1</v>
      </c>
      <c r="I35" s="55">
        <f t="shared" si="4"/>
        <v>44044</v>
      </c>
      <c r="J35" s="75">
        <f>SUMIFS('拌客源数据1-8月'!J:J,'拌客源数据1-8月'!A:A,EDATE(B35,-1),'拌客源数据1-8月'!H:H,"美团")</f>
        <v>1008.28</v>
      </c>
    </row>
    <row r="36" spans="2:10" x14ac:dyDescent="0.2">
      <c r="B36" s="44">
        <v>44048</v>
      </c>
      <c r="C36" s="40">
        <f>SUMIFS('拌客源数据1-8月'!J:J,'拌客源数据1-8月'!A:A,B36,'拌客源数据1-8月'!H:H,"美团")</f>
        <v>1817.37</v>
      </c>
      <c r="D36" s="54">
        <f>C36/SUMIFS('拌客源数据1-8月'!J:J,'拌客源数据1-8月'!A:A,B36-1,'拌客源数据1-8月'!H:H,"美团")-1</f>
        <v>0.12391465677179947</v>
      </c>
      <c r="E36" s="54">
        <f t="shared" si="0"/>
        <v>1.4056150475862705</v>
      </c>
      <c r="F36" s="75">
        <f t="shared" si="1"/>
        <v>2020</v>
      </c>
      <c r="G36" s="75">
        <f t="shared" si="2"/>
        <v>8</v>
      </c>
      <c r="H36" s="75">
        <f t="shared" si="3"/>
        <v>5</v>
      </c>
      <c r="I36" s="55">
        <f t="shared" si="4"/>
        <v>44048</v>
      </c>
      <c r="J36" s="75">
        <f>SUMIFS('拌客源数据1-8月'!J:J,'拌客源数据1-8月'!A:A,EDATE(B36,-1),'拌客源数据1-8月'!H:H,"美团")</f>
        <v>755.47</v>
      </c>
    </row>
    <row r="37" spans="2:10" x14ac:dyDescent="0.2">
      <c r="F37" s="56"/>
    </row>
    <row r="38" spans="2:10" x14ac:dyDescent="0.2">
      <c r="B38" s="39"/>
      <c r="C38" s="40" t="s">
        <v>134</v>
      </c>
      <c r="D38" s="40" t="s">
        <v>87</v>
      </c>
      <c r="E38" s="41" t="s">
        <v>155</v>
      </c>
      <c r="F38" s="41" t="s">
        <v>156</v>
      </c>
      <c r="G38" s="41" t="s">
        <v>157</v>
      </c>
    </row>
    <row r="39" spans="2:10" x14ac:dyDescent="0.2">
      <c r="B39" s="47">
        <v>43831</v>
      </c>
      <c r="C39" s="70">
        <f>SUMIFS('拌客源数据1-8月'!J:J,'拌客源数据1-8月'!A:A,"&lt;="&amp;EOMONTH(B39,0),'拌客源数据1-8月'!H:H,"美团",'拌客源数据1-8月'!A:A,"&gt;="&amp;DATE(YEAR(B39),MONTH(B39),1))</f>
        <v>6787.9800000000005</v>
      </c>
      <c r="D39" s="74" t="e">
        <f>C39/SUMIFS('拌客源数据1-8月'!J:J,'拌客源数据1-8月'!A:A,"&lt;="&amp;EOMONTH(B39,-1),'拌客源数据1-8月'!H:H,"美团",'拌客源数据1-8月'!A:A,"&gt;="&amp;DATE(YEAR(B39),MONTH(B39)-1,1))-1</f>
        <v>#DIV/0!</v>
      </c>
      <c r="E39" s="76"/>
      <c r="F39" s="75"/>
      <c r="G39" s="75"/>
    </row>
    <row r="40" spans="2:10" x14ac:dyDescent="0.2">
      <c r="B40" s="47">
        <v>43862</v>
      </c>
      <c r="C40" s="70">
        <f>SUMIFS('拌客源数据1-8月'!J:J,'拌客源数据1-8月'!A:A,"&lt;="&amp;EOMONTH(B40,0),'拌客源数据1-8月'!H:H,"美团",'拌客源数据1-8月'!A:A,"&gt;="&amp;DATE(YEAR(B40),MONTH(B40),1))</f>
        <v>2678.62</v>
      </c>
      <c r="D40" s="57">
        <f>C40/SUMIFS('拌客源数据1-8月'!J:J,'拌客源数据1-8月'!A:A,"&lt;="&amp;EOMONTH(B40,-1),'拌客源数据1-8月'!H:H,"美团",'拌客源数据1-8月'!A:A,"&gt;="&amp;DATE(YEAR(B40),MONTH(B40)-1,1))-1</f>
        <v>-0.60538775895037999</v>
      </c>
      <c r="E40" s="76"/>
      <c r="F40" s="75"/>
      <c r="G40" s="75"/>
    </row>
    <row r="41" spans="2:10" x14ac:dyDescent="0.2">
      <c r="B41" s="47">
        <v>43891</v>
      </c>
      <c r="C41" s="70">
        <f>SUMIFS('拌客源数据1-8月'!J:J,'拌客源数据1-8月'!A:A,"&lt;="&amp;EOMONTH(B41,0),'拌客源数据1-8月'!H:H,"美团",'拌客源数据1-8月'!A:A,"&gt;="&amp;DATE(YEAR(B41),MONTH(B41),1))</f>
        <v>24829.310000000009</v>
      </c>
      <c r="D41" s="57">
        <f>C41/SUMIFS('拌客源数据1-8月'!J:J,'拌客源数据1-8月'!A:A,"&lt;="&amp;EOMONTH(B41,-1),'拌客源数据1-8月'!H:H,"美团",'拌客源数据1-8月'!A:A,"&gt;="&amp;DATE(YEAR(B41),MONTH(B41)-1,1))-1</f>
        <v>8.2694409808035516</v>
      </c>
      <c r="E41" s="76"/>
      <c r="F41" s="75"/>
      <c r="G41" s="75"/>
    </row>
    <row r="42" spans="2:10" x14ac:dyDescent="0.2">
      <c r="B42" s="47">
        <v>43922</v>
      </c>
      <c r="C42" s="70">
        <f>SUMIFS('拌客源数据1-8月'!J:J,'拌客源数据1-8月'!A:A,"&lt;="&amp;EOMONTH(B42,0),'拌客源数据1-8月'!H:H,"美团",'拌客源数据1-8月'!A:A,"&gt;="&amp;DATE(YEAR(B42),MONTH(B42),1))</f>
        <v>38698.99</v>
      </c>
      <c r="D42" s="57">
        <f>C42/SUMIFS('拌客源数据1-8月'!J:J,'拌客源数据1-8月'!A:A,"&lt;="&amp;EOMONTH(B42,-1),'拌客源数据1-8月'!H:H,"美团",'拌客源数据1-8月'!A:A,"&gt;="&amp;DATE(YEAR(B42),MONTH(B42)-1,1))-1</f>
        <v>0.55860110490384085</v>
      </c>
      <c r="E42" s="76"/>
      <c r="F42" s="75"/>
      <c r="G42" s="75"/>
    </row>
    <row r="43" spans="2:10" x14ac:dyDescent="0.2">
      <c r="B43" s="47">
        <v>43952</v>
      </c>
      <c r="C43" s="70">
        <f>SUMIFS('拌客源数据1-8月'!J:J,'拌客源数据1-8月'!A:A,"&lt;="&amp;EOMONTH(B43,0),'拌客源数据1-8月'!H:H,"美团",'拌客源数据1-8月'!A:A,"&gt;="&amp;DATE(YEAR(B43),MONTH(B43),1))</f>
        <v>30397.779999999995</v>
      </c>
      <c r="D43" s="57">
        <f>C43/SUMIFS('拌客源数据1-8月'!J:J,'拌客源数据1-8月'!A:A,"&lt;="&amp;EOMONTH(B43,-1),'拌客源数据1-8月'!H:H,"美团",'拌客源数据1-8月'!A:A,"&gt;="&amp;DATE(YEAR(B43),MONTH(B43)-1,1))-1</f>
        <v>-0.21450714863617892</v>
      </c>
      <c r="E43" s="76"/>
      <c r="F43" s="75"/>
      <c r="G43" s="75"/>
    </row>
    <row r="44" spans="2:10" x14ac:dyDescent="0.2">
      <c r="B44" s="47">
        <v>43983</v>
      </c>
      <c r="C44" s="70">
        <f>SUMIFS('拌客源数据1-8月'!J:J,'拌客源数据1-8月'!A:A,"&lt;="&amp;EOMONTH(B44,0),'拌客源数据1-8月'!H:H,"美团",'拌客源数据1-8月'!A:A,"&gt;="&amp;DATE(YEAR(B44),MONTH(B44),1))</f>
        <v>26037.540000000005</v>
      </c>
      <c r="D44" s="57">
        <f>C44/SUMIFS('拌客源数据1-8月'!J:J,'拌客源数据1-8月'!A:A,"&lt;="&amp;EOMONTH(B44,-1),'拌客源数据1-8月'!H:H,"美团",'拌客源数据1-8月'!A:A,"&gt;="&amp;DATE(YEAR(B44),MONTH(B44)-1,1))-1</f>
        <v>-0.14343942222096451</v>
      </c>
      <c r="E44" s="76"/>
      <c r="F44" s="75"/>
      <c r="G44" s="75"/>
    </row>
    <row r="45" spans="2:10" x14ac:dyDescent="0.2">
      <c r="B45" s="47">
        <v>44013</v>
      </c>
      <c r="C45" s="70">
        <f>SUMIFS('拌客源数据1-8月'!J:J,'拌客源数据1-8月'!A:A,"&lt;="&amp;EOMONTH(B45,0),'拌客源数据1-8月'!H:H,"美团",'拌客源数据1-8月'!A:A,"&gt;="&amp;DATE(YEAR(B45),MONTH(B45),1))</f>
        <v>133045.43</v>
      </c>
      <c r="D45" s="57">
        <f>C45/SUMIFS('拌客源数据1-8月'!J:J,'拌客源数据1-8月'!A:A,"&lt;="&amp;EOMONTH(B45,-1),'拌客源数据1-8月'!H:H,"美团",'拌客源数据1-8月'!A:A,"&gt;="&amp;DATE(YEAR(B45),MONTH(B45)-1,1))-1</f>
        <v>4.1097542240933658</v>
      </c>
      <c r="E45" s="76"/>
      <c r="F45" s="75"/>
      <c r="G45" s="75"/>
    </row>
    <row r="46" spans="2:10" x14ac:dyDescent="0.2">
      <c r="B46" s="47">
        <v>44044</v>
      </c>
      <c r="C46" s="70">
        <f>SUMIFS('拌客源数据1-8月'!J:J,'拌客源数据1-8月'!A:A,"&lt;="&amp;EOMONTH(B46,0),'拌客源数据1-8月'!H:H,"美团",'拌客源数据1-8月'!A:A,"&gt;="&amp;DATE(YEAR(B46),MONTH(B46),1))</f>
        <v>42659.520000000004</v>
      </c>
      <c r="D46" s="57">
        <f>C46/SUMIFS('拌客源数据1-8月'!J:J,'拌客源数据1-8月'!A:A,"&lt;="&amp;EOMONTH(B46,-1),'拌客源数据1-8月'!H:H,"美团",'拌客源数据1-8月'!A:A,"&gt;="&amp;DATE(YEAR(B46),MONTH(B46)-1,1))-1</f>
        <v>-0.67936125276907289</v>
      </c>
      <c r="E46" s="76"/>
      <c r="F46" s="75"/>
      <c r="G46" s="75"/>
    </row>
    <row r="47" spans="2:10" x14ac:dyDescent="0.2">
      <c r="B47" s="48"/>
      <c r="C47" s="71"/>
      <c r="D47" s="42"/>
      <c r="E47" s="42"/>
    </row>
    <row r="48" spans="2:10" x14ac:dyDescent="0.2">
      <c r="B48" s="48"/>
      <c r="C48" s="42"/>
      <c r="D48" s="42"/>
      <c r="E48" s="42"/>
    </row>
    <row r="49" spans="2:5" x14ac:dyDescent="0.2">
      <c r="B49" s="48"/>
      <c r="C49" s="42"/>
      <c r="D49" s="42"/>
      <c r="E49" s="42"/>
    </row>
    <row r="52" spans="2:5" x14ac:dyDescent="0.2">
      <c r="B52" s="37" t="s">
        <v>81</v>
      </c>
    </row>
    <row r="54" spans="2:5" x14ac:dyDescent="0.2">
      <c r="B54" s="39"/>
      <c r="C54" s="40" t="s">
        <v>88</v>
      </c>
      <c r="D54" s="40" t="s">
        <v>89</v>
      </c>
    </row>
    <row r="55" spans="2:5" x14ac:dyDescent="0.2">
      <c r="B55" s="40" t="s">
        <v>55</v>
      </c>
      <c r="C55" s="39">
        <f>SUM('拌客源数据1-8月'!J:J)</f>
        <v>1071473.2499999998</v>
      </c>
      <c r="D55" s="39">
        <f>SUBTOTAL(9,'拌客源数据1-8月'!J:J)</f>
        <v>1071473.2499999998</v>
      </c>
    </row>
    <row r="56" spans="2:5" x14ac:dyDescent="0.2">
      <c r="B56" s="41"/>
      <c r="C56" s="42"/>
      <c r="D56" s="42"/>
    </row>
    <row r="57" spans="2:5" x14ac:dyDescent="0.2">
      <c r="B57" s="41"/>
      <c r="C57" s="42"/>
      <c r="D57" s="42"/>
    </row>
    <row r="58" spans="2:5" x14ac:dyDescent="0.2">
      <c r="B58" s="41"/>
      <c r="C58" s="42"/>
      <c r="D58" s="42"/>
    </row>
    <row r="61" spans="2:5" x14ac:dyDescent="0.2">
      <c r="B61" s="37" t="s">
        <v>82</v>
      </c>
    </row>
    <row r="63" spans="2:5" x14ac:dyDescent="0.2">
      <c r="B63" s="40" t="s">
        <v>98</v>
      </c>
      <c r="C63" s="40" t="s">
        <v>55</v>
      </c>
      <c r="D63" s="40" t="s">
        <v>100</v>
      </c>
      <c r="E63" s="49"/>
    </row>
    <row r="64" spans="2:5" x14ac:dyDescent="0.2">
      <c r="B64" s="40" t="s">
        <v>90</v>
      </c>
      <c r="C64" s="40">
        <v>64233.369999999995</v>
      </c>
      <c r="D64" s="40" t="str">
        <f>IF(C64&gt;100000,"达标","不达标")</f>
        <v>不达标</v>
      </c>
      <c r="E64" s="49"/>
    </row>
    <row r="65" spans="2:11" x14ac:dyDescent="0.2">
      <c r="B65" s="40" t="s">
        <v>91</v>
      </c>
      <c r="C65" s="40">
        <v>32755.710000000006</v>
      </c>
      <c r="D65" s="40" t="str">
        <f t="shared" ref="D65:D71" si="5">IF(C65&gt;100000,"达标","不达标")</f>
        <v>不达标</v>
      </c>
      <c r="E65" s="49"/>
    </row>
    <row r="66" spans="2:11" x14ac:dyDescent="0.2">
      <c r="B66" s="40" t="s">
        <v>92</v>
      </c>
      <c r="C66" s="40">
        <v>78895.689999999988</v>
      </c>
      <c r="D66" s="40" t="str">
        <f t="shared" si="5"/>
        <v>不达标</v>
      </c>
      <c r="E66" s="49"/>
    </row>
    <row r="67" spans="2:11" x14ac:dyDescent="0.2">
      <c r="B67" s="40" t="s">
        <v>93</v>
      </c>
      <c r="C67" s="40">
        <v>108307.06999999999</v>
      </c>
      <c r="D67" s="40" t="str">
        <f t="shared" si="5"/>
        <v>达标</v>
      </c>
      <c r="E67" s="49"/>
    </row>
    <row r="68" spans="2:11" x14ac:dyDescent="0.2">
      <c r="B68" s="40" t="s">
        <v>94</v>
      </c>
      <c r="C68" s="40">
        <v>194276.97</v>
      </c>
      <c r="D68" s="40" t="str">
        <f t="shared" si="5"/>
        <v>达标</v>
      </c>
      <c r="E68" s="49"/>
    </row>
    <row r="69" spans="2:11" x14ac:dyDescent="0.2">
      <c r="B69" s="40" t="s">
        <v>95</v>
      </c>
      <c r="C69" s="40">
        <v>255727.79000000007</v>
      </c>
      <c r="D69" s="40" t="str">
        <f t="shared" si="5"/>
        <v>达标</v>
      </c>
      <c r="E69" s="49"/>
    </row>
    <row r="70" spans="2:11" x14ac:dyDescent="0.2">
      <c r="B70" s="40" t="s">
        <v>96</v>
      </c>
      <c r="C70" s="40">
        <v>255891.73</v>
      </c>
      <c r="D70" s="40" t="str">
        <f t="shared" si="5"/>
        <v>达标</v>
      </c>
      <c r="E70" s="49"/>
    </row>
    <row r="71" spans="2:11" x14ac:dyDescent="0.2">
      <c r="B71" s="40" t="s">
        <v>97</v>
      </c>
      <c r="C71" s="40">
        <v>81384.920000000013</v>
      </c>
      <c r="D71" s="40" t="str">
        <f t="shared" si="5"/>
        <v>不达标</v>
      </c>
      <c r="E71" s="49"/>
    </row>
    <row r="72" spans="2:11" x14ac:dyDescent="0.2">
      <c r="B72" s="41"/>
      <c r="C72" s="41"/>
      <c r="D72" s="41"/>
      <c r="E72" s="49"/>
    </row>
    <row r="73" spans="2:11" x14ac:dyDescent="0.2">
      <c r="B73" s="41"/>
      <c r="C73" s="41"/>
      <c r="D73" s="41"/>
      <c r="E73" s="49"/>
    </row>
    <row r="74" spans="2:11" x14ac:dyDescent="0.2">
      <c r="B74" s="41"/>
      <c r="C74" s="41"/>
      <c r="D74" s="41"/>
      <c r="E74" s="49"/>
    </row>
    <row r="77" spans="2:11" x14ac:dyDescent="0.2">
      <c r="B77" s="37" t="s">
        <v>101</v>
      </c>
    </row>
    <row r="78" spans="2:11" x14ac:dyDescent="0.2">
      <c r="I78" s="37" t="s">
        <v>109</v>
      </c>
    </row>
    <row r="79" spans="2:11" x14ac:dyDescent="0.2">
      <c r="B79" s="40" t="s">
        <v>98</v>
      </c>
      <c r="C79" s="40" t="s">
        <v>55</v>
      </c>
      <c r="D79" s="40" t="s">
        <v>99</v>
      </c>
      <c r="E79" s="39" t="s">
        <v>102</v>
      </c>
      <c r="I79" s="40" t="s">
        <v>106</v>
      </c>
      <c r="J79" s="40" t="s">
        <v>107</v>
      </c>
      <c r="K79" s="40" t="s">
        <v>108</v>
      </c>
    </row>
    <row r="80" spans="2:11" x14ac:dyDescent="0.2">
      <c r="B80" s="40" t="s">
        <v>90</v>
      </c>
      <c r="C80" s="40">
        <v>64233.369999999995</v>
      </c>
      <c r="D80" s="40">
        <v>3344.24</v>
      </c>
      <c r="E80" s="40" t="str">
        <f>IF(C80&gt;100000,IF(D80&lt;5000,"达标","不达标"),"不达标")</f>
        <v>不达标</v>
      </c>
      <c r="I80" s="40">
        <v>0</v>
      </c>
      <c r="J80" s="40">
        <v>0</v>
      </c>
      <c r="K80" s="40"/>
    </row>
    <row r="81" spans="2:21" x14ac:dyDescent="0.2">
      <c r="B81" s="40" t="s">
        <v>91</v>
      </c>
      <c r="C81" s="40">
        <v>32755.710000000006</v>
      </c>
      <c r="D81" s="40">
        <v>902.87</v>
      </c>
      <c r="E81" s="40" t="str">
        <f t="shared" ref="E81:E87" si="6">IF(C81&gt;100000,IF(D81&lt;5000,"达标","不达标"),"不达标")</f>
        <v>不达标</v>
      </c>
      <c r="I81" s="40">
        <v>1</v>
      </c>
      <c r="J81" s="40">
        <v>0</v>
      </c>
      <c r="K81" s="40"/>
    </row>
    <row r="82" spans="2:21" x14ac:dyDescent="0.2">
      <c r="B82" s="40" t="s">
        <v>92</v>
      </c>
      <c r="C82" s="40">
        <v>78895.689999999988</v>
      </c>
      <c r="D82" s="40">
        <v>2645.3200000000006</v>
      </c>
      <c r="E82" s="40" t="str">
        <f t="shared" si="6"/>
        <v>不达标</v>
      </c>
      <c r="I82" s="40">
        <v>1</v>
      </c>
      <c r="J82" s="40">
        <v>1</v>
      </c>
      <c r="K82" s="40"/>
    </row>
    <row r="83" spans="2:21" x14ac:dyDescent="0.2">
      <c r="B83" s="40" t="s">
        <v>93</v>
      </c>
      <c r="C83" s="40">
        <v>108307.06999999999</v>
      </c>
      <c r="D83" s="40">
        <v>4513.12</v>
      </c>
      <c r="E83" s="40" t="str">
        <f t="shared" si="6"/>
        <v>达标</v>
      </c>
      <c r="I83" s="40">
        <v>0</v>
      </c>
      <c r="J83" s="40">
        <v>1</v>
      </c>
      <c r="K83" s="40"/>
    </row>
    <row r="84" spans="2:21" x14ac:dyDescent="0.2">
      <c r="B84" s="40" t="s">
        <v>94</v>
      </c>
      <c r="C84" s="40">
        <v>194276.97</v>
      </c>
      <c r="D84" s="40">
        <v>11804.4</v>
      </c>
      <c r="E84" s="40" t="str">
        <f t="shared" si="6"/>
        <v>不达标</v>
      </c>
    </row>
    <row r="85" spans="2:21" x14ac:dyDescent="0.2">
      <c r="B85" s="40" t="s">
        <v>95</v>
      </c>
      <c r="C85" s="40">
        <v>255727.79000000007</v>
      </c>
      <c r="D85" s="40">
        <v>8302.5300000000007</v>
      </c>
      <c r="E85" s="40" t="str">
        <f t="shared" si="6"/>
        <v>不达标</v>
      </c>
    </row>
    <row r="86" spans="2:21" x14ac:dyDescent="0.2">
      <c r="B86" s="40" t="s">
        <v>96</v>
      </c>
      <c r="C86" s="40">
        <v>255891.73</v>
      </c>
      <c r="D86" s="40">
        <v>13616.330000000004</v>
      </c>
      <c r="E86" s="40" t="str">
        <f t="shared" si="6"/>
        <v>不达标</v>
      </c>
    </row>
    <row r="87" spans="2:21" x14ac:dyDescent="0.2">
      <c r="B87" s="40" t="s">
        <v>97</v>
      </c>
      <c r="C87" s="40">
        <v>81384.920000000013</v>
      </c>
      <c r="D87" s="40">
        <v>3680.309999999999</v>
      </c>
      <c r="E87" s="40" t="str">
        <f t="shared" si="6"/>
        <v>不达标</v>
      </c>
    </row>
    <row r="88" spans="2:21" x14ac:dyDescent="0.2">
      <c r="B88" s="41"/>
      <c r="C88" s="41"/>
      <c r="D88" s="41"/>
      <c r="E88" s="42"/>
    </row>
    <row r="89" spans="2:21" x14ac:dyDescent="0.2">
      <c r="B89" s="41"/>
      <c r="C89" s="41"/>
      <c r="D89" s="41"/>
      <c r="E89" s="42"/>
    </row>
    <row r="90" spans="2:21" x14ac:dyDescent="0.2">
      <c r="B90" s="41"/>
      <c r="C90" s="41"/>
      <c r="D90" s="41"/>
      <c r="E90" s="42"/>
    </row>
    <row r="93" spans="2:21" x14ac:dyDescent="0.2">
      <c r="B93" s="37" t="s">
        <v>105</v>
      </c>
    </row>
    <row r="94" spans="2:21" x14ac:dyDescent="0.2">
      <c r="F94" s="37" t="s">
        <v>121</v>
      </c>
      <c r="I94" s="37" t="s">
        <v>130</v>
      </c>
      <c r="S94" s="37" t="s">
        <v>118</v>
      </c>
    </row>
    <row r="95" spans="2:21" x14ac:dyDescent="0.2">
      <c r="B95" s="40" t="s">
        <v>103</v>
      </c>
      <c r="C95" s="40" t="s">
        <v>104</v>
      </c>
      <c r="D95" s="41"/>
      <c r="E95" s="41"/>
      <c r="F95" s="40" t="s">
        <v>122</v>
      </c>
      <c r="G95" s="40" t="s">
        <v>117</v>
      </c>
      <c r="I95" s="40" t="s">
        <v>124</v>
      </c>
      <c r="J95" s="40" t="s">
        <v>125</v>
      </c>
      <c r="O95" s="40" t="s">
        <v>103</v>
      </c>
      <c r="P95" s="40" t="s">
        <v>55</v>
      </c>
      <c r="Q95" s="41"/>
      <c r="R95" s="41"/>
      <c r="S95" s="40" t="s">
        <v>110</v>
      </c>
      <c r="T95" s="40" t="s">
        <v>113</v>
      </c>
      <c r="U95" s="40" t="s">
        <v>117</v>
      </c>
    </row>
    <row r="96" spans="2:21" x14ac:dyDescent="0.2">
      <c r="B96" s="50" t="s">
        <v>46</v>
      </c>
      <c r="C96" s="40" t="str">
        <f>VLOOKUP(B96,'拌客源数据1-8月'!D:E,2,FALSE)</f>
        <v>宝山店</v>
      </c>
      <c r="D96" s="41"/>
      <c r="E96" s="41"/>
      <c r="F96" s="40" t="s">
        <v>129</v>
      </c>
      <c r="G96" s="40">
        <v>1</v>
      </c>
      <c r="I96" s="40" t="s">
        <v>114</v>
      </c>
      <c r="J96" s="40">
        <f>VLOOKUP(I96&amp;"*",F:G,2,FALSE)</f>
        <v>1</v>
      </c>
      <c r="O96" s="50" t="s">
        <v>46</v>
      </c>
      <c r="P96" s="39">
        <f>VLOOKUP($O96,$O$106:$P$116,2,FALSE)</f>
        <v>273854.58</v>
      </c>
      <c r="Q96" s="42"/>
      <c r="R96" s="42"/>
      <c r="S96" s="40" t="s">
        <v>106</v>
      </c>
      <c r="T96" s="40" t="s">
        <v>114</v>
      </c>
      <c r="U96" s="40">
        <v>1</v>
      </c>
    </row>
    <row r="97" spans="2:22" x14ac:dyDescent="0.2">
      <c r="B97" s="50" t="s">
        <v>47</v>
      </c>
      <c r="C97" s="40" t="str">
        <f>VLOOKUP(B97,'拌客源数据1-8月'!D:E,2,0)</f>
        <v>五角场店</v>
      </c>
      <c r="D97" s="41"/>
      <c r="E97" s="41"/>
      <c r="F97" s="40" t="s">
        <v>127</v>
      </c>
      <c r="G97" s="40">
        <v>2</v>
      </c>
      <c r="O97" s="50" t="s">
        <v>47</v>
      </c>
      <c r="P97" s="39">
        <f t="shared" ref="P97:P103" si="7">VLOOKUP($O97,$O$106:$P$116,2,FALSE)</f>
        <v>16838.82</v>
      </c>
      <c r="Q97" s="42"/>
      <c r="R97" s="42"/>
      <c r="S97" s="40" t="s">
        <v>106</v>
      </c>
      <c r="T97" s="40" t="s">
        <v>115</v>
      </c>
      <c r="U97" s="40">
        <v>2</v>
      </c>
    </row>
    <row r="98" spans="2:22" x14ac:dyDescent="0.2">
      <c r="B98" s="50" t="s">
        <v>44</v>
      </c>
      <c r="C98" s="40" t="str">
        <f>VLOOKUP(B98,'拌客源数据1-8月'!D:E,2,0)</f>
        <v>龙阳广场店</v>
      </c>
      <c r="D98" s="41"/>
      <c r="E98" s="41"/>
      <c r="F98" s="40" t="s">
        <v>126</v>
      </c>
      <c r="G98" s="40">
        <v>3</v>
      </c>
      <c r="I98" s="37" t="s">
        <v>128</v>
      </c>
      <c r="O98" s="50" t="s">
        <v>44</v>
      </c>
      <c r="P98" s="39">
        <f t="shared" si="7"/>
        <v>6452.04</v>
      </c>
      <c r="Q98" s="42"/>
      <c r="R98" s="42"/>
      <c r="S98" s="40" t="s">
        <v>107</v>
      </c>
      <c r="T98" s="40" t="s">
        <v>116</v>
      </c>
      <c r="U98" s="40">
        <v>3</v>
      </c>
    </row>
    <row r="99" spans="2:22" x14ac:dyDescent="0.2">
      <c r="B99" s="50" t="s">
        <v>45</v>
      </c>
      <c r="C99" s="40" t="str">
        <f>VLOOKUP(B99,'拌客源数据1-8月'!D:E,2,0)</f>
        <v>五角场店</v>
      </c>
      <c r="D99" s="41"/>
      <c r="E99" s="41"/>
      <c r="F99" s="40" t="s">
        <v>138</v>
      </c>
      <c r="G99" s="40">
        <v>4</v>
      </c>
      <c r="I99" s="40" t="s">
        <v>115</v>
      </c>
      <c r="J99" s="40">
        <f>VLOOKUP(I99&amp;"??",F96:G103,2,FALSE)</f>
        <v>7</v>
      </c>
      <c r="O99" s="50" t="s">
        <v>45</v>
      </c>
      <c r="P99" s="39">
        <f t="shared" si="7"/>
        <v>60286.000000000022</v>
      </c>
      <c r="Q99" s="42"/>
      <c r="R99" s="42"/>
      <c r="S99" s="40" t="s">
        <v>107</v>
      </c>
      <c r="T99" s="40" t="s">
        <v>116</v>
      </c>
      <c r="U99" s="40">
        <v>4</v>
      </c>
    </row>
    <row r="100" spans="2:22" x14ac:dyDescent="0.2">
      <c r="B100" s="50" t="s">
        <v>48</v>
      </c>
      <c r="C100" s="40" t="str">
        <f>VLOOKUP(B100,'拌客源数据1-8月'!D:E,2,0)</f>
        <v>怒江路店</v>
      </c>
      <c r="D100" s="41"/>
      <c r="E100" s="41"/>
      <c r="F100" s="40" t="s">
        <v>139</v>
      </c>
      <c r="G100" s="40">
        <v>5</v>
      </c>
      <c r="O100" s="50" t="s">
        <v>48</v>
      </c>
      <c r="P100" s="39">
        <f t="shared" si="7"/>
        <v>4313.57</v>
      </c>
      <c r="Q100" s="42"/>
      <c r="R100" s="42"/>
      <c r="S100" s="40" t="s">
        <v>107</v>
      </c>
      <c r="T100" s="40" t="s">
        <v>114</v>
      </c>
      <c r="U100" s="40">
        <v>5</v>
      </c>
    </row>
    <row r="101" spans="2:22" x14ac:dyDescent="0.2">
      <c r="B101" s="50" t="s">
        <v>49</v>
      </c>
      <c r="C101" s="40" t="str">
        <f>VLOOKUP(B101,'拌客源数据1-8月'!D:E,2,0)</f>
        <v>宝山店</v>
      </c>
      <c r="D101" s="41"/>
      <c r="E101" s="41"/>
      <c r="F101" s="40" t="s">
        <v>119</v>
      </c>
      <c r="G101" s="40">
        <v>6</v>
      </c>
      <c r="O101" s="50" t="s">
        <v>49</v>
      </c>
      <c r="P101" s="39">
        <f t="shared" si="7"/>
        <v>169975.03999999998</v>
      </c>
      <c r="Q101" s="42"/>
      <c r="R101" s="42"/>
      <c r="S101" s="40" t="s">
        <v>111</v>
      </c>
      <c r="T101" s="40" t="s">
        <v>114</v>
      </c>
      <c r="U101" s="40">
        <v>6</v>
      </c>
    </row>
    <row r="102" spans="2:22" x14ac:dyDescent="0.2">
      <c r="B102" s="50" t="s">
        <v>50</v>
      </c>
      <c r="C102" s="40" t="str">
        <f>VLOOKUP(B102,'拌客源数据1-8月'!D:E,2,0)</f>
        <v>拌客干拌麻辣烫(武宁路店)</v>
      </c>
      <c r="D102" s="41"/>
      <c r="E102" s="41"/>
      <c r="F102" s="40" t="s">
        <v>120</v>
      </c>
      <c r="G102" s="40">
        <v>7</v>
      </c>
      <c r="O102" s="50" t="s">
        <v>50</v>
      </c>
      <c r="P102" s="39">
        <f t="shared" si="7"/>
        <v>425745.45999999996</v>
      </c>
      <c r="Q102" s="42"/>
      <c r="R102" s="42"/>
      <c r="S102" s="40" t="s">
        <v>111</v>
      </c>
      <c r="T102" s="40" t="s">
        <v>114</v>
      </c>
      <c r="U102" s="40">
        <v>7</v>
      </c>
    </row>
    <row r="103" spans="2:22" x14ac:dyDescent="0.2">
      <c r="B103" s="50" t="s">
        <v>51</v>
      </c>
      <c r="C103" s="40" t="str">
        <f>VLOOKUP(B103,'拌客源数据1-8月'!D:E,2,0)</f>
        <v>拌客干拌麻辣烫(武宁路店)</v>
      </c>
      <c r="D103" s="41"/>
      <c r="E103" s="41"/>
      <c r="F103" s="40" t="s">
        <v>159</v>
      </c>
      <c r="G103" s="40">
        <v>8</v>
      </c>
      <c r="O103" s="50" t="s">
        <v>51</v>
      </c>
      <c r="P103" s="39">
        <f t="shared" si="7"/>
        <v>114007.74</v>
      </c>
      <c r="Q103" s="42"/>
      <c r="R103" s="42"/>
      <c r="S103" s="40" t="s">
        <v>112</v>
      </c>
      <c r="T103" s="40" t="s">
        <v>115</v>
      </c>
      <c r="U103" s="40">
        <v>8</v>
      </c>
    </row>
    <row r="104" spans="2:22" x14ac:dyDescent="0.2">
      <c r="B104" s="51"/>
      <c r="C104" s="41"/>
      <c r="D104" s="41"/>
      <c r="E104" s="41"/>
      <c r="F104" s="41"/>
      <c r="G104" s="41"/>
      <c r="O104" s="51"/>
      <c r="P104" s="42"/>
      <c r="Q104" s="42"/>
      <c r="R104" s="42"/>
      <c r="S104" s="41"/>
      <c r="T104" s="41"/>
      <c r="U104" s="41"/>
    </row>
    <row r="105" spans="2:22" x14ac:dyDescent="0.2">
      <c r="B105" s="51"/>
      <c r="C105" s="41"/>
      <c r="D105" s="41"/>
      <c r="E105" s="41"/>
      <c r="F105" s="41"/>
      <c r="G105" s="41"/>
      <c r="O105"/>
      <c r="P105"/>
      <c r="Q105"/>
      <c r="R105" s="42"/>
      <c r="S105" s="59" t="s">
        <v>135</v>
      </c>
      <c r="T105" t="s">
        <v>144</v>
      </c>
      <c r="U105"/>
    </row>
    <row r="106" spans="2:22" x14ac:dyDescent="0.2">
      <c r="B106" s="51"/>
      <c r="C106" s="41"/>
      <c r="D106" s="41"/>
      <c r="E106" s="41"/>
      <c r="F106" s="41"/>
      <c r="G106" s="41"/>
      <c r="O106" s="59" t="s">
        <v>135</v>
      </c>
      <c r="P106" t="s">
        <v>137</v>
      </c>
      <c r="Q106"/>
      <c r="R106" s="42"/>
      <c r="S106" s="60" t="s">
        <v>140</v>
      </c>
      <c r="T106" s="61">
        <v>3</v>
      </c>
      <c r="U106"/>
    </row>
    <row r="107" spans="2:22" x14ac:dyDescent="0.2">
      <c r="O107" s="60" t="s">
        <v>45</v>
      </c>
      <c r="P107" s="61">
        <v>60286.000000000022</v>
      </c>
      <c r="Q107"/>
      <c r="S107" s="62" t="s">
        <v>145</v>
      </c>
      <c r="T107" s="61">
        <v>1</v>
      </c>
      <c r="U107"/>
    </row>
    <row r="108" spans="2:22" x14ac:dyDescent="0.2">
      <c r="O108" s="60" t="s">
        <v>46</v>
      </c>
      <c r="P108" s="61">
        <v>273854.58</v>
      </c>
      <c r="Q108"/>
      <c r="S108" s="62" t="s">
        <v>146</v>
      </c>
      <c r="T108" s="61">
        <v>2</v>
      </c>
      <c r="U108"/>
    </row>
    <row r="109" spans="2:22" x14ac:dyDescent="0.2">
      <c r="B109" s="37" t="s">
        <v>133</v>
      </c>
      <c r="O109" s="60" t="s">
        <v>44</v>
      </c>
      <c r="P109" s="61">
        <v>6452.04</v>
      </c>
      <c r="Q109"/>
      <c r="S109" s="60" t="s">
        <v>141</v>
      </c>
      <c r="T109" s="61">
        <v>12</v>
      </c>
      <c r="U109"/>
      <c r="V109"/>
    </row>
    <row r="110" spans="2:22" x14ac:dyDescent="0.2">
      <c r="O110" s="60" t="s">
        <v>50</v>
      </c>
      <c r="P110" s="61">
        <v>425745.45999999996</v>
      </c>
      <c r="Q110"/>
      <c r="S110" s="62" t="s">
        <v>145</v>
      </c>
      <c r="T110" s="61">
        <v>5</v>
      </c>
      <c r="U110"/>
      <c r="V110"/>
    </row>
    <row r="111" spans="2:22" x14ac:dyDescent="0.2">
      <c r="B111" s="68" t="s">
        <v>11</v>
      </c>
      <c r="C111" s="69"/>
      <c r="D111" s="40" t="s">
        <v>103</v>
      </c>
      <c r="E111" s="40" t="s">
        <v>131</v>
      </c>
      <c r="F111" s="40" t="s">
        <v>132</v>
      </c>
      <c r="G111" s="40" t="s">
        <v>55</v>
      </c>
      <c r="H111" s="40" t="s">
        <v>74</v>
      </c>
      <c r="I111" s="40" t="s">
        <v>75</v>
      </c>
      <c r="J111" s="41"/>
      <c r="O111" s="60" t="s">
        <v>48</v>
      </c>
      <c r="P111" s="61">
        <v>4313.57</v>
      </c>
      <c r="Q111"/>
      <c r="S111" s="62" t="s">
        <v>147</v>
      </c>
      <c r="T111" s="61">
        <v>7</v>
      </c>
      <c r="U111"/>
      <c r="V111"/>
    </row>
    <row r="112" spans="2:22" x14ac:dyDescent="0.2">
      <c r="B112" s="68" t="s">
        <v>29</v>
      </c>
      <c r="C112" s="69"/>
      <c r="D112" s="40" t="str">
        <f>INDEX('拌客源数据1-8月'!$A:$X,MATCH(B112,'拌客源数据1-8月'!I:I,0),MATCH(D111,'拌客源数据1-8月'!$1:$1,0))</f>
        <v>2001104355</v>
      </c>
      <c r="E112" s="40" t="str">
        <f>INDEX('拌客源数据1-8月'!$A:$X,MATCH($B112,'拌客源数据1-8月'!$I:$I,0),MATCH(E$111,'拌客源数据1-8月'!$1:$1,0))</f>
        <v>蛙小辣火锅杯（总账号）</v>
      </c>
      <c r="F112" s="40">
        <f>INDEX('拌客源数据1-8月'!$A:$X,MATCH($B112,'拌客源数据1-8月'!$I:$I,0),MATCH(F$111,'拌客源数据1-8月'!$1:$1,0))</f>
        <v>4636</v>
      </c>
      <c r="G112" s="40">
        <f>SUMIFS(INDEX('拌客源数据1-8月'!$A:$X,0,MATCH(G$111,'拌客源数据1-8月'!$1:$1,0)),INDEX('拌客源数据1-8月'!$A:$X,0,MATCH($B$111,'拌客源数据1-8月'!$1:$1,0)),$B112)</f>
        <v>116343.26000000004</v>
      </c>
      <c r="H112" s="40">
        <f>SUMIFS(INDEX('拌客源数据1-8月'!$A:$X,0,MATCH(H$111,'拌客源数据1-8月'!$1:$1,0)),INDEX('拌客源数据1-8月'!$A:$X,0,MATCH($B$111,'拌客源数据1-8月'!$1:$1,0)),$B112)</f>
        <v>11204</v>
      </c>
      <c r="I112" s="40">
        <f>SUMIFS(INDEX('拌客源数据1-8月'!$A:$X,0,MATCH(I$111,'拌客源数据1-8月'!$1:$1,0)),INDEX('拌客源数据1-8月'!$A:$X,0,MATCH($B$111,'拌客源数据1-8月'!$1:$1,0)),$B112)</f>
        <v>1646</v>
      </c>
      <c r="J112" s="41"/>
      <c r="O112" s="60" t="s">
        <v>47</v>
      </c>
      <c r="P112" s="61">
        <v>16838.82</v>
      </c>
      <c r="Q112"/>
      <c r="S112" s="60" t="s">
        <v>142</v>
      </c>
      <c r="T112" s="61">
        <v>13</v>
      </c>
      <c r="U112"/>
      <c r="V112"/>
    </row>
    <row r="113" spans="2:21" x14ac:dyDescent="0.2">
      <c r="B113" s="68" t="s">
        <v>23</v>
      </c>
      <c r="C113" s="69"/>
      <c r="D113" s="40" t="str">
        <f>INDEX('拌客源数据1-8月'!$A:$X,MATCH($B113,'拌客源数据1-8月'!$I:$I,0),MATCH(D$111,'拌客源数据1-8月'!$1:$1,0))</f>
        <v>8184590</v>
      </c>
      <c r="E113" s="40" t="str">
        <f>INDEX('拌客源数据1-8月'!$A:$X,MATCH($B113,'拌客源数据1-8月'!$I:$I,0),MATCH(E$111,'拌客源数据1-8月'!$1:$1,0))</f>
        <v>蛙小辣火锅杯（总账号）</v>
      </c>
      <c r="F113" s="40">
        <f>INDEX('拌客源数据1-8月'!$A:$X,MATCH($B113,'拌客源数据1-8月'!$I:$I,0),MATCH(F$111,'拌客源数据1-8月'!$1:$1,0))</f>
        <v>4636</v>
      </c>
      <c r="G113" s="40">
        <f>SUMIFS(INDEX('拌客源数据1-8月'!$A:$X,0,MATCH(G$111,'拌客源数据1-8月'!$1:$1,0)),INDEX('拌客源数据1-8月'!$A:$X,0,MATCH($B$111,'拌客源数据1-8月'!$1:$1,0)),$B113)</f>
        <v>6787.9800000000005</v>
      </c>
      <c r="H113" s="40">
        <f>SUMIFS(INDEX('拌客源数据1-8月'!$A:$X,0,MATCH(H$111,'拌客源数据1-8月'!$1:$1,0)),INDEX('拌客源数据1-8月'!$A:$X,0,MATCH($B$111,'拌客源数据1-8月'!$1:$1,0)),$B113)</f>
        <v>775</v>
      </c>
      <c r="I113" s="40">
        <f>SUMIFS(INDEX('拌客源数据1-8月'!$A:$X,0,MATCH(I$111,'拌客源数据1-8月'!$1:$1,0)),INDEX('拌客源数据1-8月'!$A:$X,0,MATCH($B$111,'拌客源数据1-8月'!$1:$1,0)),$B113)</f>
        <v>113</v>
      </c>
      <c r="J113" s="41"/>
      <c r="O113" s="60" t="s">
        <v>49</v>
      </c>
      <c r="P113" s="61">
        <v>169975.03999999998</v>
      </c>
      <c r="Q113"/>
      <c r="S113" s="62" t="s">
        <v>145</v>
      </c>
      <c r="T113" s="61">
        <v>13</v>
      </c>
      <c r="U113"/>
    </row>
    <row r="114" spans="2:21" x14ac:dyDescent="0.2">
      <c r="B114" s="68" t="s">
        <v>32</v>
      </c>
      <c r="C114" s="69"/>
      <c r="D114" s="40" t="str">
        <f>INDEX('拌客源数据1-8月'!$A:$X,MATCH($B114,'拌客源数据1-8月'!I:I,0),MATCH(D$111,'拌客源数据1-8月'!$1:$1,0))</f>
        <v>305225345</v>
      </c>
      <c r="E114" s="40" t="str">
        <f>INDEX('拌客源数据1-8月'!$A:$X,MATCH($B114,'拌客源数据1-8月'!$I:$I,0),MATCH(E$111,'拌客源数据1-8月'!$1:$1,0))</f>
        <v>蛙小辣火锅杯（总账号）</v>
      </c>
      <c r="F114" s="40">
        <f>INDEX('拌客源数据1-8月'!$A:$X,MATCH($B114,'拌客源数据1-8月'!$I:$I,0),MATCH(F$111,'拌客源数据1-8月'!$1:$1,0))</f>
        <v>4636</v>
      </c>
      <c r="G114" s="40">
        <f>SUMIFS(INDEX('拌客源数据1-8月'!$A:$X,0,MATCH(G$111,'拌客源数据1-8月'!$1:$1,0)),INDEX('拌客源数据1-8月'!$A:$X,0,MATCH($B$111,'拌客源数据1-8月'!$1:$1,0)),$B114)</f>
        <v>6452.04</v>
      </c>
      <c r="H114" s="40">
        <f>SUMIFS(INDEX('拌客源数据1-8月'!$A:$X,0,MATCH(H$111,'拌客源数据1-8月'!$1:$1,0)),INDEX('拌客源数据1-8月'!$A:$X,0,MATCH($B$111,'拌客源数据1-8月'!$1:$1,0)),$B114)</f>
        <v>590</v>
      </c>
      <c r="I114" s="40">
        <f>SUMIFS(INDEX('拌客源数据1-8月'!$A:$X,0,MATCH(I$111,'拌客源数据1-8月'!$1:$1,0)),INDEX('拌客源数据1-8月'!$A:$X,0,MATCH($B$111,'拌客源数据1-8月'!$1:$1,0)),$B114)</f>
        <v>108</v>
      </c>
      <c r="J114" s="41"/>
      <c r="O114" s="60" t="s">
        <v>51</v>
      </c>
      <c r="P114" s="61">
        <v>114007.74</v>
      </c>
      <c r="Q114"/>
      <c r="S114" s="60" t="s">
        <v>143</v>
      </c>
      <c r="T114" s="61">
        <v>8</v>
      </c>
      <c r="U114"/>
    </row>
    <row r="115" spans="2:21" x14ac:dyDescent="0.2">
      <c r="B115" s="68" t="s">
        <v>30</v>
      </c>
      <c r="C115" s="69"/>
      <c r="D115" s="40" t="str">
        <f>INDEX('拌客源数据1-8月'!$A:$X,MATCH($B115,'拌客源数据1-8月'!I:I,0),MATCH(D$111,'拌客源数据1-8月'!$1:$1,0))</f>
        <v>2000507076</v>
      </c>
      <c r="E115" s="40" t="str">
        <f>INDEX('拌客源数据1-8月'!$A:$X,MATCH($B115,'拌客源数据1-8月'!$I:$I,0),MATCH(E$111,'拌客源数据1-8月'!$1:$1,0))</f>
        <v>蛙小辣火锅杯（总账号）</v>
      </c>
      <c r="F115" s="40">
        <f>INDEX('拌客源数据1-8月'!$A:$X,MATCH($B115,'拌客源数据1-8月'!$I:$I,0),MATCH(F$111,'拌客源数据1-8月'!$1:$1,0))</f>
        <v>4636</v>
      </c>
      <c r="G115" s="40">
        <f>SUMIFS(INDEX('拌客源数据1-8月'!$A:$X,0,MATCH(G$111,'拌客源数据1-8月'!$1:$1,0)),INDEX('拌客源数据1-8月'!$A:$X,0,MATCH($B$111,'拌客源数据1-8月'!$1:$1,0)),$B115)</f>
        <v>33744.82</v>
      </c>
      <c r="H115" s="40">
        <f>SUMIFS(INDEX('拌客源数据1-8月'!$A:$X,0,MATCH(H$111,'拌客源数据1-8月'!$1:$1,0)),INDEX('拌客源数据1-8月'!$A:$X,0,MATCH($B$111,'拌客源数据1-8月'!$1:$1,0)),$B115)</f>
        <v>2490</v>
      </c>
      <c r="I115" s="40">
        <f>SUMIFS(INDEX('拌客源数据1-8月'!$A:$X,0,MATCH(I$111,'拌客源数据1-8月'!$1:$1,0)),INDEX('拌客源数据1-8月'!$A:$X,0,MATCH($B$111,'拌客源数据1-8月'!$1:$1,0)),$B115)</f>
        <v>512</v>
      </c>
      <c r="J115" s="41"/>
      <c r="O115" s="60" t="s">
        <v>164</v>
      </c>
      <c r="P115" s="61"/>
      <c r="Q115"/>
      <c r="S115" s="62" t="s">
        <v>146</v>
      </c>
      <c r="T115" s="61">
        <v>8</v>
      </c>
      <c r="U115"/>
    </row>
    <row r="116" spans="2:21" x14ac:dyDescent="0.2">
      <c r="B116" s="68" t="s">
        <v>25</v>
      </c>
      <c r="C116" s="69"/>
      <c r="D116" s="40" t="str">
        <f>INDEX('拌客源数据1-8月'!$A:$X,MATCH($B116,'拌客源数据1-8月'!I:I,0),MATCH(D$111,'拌客源数据1-8月'!$1:$1,0))</f>
        <v>8106681</v>
      </c>
      <c r="E116" s="40" t="str">
        <f>INDEX('拌客源数据1-8月'!$A:$X,MATCH($B116,'拌客源数据1-8月'!$I:$I,0),MATCH(E$111,'拌客源数据1-8月'!$1:$1,0))</f>
        <v>蛙小辣火锅杯（总账号）</v>
      </c>
      <c r="F116" s="40">
        <f>INDEX('拌客源数据1-8月'!$A:$X,MATCH($B116,'拌客源数据1-8月'!$I:$I,0),MATCH(F$111,'拌客源数据1-8月'!$1:$1,0))</f>
        <v>4636</v>
      </c>
      <c r="G116" s="40">
        <f>SUMIFS(INDEX('拌客源数据1-8月'!$A:$X,0,MATCH(G$111,'拌客源数据1-8月'!$1:$1,0)),INDEX('拌客源数据1-8月'!$A:$X,0,MATCH($B$111,'拌客源数据1-8月'!$1:$1,0)),$B116)</f>
        <v>4313.57</v>
      </c>
      <c r="H116" s="40">
        <f>SUMIFS(INDEX('拌客源数据1-8月'!$A:$X,0,MATCH(H$111,'拌客源数据1-8月'!$1:$1,0)),INDEX('拌客源数据1-8月'!$A:$X,0,MATCH($B$111,'拌客源数据1-8月'!$1:$1,0)),$B116)</f>
        <v>367</v>
      </c>
      <c r="I116" s="40">
        <f>SUMIFS(INDEX('拌客源数据1-8月'!$A:$X,0,MATCH(I$111,'拌客源数据1-8月'!$1:$1,0)),INDEX('拌客源数据1-8月'!$A:$X,0,MATCH($B$111,'拌客源数据1-8月'!$1:$1,0)),$B116)</f>
        <v>66</v>
      </c>
      <c r="J116" s="41"/>
      <c r="O116" s="60" t="s">
        <v>136</v>
      </c>
      <c r="P116" s="61">
        <v>1071473.2499999998</v>
      </c>
      <c r="Q116"/>
      <c r="S116" s="60" t="s">
        <v>136</v>
      </c>
      <c r="T116" s="61">
        <v>36</v>
      </c>
      <c r="U116"/>
    </row>
    <row r="117" spans="2:21" x14ac:dyDescent="0.2">
      <c r="B117" s="68" t="s">
        <v>34</v>
      </c>
      <c r="C117" s="69"/>
      <c r="D117" s="40" t="str">
        <f>INDEX('拌客源数据1-8月'!$A:$X,MATCH($B117,'拌客源数据1-8月'!I:I,0),MATCH(D$111,'拌客源数据1-8月'!$1:$1,0))</f>
        <v>8491999</v>
      </c>
      <c r="E117" s="40" t="str">
        <f>INDEX('拌客源数据1-8月'!$A:$X,MATCH($B117,'拌客源数据1-8月'!$I:$I,0),MATCH(E$111,'拌客源数据1-8月'!$1:$1,0))</f>
        <v>蛙小辣火锅杯（总账号）</v>
      </c>
      <c r="F117" s="40">
        <f>INDEX('拌客源数据1-8月'!$A:$X,MATCH($B117,'拌客源数据1-8月'!$I:$I,0),MATCH(F$111,'拌客源数据1-8月'!$1:$1,0))</f>
        <v>4636</v>
      </c>
      <c r="G117" s="40">
        <f>SUMIFS(INDEX('拌客源数据1-8月'!$A:$X,0,MATCH(G$111,'拌客源数据1-8月'!$1:$1,0)),INDEX('拌客源数据1-8月'!$A:$X,0,MATCH($B$111,'拌客源数据1-8月'!$1:$1,0)),$B117)</f>
        <v>169975.03999999998</v>
      </c>
      <c r="H117" s="40">
        <f>SUMIFS(INDEX('拌客源数据1-8月'!$A:$X,0,MATCH(H$111,'拌客源数据1-8月'!$1:$1,0)),INDEX('拌客源数据1-8月'!$A:$X,0,MATCH($B$111,'拌客源数据1-8月'!$1:$1,0)),$B117)</f>
        <v>15813</v>
      </c>
      <c r="I117" s="40">
        <f>SUMIFS(INDEX('拌客源数据1-8月'!$A:$X,0,MATCH(I$111,'拌客源数据1-8月'!$1:$1,0)),INDEX('拌客源数据1-8月'!$A:$X,0,MATCH($B$111,'拌客源数据1-8月'!$1:$1,0)),$B117)</f>
        <v>2969</v>
      </c>
      <c r="J117" s="41"/>
      <c r="O117"/>
      <c r="P117"/>
      <c r="Q117"/>
      <c r="S117"/>
      <c r="T117"/>
      <c r="U117"/>
    </row>
    <row r="118" spans="2:21" x14ac:dyDescent="0.2">
      <c r="B118" s="68" t="s">
        <v>33</v>
      </c>
      <c r="C118" s="69"/>
      <c r="D118" s="40" t="str">
        <f>INDEX('拌客源数据1-8月'!$A:$X,MATCH($B118,'拌客源数据1-8月'!I:I,0),MATCH(D$111,'拌客源数据1-8月'!$1:$1,0))</f>
        <v>8184590</v>
      </c>
      <c r="E118" s="40" t="str">
        <f>INDEX('拌客源数据1-8月'!$A:$X,MATCH($B118,'拌客源数据1-8月'!$I:$I,0),MATCH(E$111,'拌客源数据1-8月'!$1:$1,0))</f>
        <v>蛙小辣火锅杯（总账号）</v>
      </c>
      <c r="F118" s="40">
        <f>INDEX('拌客源数据1-8月'!$A:$X,MATCH($B118,'拌客源数据1-8月'!$I:$I,0),MATCH(F$111,'拌客源数据1-8月'!$1:$1,0))</f>
        <v>4636</v>
      </c>
      <c r="G118" s="40">
        <f>SUMIFS(INDEX('拌客源数据1-8月'!$A:$X,0,MATCH(G$111,'拌客源数据1-8月'!$1:$1,0)),INDEX('拌客源数据1-8月'!$A:$X,0,MATCH($B$111,'拌客源数据1-8月'!$1:$1,0)),$B118)</f>
        <v>9368.7099999999973</v>
      </c>
      <c r="H118" s="40">
        <f>SUMIFS(INDEX('拌客源数据1-8月'!$A:$X,0,MATCH(H$111,'拌客源数据1-8月'!$1:$1,0)),INDEX('拌客源数据1-8月'!$A:$X,0,MATCH($B$111,'拌客源数据1-8月'!$1:$1,0)),$B118)</f>
        <v>791</v>
      </c>
      <c r="I118" s="40">
        <f>SUMIFS(INDEX('拌客源数据1-8月'!$A:$X,0,MATCH(I$111,'拌客源数据1-8月'!$1:$1,0)),INDEX('拌客源数据1-8月'!$A:$X,0,MATCH($B$111,'拌客源数据1-8月'!$1:$1,0)),$B118)</f>
        <v>154</v>
      </c>
      <c r="J118" s="41"/>
      <c r="O118"/>
      <c r="P118"/>
      <c r="Q118"/>
      <c r="S118"/>
      <c r="T118"/>
      <c r="U118"/>
    </row>
    <row r="119" spans="2:21" x14ac:dyDescent="0.2">
      <c r="B119" s="68" t="s">
        <v>35</v>
      </c>
      <c r="C119" s="69"/>
      <c r="D119" s="40" t="str">
        <f>INDEX('拌客源数据1-8月'!$A:$X,MATCH($B119,'拌客源数据1-8月'!I:I,0),MATCH(D$111,'拌客源数据1-8月'!$1:$1,0))</f>
        <v>2000507076</v>
      </c>
      <c r="E119" s="40" t="str">
        <f>INDEX('拌客源数据1-8月'!$A:$X,MATCH($B119,'拌客源数据1-8月'!$I:$I,0),MATCH(E$111,'拌客源数据1-8月'!$1:$1,0))</f>
        <v>蛙小辣火锅杯（总账号）</v>
      </c>
      <c r="F119" s="40">
        <f>INDEX('拌客源数据1-8月'!$A:$X,MATCH($B119,'拌客源数据1-8月'!$I:$I,0),MATCH(F$111,'拌客源数据1-8月'!$1:$1,0))</f>
        <v>4636</v>
      </c>
      <c r="G119" s="40">
        <f>SUMIFS(INDEX('拌客源数据1-8月'!$A:$X,0,MATCH(G$111,'拌客源数据1-8月'!$1:$1,0)),INDEX('拌客源数据1-8月'!$A:$X,0,MATCH($B$111,'拌客源数据1-8月'!$1:$1,0)),$B119)</f>
        <v>784.71</v>
      </c>
      <c r="H119" s="40">
        <f>SUMIFS(INDEX('拌客源数据1-8月'!$A:$X,0,MATCH(H$111,'拌客源数据1-8月'!$1:$1,0)),INDEX('拌客源数据1-8月'!$A:$X,0,MATCH($B$111,'拌客源数据1-8月'!$1:$1,0)),$B119)</f>
        <v>48</v>
      </c>
      <c r="I119" s="40">
        <f>SUMIFS(INDEX('拌客源数据1-8月'!$A:$X,0,MATCH(I$111,'拌客源数据1-8月'!$1:$1,0)),INDEX('拌客源数据1-8月'!$A:$X,0,MATCH($B$111,'拌客源数据1-8月'!$1:$1,0)),$B119)</f>
        <v>11</v>
      </c>
      <c r="J119" s="41"/>
      <c r="O119"/>
      <c r="P119"/>
      <c r="Q119"/>
      <c r="S119"/>
      <c r="T119"/>
      <c r="U119"/>
    </row>
    <row r="120" spans="2:21" x14ac:dyDescent="0.2">
      <c r="B120" s="68" t="s">
        <v>36</v>
      </c>
      <c r="C120" s="69"/>
      <c r="D120" s="40" t="str">
        <f>INDEX('拌客源数据1-8月'!$A:$X,MATCH($B120,'拌客源数据1-8月'!I:I,0),MATCH(D$111,'拌客源数据1-8月'!$1:$1,0))</f>
        <v>2000507076</v>
      </c>
      <c r="E120" s="40" t="str">
        <f>INDEX('拌客源数据1-8月'!$A:$X,MATCH($B120,'拌客源数据1-8月'!$I:$I,0),MATCH(E$111,'拌客源数据1-8月'!$1:$1,0))</f>
        <v>蛙小辣火锅杯（总账号）</v>
      </c>
      <c r="F120" s="40">
        <f>INDEX('拌客源数据1-8月'!$A:$X,MATCH($B120,'拌客源数据1-8月'!$I:$I,0),MATCH(F$111,'拌客源数据1-8月'!$1:$1,0))</f>
        <v>4636</v>
      </c>
      <c r="G120" s="40">
        <f>SUMIFS(INDEX('拌客源数据1-8月'!$A:$X,0,MATCH(G$111,'拌客源数据1-8月'!$1:$1,0)),INDEX('拌客源数据1-8月'!$A:$X,0,MATCH($B$111,'拌客源数据1-8月'!$1:$1,0)),$B120)</f>
        <v>11932.99</v>
      </c>
      <c r="H120" s="40">
        <f>SUMIFS(INDEX('拌客源数据1-8月'!$A:$X,0,MATCH(H$111,'拌客源数据1-8月'!$1:$1,0)),INDEX('拌客源数据1-8月'!$A:$X,0,MATCH($B$111,'拌客源数据1-8月'!$1:$1,0)),$B120)</f>
        <v>699</v>
      </c>
      <c r="I120" s="40">
        <f>SUMIFS(INDEX('拌客源数据1-8月'!$A:$X,0,MATCH(I$111,'拌客源数据1-8月'!$1:$1,0)),INDEX('拌客源数据1-8月'!$A:$X,0,MATCH($B$111,'拌客源数据1-8月'!$1:$1,0)),$B120)</f>
        <v>167</v>
      </c>
      <c r="J120" s="41"/>
      <c r="O120"/>
      <c r="P120"/>
      <c r="Q120"/>
      <c r="S120"/>
      <c r="T120"/>
      <c r="U120"/>
    </row>
    <row r="121" spans="2:21" x14ac:dyDescent="0.2">
      <c r="B121" s="68" t="s">
        <v>37</v>
      </c>
      <c r="C121" s="69"/>
      <c r="D121" s="40" t="str">
        <f>INDEX('拌客源数据1-8月'!$A:$X,MATCH($B121,'拌客源数据1-8月'!I:I,0),MATCH(D$111,'拌客源数据1-8月'!$1:$1,0))</f>
        <v>2001104355</v>
      </c>
      <c r="E121" s="40" t="str">
        <f>INDEX('拌客源数据1-8月'!$A:$X,MATCH($B121,'拌客源数据1-8月'!$I:$I,0),MATCH(E$111,'拌客源数据1-8月'!$1:$1,0))</f>
        <v>蛙小辣火锅杯（总账号）</v>
      </c>
      <c r="F121" s="40">
        <f>INDEX('拌客源数据1-8月'!$A:$X,MATCH($B121,'拌客源数据1-8月'!$I:$I,0),MATCH(F$111,'拌客源数据1-8月'!$1:$1,0))</f>
        <v>4636</v>
      </c>
      <c r="G121" s="40">
        <f>SUMIFS(INDEX('拌客源数据1-8月'!$A:$X,0,MATCH(G$111,'拌客源数据1-8月'!$1:$1,0)),INDEX('拌客源数据1-8月'!$A:$X,0,MATCH($B$111,'拌客源数据1-8月'!$1:$1,0)),$B121)</f>
        <v>157511.31999999995</v>
      </c>
      <c r="H121" s="40">
        <f>SUMIFS(INDEX('拌客源数据1-8月'!$A:$X,0,MATCH(H$111,'拌客源数据1-8月'!$1:$1,0)),INDEX('拌客源数据1-8月'!$A:$X,0,MATCH($B$111,'拌客源数据1-8月'!$1:$1,0)),$B121)</f>
        <v>10924</v>
      </c>
      <c r="I121" s="40">
        <f>SUMIFS(INDEX('拌客源数据1-8月'!$A:$X,0,MATCH(I$111,'拌客源数据1-8月'!$1:$1,0)),INDEX('拌客源数据1-8月'!$A:$X,0,MATCH($B$111,'拌客源数据1-8月'!$1:$1,0)),$B121)</f>
        <v>2362</v>
      </c>
      <c r="J121" s="41"/>
      <c r="O121"/>
      <c r="P121"/>
      <c r="Q121"/>
      <c r="S121"/>
      <c r="T121"/>
      <c r="U121"/>
    </row>
    <row r="122" spans="2:21" x14ac:dyDescent="0.2">
      <c r="B122" s="68" t="s">
        <v>38</v>
      </c>
      <c r="C122" s="69"/>
      <c r="D122" s="40" t="str">
        <f>INDEX('拌客源数据1-8月'!$A:$X,MATCH($B122,'拌客源数据1-8月'!I:I,0),MATCH(D$111,'拌客源数据1-8月'!$1:$1,0))</f>
        <v>2000507076</v>
      </c>
      <c r="E122" s="40" t="str">
        <f>INDEX('拌客源数据1-8月'!$A:$X,MATCH($B122,'拌客源数据1-8月'!$I:$I,0),MATCH(E$111,'拌客源数据1-8月'!$1:$1,0))</f>
        <v>蛙小辣火锅杯（总账号）</v>
      </c>
      <c r="F122" s="40">
        <f>INDEX('拌客源数据1-8月'!$A:$X,MATCH($B122,'拌客源数据1-8月'!$I:$I,0),MATCH(F$111,'拌客源数据1-8月'!$1:$1,0))</f>
        <v>4636</v>
      </c>
      <c r="G122" s="40">
        <f>SUMIFS(INDEX('拌客源数据1-8月'!$A:$X,0,MATCH(G$111,'拌客源数据1-8月'!$1:$1,0)),INDEX('拌客源数据1-8月'!$A:$X,0,MATCH($B$111,'拌客源数据1-8月'!$1:$1,0)),$B122)</f>
        <v>13823.480000000001</v>
      </c>
      <c r="H122" s="40">
        <f>SUMIFS(INDEX('拌客源数据1-8月'!$A:$X,0,MATCH(H$111,'拌客源数据1-8月'!$1:$1,0)),INDEX('拌客源数据1-8月'!$A:$X,0,MATCH($B$111,'拌客源数据1-8月'!$1:$1,0)),$B122)</f>
        <v>849</v>
      </c>
      <c r="I122" s="40">
        <f>SUMIFS(INDEX('拌客源数据1-8月'!$A:$X,0,MATCH(I$111,'拌客源数据1-8月'!$1:$1,0)),INDEX('拌客源数据1-8月'!$A:$X,0,MATCH($B$111,'拌客源数据1-8月'!$1:$1,0)),$B122)</f>
        <v>205</v>
      </c>
      <c r="J122" s="41"/>
      <c r="O122"/>
      <c r="P122"/>
      <c r="Q122"/>
      <c r="S122"/>
      <c r="T122"/>
      <c r="U122"/>
    </row>
    <row r="123" spans="2:21" x14ac:dyDescent="0.2">
      <c r="B123" s="68" t="s">
        <v>39</v>
      </c>
      <c r="C123" s="69"/>
      <c r="D123" s="40" t="str">
        <f>INDEX('拌客源数据1-8月'!$A:$X,MATCH($B123,'拌客源数据1-8月'!I:I,0),MATCH(D$111,'拌客源数据1-8月'!$1:$1,0))</f>
        <v>8184590</v>
      </c>
      <c r="E123" s="40" t="str">
        <f>INDEX('拌客源数据1-8月'!$A:$X,MATCH($B123,'拌客源数据1-8月'!$I:$I,0),MATCH(E$111,'拌客源数据1-8月'!$1:$1,0))</f>
        <v>蛙小辣火锅杯（总账号）</v>
      </c>
      <c r="F123" s="40">
        <f>INDEX('拌客源数据1-8月'!$A:$X,MATCH($B123,'拌客源数据1-8月'!$I:$I,0),MATCH(F$111,'拌客源数据1-8月'!$1:$1,0))</f>
        <v>4636</v>
      </c>
      <c r="G123" s="40">
        <f>SUMIFS(INDEX('拌客源数据1-8月'!$A:$X,0,MATCH(G$111,'拌客源数据1-8月'!$1:$1,0)),INDEX('拌客源数据1-8月'!$A:$X,0,MATCH($B$111,'拌客源数据1-8月'!$1:$1,0)),$B123)</f>
        <v>682.13</v>
      </c>
      <c r="H123" s="40">
        <f>SUMIFS(INDEX('拌客源数据1-8月'!$A:$X,0,MATCH(H$111,'拌客源数据1-8月'!$1:$1,0)),INDEX('拌客源数据1-8月'!$A:$X,0,MATCH($B$111,'拌客源数据1-8月'!$1:$1,0)),$B123)</f>
        <v>45</v>
      </c>
      <c r="I123" s="40">
        <f>SUMIFS(INDEX('拌客源数据1-8月'!$A:$X,0,MATCH(I$111,'拌客源数据1-8月'!$1:$1,0)),INDEX('拌客源数据1-8月'!$A:$X,0,MATCH($B$111,'拌客源数据1-8月'!$1:$1,0)),$B123)</f>
        <v>8</v>
      </c>
      <c r="J123" s="41"/>
      <c r="O123"/>
      <c r="P123"/>
      <c r="Q123"/>
    </row>
    <row r="124" spans="2:21" x14ac:dyDescent="0.2">
      <c r="B124" s="68" t="s">
        <v>41</v>
      </c>
      <c r="C124" s="69"/>
      <c r="D124" s="40" t="str">
        <f>INDEX('拌客源数据1-8月'!$A:$X,MATCH($B124,'拌客源数据1-8月'!I:I,0),MATCH(D$111,'拌客源数据1-8月'!$1:$1,0))</f>
        <v>337460136</v>
      </c>
      <c r="E124" s="40" t="str">
        <f>INDEX('拌客源数据1-8月'!$A:$X,MATCH($B124,'拌客源数据1-8月'!$I:$I,0),MATCH(E$111,'拌客源数据1-8月'!$1:$1,0))</f>
        <v>拌客（武宁路店）</v>
      </c>
      <c r="F124" s="40">
        <f>INDEX('拌客源数据1-8月'!$A:$X,MATCH($B124,'拌客源数据1-8月'!$I:$I,0),MATCH(F$111,'拌客源数据1-8月'!$1:$1,0))</f>
        <v>6108</v>
      </c>
      <c r="G124" s="40">
        <f>SUMIFS(INDEX('拌客源数据1-8月'!$A:$X,0,MATCH(G$111,'拌客源数据1-8月'!$1:$1,0)),INDEX('拌客源数据1-8月'!$A:$X,0,MATCH($B$111,'拌客源数据1-8月'!$1:$1,0)),$B124)</f>
        <v>3913.76</v>
      </c>
      <c r="H124" s="40">
        <f>SUMIFS(INDEX('拌客源数据1-8月'!$A:$X,0,MATCH(H$111,'拌客源数据1-8月'!$1:$1,0)),INDEX('拌客源数据1-8月'!$A:$X,0,MATCH($B$111,'拌客源数据1-8月'!$1:$1,0)),$B124)</f>
        <v>441</v>
      </c>
      <c r="I124" s="40">
        <f>SUMIFS(INDEX('拌客源数据1-8月'!$A:$X,0,MATCH(I$111,'拌客源数据1-8月'!$1:$1,0)),INDEX('拌客源数据1-8月'!$A:$X,0,MATCH($B$111,'拌客源数据1-8月'!$1:$1,0)),$B124)</f>
        <v>72</v>
      </c>
      <c r="J124" s="41"/>
      <c r="O124"/>
      <c r="P124"/>
      <c r="Q124"/>
    </row>
    <row r="125" spans="2:21" x14ac:dyDescent="0.2">
      <c r="B125" s="68" t="s">
        <v>42</v>
      </c>
      <c r="C125" s="69"/>
      <c r="D125" s="40" t="str">
        <f>INDEX('拌客源数据1-8月'!$A:$X,MATCH($B125,'拌客源数据1-8月'!I:I,0),MATCH(D$111,'拌客源数据1-8月'!$1:$1,0))</f>
        <v>337460136</v>
      </c>
      <c r="E125" s="40" t="str">
        <f>INDEX('拌客源数据1-8月'!$A:$X,MATCH($B125,'拌客源数据1-8月'!$I:$I,0),MATCH(E$111,'拌客源数据1-8月'!$1:$1,0))</f>
        <v>拌客（武宁路店）</v>
      </c>
      <c r="F125" s="40">
        <f>INDEX('拌客源数据1-8月'!$A:$X,MATCH($B125,'拌客源数据1-8月'!$I:$I,0),MATCH(F$111,'拌客源数据1-8月'!$1:$1,0))</f>
        <v>6108</v>
      </c>
      <c r="G125" s="40">
        <f>SUMIFS(INDEX('拌客源数据1-8月'!$A:$X,0,MATCH(G$111,'拌客源数据1-8月'!$1:$1,0)),INDEX('拌客源数据1-8月'!$A:$X,0,MATCH($B$111,'拌客源数据1-8月'!$1:$1,0)),$B125)</f>
        <v>421831.69999999995</v>
      </c>
      <c r="H125" s="40">
        <f>SUMIFS(INDEX('拌客源数据1-8月'!$A:$X,0,MATCH(H$111,'拌客源数据1-8月'!$1:$1,0)),INDEX('拌客源数据1-8月'!$A:$X,0,MATCH($B$111,'拌客源数据1-8月'!$1:$1,0)),$B125)</f>
        <v>31427</v>
      </c>
      <c r="I125" s="40">
        <f>SUMIFS(INDEX('拌客源数据1-8月'!$A:$X,0,MATCH(I$111,'拌客源数据1-8月'!$1:$1,0)),INDEX('拌客源数据1-8月'!$A:$X,0,MATCH($B$111,'拌客源数据1-8月'!$1:$1,0)),$B125)</f>
        <v>8314</v>
      </c>
      <c r="J125" s="41"/>
      <c r="O125"/>
      <c r="P125"/>
      <c r="Q125"/>
    </row>
    <row r="126" spans="2:21" x14ac:dyDescent="0.2">
      <c r="B126" s="68" t="s">
        <v>43</v>
      </c>
      <c r="C126" s="69"/>
      <c r="D126" s="40" t="str">
        <f>INDEX('拌客源数据1-8月'!$A:$X,MATCH($B126,'拌客源数据1-8月'!I:I,0),MATCH(D$111,'拌客源数据1-8月'!$1:$1,0))</f>
        <v>9428110</v>
      </c>
      <c r="E126" s="40" t="str">
        <f>INDEX('拌客源数据1-8月'!$A:$X,MATCH($B126,'拌客源数据1-8月'!$I:$I,0),MATCH(E$111,'拌客源数据1-8月'!$1:$1,0))</f>
        <v>拌客（武宁路店）</v>
      </c>
      <c r="F126" s="40">
        <f>INDEX('拌客源数据1-8月'!$A:$X,MATCH($B126,'拌客源数据1-8月'!$I:$I,0),MATCH(F$111,'拌客源数据1-8月'!$1:$1,0))</f>
        <v>6108</v>
      </c>
      <c r="G126" s="40">
        <f>SUMIFS(INDEX('拌客源数据1-8月'!$A:$X,0,MATCH(G$111,'拌客源数据1-8月'!$1:$1,0)),INDEX('拌客源数据1-8月'!$A:$X,0,MATCH($B$111,'拌客源数据1-8月'!$1:$1,0)),$B126)</f>
        <v>114007.74</v>
      </c>
      <c r="H126" s="40">
        <f>SUMIFS(INDEX('拌客源数据1-8月'!$A:$X,0,MATCH(H$111,'拌客源数据1-8月'!$1:$1,0)),INDEX('拌客源数据1-8月'!$A:$X,0,MATCH($B$111,'拌客源数据1-8月'!$1:$1,0)),$B126)</f>
        <v>7867</v>
      </c>
      <c r="I126" s="40">
        <f>SUMIFS(INDEX('拌客源数据1-8月'!$A:$X,0,MATCH(I$111,'拌客源数据1-8月'!$1:$1,0)),INDEX('拌客源数据1-8月'!$A:$X,0,MATCH($B$111,'拌客源数据1-8月'!$1:$1,0)),$B126)</f>
        <v>2329</v>
      </c>
      <c r="J126" s="41"/>
      <c r="O126"/>
      <c r="P126"/>
      <c r="Q126"/>
    </row>
    <row r="127" spans="2:21" x14ac:dyDescent="0.2">
      <c r="B127" s="52"/>
      <c r="C127" s="52"/>
      <c r="D127" s="41"/>
      <c r="E127" s="41"/>
      <c r="F127" s="41"/>
      <c r="G127" s="41"/>
    </row>
    <row r="128" spans="2:21" x14ac:dyDescent="0.2">
      <c r="B128" s="52"/>
      <c r="C128" s="52"/>
      <c r="D128" s="41"/>
      <c r="E128" s="41"/>
      <c r="F128" s="41"/>
      <c r="G128" s="41"/>
    </row>
    <row r="129" spans="2:7" x14ac:dyDescent="0.2">
      <c r="B129" s="52"/>
      <c r="C129" s="52"/>
      <c r="D129" s="41"/>
      <c r="E129" s="41"/>
      <c r="F129" s="41"/>
      <c r="G129" s="41"/>
    </row>
    <row r="130" spans="2:7" x14ac:dyDescent="0.2">
      <c r="B130" s="52"/>
      <c r="C130" s="52"/>
      <c r="D130" s="41"/>
      <c r="E130" s="41"/>
      <c r="F130" s="41"/>
      <c r="G130" s="41"/>
    </row>
    <row r="131" spans="2:7" x14ac:dyDescent="0.2">
      <c r="B131" s="52"/>
      <c r="C131" s="52"/>
      <c r="D131" s="41"/>
      <c r="E131" s="41"/>
      <c r="F131" s="41"/>
      <c r="G131" s="41"/>
    </row>
  </sheetData>
  <phoneticPr fontId="18" type="noConversion"/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E606-8748-4B25-868B-39312967869E}">
  <sheetPr>
    <tabColor rgb="FFFFC000"/>
  </sheetPr>
  <dimension ref="A1:K32"/>
  <sheetViews>
    <sheetView workbookViewId="0">
      <selection activeCell="H5" sqref="H5"/>
    </sheetView>
    <sheetView workbookViewId="1"/>
  </sheetViews>
  <sheetFormatPr defaultColWidth="9" defaultRowHeight="17.25" x14ac:dyDescent="0.2"/>
  <cols>
    <col min="1" max="1" width="13.875" style="2" bestFit="1" customWidth="1"/>
    <col min="2" max="2" width="12.5" style="2" customWidth="1"/>
    <col min="3" max="3" width="12.5" style="2" bestFit="1" customWidth="1"/>
    <col min="4" max="4" width="13.25" style="2" customWidth="1"/>
    <col min="5" max="5" width="11.375" style="2" bestFit="1" customWidth="1"/>
    <col min="6" max="6" width="11.875" style="2" customWidth="1"/>
    <col min="7" max="7" width="11.25" style="2" bestFit="1" customWidth="1"/>
    <col min="8" max="8" width="11.5" style="2" bestFit="1" customWidth="1"/>
    <col min="9" max="9" width="11.625" style="2" bestFit="1" customWidth="1"/>
    <col min="10" max="16384" width="9" style="2"/>
  </cols>
  <sheetData>
    <row r="1" spans="1:11" x14ac:dyDescent="0.2">
      <c r="A1" s="2" t="s">
        <v>56</v>
      </c>
      <c r="B1" s="36">
        <f>$A$13</f>
        <v>44053</v>
      </c>
      <c r="C1" s="24" t="s">
        <v>77</v>
      </c>
      <c r="D1" s="36">
        <f>$A$19</f>
        <v>44059</v>
      </c>
    </row>
    <row r="2" spans="1:11" x14ac:dyDescent="0.2">
      <c r="A2" s="79" t="s">
        <v>57</v>
      </c>
      <c r="B2" s="80"/>
      <c r="C2" s="80"/>
      <c r="D2" s="80"/>
      <c r="E2" s="80"/>
      <c r="F2" s="80"/>
      <c r="G2" s="80"/>
      <c r="H2" s="80"/>
    </row>
    <row r="3" spans="1:11" x14ac:dyDescent="0.2">
      <c r="A3" s="80"/>
      <c r="B3" s="80"/>
      <c r="C3" s="80"/>
      <c r="D3" s="80"/>
      <c r="E3" s="80"/>
      <c r="F3" s="80"/>
      <c r="G3" s="80"/>
      <c r="H3" s="80"/>
    </row>
    <row r="4" spans="1:11" ht="18.75" thickBot="1" x14ac:dyDescent="0.25">
      <c r="A4" s="3" t="s">
        <v>58</v>
      </c>
    </row>
    <row r="5" spans="1:11" ht="18" x14ac:dyDescent="0.2">
      <c r="A5" s="4" t="s">
        <v>59</v>
      </c>
      <c r="B5" s="5"/>
      <c r="C5" s="4" t="s">
        <v>60</v>
      </c>
      <c r="D5" s="5"/>
      <c r="E5" s="4" t="s">
        <v>61</v>
      </c>
      <c r="F5" s="5"/>
      <c r="G5" s="6" t="s">
        <v>62</v>
      </c>
      <c r="H5" s="7" t="s">
        <v>27</v>
      </c>
    </row>
    <row r="6" spans="1:11" ht="18" x14ac:dyDescent="0.2">
      <c r="A6" s="8">
        <f>$C$32</f>
        <v>7220</v>
      </c>
      <c r="B6" s="4"/>
      <c r="C6" s="9">
        <f>SUM($D$25:$D$31)/$A$6</f>
        <v>6.7867036011080337E-2</v>
      </c>
      <c r="D6" s="4"/>
      <c r="E6" s="9">
        <f>G32</f>
        <v>0.21020408163265306</v>
      </c>
      <c r="F6" s="4"/>
      <c r="G6" s="81" t="s">
        <v>63</v>
      </c>
      <c r="H6" s="82"/>
    </row>
    <row r="7" spans="1:11" ht="18" x14ac:dyDescent="0.2">
      <c r="A7" s="3" t="s">
        <v>64</v>
      </c>
      <c r="G7" s="83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0.50107279999999998</v>
      </c>
      <c r="H7" s="84"/>
      <c r="I7" s="10"/>
      <c r="K7" s="63"/>
    </row>
    <row r="8" spans="1:11" ht="18.75" thickBot="1" x14ac:dyDescent="0.25">
      <c r="A8" s="4" t="s">
        <v>53</v>
      </c>
      <c r="B8" s="5"/>
      <c r="C8" s="4" t="s">
        <v>54</v>
      </c>
      <c r="D8" s="5"/>
      <c r="E8" s="4" t="s">
        <v>65</v>
      </c>
      <c r="F8" s="5"/>
      <c r="G8" s="11" t="s">
        <v>66</v>
      </c>
      <c r="H8" s="12">
        <f>IF($H$5="全部",200000,IF($H$5="美团",100000,50000))</f>
        <v>50000</v>
      </c>
    </row>
    <row r="9" spans="1:11" ht="18" x14ac:dyDescent="0.2">
      <c r="A9" s="8">
        <f>F20</f>
        <v>105</v>
      </c>
      <c r="B9" s="13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-0.4</v>
      </c>
      <c r="C9" s="8">
        <f>D20</f>
        <v>2595.59</v>
      </c>
      <c r="D9" s="13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-0.19188834093003559</v>
      </c>
      <c r="E9" s="14">
        <f>E20</f>
        <v>0.37482201806245907</v>
      </c>
      <c r="F9" s="13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0.15053970592705168</v>
      </c>
      <c r="I9" s="15"/>
    </row>
    <row r="11" spans="1:11" ht="18" x14ac:dyDescent="0.2">
      <c r="A11" s="16" t="s">
        <v>67</v>
      </c>
      <c r="B11" s="17"/>
      <c r="C11" s="17" t="s">
        <v>68</v>
      </c>
      <c r="D11" s="17"/>
      <c r="E11" s="17"/>
      <c r="F11" s="17"/>
      <c r="G11" s="17"/>
      <c r="H11" s="18"/>
    </row>
    <row r="12" spans="1:11" x14ac:dyDescent="0.2">
      <c r="A12" s="19" t="s">
        <v>69</v>
      </c>
      <c r="B12" s="20" t="s">
        <v>70</v>
      </c>
      <c r="C12" s="20" t="s">
        <v>55</v>
      </c>
      <c r="D12" s="20" t="s">
        <v>54</v>
      </c>
      <c r="E12" s="20" t="s">
        <v>65</v>
      </c>
      <c r="F12" s="20" t="s">
        <v>53</v>
      </c>
      <c r="G12" s="20" t="s">
        <v>52</v>
      </c>
      <c r="H12" s="21" t="s">
        <v>71</v>
      </c>
    </row>
    <row r="13" spans="1:11" x14ac:dyDescent="0.2">
      <c r="A13" s="22">
        <v>44053</v>
      </c>
      <c r="B13" s="23">
        <f>A13</f>
        <v>44053</v>
      </c>
      <c r="C13" s="64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695.55</v>
      </c>
      <c r="D13" s="64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268.69</v>
      </c>
      <c r="E13" s="25">
        <f>D13/C13</f>
        <v>0.38629861260872694</v>
      </c>
      <c r="F13" s="24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10</v>
      </c>
      <c r="G13" s="24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0</v>
      </c>
      <c r="H13" s="26">
        <f>C13/F13</f>
        <v>69.554999999999993</v>
      </c>
    </row>
    <row r="14" spans="1:11" x14ac:dyDescent="0.2">
      <c r="A14" s="22">
        <f>A13+1</f>
        <v>44054</v>
      </c>
      <c r="B14" s="23">
        <f t="shared" ref="B14:B19" si="0">A14</f>
        <v>44054</v>
      </c>
      <c r="C14" s="64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1107.25</v>
      </c>
      <c r="D14" s="64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503.36</v>
      </c>
      <c r="E14" s="25">
        <f t="shared" ref="E14:E20" si="1">D14/C14</f>
        <v>0.45460374802438475</v>
      </c>
      <c r="F14" s="24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13</v>
      </c>
      <c r="G14" s="24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1</v>
      </c>
      <c r="H14" s="26">
        <f t="shared" ref="H14:H19" si="2">C14/F14</f>
        <v>85.17307692307692</v>
      </c>
    </row>
    <row r="15" spans="1:11" x14ac:dyDescent="0.2">
      <c r="A15" s="22">
        <f t="shared" ref="A15:A19" si="3">A14+1</f>
        <v>44055</v>
      </c>
      <c r="B15" s="23">
        <f t="shared" si="0"/>
        <v>44055</v>
      </c>
      <c r="C15" s="64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875.68</v>
      </c>
      <c r="D15" s="64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314.57</v>
      </c>
      <c r="E15" s="25">
        <f t="shared" si="1"/>
        <v>0.35922939886716609</v>
      </c>
      <c r="F15" s="24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16</v>
      </c>
      <c r="G15" s="24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0</v>
      </c>
      <c r="H15" s="26">
        <f t="shared" si="2"/>
        <v>54.73</v>
      </c>
    </row>
    <row r="16" spans="1:11" x14ac:dyDescent="0.2">
      <c r="A16" s="22">
        <f t="shared" si="3"/>
        <v>44056</v>
      </c>
      <c r="B16" s="23">
        <f t="shared" si="0"/>
        <v>44056</v>
      </c>
      <c r="C16" s="64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760.49</v>
      </c>
      <c r="D16" s="64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286.12</v>
      </c>
      <c r="E16" s="25">
        <f t="shared" si="1"/>
        <v>0.37623111415008742</v>
      </c>
      <c r="F16" s="24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12</v>
      </c>
      <c r="G16" s="24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1</v>
      </c>
      <c r="H16" s="26">
        <f t="shared" si="2"/>
        <v>63.374166666666667</v>
      </c>
    </row>
    <row r="17" spans="1:8" x14ac:dyDescent="0.2">
      <c r="A17" s="22">
        <f t="shared" si="3"/>
        <v>44057</v>
      </c>
      <c r="B17" s="23">
        <f t="shared" si="0"/>
        <v>44057</v>
      </c>
      <c r="C17" s="64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1210.5999999999999</v>
      </c>
      <c r="D17" s="64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442.92</v>
      </c>
      <c r="E17" s="25">
        <f t="shared" si="1"/>
        <v>0.36586816454650589</v>
      </c>
      <c r="F17" s="24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19</v>
      </c>
      <c r="G17" s="24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0</v>
      </c>
      <c r="H17" s="26">
        <f t="shared" si="2"/>
        <v>63.715789473684204</v>
      </c>
    </row>
    <row r="18" spans="1:8" x14ac:dyDescent="0.2">
      <c r="A18" s="22">
        <f t="shared" si="3"/>
        <v>44058</v>
      </c>
      <c r="B18" s="23">
        <f t="shared" si="0"/>
        <v>44058</v>
      </c>
      <c r="C18" s="64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1389.29</v>
      </c>
      <c r="D18" s="64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461.15</v>
      </c>
      <c r="E18" s="25">
        <f t="shared" si="1"/>
        <v>0.33193213799854604</v>
      </c>
      <c r="F18" s="24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21</v>
      </c>
      <c r="G18" s="24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26">
        <f t="shared" si="2"/>
        <v>66.156666666666666</v>
      </c>
    </row>
    <row r="19" spans="1:8" x14ac:dyDescent="0.2">
      <c r="A19" s="27">
        <f t="shared" si="3"/>
        <v>44059</v>
      </c>
      <c r="B19" s="28">
        <f t="shared" si="0"/>
        <v>44059</v>
      </c>
      <c r="C19" s="65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886</v>
      </c>
      <c r="D19" s="65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318.77999999999997</v>
      </c>
      <c r="E19" s="30">
        <f t="shared" si="1"/>
        <v>0.35979683972911963</v>
      </c>
      <c r="F19" s="29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14</v>
      </c>
      <c r="G19" s="29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0</v>
      </c>
      <c r="H19" s="31">
        <f t="shared" si="2"/>
        <v>63.285714285714285</v>
      </c>
    </row>
    <row r="20" spans="1:8" x14ac:dyDescent="0.2">
      <c r="A20" s="24" t="s">
        <v>72</v>
      </c>
      <c r="B20" s="23"/>
      <c r="C20" s="64">
        <f>SUM(C13:C19)</f>
        <v>6924.86</v>
      </c>
      <c r="D20" s="64">
        <f>SUM(D13:D19)</f>
        <v>2595.59</v>
      </c>
      <c r="E20" s="25">
        <f t="shared" si="1"/>
        <v>0.37482201806245907</v>
      </c>
      <c r="F20" s="24">
        <f>SUM(F13:F19)</f>
        <v>105</v>
      </c>
      <c r="G20" s="24">
        <f>SUM(G13:G19)</f>
        <v>2</v>
      </c>
      <c r="H20" s="32">
        <f>C20/F20</f>
        <v>65.951047619047614</v>
      </c>
    </row>
    <row r="23" spans="1:8" ht="18" x14ac:dyDescent="0.2">
      <c r="A23" s="16" t="s">
        <v>73</v>
      </c>
      <c r="B23" s="17"/>
      <c r="C23" s="17" t="s">
        <v>68</v>
      </c>
      <c r="D23" s="17"/>
      <c r="E23" s="17"/>
      <c r="F23" s="17"/>
      <c r="G23" s="17"/>
      <c r="H23" s="18"/>
    </row>
    <row r="24" spans="1:8" x14ac:dyDescent="0.2">
      <c r="A24" s="19" t="s">
        <v>69</v>
      </c>
      <c r="B24" s="20" t="s">
        <v>70</v>
      </c>
      <c r="C24" s="20" t="s">
        <v>59</v>
      </c>
      <c r="D24" s="20" t="s">
        <v>74</v>
      </c>
      <c r="E24" s="20" t="s">
        <v>60</v>
      </c>
      <c r="F24" s="20" t="s">
        <v>75</v>
      </c>
      <c r="G24" s="20" t="s">
        <v>61</v>
      </c>
      <c r="H24" s="21" t="s">
        <v>76</v>
      </c>
    </row>
    <row r="25" spans="1:8" x14ac:dyDescent="0.2">
      <c r="A25" s="22">
        <f>A13</f>
        <v>44053</v>
      </c>
      <c r="B25" s="23">
        <f>A25</f>
        <v>44053</v>
      </c>
      <c r="C25" s="24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1003</v>
      </c>
      <c r="D25" s="24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64</v>
      </c>
      <c r="E25" s="25">
        <f>D25/C25</f>
        <v>6.3808574277168489E-2</v>
      </c>
      <c r="F25" s="24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10</v>
      </c>
      <c r="G25" s="25">
        <f>F25/D25</f>
        <v>0.15625</v>
      </c>
      <c r="H25" s="33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$C13</f>
        <v>2.6036949176910358E-2</v>
      </c>
    </row>
    <row r="26" spans="1:8" x14ac:dyDescent="0.2">
      <c r="A26" s="22">
        <f t="shared" ref="A26:A31" si="4">A14</f>
        <v>44054</v>
      </c>
      <c r="B26" s="23">
        <f t="shared" ref="B26:B31" si="5">A26</f>
        <v>44054</v>
      </c>
      <c r="C26" s="24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866</v>
      </c>
      <c r="D26" s="24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58</v>
      </c>
      <c r="E26" s="25">
        <f t="shared" ref="E26:E31" si="6">D26/C26</f>
        <v>6.6974595842956119E-2</v>
      </c>
      <c r="F26" s="24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12</v>
      </c>
      <c r="G26" s="25">
        <f t="shared" ref="G26:G31" si="7">F26/D26</f>
        <v>0.20689655172413793</v>
      </c>
      <c r="H26" s="33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$C14</f>
        <v>3.5520433506434856E-2</v>
      </c>
    </row>
    <row r="27" spans="1:8" x14ac:dyDescent="0.2">
      <c r="A27" s="22">
        <f t="shared" si="4"/>
        <v>44055</v>
      </c>
      <c r="B27" s="23">
        <f t="shared" si="5"/>
        <v>44055</v>
      </c>
      <c r="C27" s="24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894</v>
      </c>
      <c r="D27" s="24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57</v>
      </c>
      <c r="E27" s="25">
        <f t="shared" si="6"/>
        <v>6.3758389261744972E-2</v>
      </c>
      <c r="F27" s="24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15</v>
      </c>
      <c r="G27" s="25">
        <f t="shared" si="7"/>
        <v>0.26315789473684209</v>
      </c>
      <c r="H27" s="33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$C15</f>
        <v>5.054357756257994E-2</v>
      </c>
    </row>
    <row r="28" spans="1:8" x14ac:dyDescent="0.2">
      <c r="A28" s="22">
        <f t="shared" si="4"/>
        <v>44056</v>
      </c>
      <c r="B28" s="23">
        <f t="shared" si="5"/>
        <v>44056</v>
      </c>
      <c r="C28" s="24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922</v>
      </c>
      <c r="D28" s="24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56</v>
      </c>
      <c r="E28" s="25">
        <f t="shared" si="6"/>
        <v>6.0737527114967459E-2</v>
      </c>
      <c r="F28" s="24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13</v>
      </c>
      <c r="G28" s="25">
        <f t="shared" si="7"/>
        <v>0.23214285714285715</v>
      </c>
      <c r="H28" s="33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$C16</f>
        <v>5.5096056489894671E-2</v>
      </c>
    </row>
    <row r="29" spans="1:8" x14ac:dyDescent="0.2">
      <c r="A29" s="22">
        <f t="shared" si="4"/>
        <v>44057</v>
      </c>
      <c r="B29" s="23">
        <f t="shared" si="5"/>
        <v>44057</v>
      </c>
      <c r="C29" s="24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1020</v>
      </c>
      <c r="D29" s="24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74</v>
      </c>
      <c r="E29" s="25">
        <f t="shared" si="6"/>
        <v>7.2549019607843143E-2</v>
      </c>
      <c r="F29" s="24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19</v>
      </c>
      <c r="G29" s="25">
        <f t="shared" si="7"/>
        <v>0.25675675675675674</v>
      </c>
      <c r="H29" s="33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$C17</f>
        <v>3.9055014042623494E-2</v>
      </c>
    </row>
    <row r="30" spans="1:8" x14ac:dyDescent="0.2">
      <c r="A30" s="22">
        <f t="shared" si="4"/>
        <v>44058</v>
      </c>
      <c r="B30" s="23">
        <f t="shared" si="5"/>
        <v>44058</v>
      </c>
      <c r="C30" s="24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1258</v>
      </c>
      <c r="D30" s="24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92</v>
      </c>
      <c r="E30" s="25">
        <f t="shared" si="6"/>
        <v>7.3131955484896663E-2</v>
      </c>
      <c r="F30" s="24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21</v>
      </c>
      <c r="G30" s="25">
        <f t="shared" si="7"/>
        <v>0.22826086956521738</v>
      </c>
      <c r="H30" s="33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$C18</f>
        <v>2.4163421603840812E-2</v>
      </c>
    </row>
    <row r="31" spans="1:8" x14ac:dyDescent="0.2">
      <c r="A31" s="27">
        <f t="shared" si="4"/>
        <v>44059</v>
      </c>
      <c r="B31" s="28">
        <f t="shared" si="5"/>
        <v>44059</v>
      </c>
      <c r="C31" s="29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1257</v>
      </c>
      <c r="D31" s="29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89</v>
      </c>
      <c r="E31" s="30">
        <f t="shared" si="6"/>
        <v>7.0803500397772473E-2</v>
      </c>
      <c r="F31" s="29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13</v>
      </c>
      <c r="G31" s="30">
        <f t="shared" si="7"/>
        <v>0.14606741573033707</v>
      </c>
      <c r="H31" s="34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$C19</f>
        <v>7.6275395033860049E-2</v>
      </c>
    </row>
    <row r="32" spans="1:8" x14ac:dyDescent="0.2">
      <c r="A32" s="24" t="s">
        <v>72</v>
      </c>
      <c r="B32" s="24"/>
      <c r="C32" s="24">
        <f>SUM(C25:C31)</f>
        <v>7220</v>
      </c>
      <c r="D32" s="24">
        <f>SUM(D25:D31)</f>
        <v>490</v>
      </c>
      <c r="E32" s="35">
        <f>D32/C32</f>
        <v>6.7867036011080337E-2</v>
      </c>
      <c r="F32" s="24">
        <f>SUM(F25:F31)</f>
        <v>103</v>
      </c>
      <c r="G32" s="35">
        <f>F32/D32</f>
        <v>0.21020408163265306</v>
      </c>
      <c r="H32" s="35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4.2171249671473503E-2</v>
      </c>
    </row>
  </sheetData>
  <dataConsolidate/>
  <mergeCells count="3">
    <mergeCell ref="A2:H3"/>
    <mergeCell ref="G6:H6"/>
    <mergeCell ref="G7:H7"/>
  </mergeCells>
  <phoneticPr fontId="18" type="noConversion"/>
  <conditionalFormatting sqref="D9">
    <cfRule type="cellIs" dxfId="25" priority="21" operator="lessThan">
      <formula>0</formula>
    </cfRule>
    <cfRule type="cellIs" dxfId="24" priority="22" operator="greaterThan">
      <formula>0</formula>
    </cfRule>
  </conditionalFormatting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{624897C2-C339-4CDC-94F1-B537F0103EF0}</x14:id>
        </ext>
      </extLst>
    </cfRule>
  </conditionalFormatting>
  <conditionalFormatting sqref="B9">
    <cfRule type="cellIs" dxfId="23" priority="18" operator="greaterThan">
      <formula>0</formula>
    </cfRule>
    <cfRule type="cellIs" dxfId="22" priority="19" operator="lessThan">
      <formula>0</formula>
    </cfRule>
  </conditionalFormatting>
  <conditionalFormatting sqref="F9">
    <cfRule type="cellIs" dxfId="21" priority="16" operator="lessThan">
      <formula>0</formula>
    </cfRule>
    <cfRule type="cellIs" dxfId="20" priority="17" operator="greaterThan">
      <formula>0</formula>
    </cfRule>
  </conditionalFormatting>
  <conditionalFormatting sqref="A13:B13 E13:H13 A14:H19">
    <cfRule type="expression" dxfId="19" priority="14">
      <formula>$C13&lt;AVERAGE($C$13:$C$19)</formula>
    </cfRule>
  </conditionalFormatting>
  <conditionalFormatting sqref="D9">
    <cfRule type="cellIs" dxfId="18" priority="12" operator="lessThan">
      <formula>0</formula>
    </cfRule>
    <cfRule type="cellIs" dxfId="17" priority="13" operator="greaterThan">
      <formula>0</formula>
    </cfRule>
  </conditionalFormatting>
  <conditionalFormatting sqref="D9">
    <cfRule type="cellIs" dxfId="16" priority="10" operator="lessThan">
      <formula>0</formula>
    </cfRule>
    <cfRule type="cellIs" dxfId="15" priority="11" operator="greaterThan">
      <formula>0</formula>
    </cfRule>
  </conditionalFormatting>
  <conditionalFormatting sqref="D9">
    <cfRule type="cellIs" dxfId="14" priority="7" operator="greaterThan">
      <formula>0</formula>
    </cfRule>
    <cfRule type="cellIs" dxfId="13" priority="8" operator="lessThan">
      <formula>0</formula>
    </cfRule>
  </conditionalFormatting>
  <conditionalFormatting sqref="F9">
    <cfRule type="cellIs" dxfId="12" priority="5" operator="greaterThan">
      <formula>0</formula>
    </cfRule>
    <cfRule type="cellIs" dxfId="11" priority="6" operator="lessThan">
      <formula>0</formula>
    </cfRule>
  </conditionalFormatting>
  <conditionalFormatting sqref="D9">
    <cfRule type="cellIs" dxfId="10" priority="3" operator="greaterThan">
      <formula>0</formula>
    </cfRule>
    <cfRule type="cellIs" dxfId="9" priority="4" operator="lessThan">
      <formula>0</formula>
    </cfRule>
  </conditionalFormatting>
  <conditionalFormatting sqref="F9">
    <cfRule type="cellIs" dxfId="8" priority="1" operator="greaterThan">
      <formula>0</formula>
    </cfRule>
    <cfRule type="cellIs" dxfId="7" priority="2" operator="lessThan">
      <formula>0</formula>
    </cfRule>
  </conditionalFormatting>
  <dataValidations count="1">
    <dataValidation type="list" allowBlank="1" showInputMessage="1" showErrorMessage="1" sqref="H5" xr:uid="{5926AC02-B758-4EB5-8846-4FD174143F02}">
      <formula1>"全部,美团,饿了么"</formula1>
    </dataValidation>
  </dataValidations>
  <pageMargins left="0.7" right="0.7" top="0.75" bottom="0.75" header="0.3" footer="0.3"/>
  <pageSetup paperSize="9" orientation="portrait" r:id="rId1"/>
  <ignoredErrors>
    <ignoredError sqref="E13:E20 E25:E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4897C2-C339-4CDC-94F1-B537F0103EF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iconSet" priority="15" id="{2361EEB0-42DF-4895-8BAC-AC92E8A9C824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73F04425-0A95-4D0E-9ADB-7714868F3A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'大厂周报-完成版'!C25:C31</xm:f>
              <xm:sqref>B6</xm:sqref>
            </x14:sparkline>
          </x14:sparklines>
        </x14:sparklineGroup>
        <x14:sparklineGroup manualMax="0" manualMin="0" displayEmptyCellsAs="gap" markers="1" xr2:uid="{FA0B1563-E6FC-41FF-933B-DDA4175331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'大厂周报-完成版'!E25:E31</xm:f>
              <xm:sqref>D6</xm:sqref>
            </x14:sparkline>
          </x14:sparklines>
        </x14:sparklineGroup>
        <x14:sparklineGroup manualMax="0" manualMin="0" displayEmptyCellsAs="gap" markers="1" xr2:uid="{1E85E299-2E70-4300-B5A3-5C2189095D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'大厂周报-完成版'!G25:G31</xm:f>
              <xm:sqref>F6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B2CE-562F-40BD-9030-C4D1E53F3062}">
  <sheetPr>
    <tabColor rgb="FFFFC000"/>
  </sheetPr>
  <dimension ref="A1:I32"/>
  <sheetViews>
    <sheetView showGridLines="0" tabSelected="1" workbookViewId="0">
      <selection activeCell="G9" sqref="G9"/>
    </sheetView>
    <sheetView workbookViewId="1"/>
  </sheetViews>
  <sheetFormatPr defaultRowHeight="17.25" x14ac:dyDescent="0.2"/>
  <cols>
    <col min="1" max="1" width="15.625" style="66" bestFit="1" customWidth="1"/>
    <col min="2" max="2" width="12.25" style="66" customWidth="1"/>
    <col min="3" max="3" width="11.875" style="66" customWidth="1"/>
    <col min="4" max="4" width="11.625" style="66" customWidth="1"/>
    <col min="5" max="6" width="12.375" style="66" customWidth="1"/>
    <col min="7" max="7" width="12.5" style="66" customWidth="1"/>
    <col min="8" max="8" width="11.125" style="66" customWidth="1"/>
    <col min="9" max="9" width="10" bestFit="1" customWidth="1"/>
  </cols>
  <sheetData>
    <row r="1" spans="1:9" x14ac:dyDescent="0.2">
      <c r="A1" s="66" t="s">
        <v>56</v>
      </c>
      <c r="B1" s="85">
        <f>A13</f>
        <v>44053</v>
      </c>
      <c r="C1" s="86" t="s">
        <v>77</v>
      </c>
      <c r="D1" s="85">
        <f>A19</f>
        <v>44059</v>
      </c>
    </row>
    <row r="2" spans="1:9" ht="17.25" customHeight="1" x14ac:dyDescent="0.2">
      <c r="A2" s="89" t="s">
        <v>57</v>
      </c>
      <c r="B2" s="89"/>
      <c r="C2" s="89"/>
      <c r="D2" s="89"/>
      <c r="E2" s="89"/>
      <c r="F2" s="89"/>
      <c r="G2" s="89"/>
      <c r="H2" s="89"/>
    </row>
    <row r="3" spans="1:9" ht="17.25" customHeight="1" x14ac:dyDescent="0.2">
      <c r="A3" s="89"/>
      <c r="B3" s="89"/>
      <c r="C3" s="89"/>
      <c r="D3" s="89"/>
      <c r="E3" s="89"/>
      <c r="F3" s="89"/>
      <c r="G3" s="89"/>
      <c r="H3" s="89"/>
    </row>
    <row r="4" spans="1:9" ht="18" x14ac:dyDescent="0.2">
      <c r="A4" s="90" t="s">
        <v>58</v>
      </c>
    </row>
    <row r="5" spans="1:9" x14ac:dyDescent="0.2">
      <c r="A5" s="66" t="s">
        <v>59</v>
      </c>
      <c r="C5" s="66" t="s">
        <v>60</v>
      </c>
      <c r="E5" s="66" t="s">
        <v>61</v>
      </c>
      <c r="G5" s="91" t="s">
        <v>62</v>
      </c>
      <c r="H5" s="92" t="s">
        <v>165</v>
      </c>
    </row>
    <row r="6" spans="1:9" x14ac:dyDescent="0.2">
      <c r="A6" s="66">
        <f>C32</f>
        <v>16036</v>
      </c>
      <c r="C6" s="88">
        <f>E32</f>
        <v>7.3584435021202294E-2</v>
      </c>
      <c r="E6" s="88">
        <f>G32</f>
        <v>0.21271186440677967</v>
      </c>
      <c r="G6" s="93" t="s">
        <v>63</v>
      </c>
      <c r="H6" s="94"/>
    </row>
    <row r="7" spans="1:9" ht="18" x14ac:dyDescent="0.2">
      <c r="A7" s="90" t="s">
        <v>64</v>
      </c>
      <c r="G7" s="95">
        <f>IF($H$5="全部",SUMIFS(INDEX('拌客源数据1-8月'!$A:$X,0,MATCH("GMV",'拌客源数据1-8月'!$1:$1,0)),INDEX('拌客源数据1-8月'!$A:$X,0,MATCH($A$12,'拌客源数据1-8月'!$1:$1,0)),"&gt;="&amp;(EOMONTH(A13,-1)+1),INDEX('拌客源数据1-8月'!$A:$X,0,MATCH($A$12,'拌客源数据1-8月'!$1:$1,0)),"&lt;="&amp;($A19)),IF($H$5="美团",SUMIFS(INDEX('拌客源数据1-8月'!$A:$X,0,MATCH("GMV",'拌客源数据1-8月'!$1:$1,0)),INDEX('拌客源数据1-8月'!$A:$X,0,MATCH("平台i",'拌客源数据1-8月'!$1:$1,0)),"美团",INDEX('拌客源数据1-8月'!$A:$X,0,MATCH($A$12,'拌客源数据1-8月'!$1:$1,0)),"&gt;="&amp;(EOMONTH(A13,-1)+1),INDEX('拌客源数据1-8月'!$A:$X,0,MATCH($A$12,'拌客源数据1-8月'!$1:$1,0)),"&lt;="&amp;($A19)),IF($H$5="饿了么",SUMIFS(INDEX('拌客源数据1-8月'!$A:$X,0,MATCH("GMV",'拌客源数据1-8月'!$1:$1,0)),INDEX('拌客源数据1-8月'!$A:$X,0,MATCH($A$12,'拌客源数据1-8月'!$1:$1,0)),"&gt;="&amp;(EOMONTH(A13,-1)+1),INDEX('拌客源数据1-8月'!$A:$X,0,MATCH($A$12,'拌客源数据1-8月'!$1:$1,0)),"&lt;="&amp;($A19),INDEX('拌客源数据1-8月'!$A:$X,0,MATCH("平台i",'拌客源数据1-8月'!$1:$1,0)),"饿了么"))))/$H$8</f>
        <v>0.25984995000000005</v>
      </c>
      <c r="H7" s="96"/>
      <c r="I7" s="1"/>
    </row>
    <row r="8" spans="1:9" x14ac:dyDescent="0.2">
      <c r="A8" s="66" t="s">
        <v>53</v>
      </c>
      <c r="C8" s="66" t="s">
        <v>54</v>
      </c>
      <c r="E8" s="66" t="s">
        <v>65</v>
      </c>
      <c r="G8" s="97" t="s">
        <v>166</v>
      </c>
      <c r="H8" s="98">
        <f>IF(H5="全部",200000,IF(H5="美团",150000,50000))</f>
        <v>200000</v>
      </c>
    </row>
    <row r="9" spans="1:9" x14ac:dyDescent="0.2">
      <c r="A9" s="66">
        <f>F20</f>
        <v>258</v>
      </c>
      <c r="B9" s="66">
        <f>A9/IF($H$5="全部",SUMIFS(INDEX('拌客源数据1-8月'!$A:$X,0,MATCH($A$8,'拌客源数据1-8月'!$1:$1,0)),INDEX('拌客源数据1-8月'!$A:$X,0,MATCH($A$12,'拌客源数据1-8月'!$1:$1,0)),"&gt;="&amp;($A13-7),INDEX('拌客源数据1-8月'!$A:$X,0,MATCH($A$12,'拌客源数据1-8月'!$1:$1,0)),"&lt;="&amp;($A19-7)),IF($H$5="美团",SUMIFS(INDEX('拌客源数据1-8月'!$A:$X,0,MATCH($A$8,'拌客源数据1-8月'!$1:$1,0)),INDEX('拌客源数据1-8月'!$A:$X,0,MATCH("平台i",'拌客源数据1-8月'!$1:$1,0)),"美团",INDEX('拌客源数据1-8月'!$A:$X,0,MATCH($A$12,'拌客源数据1-8月'!$1:$1,0)),"&gt;="&amp;($A13-7),INDEX('拌客源数据1-8月'!$A:$X,0,MATCH($A$12,'拌客源数据1-8月'!$1:$1,0)),"&lt;="&amp;($A19-7)),IF($H$5="饿了么",SUMIFS(INDEX('拌客源数据1-8月'!$A:$X,0,MATCH($A$8,'拌客源数据1-8月'!$1:$1,0)),INDEX('拌客源数据1-8月'!$A:$X,0,MATCH($A$12,'拌客源数据1-8月'!$1:$1,0)),"&gt;="&amp;($A13-7),INDEX('拌客源数据1-8月'!$A:$X,0,MATCH($A$12,'拌客源数据1-8月'!$1:$1,0)),"&lt;="&amp;($A19-7),INDEX('拌客源数据1-8月'!$A:$X,0,MATCH("平台i",'拌客源数据1-8月'!$1:$1,0)),"饿了么"))))-1</f>
        <v>-0.33505154639175261</v>
      </c>
      <c r="C9" s="87">
        <f>D20</f>
        <v>5417.5099999999993</v>
      </c>
      <c r="D9" s="66">
        <f>$C$9/IF($H$5="全部",SUMIFS(INDEX('拌客源数据1-8月'!$A:$X,0,MATCH(C8,'拌客源数据1-8月'!$1:$1,0)),INDEX('拌客源数据1-8月'!$A:$X,0,MATCH($A$12,'拌客源数据1-8月'!$1:$1,0)),"&gt;="&amp;($A13-7),INDEX('拌客源数据1-8月'!$A:$X,0,MATCH($A$12,'拌客源数据1-8月'!$1:$1,0)),"&lt;="&amp;($A19-7)),IF($H$5="美团",SUMIFS(INDEX('拌客源数据1-8月'!$A:$X,0,MATCH(C8,'拌客源数据1-8月'!$1:$1,0)),INDEX('拌客源数据1-8月'!$A:$X,0,MATCH("平台i",'拌客源数据1-8月'!$1:$1,0)),"美团",INDEX('拌客源数据1-8月'!$A:$X,0,MATCH($A$12,'拌客源数据1-8月'!$1:$1,0)),"&gt;="&amp;($A13-7),INDEX('拌客源数据1-8月'!$A:$X,0,MATCH($A$12,'拌客源数据1-8月'!$1:$1,0)),"&lt;="&amp;($A19-7)),IF($H$5="饿了么",SUMIFS(INDEX('拌客源数据1-8月'!$A:$X,0,MATCH(C8,'拌客源数据1-8月'!$1:$1,0)),INDEX('拌客源数据1-8月'!$A:$X,0,MATCH($A$12,'拌客源数据1-8月'!$1:$1,0)),"&gt;="&amp;($A13-7),INDEX('拌客源数据1-8月'!$A:$X,0,MATCH($A$12,'拌客源数据1-8月'!$1:$1,0)),"&lt;="&amp;($A19-7),INDEX('拌客源数据1-8月'!$A:$X,0,MATCH("平台i",'拌客源数据1-8月'!$1:$1,0)),"饿了么"))))-1</f>
        <v>-0.24846467894553603</v>
      </c>
      <c r="E9" s="88">
        <f>E20</f>
        <v>0.36122657449154993</v>
      </c>
      <c r="F9" s="88">
        <f>E9/(IF($H$5="全部",SUMIFS(INDEX('拌客源数据1-8月'!$A:$X,0,MATCH(C8,'拌客源数据1-8月'!$1:$1,0)),INDEX('拌客源数据1-8月'!$A:$X,0,MATCH($A$12,'拌客源数据1-8月'!$1:$1,0)),"&gt;="&amp;($A13-7),INDEX('拌客源数据1-8月'!$A:$X,0,MATCH($A$12,'拌客源数据1-8月'!$1:$1,0)),"&lt;="&amp;($A19-7)),IF($H$5="美团",SUMIFS(INDEX('拌客源数据1-8月'!$A:$X,0,MATCH(C8,'拌客源数据1-8月'!$1:$1,0)),INDEX('拌客源数据1-8月'!$A:$X,0,MATCH("平台i",'拌客源数据1-8月'!$1:$1,0)),"美团",INDEX('拌客源数据1-8月'!$A:$X,0,MATCH($A$12,'拌客源数据1-8月'!$1:$1,0)),"&gt;="&amp;($A13-7),INDEX('拌客源数据1-8月'!$A:$X,0,MATCH($A$12,'拌客源数据1-8月'!$1:$1,0)),"&lt;="&amp;($A19-7)),IF($H$5="饿了么",SUMIFS(INDEX('拌客源数据1-8月'!$A:$X,0,MATCH(C8,'拌客源数据1-8月'!$1:$1,0)),INDEX('拌客源数据1-8月'!$A:$X,0,MATCH($A$12,'拌客源数据1-8月'!$1:$1,0)),"&gt;="&amp;($A13-7),INDEX('拌客源数据1-8月'!$A:$X,0,MATCH($A$12,'拌客源数据1-8月'!$1:$1,0)),"&lt;="&amp;($A19-7),INDEX('拌客源数据1-8月'!$A:$X,0,MATCH("平台i",'拌客源数据1-8月'!$1:$1,0)),"饿了么"))))/IF($H$5="全部",SUMIFS(INDEX('拌客源数据1-8月'!$A:$X,0,MATCH("GMV",'拌客源数据1-8月'!$1:$1,0)),INDEX('拌客源数据1-8月'!$A:$X,0,MATCH($A$12,'拌客源数据1-8月'!$1:$1,0)),"&gt;="&amp;($A13-7),INDEX('拌客源数据1-8月'!$A:$X,0,MATCH($A$12,'拌客源数据1-8月'!$1:$1,0)),"&lt;="&amp;($A19-7)),IF($H$5="美团",SUMIFS(INDEX('拌客源数据1-8月'!$A:$X,0,MATCH("GMV",'拌客源数据1-8月'!$1:$1,0)),INDEX('拌客源数据1-8月'!$A:$X,0,MATCH("平台i",'拌客源数据1-8月'!$1:$1,0)),"美团",INDEX('拌客源数据1-8月'!$A:$X,0,MATCH($A$12,'拌客源数据1-8月'!$1:$1,0)),"&gt;="&amp;($A13-7),INDEX('拌客源数据1-8月'!$A:$X,0,MATCH($A$12,'拌客源数据1-8月'!$1:$1,0)),"&lt;="&amp;($A19-7)),IF($H$5="饿了么",SUMIFS(INDEX('拌客源数据1-8月'!$A:$X,0,MATCH("GMV",'拌客源数据1-8月'!$1:$1,0)),INDEX('拌客源数据1-8月'!$A:$X,0,MATCH($A$12,'拌客源数据1-8月'!$1:$1,0)),"&gt;="&amp;($A13-7),INDEX('拌客源数据1-8月'!$A:$X,0,MATCH($A$12,'拌客源数据1-8月'!$1:$1,0)),"&lt;="&amp;($A19-7),INDEX('拌客源数据1-8月'!$A:$X,0,MATCH("平台i",'拌客源数据1-8月'!$1:$1,0)),"饿了么")))))-1</f>
        <v>6.4597617325405032E-2</v>
      </c>
    </row>
    <row r="11" spans="1:9" ht="18" x14ac:dyDescent="0.2">
      <c r="A11" s="99" t="s">
        <v>67</v>
      </c>
      <c r="B11" s="100"/>
      <c r="C11" s="100" t="s">
        <v>68</v>
      </c>
      <c r="D11" s="100"/>
      <c r="E11" s="100"/>
      <c r="F11" s="100"/>
      <c r="G11" s="100"/>
      <c r="H11" s="92"/>
    </row>
    <row r="12" spans="1:9" x14ac:dyDescent="0.2">
      <c r="A12" s="113" t="s">
        <v>69</v>
      </c>
      <c r="B12" s="114" t="s">
        <v>70</v>
      </c>
      <c r="C12" s="114" t="s">
        <v>55</v>
      </c>
      <c r="D12" s="114" t="s">
        <v>54</v>
      </c>
      <c r="E12" s="114" t="s">
        <v>65</v>
      </c>
      <c r="F12" s="114" t="s">
        <v>53</v>
      </c>
      <c r="G12" s="114" t="s">
        <v>52</v>
      </c>
      <c r="H12" s="115" t="s">
        <v>71</v>
      </c>
    </row>
    <row r="13" spans="1:9" x14ac:dyDescent="0.2">
      <c r="A13" s="102">
        <v>44053</v>
      </c>
      <c r="B13" s="103">
        <f>A13</f>
        <v>44053</v>
      </c>
      <c r="C13" s="104">
        <f>IF($H$5="全部",SUMIF(INDEX('拌客源数据1-8月'!$A:$X,0,MATCH($A$12,'拌客源数据1-8月'!$1:$1,0)),$A13,INDEX('拌客源数据1-8月'!$A:$X,0,MATCH(C$12,'拌客源数据1-8月'!$1:$1,0))),IF($H$5="美团",SUMIFS(INDEX('拌客源数据1-8月'!$A:$X,0,MATCH(C$12,'拌客源数据1-8月'!$1:$1,0)),'拌客源数据1-8月'!$A:$A,$A13,INDEX('拌客源数据1-8月'!$A:$X,0,MATCH("平台i",'拌客源数据1-8月'!$1:$1,0)),"美团"),IF($H$5="饿了么",SUMIFS(INDEX('拌客源数据1-8月'!$A:$X,0,MATCH(C$12,'拌客源数据1-8月'!$1:$1,0)),'拌客源数据1-8月'!$A:$A,$A13,INDEX('拌客源数据1-8月'!$A:$X,0,MATCH("平台i",'拌客源数据1-8月'!$1:$1,0)),"饿了么"))))</f>
        <v>2233.92</v>
      </c>
      <c r="D13" s="104">
        <f>IF($H$5="全部",SUMIF(INDEX('拌客源数据1-8月'!$A:$X,0,MATCH($A$12,'拌客源数据1-8月'!$1:$1,0)),$A13,INDEX('拌客源数据1-8月'!$A:$X,0,MATCH(D$12,'拌客源数据1-8月'!$1:$1,0))),IF($H$5="美团",SUMIFS(INDEX('拌客源数据1-8月'!$A:$X,0,MATCH(D$12,'拌客源数据1-8月'!$1:$1,0)),'拌客源数据1-8月'!$A:$A,$A13,INDEX('拌客源数据1-8月'!$A:$X,0,MATCH("平台i",'拌客源数据1-8月'!$1:$1,0)),"美团"),IF($H$5="饿了么",SUMIFS(INDEX('拌客源数据1-8月'!$A:$X,0,MATCH(D$12,'拌客源数据1-8月'!$1:$1,0)),'拌客源数据1-8月'!$A:$A,$A13,INDEX('拌客源数据1-8月'!$A:$X,0,MATCH("平台i",'拌客源数据1-8月'!$1:$1,0)),"饿了么"))))</f>
        <v>768.67000000000007</v>
      </c>
      <c r="E13" s="105">
        <f>D13/C13</f>
        <v>0.34409020913909183</v>
      </c>
      <c r="F13" s="101">
        <f>IF($H$5="全部",SUMIF(INDEX('拌客源数据1-8月'!$A:$X,0,MATCH($A$12,'拌客源数据1-8月'!$1:$1,0)),$A13,INDEX('拌客源数据1-8月'!$A:$X,0,MATCH(F$12,'拌客源数据1-8月'!$1:$1,0))),IF($H$5="美团",SUMIFS(INDEX('拌客源数据1-8月'!$A:$X,0,MATCH(F$12,'拌客源数据1-8月'!$1:$1,0)),'拌客源数据1-8月'!$A:$A,$A13,INDEX('拌客源数据1-8月'!$A:$X,0,MATCH("平台i",'拌客源数据1-8月'!$1:$1,0)),"美团"),IF($H$5="饿了么",SUMIFS(INDEX('拌客源数据1-8月'!$A:$X,0,MATCH(F$12,'拌客源数据1-8月'!$1:$1,0)),'拌客源数据1-8月'!$A:$A,$A13,INDEX('拌客源数据1-8月'!$A:$X,0,MATCH("平台i",'拌客源数据1-8月'!$1:$1,0)),"饿了么"))))</f>
        <v>40</v>
      </c>
      <c r="G13" s="101">
        <f>IF($H$5="全部",SUMIF(INDEX('拌客源数据1-8月'!$A:$X,0,MATCH($A$12,'拌客源数据1-8月'!$1:$1,0)),$A13,INDEX('拌客源数据1-8月'!$A:$X,0,MATCH(G$12,'拌客源数据1-8月'!$1:$1,0))),IF($H$5="美团",SUMIFS(INDEX('拌客源数据1-8月'!$A:$X,0,MATCH(G$12,'拌客源数据1-8月'!$1:$1,0)),'拌客源数据1-8月'!$A:$A,$A13,INDEX('拌客源数据1-8月'!$A:$X,0,MATCH("平台i",'拌客源数据1-8月'!$1:$1,0)),"美团"),IF($H$5="饿了么",SUMIFS(INDEX('拌客源数据1-8月'!$A:$X,0,MATCH(G$12,'拌客源数据1-8月'!$1:$1,0)),'拌客源数据1-8月'!$A:$A,$A13,INDEX('拌客源数据1-8月'!$A:$X,0,MATCH("平台i",'拌客源数据1-8月'!$1:$1,0)),"饿了么"))))</f>
        <v>0</v>
      </c>
      <c r="H13" s="106">
        <f>C13/F13</f>
        <v>55.847999999999999</v>
      </c>
    </row>
    <row r="14" spans="1:9" x14ac:dyDescent="0.2">
      <c r="A14" s="102">
        <f>A13+1</f>
        <v>44054</v>
      </c>
      <c r="B14" s="103">
        <f t="shared" ref="B14:B19" si="0">A14</f>
        <v>44054</v>
      </c>
      <c r="C14" s="104">
        <f>IF($H$5="全部",SUMIF(INDEX('拌客源数据1-8月'!$A:$X,0,MATCH($A$12,'拌客源数据1-8月'!$1:$1,0)),$A14,INDEX('拌客源数据1-8月'!$A:$X,0,MATCH(C$12,'拌客源数据1-8月'!$1:$1,0))),IF($H$5="美团",SUMIFS(INDEX('拌客源数据1-8月'!$A:$X,0,MATCH(C$12,'拌客源数据1-8月'!$1:$1,0)),'拌客源数据1-8月'!$A:$A,$A14,INDEX('拌客源数据1-8月'!$A:$X,0,MATCH("平台i",'拌客源数据1-8月'!$1:$1,0)),"美团"),IF($H$5="饿了么",SUMIFS(INDEX('拌客源数据1-8月'!$A:$X,0,MATCH(C$12,'拌客源数据1-8月'!$1:$1,0)),'拌客源数据1-8月'!$A:$A,$A14,INDEX('拌客源数据1-8月'!$A:$X,0,MATCH("平台i",'拌客源数据1-8月'!$1:$1,0)),"饿了么"))))</f>
        <v>2360.1800000000003</v>
      </c>
      <c r="D14" s="104">
        <f>IF($H$5="全部",SUMIF(INDEX('拌客源数据1-8月'!$A:$X,0,MATCH($A$12,'拌客源数据1-8月'!$1:$1,0)),$A14,INDEX('拌客源数据1-8月'!$A:$X,0,MATCH(D$12,'拌客源数据1-8月'!$1:$1,0))),IF($H$5="美团",SUMIFS(INDEX('拌客源数据1-8月'!$A:$X,0,MATCH(D$12,'拌客源数据1-8月'!$1:$1,0)),'拌客源数据1-8月'!$A:$A,$A14,INDEX('拌客源数据1-8月'!$A:$X,0,MATCH("平台i",'拌客源数据1-8月'!$1:$1,0)),"美团"),IF($H$5="饿了么",SUMIFS(INDEX('拌客源数据1-8月'!$A:$X,0,MATCH(D$12,'拌客源数据1-8月'!$1:$1,0)),'拌客源数据1-8月'!$A:$A,$A14,INDEX('拌客源数据1-8月'!$A:$X,0,MATCH("平台i",'拌客源数据1-8月'!$1:$1,0)),"饿了么"))))</f>
        <v>923.19</v>
      </c>
      <c r="E14" s="105">
        <f t="shared" ref="E14:E20" si="1">D14/C14</f>
        <v>0.39115236973451173</v>
      </c>
      <c r="F14" s="101">
        <f>IF($H$5="全部",SUMIF(INDEX('拌客源数据1-8月'!$A:$X,0,MATCH($A$12,'拌客源数据1-8月'!$1:$1,0)),$A14,INDEX('拌客源数据1-8月'!$A:$X,0,MATCH(F$12,'拌客源数据1-8月'!$1:$1,0))),IF($H$5="美团",SUMIFS(INDEX('拌客源数据1-8月'!$A:$X,0,MATCH(F$12,'拌客源数据1-8月'!$1:$1,0)),'拌客源数据1-8月'!$A:$A,$A14,INDEX('拌客源数据1-8月'!$A:$X,0,MATCH("平台i",'拌客源数据1-8月'!$1:$1,0)),"美团"),IF($H$5="饿了么",SUMIFS(INDEX('拌客源数据1-8月'!$A:$X,0,MATCH(F$12,'拌客源数据1-8月'!$1:$1,0)),'拌客源数据1-8月'!$A:$A,$A14,INDEX('拌客源数据1-8月'!$A:$X,0,MATCH("平台i",'拌客源数据1-8月'!$1:$1,0)),"饿了么"))))</f>
        <v>39</v>
      </c>
      <c r="G14" s="101">
        <f>IF($H$5="全部",SUMIF(INDEX('拌客源数据1-8月'!$A:$X,0,MATCH($A$12,'拌客源数据1-8月'!$1:$1,0)),$A14,INDEX('拌客源数据1-8月'!$A:$X,0,MATCH(G$12,'拌客源数据1-8月'!$1:$1,0))),IF($H$5="美团",SUMIFS(INDEX('拌客源数据1-8月'!$A:$X,0,MATCH(G$12,'拌客源数据1-8月'!$1:$1,0)),'拌客源数据1-8月'!$A:$A,$A14,INDEX('拌客源数据1-8月'!$A:$X,0,MATCH("平台i",'拌客源数据1-8月'!$1:$1,0)),"美团"),IF($H$5="饿了么",SUMIFS(INDEX('拌客源数据1-8月'!$A:$X,0,MATCH(G$12,'拌客源数据1-8月'!$1:$1,0)),'拌客源数据1-8月'!$A:$A,$A14,INDEX('拌客源数据1-8月'!$A:$X,0,MATCH("平台i",'拌客源数据1-8月'!$1:$1,0)),"饿了么"))))</f>
        <v>1</v>
      </c>
      <c r="H14" s="106">
        <f t="shared" ref="H14:H20" si="2">C14/F14</f>
        <v>60.517435897435902</v>
      </c>
    </row>
    <row r="15" spans="1:9" x14ac:dyDescent="0.2">
      <c r="A15" s="102">
        <f t="shared" ref="A15:A19" si="3">A14+1</f>
        <v>44055</v>
      </c>
      <c r="B15" s="103">
        <f t="shared" si="0"/>
        <v>44055</v>
      </c>
      <c r="C15" s="104">
        <f>IF($H$5="全部",SUMIF(INDEX('拌客源数据1-8月'!$A:$X,0,MATCH($A$12,'拌客源数据1-8月'!$1:$1,0)),$A15,INDEX('拌客源数据1-8月'!$A:$X,0,MATCH(C$12,'拌客源数据1-8月'!$1:$1,0))),IF($H$5="美团",SUMIFS(INDEX('拌客源数据1-8月'!$A:$X,0,MATCH(C$12,'拌客源数据1-8月'!$1:$1,0)),'拌客源数据1-8月'!$A:$A,$A15,INDEX('拌客源数据1-8月'!$A:$X,0,MATCH("平台i",'拌客源数据1-8月'!$1:$1,0)),"美团"),IF($H$5="饿了么",SUMIFS(INDEX('拌客源数据1-8月'!$A:$X,0,MATCH(C$12,'拌客源数据1-8月'!$1:$1,0)),'拌客源数据1-8月'!$A:$A,$A15,INDEX('拌客源数据1-8月'!$A:$X,0,MATCH("平台i",'拌客源数据1-8月'!$1:$1,0)),"饿了么"))))</f>
        <v>1787.54</v>
      </c>
      <c r="D15" s="104">
        <f>IF($H$5="全部",SUMIF(INDEX('拌客源数据1-8月'!$A:$X,0,MATCH($A$12,'拌客源数据1-8月'!$1:$1,0)),$A15,INDEX('拌客源数据1-8月'!$A:$X,0,MATCH(D$12,'拌客源数据1-8月'!$1:$1,0))),IF($H$5="美团",SUMIFS(INDEX('拌客源数据1-8月'!$A:$X,0,MATCH(D$12,'拌客源数据1-8月'!$1:$1,0)),'拌客源数据1-8月'!$A:$A,$A15,INDEX('拌客源数据1-8月'!$A:$X,0,MATCH("平台i",'拌客源数据1-8月'!$1:$1,0)),"美团"),IF($H$5="饿了么",SUMIFS(INDEX('拌客源数据1-8月'!$A:$X,0,MATCH(D$12,'拌客源数据1-8月'!$1:$1,0)),'拌客源数据1-8月'!$A:$A,$A15,INDEX('拌客源数据1-8月'!$A:$X,0,MATCH("平台i",'拌客源数据1-8月'!$1:$1,0)),"饿了么"))))</f>
        <v>661.01</v>
      </c>
      <c r="E15" s="105">
        <f t="shared" si="1"/>
        <v>0.36978752923011515</v>
      </c>
      <c r="F15" s="101">
        <f>IF($H$5="全部",SUMIF(INDEX('拌客源数据1-8月'!$A:$X,0,MATCH($A$12,'拌客源数据1-8月'!$1:$1,0)),$A15,INDEX('拌客源数据1-8月'!$A:$X,0,MATCH(F$12,'拌客源数据1-8月'!$1:$1,0))),IF($H$5="美团",SUMIFS(INDEX('拌客源数据1-8月'!$A:$X,0,MATCH(F$12,'拌客源数据1-8月'!$1:$1,0)),'拌客源数据1-8月'!$A:$A,$A15,INDEX('拌客源数据1-8月'!$A:$X,0,MATCH("平台i",'拌客源数据1-8月'!$1:$1,0)),"美团"),IF($H$5="饿了么",SUMIFS(INDEX('拌客源数据1-8月'!$A:$X,0,MATCH(F$12,'拌客源数据1-8月'!$1:$1,0)),'拌客源数据1-8月'!$A:$A,$A15,INDEX('拌客源数据1-8月'!$A:$X,0,MATCH("平台i",'拌客源数据1-8月'!$1:$1,0)),"饿了么"))))</f>
        <v>31</v>
      </c>
      <c r="G15" s="101">
        <f>IF($H$5="全部",SUMIF(INDEX('拌客源数据1-8月'!$A:$X,0,MATCH($A$12,'拌客源数据1-8月'!$1:$1,0)),$A15,INDEX('拌客源数据1-8月'!$A:$X,0,MATCH(G$12,'拌客源数据1-8月'!$1:$1,0))),IF($H$5="美团",SUMIFS(INDEX('拌客源数据1-8月'!$A:$X,0,MATCH(G$12,'拌客源数据1-8月'!$1:$1,0)),'拌客源数据1-8月'!$A:$A,$A15,INDEX('拌客源数据1-8月'!$A:$X,0,MATCH("平台i",'拌客源数据1-8月'!$1:$1,0)),"美团"),IF($H$5="饿了么",SUMIFS(INDEX('拌客源数据1-8月'!$A:$X,0,MATCH(G$12,'拌客源数据1-8月'!$1:$1,0)),'拌客源数据1-8月'!$A:$A,$A15,INDEX('拌客源数据1-8月'!$A:$X,0,MATCH("平台i",'拌客源数据1-8月'!$1:$1,0)),"饿了么"))))</f>
        <v>1</v>
      </c>
      <c r="H15" s="106">
        <f t="shared" si="2"/>
        <v>57.662580645161292</v>
      </c>
    </row>
    <row r="16" spans="1:9" x14ac:dyDescent="0.2">
      <c r="A16" s="102">
        <f t="shared" si="3"/>
        <v>44056</v>
      </c>
      <c r="B16" s="103">
        <f t="shared" si="0"/>
        <v>44056</v>
      </c>
      <c r="C16" s="104">
        <f>IF($H$5="全部",SUMIF(INDEX('拌客源数据1-8月'!$A:$X,0,MATCH($A$12,'拌客源数据1-8月'!$1:$1,0)),$A16,INDEX('拌客源数据1-8月'!$A:$X,0,MATCH(C$12,'拌客源数据1-8月'!$1:$1,0))),IF($H$5="美团",SUMIFS(INDEX('拌客源数据1-8月'!$A:$X,0,MATCH(C$12,'拌客源数据1-8月'!$1:$1,0)),'拌客源数据1-8月'!$A:$A,$A16,INDEX('拌客源数据1-8月'!$A:$X,0,MATCH("平台i",'拌客源数据1-8月'!$1:$1,0)),"美团"),IF($H$5="饿了么",SUMIFS(INDEX('拌客源数据1-8月'!$A:$X,0,MATCH(C$12,'拌客源数据1-8月'!$1:$1,0)),'拌客源数据1-8月'!$A:$A,$A16,INDEX('拌客源数据1-8月'!$A:$X,0,MATCH("平台i",'拌客源数据1-8月'!$1:$1,0)),"饿了么"))))</f>
        <v>1814.93</v>
      </c>
      <c r="D16" s="104">
        <f>IF($H$5="全部",SUMIF(INDEX('拌客源数据1-8月'!$A:$X,0,MATCH($A$12,'拌客源数据1-8月'!$1:$1,0)),$A16,INDEX('拌客源数据1-8月'!$A:$X,0,MATCH(D$12,'拌客源数据1-8月'!$1:$1,0))),IF($H$5="美团",SUMIFS(INDEX('拌客源数据1-8月'!$A:$X,0,MATCH(D$12,'拌客源数据1-8月'!$1:$1,0)),'拌客源数据1-8月'!$A:$A,$A16,INDEX('拌客源数据1-8月'!$A:$X,0,MATCH("平台i",'拌客源数据1-8月'!$1:$1,0)),"美团"),IF($H$5="饿了么",SUMIFS(INDEX('拌客源数据1-8月'!$A:$X,0,MATCH(D$12,'拌客源数据1-8月'!$1:$1,0)),'拌客源数据1-8月'!$A:$A,$A16,INDEX('拌客源数据1-8月'!$A:$X,0,MATCH("平台i",'拌客源数据1-8月'!$1:$1,0)),"饿了么"))))</f>
        <v>634.1</v>
      </c>
      <c r="E16" s="105">
        <f t="shared" si="1"/>
        <v>0.34937986589014453</v>
      </c>
      <c r="F16" s="101">
        <f>IF($H$5="全部",SUMIF(INDEX('拌客源数据1-8月'!$A:$X,0,MATCH($A$12,'拌客源数据1-8月'!$1:$1,0)),$A16,INDEX('拌客源数据1-8月'!$A:$X,0,MATCH(F$12,'拌客源数据1-8月'!$1:$1,0))),IF($H$5="美团",SUMIFS(INDEX('拌客源数据1-8月'!$A:$X,0,MATCH(F$12,'拌客源数据1-8月'!$1:$1,0)),'拌客源数据1-8月'!$A:$A,$A16,INDEX('拌客源数据1-8月'!$A:$X,0,MATCH("平台i",'拌客源数据1-8月'!$1:$1,0)),"美团"),IF($H$5="饿了么",SUMIFS(INDEX('拌客源数据1-8月'!$A:$X,0,MATCH(F$12,'拌客源数据1-8月'!$1:$1,0)),'拌客源数据1-8月'!$A:$A,$A16,INDEX('拌客源数据1-8月'!$A:$X,0,MATCH("平台i",'拌客源数据1-8月'!$1:$1,0)),"饿了么"))))</f>
        <v>33</v>
      </c>
      <c r="G16" s="101">
        <f>IF($H$5="全部",SUMIF(INDEX('拌客源数据1-8月'!$A:$X,0,MATCH($A$12,'拌客源数据1-8月'!$1:$1,0)),$A16,INDEX('拌客源数据1-8月'!$A:$X,0,MATCH(G$12,'拌客源数据1-8月'!$1:$1,0))),IF($H$5="美团",SUMIFS(INDEX('拌客源数据1-8月'!$A:$X,0,MATCH(G$12,'拌客源数据1-8月'!$1:$1,0)),'拌客源数据1-8月'!$A:$A,$A16,INDEX('拌客源数据1-8月'!$A:$X,0,MATCH("平台i",'拌客源数据1-8月'!$1:$1,0)),"美团"),IF($H$5="饿了么",SUMIFS(INDEX('拌客源数据1-8月'!$A:$X,0,MATCH(G$12,'拌客源数据1-8月'!$1:$1,0)),'拌客源数据1-8月'!$A:$A,$A16,INDEX('拌客源数据1-8月'!$A:$X,0,MATCH("平台i",'拌客源数据1-8月'!$1:$1,0)),"饿了么"))))</f>
        <v>1</v>
      </c>
      <c r="H16" s="106">
        <f t="shared" si="2"/>
        <v>54.99787878787879</v>
      </c>
    </row>
    <row r="17" spans="1:8" x14ac:dyDescent="0.2">
      <c r="A17" s="102">
        <f t="shared" si="3"/>
        <v>44057</v>
      </c>
      <c r="B17" s="103">
        <f t="shared" si="0"/>
        <v>44057</v>
      </c>
      <c r="C17" s="104">
        <f>IF($H$5="全部",SUMIF(INDEX('拌客源数据1-8月'!$A:$X,0,MATCH($A$12,'拌客源数据1-8月'!$1:$1,0)),$A17,INDEX('拌客源数据1-8月'!$A:$X,0,MATCH(C$12,'拌客源数据1-8月'!$1:$1,0))),IF($H$5="美团",SUMIFS(INDEX('拌客源数据1-8月'!$A:$X,0,MATCH(C$12,'拌客源数据1-8月'!$1:$1,0)),'拌客源数据1-8月'!$A:$A,$A17,INDEX('拌客源数据1-8月'!$A:$X,0,MATCH("平台i",'拌客源数据1-8月'!$1:$1,0)),"美团"),IF($H$5="饿了么",SUMIFS(INDEX('拌客源数据1-8月'!$A:$X,0,MATCH(C$12,'拌客源数据1-8月'!$1:$1,0)),'拌客源数据1-8月'!$A:$A,$A17,INDEX('拌客源数据1-8月'!$A:$X,0,MATCH("平台i",'拌客源数据1-8月'!$1:$1,0)),"饿了么"))))</f>
        <v>2222.31</v>
      </c>
      <c r="D17" s="104">
        <f>IF($H$5="全部",SUMIF(INDEX('拌客源数据1-8月'!$A:$X,0,MATCH($A$12,'拌客源数据1-8月'!$1:$1,0)),$A17,INDEX('拌客源数据1-8月'!$A:$X,0,MATCH(D$12,'拌客源数据1-8月'!$1:$1,0))),IF($H$5="美团",SUMIFS(INDEX('拌客源数据1-8月'!$A:$X,0,MATCH(D$12,'拌客源数据1-8月'!$1:$1,0)),'拌客源数据1-8月'!$A:$A,$A17,INDEX('拌客源数据1-8月'!$A:$X,0,MATCH("平台i",'拌客源数据1-8月'!$1:$1,0)),"美团"),IF($H$5="饿了么",SUMIFS(INDEX('拌客源数据1-8月'!$A:$X,0,MATCH(D$12,'拌客源数据1-8月'!$1:$1,0)),'拌客源数据1-8月'!$A:$A,$A17,INDEX('拌客源数据1-8月'!$A:$X,0,MATCH("平台i",'拌客源数据1-8月'!$1:$1,0)),"饿了么"))))</f>
        <v>799.33</v>
      </c>
      <c r="E17" s="105">
        <f t="shared" si="1"/>
        <v>0.35968429247044742</v>
      </c>
      <c r="F17" s="101">
        <f>IF($H$5="全部",SUMIF(INDEX('拌客源数据1-8月'!$A:$X,0,MATCH($A$12,'拌客源数据1-8月'!$1:$1,0)),$A17,INDEX('拌客源数据1-8月'!$A:$X,0,MATCH(F$12,'拌客源数据1-8月'!$1:$1,0))),IF($H$5="美团",SUMIFS(INDEX('拌客源数据1-8月'!$A:$X,0,MATCH(F$12,'拌客源数据1-8月'!$1:$1,0)),'拌客源数据1-8月'!$A:$A,$A17,INDEX('拌客源数据1-8月'!$A:$X,0,MATCH("平台i",'拌客源数据1-8月'!$1:$1,0)),"美团"),IF($H$5="饿了么",SUMIFS(INDEX('拌客源数据1-8月'!$A:$X,0,MATCH(F$12,'拌客源数据1-8月'!$1:$1,0)),'拌客源数据1-8月'!$A:$A,$A17,INDEX('拌客源数据1-8月'!$A:$X,0,MATCH("平台i",'拌客源数据1-8月'!$1:$1,0)),"饿了么"))))</f>
        <v>37</v>
      </c>
      <c r="G17" s="101">
        <f>IF($H$5="全部",SUMIF(INDEX('拌客源数据1-8月'!$A:$X,0,MATCH($A$12,'拌客源数据1-8月'!$1:$1,0)),$A17,INDEX('拌客源数据1-8月'!$A:$X,0,MATCH(G$12,'拌客源数据1-8月'!$1:$1,0))),IF($H$5="美团",SUMIFS(INDEX('拌客源数据1-8月'!$A:$X,0,MATCH(G$12,'拌客源数据1-8月'!$1:$1,0)),'拌客源数据1-8月'!$A:$A,$A17,INDEX('拌客源数据1-8月'!$A:$X,0,MATCH("平台i",'拌客源数据1-8月'!$1:$1,0)),"美团"),IF($H$5="饿了么",SUMIFS(INDEX('拌客源数据1-8月'!$A:$X,0,MATCH(G$12,'拌客源数据1-8月'!$1:$1,0)),'拌客源数据1-8月'!$A:$A,$A17,INDEX('拌客源数据1-8月'!$A:$X,0,MATCH("平台i",'拌客源数据1-8月'!$1:$1,0)),"饿了么"))))</f>
        <v>1</v>
      </c>
      <c r="H17" s="106">
        <f t="shared" si="2"/>
        <v>60.062432432432431</v>
      </c>
    </row>
    <row r="18" spans="1:8" x14ac:dyDescent="0.2">
      <c r="A18" s="102">
        <f t="shared" si="3"/>
        <v>44058</v>
      </c>
      <c r="B18" s="103">
        <f t="shared" si="0"/>
        <v>44058</v>
      </c>
      <c r="C18" s="104">
        <f>IF($H$5="全部",SUMIF(INDEX('拌客源数据1-8月'!$A:$X,0,MATCH($A$12,'拌客源数据1-8月'!$1:$1,0)),$A18,INDEX('拌客源数据1-8月'!$A:$X,0,MATCH(C$12,'拌客源数据1-8月'!$1:$1,0))),IF($H$5="美团",SUMIFS(INDEX('拌客源数据1-8月'!$A:$X,0,MATCH(C$12,'拌客源数据1-8月'!$1:$1,0)),'拌客源数据1-8月'!$A:$A,$A18,INDEX('拌客源数据1-8月'!$A:$X,0,MATCH("平台i",'拌客源数据1-8月'!$1:$1,0)),"美团"),IF($H$5="饿了么",SUMIFS(INDEX('拌客源数据1-8月'!$A:$X,0,MATCH(C$12,'拌客源数据1-8月'!$1:$1,0)),'拌客源数据1-8月'!$A:$A,$A18,INDEX('拌客源数据1-8月'!$A:$X,0,MATCH("平台i",'拌客源数据1-8月'!$1:$1,0)),"饿了么"))))</f>
        <v>2528.64</v>
      </c>
      <c r="D18" s="104">
        <f>IF($H$5="全部",SUMIF(INDEX('拌客源数据1-8月'!$A:$X,0,MATCH($A$12,'拌客源数据1-8月'!$1:$1,0)),$A18,INDEX('拌客源数据1-8月'!$A:$X,0,MATCH(D$12,'拌客源数据1-8月'!$1:$1,0))),IF($H$5="美团",SUMIFS(INDEX('拌客源数据1-8月'!$A:$X,0,MATCH(D$12,'拌客源数据1-8月'!$1:$1,0)),'拌客源数据1-8月'!$A:$A,$A18,INDEX('拌客源数据1-8月'!$A:$X,0,MATCH("平台i",'拌客源数据1-8月'!$1:$1,0)),"美团"),IF($H$5="饿了么",SUMIFS(INDEX('拌客源数据1-8月'!$A:$X,0,MATCH(D$12,'拌客源数据1-8月'!$1:$1,0)),'拌客源数据1-8月'!$A:$A,$A18,INDEX('拌客源数据1-8月'!$A:$X,0,MATCH("平台i",'拌客源数据1-8月'!$1:$1,0)),"饿了么"))))</f>
        <v>876.06</v>
      </c>
      <c r="E18" s="105">
        <f t="shared" si="1"/>
        <v>0.34645501138952162</v>
      </c>
      <c r="F18" s="101">
        <f>IF($H$5="全部",SUMIF(INDEX('拌客源数据1-8月'!$A:$X,0,MATCH($A$12,'拌客源数据1-8月'!$1:$1,0)),$A18,INDEX('拌客源数据1-8月'!$A:$X,0,MATCH(F$12,'拌客源数据1-8月'!$1:$1,0))),IF($H$5="美团",SUMIFS(INDEX('拌客源数据1-8月'!$A:$X,0,MATCH(F$12,'拌客源数据1-8月'!$1:$1,0)),'拌客源数据1-8月'!$A:$A,$A18,INDEX('拌客源数据1-8月'!$A:$X,0,MATCH("平台i",'拌客源数据1-8月'!$1:$1,0)),"美团"),IF($H$5="饿了么",SUMIFS(INDEX('拌客源数据1-8月'!$A:$X,0,MATCH(F$12,'拌客源数据1-8月'!$1:$1,0)),'拌客源数据1-8月'!$A:$A,$A18,INDEX('拌客源数据1-8月'!$A:$X,0,MATCH("平台i",'拌客源数据1-8月'!$1:$1,0)),"饿了么"))))</f>
        <v>43</v>
      </c>
      <c r="G18" s="101">
        <f>IF($H$5="全部",SUMIF(INDEX('拌客源数据1-8月'!$A:$X,0,MATCH($A$12,'拌客源数据1-8月'!$1:$1,0)),$A18,INDEX('拌客源数据1-8月'!$A:$X,0,MATCH(G$12,'拌客源数据1-8月'!$1:$1,0))),IF($H$5="美团",SUMIFS(INDEX('拌客源数据1-8月'!$A:$X,0,MATCH(G$12,'拌客源数据1-8月'!$1:$1,0)),'拌客源数据1-8月'!$A:$A,$A18,INDEX('拌客源数据1-8月'!$A:$X,0,MATCH("平台i",'拌客源数据1-8月'!$1:$1,0)),"美团"),IF($H$5="饿了么",SUMIFS(INDEX('拌客源数据1-8月'!$A:$X,0,MATCH(G$12,'拌客源数据1-8月'!$1:$1,0)),'拌客源数据1-8月'!$A:$A,$A18,INDEX('拌客源数据1-8月'!$A:$X,0,MATCH("平台i",'拌客源数据1-8月'!$1:$1,0)),"饿了么"))))</f>
        <v>0</v>
      </c>
      <c r="H18" s="106">
        <f t="shared" si="2"/>
        <v>58.805581395348831</v>
      </c>
    </row>
    <row r="19" spans="1:8" x14ac:dyDescent="0.2">
      <c r="A19" s="116">
        <f t="shared" si="3"/>
        <v>44059</v>
      </c>
      <c r="B19" s="117">
        <f t="shared" si="0"/>
        <v>44059</v>
      </c>
      <c r="C19" s="108">
        <f>IF($H$5="全部",SUMIF(INDEX('拌客源数据1-8月'!$A:$X,0,MATCH($A$12,'拌客源数据1-8月'!$1:$1,0)),$A19,INDEX('拌客源数据1-8月'!$A:$X,0,MATCH(C$12,'拌客源数据1-8月'!$1:$1,0))),IF($H$5="美团",SUMIFS(INDEX('拌客源数据1-8月'!$A:$X,0,MATCH(C$12,'拌客源数据1-8月'!$1:$1,0)),'拌客源数据1-8月'!$A:$A,$A19,INDEX('拌客源数据1-8月'!$A:$X,0,MATCH("平台i",'拌客源数据1-8月'!$1:$1,0)),"美团"),IF($H$5="饿了么",SUMIFS(INDEX('拌客源数据1-8月'!$A:$X,0,MATCH(C$12,'拌客源数据1-8月'!$1:$1,0)),'拌客源数据1-8月'!$A:$A,$A19,INDEX('拌客源数据1-8月'!$A:$X,0,MATCH("平台i",'拌客源数据1-8月'!$1:$1,0)),"饿了么"))))</f>
        <v>2050.02</v>
      </c>
      <c r="D19" s="108">
        <f>IF($H$5="全部",SUMIF(INDEX('拌客源数据1-8月'!$A:$X,0,MATCH($A$12,'拌客源数据1-8月'!$1:$1,0)),$A19,INDEX('拌客源数据1-8月'!$A:$X,0,MATCH(D$12,'拌客源数据1-8月'!$1:$1,0))),IF($H$5="美团",SUMIFS(INDEX('拌客源数据1-8月'!$A:$X,0,MATCH(D$12,'拌客源数据1-8月'!$1:$1,0)),'拌客源数据1-8月'!$A:$A,$A19,INDEX('拌客源数据1-8月'!$A:$X,0,MATCH("平台i",'拌客源数据1-8月'!$1:$1,0)),"美团"),IF($H$5="饿了么",SUMIFS(INDEX('拌客源数据1-8月'!$A:$X,0,MATCH(D$12,'拌客源数据1-8月'!$1:$1,0)),'拌客源数据1-8月'!$A:$A,$A19,INDEX('拌客源数据1-8月'!$A:$X,0,MATCH("平台i",'拌客源数据1-8月'!$1:$1,0)),"饿了么"))))</f>
        <v>755.15</v>
      </c>
      <c r="E19" s="109">
        <f t="shared" si="1"/>
        <v>0.3683622598803914</v>
      </c>
      <c r="F19" s="107">
        <f>IF($H$5="全部",SUMIF(INDEX('拌客源数据1-8月'!$A:$X,0,MATCH($A$12,'拌客源数据1-8月'!$1:$1,0)),$A19,INDEX('拌客源数据1-8月'!$A:$X,0,MATCH(F$12,'拌客源数据1-8月'!$1:$1,0))),IF($H$5="美团",SUMIFS(INDEX('拌客源数据1-8月'!$A:$X,0,MATCH(F$12,'拌客源数据1-8月'!$1:$1,0)),'拌客源数据1-8月'!$A:$A,$A19,INDEX('拌客源数据1-8月'!$A:$X,0,MATCH("平台i",'拌客源数据1-8月'!$1:$1,0)),"美团"),IF($H$5="饿了么",SUMIFS(INDEX('拌客源数据1-8月'!$A:$X,0,MATCH(F$12,'拌客源数据1-8月'!$1:$1,0)),'拌客源数据1-8月'!$A:$A,$A19,INDEX('拌客源数据1-8月'!$A:$X,0,MATCH("平台i",'拌客源数据1-8月'!$1:$1,0)),"饿了么"))))</f>
        <v>35</v>
      </c>
      <c r="G19" s="107">
        <f>IF($H$5="全部",SUMIF(INDEX('拌客源数据1-8月'!$A:$X,0,MATCH($A$12,'拌客源数据1-8月'!$1:$1,0)),$A19,INDEX('拌客源数据1-8月'!$A:$X,0,MATCH(G$12,'拌客源数据1-8月'!$1:$1,0))),IF($H$5="美团",SUMIFS(INDEX('拌客源数据1-8月'!$A:$X,0,MATCH(G$12,'拌客源数据1-8月'!$1:$1,0)),'拌客源数据1-8月'!$A:$A,$A19,INDEX('拌客源数据1-8月'!$A:$X,0,MATCH("平台i",'拌客源数据1-8月'!$1:$1,0)),"美团"),IF($H$5="饿了么",SUMIFS(INDEX('拌客源数据1-8月'!$A:$X,0,MATCH(G$12,'拌客源数据1-8月'!$1:$1,0)),'拌客源数据1-8月'!$A:$A,$A19,INDEX('拌客源数据1-8月'!$A:$X,0,MATCH("平台i",'拌客源数据1-8月'!$1:$1,0)),"饿了么"))))</f>
        <v>1</v>
      </c>
      <c r="H19" s="110">
        <f t="shared" si="2"/>
        <v>58.572000000000003</v>
      </c>
    </row>
    <row r="20" spans="1:8" x14ac:dyDescent="0.2">
      <c r="A20" s="101" t="s">
        <v>72</v>
      </c>
      <c r="B20" s="101"/>
      <c r="C20" s="104">
        <f>SUM(C13:C19)</f>
        <v>14997.539999999999</v>
      </c>
      <c r="D20" s="104">
        <f t="shared" ref="D20:H20" si="4">SUM(D13:D19)</f>
        <v>5417.5099999999993</v>
      </c>
      <c r="E20" s="105">
        <f t="shared" si="1"/>
        <v>0.36122657449154993</v>
      </c>
      <c r="F20" s="101">
        <f t="shared" si="4"/>
        <v>258</v>
      </c>
      <c r="G20" s="101">
        <f t="shared" si="4"/>
        <v>5</v>
      </c>
      <c r="H20" s="104">
        <f t="shared" si="2"/>
        <v>58.129999999999995</v>
      </c>
    </row>
    <row r="23" spans="1:8" ht="18" x14ac:dyDescent="0.2">
      <c r="A23" s="99" t="s">
        <v>73</v>
      </c>
      <c r="B23" s="100"/>
      <c r="C23" s="100" t="s">
        <v>68</v>
      </c>
      <c r="D23" s="100"/>
      <c r="E23" s="100"/>
      <c r="F23" s="100"/>
      <c r="G23" s="100"/>
      <c r="H23" s="92"/>
    </row>
    <row r="24" spans="1:8" x14ac:dyDescent="0.2">
      <c r="A24" s="113" t="s">
        <v>69</v>
      </c>
      <c r="B24" s="114" t="s">
        <v>70</v>
      </c>
      <c r="C24" s="114" t="s">
        <v>59</v>
      </c>
      <c r="D24" s="114" t="s">
        <v>74</v>
      </c>
      <c r="E24" s="114" t="s">
        <v>60</v>
      </c>
      <c r="F24" s="114" t="s">
        <v>75</v>
      </c>
      <c r="G24" s="114" t="s">
        <v>61</v>
      </c>
      <c r="H24" s="115" t="s">
        <v>76</v>
      </c>
    </row>
    <row r="25" spans="1:8" x14ac:dyDescent="0.2">
      <c r="A25" s="102">
        <f>A13</f>
        <v>44053</v>
      </c>
      <c r="B25" s="103">
        <f>A13</f>
        <v>44053</v>
      </c>
      <c r="C25" s="101">
        <f>IF($H$5="全部",SUMIF(INDEX('拌客源数据1-8月'!$A:$X,0,MATCH($A$24,'拌客源数据1-8月'!$1:$1,0)),$A25,INDEX('拌客源数据1-8月'!$A:$X,0,MATCH(C$24,'拌客源数据1-8月'!$1:$1,0))),IF($H$5="美团",SUMIFS(INDEX('拌客源数据1-8月'!$A:$X,0,MATCH(C$24,'拌客源数据1-8月'!$1:$1,0)),'拌客源数据1-8月'!$A:$A,$A25,INDEX('拌客源数据1-8月'!$A:$X,0,MATCH("平台i",'拌客源数据1-8月'!$1:$1,0)),"美团"),IF($H$5="饿了么",SUMIFS(INDEX('拌客源数据1-8月'!$A:$X,0,MATCH(C$24,'拌客源数据1-8月'!$1:$1,0)),'拌客源数据1-8月'!$A:$A,$A25,INDEX('拌客源数据1-8月'!$A:$X,0,MATCH("平台i",'拌客源数据1-8月'!$1:$1,0)),"饿了么"))))</f>
        <v>2375</v>
      </c>
      <c r="D25" s="101">
        <f>IF($H$5="全部",SUMIF(INDEX('拌客源数据1-8月'!$A:$X,0,MATCH($A$24,'拌客源数据1-8月'!$1:$1,0)),$A25,INDEX('拌客源数据1-8月'!$A:$X,0,MATCH(D$24,'拌客源数据1-8月'!$1:$1,0))),IF($H$5="美团",SUMIFS(INDEX('拌客源数据1-8月'!$A:$X,0,MATCH(D$24,'拌客源数据1-8月'!$1:$1,0)),'拌客源数据1-8月'!$A:$A,$A25,INDEX('拌客源数据1-8月'!$A:$X,0,MATCH("平台i",'拌客源数据1-8月'!$1:$1,0)),"美团"),IF($H$5="饿了么",SUMIFS(INDEX('拌客源数据1-8月'!$A:$X,0,MATCH(D$24,'拌客源数据1-8月'!$1:$1,0)),'拌客源数据1-8月'!$A:$A,$A25,INDEX('拌客源数据1-8月'!$A:$X,0,MATCH("平台i",'拌客源数据1-8月'!$1:$1,0)),"饿了么"))))</f>
        <v>175</v>
      </c>
      <c r="E25" s="105">
        <f>D25/C25</f>
        <v>7.3684210526315783E-2</v>
      </c>
      <c r="F25" s="101">
        <f>IF($H$5="全部",SUMIF(INDEX('拌客源数据1-8月'!$A:$X,0,MATCH($A$24,'拌客源数据1-8月'!$1:$1,0)),$A25,INDEX('拌客源数据1-8月'!$A:$X,0,MATCH(F$24,'拌客源数据1-8月'!$1:$1,0))),IF($H$5="美团",SUMIFS(INDEX('拌客源数据1-8月'!$A:$X,0,MATCH(F$24,'拌客源数据1-8月'!$1:$1,0)),'拌客源数据1-8月'!$A:$A,$A25,INDEX('拌客源数据1-8月'!$A:$X,0,MATCH("平台i",'拌客源数据1-8月'!$1:$1,0)),"美团"),IF($H$5="饿了么",SUMIFS(INDEX('拌客源数据1-8月'!$A:$X,0,MATCH(F$24,'拌客源数据1-8月'!$1:$1,0)),'拌客源数据1-8月'!$A:$A,$A25,INDEX('拌客源数据1-8月'!$A:$X,0,MATCH("平台i",'拌客源数据1-8月'!$1:$1,0)),"饿了么"))))</f>
        <v>36</v>
      </c>
      <c r="G25" s="105">
        <f>F25/D25</f>
        <v>0.20571428571428571</v>
      </c>
      <c r="H25" s="111">
        <f>IF($H$5="全部",SUMIF(INDEX('拌客源数据1-8月'!$A:$X,0,MATCH($A$12,'拌客源数据1-8月'!$1:$1,0)),$A13,INDEX('拌客源数据1-8月'!$A:$X,0,MATCH("cpc总费用",'拌客源数据1-8月'!$1:$1,0))),IF($H$5="美团",SUMIFS(INDEX('拌客源数据1-8月'!$A:$X,0,MATCH("cpc总费用",'拌客源数据1-8月'!$1:$1,0)),'拌客源数据1-8月'!$A:$A,$A13,INDEX('拌客源数据1-8月'!$A:$X,0,MATCH("平台i",'拌客源数据1-8月'!$1:$1,0)),"美团"),IF($H$5="饿了么",SUMIFS(INDEX('拌客源数据1-8月'!$A:$X,0,MATCH("cpc总费用",'拌客源数据1-8月'!$1:$1,0)),'拌客源数据1-8月'!$A:$A,$A13,INDEX('拌客源数据1-8月'!$A:$X,0,MATCH("平台i",'拌客源数据1-8月'!$1:$1,0)),"饿了么"))))/C13</f>
        <v>4.3918313995129639E-2</v>
      </c>
    </row>
    <row r="26" spans="1:8" x14ac:dyDescent="0.2">
      <c r="A26" s="102">
        <f>A13+1</f>
        <v>44054</v>
      </c>
      <c r="B26" s="103">
        <f t="shared" ref="B26:B31" si="5">A14</f>
        <v>44054</v>
      </c>
      <c r="C26" s="101">
        <f>IF($H$5="全部",SUMIF(INDEX('拌客源数据1-8月'!$A:$X,0,MATCH($A$24,'拌客源数据1-8月'!$1:$1,0)),$A26,INDEX('拌客源数据1-8月'!$A:$X,0,MATCH(C$24,'拌客源数据1-8月'!$1:$1,0))),IF($H$5="美团",SUMIFS(INDEX('拌客源数据1-8月'!$A:$X,0,MATCH(C$24,'拌客源数据1-8月'!$1:$1,0)),'拌客源数据1-8月'!$A:$A,$A26,INDEX('拌客源数据1-8月'!$A:$X,0,MATCH("平台i",'拌客源数据1-8月'!$1:$1,0)),"美团"),IF($H$5="饿了么",SUMIFS(INDEX('拌客源数据1-8月'!$A:$X,0,MATCH(C$24,'拌客源数据1-8月'!$1:$1,0)),'拌客源数据1-8月'!$A:$A,$A26,INDEX('拌客源数据1-8月'!$A:$X,0,MATCH("平台i",'拌客源数据1-8月'!$1:$1,0)),"饿了么"))))</f>
        <v>1989</v>
      </c>
      <c r="D26" s="101">
        <f>IF($H$5="全部",SUMIF(INDEX('拌客源数据1-8月'!$A:$X,0,MATCH($A$24,'拌客源数据1-8月'!$1:$1,0)),$A26,INDEX('拌客源数据1-8月'!$A:$X,0,MATCH(D$24,'拌客源数据1-8月'!$1:$1,0))),IF($H$5="美团",SUMIFS(INDEX('拌客源数据1-8月'!$A:$X,0,MATCH(D$24,'拌客源数据1-8月'!$1:$1,0)),'拌客源数据1-8月'!$A:$A,$A26,INDEX('拌客源数据1-8月'!$A:$X,0,MATCH("平台i",'拌客源数据1-8月'!$1:$1,0)),"美团"),IF($H$5="饿了么",SUMIFS(INDEX('拌客源数据1-8月'!$A:$X,0,MATCH(D$24,'拌客源数据1-8月'!$1:$1,0)),'拌客源数据1-8月'!$A:$A,$A26,INDEX('拌客源数据1-8月'!$A:$X,0,MATCH("平台i",'拌客源数据1-8月'!$1:$1,0)),"饿了么"))))</f>
        <v>155</v>
      </c>
      <c r="E26" s="105">
        <f t="shared" ref="E26:E32" si="6">D26/C26</f>
        <v>7.7928607340372047E-2</v>
      </c>
      <c r="F26" s="101">
        <f>IF($H$5="全部",SUMIF(INDEX('拌客源数据1-8月'!$A:$X,0,MATCH($A$24,'拌客源数据1-8月'!$1:$1,0)),$A26,INDEX('拌客源数据1-8月'!$A:$X,0,MATCH(F$24,'拌客源数据1-8月'!$1:$1,0))),IF($H$5="美团",SUMIFS(INDEX('拌客源数据1-8月'!$A:$X,0,MATCH(F$24,'拌客源数据1-8月'!$1:$1,0)),'拌客源数据1-8月'!$A:$A,$A26,INDEX('拌客源数据1-8月'!$A:$X,0,MATCH("平台i",'拌客源数据1-8月'!$1:$1,0)),"美团"),IF($H$5="饿了么",SUMIFS(INDEX('拌客源数据1-8月'!$A:$X,0,MATCH(F$24,'拌客源数据1-8月'!$1:$1,0)),'拌客源数据1-8月'!$A:$A,$A26,INDEX('拌客源数据1-8月'!$A:$X,0,MATCH("平台i",'拌客源数据1-8月'!$1:$1,0)),"饿了么"))))</f>
        <v>37</v>
      </c>
      <c r="G26" s="105">
        <f t="shared" ref="G26:G32" si="7">F26/D26</f>
        <v>0.23870967741935484</v>
      </c>
      <c r="H26" s="111">
        <f>IF($H$5="全部",SUMIF(INDEX('拌客源数据1-8月'!$A:$X,0,MATCH($A$12,'拌客源数据1-8月'!$1:$1,0)),$A14,INDEX('拌客源数据1-8月'!$A:$X,0,MATCH("cpc总费用",'拌客源数据1-8月'!$1:$1,0))),IF($H$5="美团",SUMIFS(INDEX('拌客源数据1-8月'!$A:$X,0,MATCH("cpc总费用",'拌客源数据1-8月'!$1:$1,0)),'拌客源数据1-8月'!$A:$A,$A14,INDEX('拌客源数据1-8月'!$A:$X,0,MATCH("平台i",'拌客源数据1-8月'!$1:$1,0)),"美团"),IF($H$5="饿了么",SUMIFS(INDEX('拌客源数据1-8月'!$A:$X,0,MATCH("cpc总费用",'拌客源数据1-8月'!$1:$1,0)),'拌客源数据1-8月'!$A:$A,$A14,INDEX('拌客源数据1-8月'!$A:$X,0,MATCH("平台i",'拌客源数据1-8月'!$1:$1,0)),"饿了么"))))/C14</f>
        <v>5.0559703073494389E-2</v>
      </c>
    </row>
    <row r="27" spans="1:8" x14ac:dyDescent="0.2">
      <c r="A27" s="102">
        <f t="shared" ref="A27:A31" si="8">A14+1</f>
        <v>44055</v>
      </c>
      <c r="B27" s="103">
        <f t="shared" si="5"/>
        <v>44055</v>
      </c>
      <c r="C27" s="101">
        <f>IF($H$5="全部",SUMIF(INDEX('拌客源数据1-8月'!$A:$X,0,MATCH($A$24,'拌客源数据1-8月'!$1:$1,0)),$A27,INDEX('拌客源数据1-8月'!$A:$X,0,MATCH(C$24,'拌客源数据1-8月'!$1:$1,0))),IF($H$5="美团",SUMIFS(INDEX('拌客源数据1-8月'!$A:$X,0,MATCH(C$24,'拌客源数据1-8月'!$1:$1,0)),'拌客源数据1-8月'!$A:$A,$A27,INDEX('拌客源数据1-8月'!$A:$X,0,MATCH("平台i",'拌客源数据1-8月'!$1:$1,0)),"美团"),IF($H$5="饿了么",SUMIFS(INDEX('拌客源数据1-8月'!$A:$X,0,MATCH(C$24,'拌客源数据1-8月'!$1:$1,0)),'拌客源数据1-8月'!$A:$A,$A27,INDEX('拌客源数据1-8月'!$A:$X,0,MATCH("平台i",'拌客源数据1-8月'!$1:$1,0)),"饿了么"))))</f>
        <v>1913</v>
      </c>
      <c r="D27" s="101">
        <f>IF($H$5="全部",SUMIF(INDEX('拌客源数据1-8月'!$A:$X,0,MATCH($A$24,'拌客源数据1-8月'!$1:$1,0)),$A27,INDEX('拌客源数据1-8月'!$A:$X,0,MATCH(D$24,'拌客源数据1-8月'!$1:$1,0))),IF($H$5="美团",SUMIFS(INDEX('拌客源数据1-8月'!$A:$X,0,MATCH(D$24,'拌客源数据1-8月'!$1:$1,0)),'拌客源数据1-8月'!$A:$A,$A27,INDEX('拌客源数据1-8月'!$A:$X,0,MATCH("平台i",'拌客源数据1-8月'!$1:$1,0)),"美团"),IF($H$5="饿了么",SUMIFS(INDEX('拌客源数据1-8月'!$A:$X,0,MATCH(D$24,'拌客源数据1-8月'!$1:$1,0)),'拌客源数据1-8月'!$A:$A,$A27,INDEX('拌客源数据1-8月'!$A:$X,0,MATCH("平台i",'拌客源数据1-8月'!$1:$1,0)),"饿了么"))))</f>
        <v>149</v>
      </c>
      <c r="E27" s="105">
        <f t="shared" si="6"/>
        <v>7.7888133821223213E-2</v>
      </c>
      <c r="F27" s="101">
        <f>IF($H$5="全部",SUMIF(INDEX('拌客源数据1-8月'!$A:$X,0,MATCH($A$24,'拌客源数据1-8月'!$1:$1,0)),$A27,INDEX('拌客源数据1-8月'!$A:$X,0,MATCH(F$24,'拌客源数据1-8月'!$1:$1,0))),IF($H$5="美团",SUMIFS(INDEX('拌客源数据1-8月'!$A:$X,0,MATCH(F$24,'拌客源数据1-8月'!$1:$1,0)),'拌客源数据1-8月'!$A:$A,$A27,INDEX('拌客源数据1-8月'!$A:$X,0,MATCH("平台i",'拌客源数据1-8月'!$1:$1,0)),"美团"),IF($H$5="饿了么",SUMIFS(INDEX('拌客源数据1-8月'!$A:$X,0,MATCH(F$24,'拌客源数据1-8月'!$1:$1,0)),'拌客源数据1-8月'!$A:$A,$A27,INDEX('拌客源数据1-8月'!$A:$X,0,MATCH("平台i",'拌客源数据1-8月'!$1:$1,0)),"饿了么"))))</f>
        <v>31</v>
      </c>
      <c r="G27" s="105">
        <f t="shared" si="7"/>
        <v>0.20805369127516779</v>
      </c>
      <c r="H27" s="111">
        <f>IF($H$5="全部",SUMIF(INDEX('拌客源数据1-8月'!$A:$X,0,MATCH($A$12,'拌客源数据1-8月'!$1:$1,0)),$A15,INDEX('拌客源数据1-8月'!$A:$X,0,MATCH("cpc总费用",'拌客源数据1-8月'!$1:$1,0))),IF($H$5="美团",SUMIFS(INDEX('拌客源数据1-8月'!$A:$X,0,MATCH("cpc总费用",'拌客源数据1-8月'!$1:$1,0)),'拌客源数据1-8月'!$A:$A,$A15,INDEX('拌客源数据1-8月'!$A:$X,0,MATCH("平台i",'拌客源数据1-8月'!$1:$1,0)),"美团"),IF($H$5="饿了么",SUMIFS(INDEX('拌客源数据1-8月'!$A:$X,0,MATCH("cpc总费用",'拌客源数据1-8月'!$1:$1,0)),'拌客源数据1-8月'!$A:$A,$A15,INDEX('拌客源数据1-8月'!$A:$X,0,MATCH("平台i",'拌客源数据1-8月'!$1:$1,0)),"饿了么"))))/C15</f>
        <v>6.1906306991731656E-2</v>
      </c>
    </row>
    <row r="28" spans="1:8" x14ac:dyDescent="0.2">
      <c r="A28" s="102">
        <f t="shared" si="8"/>
        <v>44056</v>
      </c>
      <c r="B28" s="103">
        <f t="shared" si="5"/>
        <v>44056</v>
      </c>
      <c r="C28" s="101">
        <f>IF($H$5="全部",SUMIF(INDEX('拌客源数据1-8月'!$A:$X,0,MATCH($A$24,'拌客源数据1-8月'!$1:$1,0)),$A28,INDEX('拌客源数据1-8月'!$A:$X,0,MATCH(C$24,'拌客源数据1-8月'!$1:$1,0))),IF($H$5="美团",SUMIFS(INDEX('拌客源数据1-8月'!$A:$X,0,MATCH(C$24,'拌客源数据1-8月'!$1:$1,0)),'拌客源数据1-8月'!$A:$A,$A28,INDEX('拌客源数据1-8月'!$A:$X,0,MATCH("平台i",'拌客源数据1-8月'!$1:$1,0)),"美团"),IF($H$5="饿了么",SUMIFS(INDEX('拌客源数据1-8月'!$A:$X,0,MATCH(C$24,'拌客源数据1-8月'!$1:$1,0)),'拌客源数据1-8月'!$A:$A,$A28,INDEX('拌客源数据1-8月'!$A:$X,0,MATCH("平台i",'拌客源数据1-8月'!$1:$1,0)),"饿了么"))))</f>
        <v>2044</v>
      </c>
      <c r="D28" s="101">
        <f>IF($H$5="全部",SUMIF(INDEX('拌客源数据1-8月'!$A:$X,0,MATCH($A$24,'拌客源数据1-8月'!$1:$1,0)),$A28,INDEX('拌客源数据1-8月'!$A:$X,0,MATCH(D$24,'拌客源数据1-8月'!$1:$1,0))),IF($H$5="美团",SUMIFS(INDEX('拌客源数据1-8月'!$A:$X,0,MATCH(D$24,'拌客源数据1-8月'!$1:$1,0)),'拌客源数据1-8月'!$A:$A,$A28,INDEX('拌客源数据1-8月'!$A:$X,0,MATCH("平台i",'拌客源数据1-8月'!$1:$1,0)),"美团"),IF($H$5="饿了么",SUMIFS(INDEX('拌客源数据1-8月'!$A:$X,0,MATCH(D$24,'拌客源数据1-8月'!$1:$1,0)),'拌客源数据1-8月'!$A:$A,$A28,INDEX('拌客源数据1-8月'!$A:$X,0,MATCH("平台i",'拌客源数据1-8月'!$1:$1,0)),"饿了么"))))</f>
        <v>143</v>
      </c>
      <c r="E28" s="105">
        <f t="shared" si="6"/>
        <v>6.9960861056751464E-2</v>
      </c>
      <c r="F28" s="101">
        <f>IF($H$5="全部",SUMIF(INDEX('拌客源数据1-8月'!$A:$X,0,MATCH($A$24,'拌客源数据1-8月'!$1:$1,0)),$A28,INDEX('拌客源数据1-8月'!$A:$X,0,MATCH(F$24,'拌客源数据1-8月'!$1:$1,0))),IF($H$5="美团",SUMIFS(INDEX('拌客源数据1-8月'!$A:$X,0,MATCH(F$24,'拌客源数据1-8月'!$1:$1,0)),'拌客源数据1-8月'!$A:$A,$A28,INDEX('拌客源数据1-8月'!$A:$X,0,MATCH("平台i",'拌客源数据1-8月'!$1:$1,0)),"美团"),IF($H$5="饿了么",SUMIFS(INDEX('拌客源数据1-8月'!$A:$X,0,MATCH(F$24,'拌客源数据1-8月'!$1:$1,0)),'拌客源数据1-8月'!$A:$A,$A28,INDEX('拌客源数据1-8月'!$A:$X,0,MATCH("平台i",'拌客源数据1-8月'!$1:$1,0)),"饿了么"))))</f>
        <v>34</v>
      </c>
      <c r="G28" s="105">
        <f t="shared" si="7"/>
        <v>0.23776223776223776</v>
      </c>
      <c r="H28" s="111">
        <f>IF($H$5="全部",SUMIF(INDEX('拌客源数据1-8月'!$A:$X,0,MATCH($A$12,'拌客源数据1-8月'!$1:$1,0)),$A16,INDEX('拌客源数据1-8月'!$A:$X,0,MATCH("cpc总费用",'拌客源数据1-8月'!$1:$1,0))),IF($H$5="美团",SUMIFS(INDEX('拌客源数据1-8月'!$A:$X,0,MATCH("cpc总费用",'拌客源数据1-8月'!$1:$1,0)),'拌客源数据1-8月'!$A:$A,$A16,INDEX('拌客源数据1-8月'!$A:$X,0,MATCH("平台i",'拌客源数据1-8月'!$1:$1,0)),"美团"),IF($H$5="饿了么",SUMIFS(INDEX('拌客源数据1-8月'!$A:$X,0,MATCH("cpc总费用",'拌客源数据1-8月'!$1:$1,0)),'拌客源数据1-8月'!$A:$A,$A16,INDEX('拌客源数据1-8月'!$A:$X,0,MATCH("平台i",'拌客源数据1-8月'!$1:$1,0)),"饿了么"))))/C16</f>
        <v>5.5462194134209032E-2</v>
      </c>
    </row>
    <row r="29" spans="1:8" x14ac:dyDescent="0.2">
      <c r="A29" s="102">
        <f t="shared" si="8"/>
        <v>44057</v>
      </c>
      <c r="B29" s="103">
        <f t="shared" si="5"/>
        <v>44057</v>
      </c>
      <c r="C29" s="101">
        <f>IF($H$5="全部",SUMIF(INDEX('拌客源数据1-8月'!$A:$X,0,MATCH($A$24,'拌客源数据1-8月'!$1:$1,0)),$A29,INDEX('拌客源数据1-8月'!$A:$X,0,MATCH(C$24,'拌客源数据1-8月'!$1:$1,0))),IF($H$5="美团",SUMIFS(INDEX('拌客源数据1-8月'!$A:$X,0,MATCH(C$24,'拌客源数据1-8月'!$1:$1,0)),'拌客源数据1-8月'!$A:$A,$A29,INDEX('拌客源数据1-8月'!$A:$X,0,MATCH("平台i",'拌客源数据1-8月'!$1:$1,0)),"美团"),IF($H$5="饿了么",SUMIFS(INDEX('拌客源数据1-8月'!$A:$X,0,MATCH(C$24,'拌客源数据1-8月'!$1:$1,0)),'拌客源数据1-8月'!$A:$A,$A29,INDEX('拌客源数据1-8月'!$A:$X,0,MATCH("平台i",'拌客源数据1-8月'!$1:$1,0)),"饿了么"))))</f>
        <v>2301</v>
      </c>
      <c r="D29" s="101">
        <f>IF($H$5="全部",SUMIF(INDEX('拌客源数据1-8月'!$A:$X,0,MATCH($A$24,'拌客源数据1-8月'!$1:$1,0)),$A29,INDEX('拌客源数据1-8月'!$A:$X,0,MATCH(D$24,'拌客源数据1-8月'!$1:$1,0))),IF($H$5="美团",SUMIFS(INDEX('拌客源数据1-8月'!$A:$X,0,MATCH(D$24,'拌客源数据1-8月'!$1:$1,0)),'拌客源数据1-8月'!$A:$A,$A29,INDEX('拌客源数据1-8月'!$A:$X,0,MATCH("平台i",'拌客源数据1-8月'!$1:$1,0)),"美团"),IF($H$5="饿了么",SUMIFS(INDEX('拌客源数据1-8月'!$A:$X,0,MATCH(D$24,'拌客源数据1-8月'!$1:$1,0)),'拌客源数据1-8月'!$A:$A,$A29,INDEX('拌客源数据1-8月'!$A:$X,0,MATCH("平台i",'拌客源数据1-8月'!$1:$1,0)),"饿了么"))))</f>
        <v>168</v>
      </c>
      <c r="E29" s="105">
        <f t="shared" si="6"/>
        <v>7.3011734028683176E-2</v>
      </c>
      <c r="F29" s="101">
        <f>IF($H$5="全部",SUMIF(INDEX('拌客源数据1-8月'!$A:$X,0,MATCH($A$24,'拌客源数据1-8月'!$1:$1,0)),$A29,INDEX('拌客源数据1-8月'!$A:$X,0,MATCH(F$24,'拌客源数据1-8月'!$1:$1,0))),IF($H$5="美团",SUMIFS(INDEX('拌客源数据1-8月'!$A:$X,0,MATCH(F$24,'拌客源数据1-8月'!$1:$1,0)),'拌客源数据1-8月'!$A:$A,$A29,INDEX('拌客源数据1-8月'!$A:$X,0,MATCH("平台i",'拌客源数据1-8月'!$1:$1,0)),"美团"),IF($H$5="饿了么",SUMIFS(INDEX('拌客源数据1-8月'!$A:$X,0,MATCH(F$24,'拌客源数据1-8月'!$1:$1,0)),'拌客源数据1-8月'!$A:$A,$A29,INDEX('拌客源数据1-8月'!$A:$X,0,MATCH("平台i",'拌客源数据1-8月'!$1:$1,0)),"饿了么"))))</f>
        <v>37</v>
      </c>
      <c r="G29" s="105">
        <f t="shared" si="7"/>
        <v>0.22023809523809523</v>
      </c>
      <c r="H29" s="111">
        <f>IF($H$5="全部",SUMIF(INDEX('拌客源数据1-8月'!$A:$X,0,MATCH($A$12,'拌客源数据1-8月'!$1:$1,0)),$A17,INDEX('拌客源数据1-8月'!$A:$X,0,MATCH("cpc总费用",'拌客源数据1-8月'!$1:$1,0))),IF($H$5="美团",SUMIFS(INDEX('拌客源数据1-8月'!$A:$X,0,MATCH("cpc总费用",'拌客源数据1-8月'!$1:$1,0)),'拌客源数据1-8月'!$A:$A,$A17,INDEX('拌客源数据1-8月'!$A:$X,0,MATCH("平台i",'拌客源数据1-8月'!$1:$1,0)),"美团"),IF($H$5="饿了么",SUMIFS(INDEX('拌客源数据1-8月'!$A:$X,0,MATCH("cpc总费用",'拌客源数据1-8月'!$1:$1,0)),'拌客源数据1-8月'!$A:$A,$A17,INDEX('拌客源数据1-8月'!$A:$X,0,MATCH("平台i",'拌客源数据1-8月'!$1:$1,0)),"饿了么"))))/C17</f>
        <v>5.1369970886149995E-2</v>
      </c>
    </row>
    <row r="30" spans="1:8" x14ac:dyDescent="0.2">
      <c r="A30" s="102">
        <f t="shared" si="8"/>
        <v>44058</v>
      </c>
      <c r="B30" s="103">
        <f t="shared" si="5"/>
        <v>44058</v>
      </c>
      <c r="C30" s="101">
        <f>IF($H$5="全部",SUMIF(INDEX('拌客源数据1-8月'!$A:$X,0,MATCH($A$24,'拌客源数据1-8月'!$1:$1,0)),$A30,INDEX('拌客源数据1-8月'!$A:$X,0,MATCH(C$24,'拌客源数据1-8月'!$1:$1,0))),IF($H$5="美团",SUMIFS(INDEX('拌客源数据1-8月'!$A:$X,0,MATCH(C$24,'拌客源数据1-8月'!$1:$1,0)),'拌客源数据1-8月'!$A:$A,$A30,INDEX('拌客源数据1-8月'!$A:$X,0,MATCH("平台i",'拌客源数据1-8月'!$1:$1,0)),"美团"),IF($H$5="饿了么",SUMIFS(INDEX('拌客源数据1-8月'!$A:$X,0,MATCH(C$24,'拌客源数据1-8月'!$1:$1,0)),'拌客源数据1-8月'!$A:$A,$A30,INDEX('拌客源数据1-8月'!$A:$X,0,MATCH("平台i",'拌客源数据1-8月'!$1:$1,0)),"饿了么"))))</f>
        <v>2725</v>
      </c>
      <c r="D30" s="101">
        <f>IF($H$5="全部",SUMIF(INDEX('拌客源数据1-8月'!$A:$X,0,MATCH($A$24,'拌客源数据1-8月'!$1:$1,0)),$A30,INDEX('拌客源数据1-8月'!$A:$X,0,MATCH(D$24,'拌客源数据1-8月'!$1:$1,0))),IF($H$5="美团",SUMIFS(INDEX('拌客源数据1-8月'!$A:$X,0,MATCH(D$24,'拌客源数据1-8月'!$1:$1,0)),'拌客源数据1-8月'!$A:$A,$A30,INDEX('拌客源数据1-8月'!$A:$X,0,MATCH("平台i",'拌客源数据1-8月'!$1:$1,0)),"美团"),IF($H$5="饿了么",SUMIFS(INDEX('拌客源数据1-8月'!$A:$X,0,MATCH(D$24,'拌客源数据1-8月'!$1:$1,0)),'拌客源数据1-8月'!$A:$A,$A30,INDEX('拌客源数据1-8月'!$A:$X,0,MATCH("平台i",'拌客源数据1-8月'!$1:$1,0)),"饿了么"))))</f>
        <v>201</v>
      </c>
      <c r="E30" s="105">
        <f t="shared" si="6"/>
        <v>7.3761467889908255E-2</v>
      </c>
      <c r="F30" s="101">
        <f>IF($H$5="全部",SUMIF(INDEX('拌客源数据1-8月'!$A:$X,0,MATCH($A$24,'拌客源数据1-8月'!$1:$1,0)),$A30,INDEX('拌客源数据1-8月'!$A:$X,0,MATCH(F$24,'拌客源数据1-8月'!$1:$1,0))),IF($H$5="美团",SUMIFS(INDEX('拌客源数据1-8月'!$A:$X,0,MATCH(F$24,'拌客源数据1-8月'!$1:$1,0)),'拌客源数据1-8月'!$A:$A,$A30,INDEX('拌客源数据1-8月'!$A:$X,0,MATCH("平台i",'拌客源数据1-8月'!$1:$1,0)),"美团"),IF($H$5="饿了么",SUMIFS(INDEX('拌客源数据1-8月'!$A:$X,0,MATCH(F$24,'拌客源数据1-8月'!$1:$1,0)),'拌客源数据1-8月'!$A:$A,$A30,INDEX('拌客源数据1-8月'!$A:$X,0,MATCH("平台i",'拌客源数据1-8月'!$1:$1,0)),"饿了么"))))</f>
        <v>43</v>
      </c>
      <c r="G30" s="105">
        <f t="shared" si="7"/>
        <v>0.21393034825870647</v>
      </c>
      <c r="H30" s="111">
        <f>IF($H$5="全部",SUMIF(INDEX('拌客源数据1-8月'!$A:$X,0,MATCH($A$12,'拌客源数据1-8月'!$1:$1,0)),$A18,INDEX('拌客源数据1-8月'!$A:$X,0,MATCH("cpc总费用",'拌客源数据1-8月'!$1:$1,0))),IF($H$5="美团",SUMIFS(INDEX('拌客源数据1-8月'!$A:$X,0,MATCH("cpc总费用",'拌客源数据1-8月'!$1:$1,0)),'拌客源数据1-8月'!$A:$A,$A18,INDEX('拌客源数据1-8月'!$A:$X,0,MATCH("平台i",'拌客源数据1-8月'!$1:$1,0)),"美团"),IF($H$5="饿了么",SUMIFS(INDEX('拌客源数据1-8月'!$A:$X,0,MATCH("cpc总费用",'拌客源数据1-8月'!$1:$1,0)),'拌客源数据1-8月'!$A:$A,$A18,INDEX('拌客源数据1-8月'!$A:$X,0,MATCH("平台i",'拌客源数据1-8月'!$1:$1,0)),"饿了么"))))/C18</f>
        <v>4.346209820298659E-2</v>
      </c>
    </row>
    <row r="31" spans="1:8" x14ac:dyDescent="0.2">
      <c r="A31" s="116">
        <f t="shared" si="8"/>
        <v>44059</v>
      </c>
      <c r="B31" s="117">
        <f t="shared" si="5"/>
        <v>44059</v>
      </c>
      <c r="C31" s="107">
        <f>IF($H$5="全部",SUMIF(INDEX('拌客源数据1-8月'!$A:$X,0,MATCH($A$24,'拌客源数据1-8月'!$1:$1,0)),$A31,INDEX('拌客源数据1-8月'!$A:$X,0,MATCH(C$24,'拌客源数据1-8月'!$1:$1,0))),IF($H$5="美团",SUMIFS(INDEX('拌客源数据1-8月'!$A:$X,0,MATCH(C$24,'拌客源数据1-8月'!$1:$1,0)),'拌客源数据1-8月'!$A:$A,$A31,INDEX('拌客源数据1-8月'!$A:$X,0,MATCH("平台i",'拌客源数据1-8月'!$1:$1,0)),"美团"),IF($H$5="饿了么",SUMIFS(INDEX('拌客源数据1-8月'!$A:$X,0,MATCH(C$24,'拌客源数据1-8月'!$1:$1,0)),'拌客源数据1-8月'!$A:$A,$A31,INDEX('拌客源数据1-8月'!$A:$X,0,MATCH("平台i",'拌客源数据1-8月'!$1:$1,0)),"饿了么"))))</f>
        <v>2689</v>
      </c>
      <c r="D31" s="107">
        <f>IF($H$5="全部",SUMIF(INDEX('拌客源数据1-8月'!$A:$X,0,MATCH($A$24,'拌客源数据1-8月'!$1:$1,0)),$A31,INDEX('拌客源数据1-8月'!$A:$X,0,MATCH(D$24,'拌客源数据1-8月'!$1:$1,0))),IF($H$5="美团",SUMIFS(INDEX('拌客源数据1-8月'!$A:$X,0,MATCH(D$24,'拌客源数据1-8月'!$1:$1,0)),'拌客源数据1-8月'!$A:$A,$A31,INDEX('拌客源数据1-8月'!$A:$X,0,MATCH("平台i",'拌客源数据1-8月'!$1:$1,0)),"美团"),IF($H$5="饿了么",SUMIFS(INDEX('拌客源数据1-8月'!$A:$X,0,MATCH(D$24,'拌客源数据1-8月'!$1:$1,0)),'拌客源数据1-8月'!$A:$A,$A31,INDEX('拌客源数据1-8月'!$A:$X,0,MATCH("平台i",'拌客源数据1-8月'!$1:$1,0)),"饿了么"))))</f>
        <v>189</v>
      </c>
      <c r="E31" s="109">
        <f t="shared" si="6"/>
        <v>7.0286351803644481E-2</v>
      </c>
      <c r="F31" s="107">
        <f>IF($H$5="全部",SUMIF(INDEX('拌客源数据1-8月'!$A:$X,0,MATCH($A$24,'拌客源数据1-8月'!$1:$1,0)),$A31,INDEX('拌客源数据1-8月'!$A:$X,0,MATCH(F$24,'拌客源数据1-8月'!$1:$1,0))),IF($H$5="美团",SUMIFS(INDEX('拌客源数据1-8月'!$A:$X,0,MATCH(F$24,'拌客源数据1-8月'!$1:$1,0)),'拌客源数据1-8月'!$A:$A,$A31,INDEX('拌客源数据1-8月'!$A:$X,0,MATCH("平台i",'拌客源数据1-8月'!$1:$1,0)),"美团"),IF($H$5="饿了么",SUMIFS(INDEX('拌客源数据1-8月'!$A:$X,0,MATCH(F$24,'拌客源数据1-8月'!$1:$1,0)),'拌客源数据1-8月'!$A:$A,$A31,INDEX('拌客源数据1-8月'!$A:$X,0,MATCH("平台i",'拌客源数据1-8月'!$1:$1,0)),"饿了么"))))</f>
        <v>33</v>
      </c>
      <c r="G31" s="109">
        <f t="shared" si="7"/>
        <v>0.17460317460317459</v>
      </c>
      <c r="H31" s="112">
        <f>IF($H$5="全部",SUMIF(INDEX('拌客源数据1-8月'!$A:$X,0,MATCH($A$12,'拌客源数据1-8月'!$1:$1,0)),$A19,INDEX('拌客源数据1-8月'!$A:$X,0,MATCH("cpc总费用",'拌客源数据1-8月'!$1:$1,0))),IF($H$5="美团",SUMIFS(INDEX('拌客源数据1-8月'!$A:$X,0,MATCH("cpc总费用",'拌客源数据1-8月'!$1:$1,0)),'拌客源数据1-8月'!$A:$A,$A19,INDEX('拌客源数据1-8月'!$A:$X,0,MATCH("平台i",'拌客源数据1-8月'!$1:$1,0)),"美团"),IF($H$5="饿了么",SUMIFS(INDEX('拌客源数据1-8月'!$A:$X,0,MATCH("cpc总费用",'拌客源数据1-8月'!$1:$1,0)),'拌客源数据1-8月'!$A:$A,$A19,INDEX('拌客源数据1-8月'!$A:$X,0,MATCH("平台i",'拌客源数据1-8月'!$1:$1,0)),"饿了么"))))/C19</f>
        <v>5.5960429654344834E-2</v>
      </c>
    </row>
    <row r="32" spans="1:8" x14ac:dyDescent="0.2">
      <c r="A32" s="101" t="s">
        <v>72</v>
      </c>
      <c r="B32" s="101"/>
      <c r="C32" s="101">
        <f>SUM(C25:C31)</f>
        <v>16036</v>
      </c>
      <c r="D32" s="101">
        <f t="shared" ref="D32:H32" si="9">SUM(D25:D31)</f>
        <v>1180</v>
      </c>
      <c r="E32" s="105">
        <f t="shared" si="6"/>
        <v>7.3584435021202294E-2</v>
      </c>
      <c r="F32" s="101">
        <f t="shared" si="9"/>
        <v>251</v>
      </c>
      <c r="G32" s="105">
        <f t="shared" si="7"/>
        <v>0.21271186440677967</v>
      </c>
      <c r="H32" s="105">
        <f>IF($H$5="全部",SUMIFS(INDEX('拌客源数据1-8月'!$A:$X,0,MATCH("cpc总费用",'拌客源数据1-8月'!$1:$1,0)),INDEX('拌客源数据1-8月'!$A:$X,0,MATCH($A$12,'拌客源数据1-8月'!$1:$1,0)),"&gt;="&amp;$A13,INDEX('拌客源数据1-8月'!$A:$X,0,MATCH($A$12,'拌客源数据1-8月'!$1:$1,0)),"&lt;="&amp;$A19),IF($H$5="美团",SUMIFS(INDEX('拌客源数据1-8月'!$A:$X,0,MATCH("cpc总费用",'拌客源数据1-8月'!$1:$1,0)),INDEX('拌客源数据1-8月'!$A:$X,0,MATCH("平台i",'拌客源数据1-8月'!$1:$1,0)),"美团",INDEX('拌客源数据1-8月'!$A:$X,0,MATCH($A$12,'拌客源数据1-8月'!$1:$1,0)),"&gt;="&amp;$A13,INDEX('拌客源数据1-8月'!$A:$X,0,MATCH($A$12,'拌客源数据1-8月'!$1:$1,0)),"&lt;="&amp;$A19),IF($H$5="饿了么",SUMIFS(INDEX('拌客源数据1-8月'!$A:$X,0,MATCH("cpc总费用",'拌客源数据1-8月'!$1:$1,0)),INDEX('拌客源数据1-8月'!$A:$X,0,MATCH($A$12,'拌客源数据1-8月'!$1:$1,0)),"&gt;="&amp;$A13,INDEX('拌客源数据1-8月'!$A:$X,0,MATCH($A$12,'拌客源数据1-8月'!$1:$1,0)),"&lt;="&amp;$A19,INDEX('拌客源数据1-8月'!$A:$X,0,MATCH("平台i",'拌客源数据1-8月'!$1:$1,0)),"饿了么"))))/C20</f>
        <v>5.1177726480476138E-2</v>
      </c>
    </row>
  </sheetData>
  <mergeCells count="2">
    <mergeCell ref="G7:H7"/>
    <mergeCell ref="A2:H3"/>
  </mergeCells>
  <phoneticPr fontId="18" type="noConversion"/>
  <conditionalFormatting sqref="G7">
    <cfRule type="dataBar" priority="1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{18773515-F791-40E2-B7EA-8E09E0FC3AB3}</x14:id>
        </ext>
      </extLst>
    </cfRule>
  </conditionalFormatting>
  <conditionalFormatting sqref="B9">
    <cfRule type="cellIs" dxfId="6" priority="11" operator="greaterThan">
      <formula>0</formula>
    </cfRule>
    <cfRule type="cellIs" dxfId="5" priority="12" operator="lessThanOrEqual">
      <formula>0</formula>
    </cfRule>
  </conditionalFormatting>
  <conditionalFormatting sqref="D9">
    <cfRule type="cellIs" dxfId="4" priority="8" operator="greaterThan">
      <formula>0</formula>
    </cfRule>
    <cfRule type="cellIs" dxfId="3" priority="9" operator="lessThanOrEqual">
      <formula>0</formula>
    </cfRule>
  </conditionalFormatting>
  <conditionalFormatting sqref="F9">
    <cfRule type="cellIs" dxfId="2" priority="5" operator="greaterThan">
      <formula>0</formula>
    </cfRule>
    <cfRule type="cellIs" dxfId="1" priority="6" operator="lessThanOrEqual">
      <formula>0</formula>
    </cfRule>
  </conditionalFormatting>
  <conditionalFormatting sqref="A13:H19">
    <cfRule type="expression" dxfId="0" priority="1">
      <formula>$C13&lt;AVERAGE($C$13:$C$19)</formula>
    </cfRule>
  </conditionalFormatting>
  <dataValidations count="1">
    <dataValidation type="list" allowBlank="1" showInputMessage="1" showErrorMessage="1" sqref="H5" xr:uid="{87DE5014-C757-4AF7-8C85-6CC7999D9DF5}">
      <formula1>"全部,美团,饿了么"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773515-F791-40E2-B7EA-8E09E0FC3AB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iconSet" priority="10" id="{6329CBA0-C6A6-47EE-AC99-ED505DBF0D13}">
            <x14:iconSet custom="1">
              <x14:cfvo type="percent">
                <xm:f>0</xm:f>
              </x14:cfvo>
              <x14:cfvo type="num">
                <xm:f>-1</xm:f>
              </x14:cfvo>
              <x14:cfvo type="num">
                <xm:f>0</xm:f>
              </x14:cfvo>
              <x14:cfIcon iconSet="NoIcons" iconId="0"/>
              <x14:cfIcon iconSet="4Arrows" iconId="1"/>
              <x14:cfIcon iconSet="4Arrow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7" id="{6295B30A-E315-49E6-8A81-7771B768819F}">
            <x14:iconSet custom="1">
              <x14:cfvo type="percent">
                <xm:f>0</xm:f>
              </x14:cfvo>
              <x14:cfvo type="num">
                <xm:f>-1</xm:f>
              </x14:cfvo>
              <x14:cfvo type="num">
                <xm:f>0</xm:f>
              </x14:cfvo>
              <x14:cfIcon iconSet="NoIcons" iconId="0"/>
              <x14:cfIcon iconSet="4Arrows" iconId="1"/>
              <x14:cfIcon iconSet="4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4" id="{C9189B75-BBCD-436F-8504-B707FB59B6AA}">
            <x14:iconSet custom="1">
              <x14:cfvo type="percent">
                <xm:f>0</xm:f>
              </x14:cfvo>
              <x14:cfvo type="num">
                <xm:f>-1</xm:f>
              </x14:cfvo>
              <x14:cfvo type="num">
                <xm:f>0</xm:f>
              </x14:cfvo>
              <x14:cfIcon iconSet="NoIcons" iconId="0"/>
              <x14:cfIcon iconSet="4Arrows" iconId="1"/>
              <x14:cfIcon iconSet="4Arrows" iconId="2"/>
            </x14:iconSet>
          </x14:cfRule>
          <xm:sqref>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7D8F6494-4476-4C8E-BCCA-EA30E0ED926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'大厂周报-练习版'!G25:G31</xm:f>
              <xm:sqref>F6</xm:sqref>
            </x14:sparkline>
          </x14:sparklines>
        </x14:sparklineGroup>
        <x14:sparklineGroup displayEmptyCellsAs="gap" markers="1" xr2:uid="{7C237181-2264-43F5-B365-9F3B53CD688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'大厂周报-练习版'!E25:E31</xm:f>
              <xm:sqref>D6</xm:sqref>
            </x14:sparkline>
          </x14:sparklines>
        </x14:sparklineGroup>
        <x14:sparklineGroup displayEmptyCellsAs="gap" markers="1" xr2:uid="{83C56E4D-6217-4965-BDAD-375E979F63D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'大厂周报-练习版'!C25:C31</xm:f>
              <xm:sqref>B6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  <sheetView workbookViewId="1"/>
  </sheetViews>
  <sheetFormatPr defaultRowHeight="14.25" x14ac:dyDescent="0.2"/>
  <cols>
    <col min="1" max="1" width="10.5" style="1" bestFit="1" customWidth="1"/>
    <col min="3" max="3" width="23.5" bestFit="1" customWidth="1"/>
    <col min="4" max="4" width="11.625" bestFit="1" customWidth="1"/>
    <col min="5" max="5" width="24.5" bestFit="1" customWidth="1"/>
    <col min="9" max="9" width="30.125" customWidth="1"/>
    <col min="10" max="10" width="8.875" customWidth="1"/>
    <col min="11" max="11" width="10.25" customWidth="1"/>
    <col min="12" max="14" width="12.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2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2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 x14ac:dyDescent="0.2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 x14ac:dyDescent="0.2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 x14ac:dyDescent="0.2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 x14ac:dyDescent="0.2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 x14ac:dyDescent="0.2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 x14ac:dyDescent="0.2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 x14ac:dyDescent="0.2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 x14ac:dyDescent="0.2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 x14ac:dyDescent="0.2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 x14ac:dyDescent="0.2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 x14ac:dyDescent="0.2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 x14ac:dyDescent="0.2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 x14ac:dyDescent="0.2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 x14ac:dyDescent="0.2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 x14ac:dyDescent="0.2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 x14ac:dyDescent="0.2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 x14ac:dyDescent="0.2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 x14ac:dyDescent="0.2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 x14ac:dyDescent="0.2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 x14ac:dyDescent="0.2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 x14ac:dyDescent="0.2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 x14ac:dyDescent="0.2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 x14ac:dyDescent="0.2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 x14ac:dyDescent="0.2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 x14ac:dyDescent="0.2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 x14ac:dyDescent="0.2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 x14ac:dyDescent="0.2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 x14ac:dyDescent="0.2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 x14ac:dyDescent="0.2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 x14ac:dyDescent="0.2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 x14ac:dyDescent="0.2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 x14ac:dyDescent="0.2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 x14ac:dyDescent="0.2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 x14ac:dyDescent="0.2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 x14ac:dyDescent="0.2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 x14ac:dyDescent="0.2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 x14ac:dyDescent="0.2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 x14ac:dyDescent="0.2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 x14ac:dyDescent="0.2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 x14ac:dyDescent="0.2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 x14ac:dyDescent="0.2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 x14ac:dyDescent="0.2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 x14ac:dyDescent="0.2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 x14ac:dyDescent="0.2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 x14ac:dyDescent="0.2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 x14ac:dyDescent="0.2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 x14ac:dyDescent="0.2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 x14ac:dyDescent="0.2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 x14ac:dyDescent="0.2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 x14ac:dyDescent="0.2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 x14ac:dyDescent="0.2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 x14ac:dyDescent="0.2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 x14ac:dyDescent="0.2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 x14ac:dyDescent="0.2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 x14ac:dyDescent="0.2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 x14ac:dyDescent="0.2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 x14ac:dyDescent="0.2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 x14ac:dyDescent="0.2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 x14ac:dyDescent="0.2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 x14ac:dyDescent="0.2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 x14ac:dyDescent="0.2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 x14ac:dyDescent="0.2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 x14ac:dyDescent="0.2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 x14ac:dyDescent="0.2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 x14ac:dyDescent="0.2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 x14ac:dyDescent="0.2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 x14ac:dyDescent="0.2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 x14ac:dyDescent="0.2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 x14ac:dyDescent="0.2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 x14ac:dyDescent="0.2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 x14ac:dyDescent="0.2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 x14ac:dyDescent="0.2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 x14ac:dyDescent="0.2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 x14ac:dyDescent="0.2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 x14ac:dyDescent="0.2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 x14ac:dyDescent="0.2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 x14ac:dyDescent="0.2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 x14ac:dyDescent="0.2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 x14ac:dyDescent="0.2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 x14ac:dyDescent="0.2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 x14ac:dyDescent="0.2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 x14ac:dyDescent="0.2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 x14ac:dyDescent="0.2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 x14ac:dyDescent="0.2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 x14ac:dyDescent="0.2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 x14ac:dyDescent="0.2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 x14ac:dyDescent="0.2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 x14ac:dyDescent="0.2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 x14ac:dyDescent="0.2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 x14ac:dyDescent="0.2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 x14ac:dyDescent="0.2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 x14ac:dyDescent="0.2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 x14ac:dyDescent="0.2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 x14ac:dyDescent="0.2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 x14ac:dyDescent="0.2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 x14ac:dyDescent="0.2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 x14ac:dyDescent="0.2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 x14ac:dyDescent="0.2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 x14ac:dyDescent="0.2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 x14ac:dyDescent="0.2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 x14ac:dyDescent="0.2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 x14ac:dyDescent="0.2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 x14ac:dyDescent="0.2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 x14ac:dyDescent="0.2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 x14ac:dyDescent="0.2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 x14ac:dyDescent="0.2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 x14ac:dyDescent="0.2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 x14ac:dyDescent="0.2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 x14ac:dyDescent="0.2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 x14ac:dyDescent="0.2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 x14ac:dyDescent="0.2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 x14ac:dyDescent="0.2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 x14ac:dyDescent="0.2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 x14ac:dyDescent="0.2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 x14ac:dyDescent="0.2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 x14ac:dyDescent="0.2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 x14ac:dyDescent="0.2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 x14ac:dyDescent="0.2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 x14ac:dyDescent="0.2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 x14ac:dyDescent="0.2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 x14ac:dyDescent="0.2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 x14ac:dyDescent="0.2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 x14ac:dyDescent="0.2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 x14ac:dyDescent="0.2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 x14ac:dyDescent="0.2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 x14ac:dyDescent="0.2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 x14ac:dyDescent="0.2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 x14ac:dyDescent="0.2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 x14ac:dyDescent="0.2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 x14ac:dyDescent="0.2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 x14ac:dyDescent="0.2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 x14ac:dyDescent="0.2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 x14ac:dyDescent="0.2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 x14ac:dyDescent="0.2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 x14ac:dyDescent="0.2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 x14ac:dyDescent="0.2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 x14ac:dyDescent="0.2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 x14ac:dyDescent="0.2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 x14ac:dyDescent="0.2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 x14ac:dyDescent="0.2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 x14ac:dyDescent="0.2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 x14ac:dyDescent="0.2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 x14ac:dyDescent="0.2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 x14ac:dyDescent="0.2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 x14ac:dyDescent="0.2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 x14ac:dyDescent="0.2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 x14ac:dyDescent="0.2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 x14ac:dyDescent="0.2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 x14ac:dyDescent="0.2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 x14ac:dyDescent="0.2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 x14ac:dyDescent="0.2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 x14ac:dyDescent="0.2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 x14ac:dyDescent="0.2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 x14ac:dyDescent="0.2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 x14ac:dyDescent="0.2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 x14ac:dyDescent="0.2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 x14ac:dyDescent="0.2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 x14ac:dyDescent="0.2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 x14ac:dyDescent="0.2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 x14ac:dyDescent="0.2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 x14ac:dyDescent="0.2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 x14ac:dyDescent="0.2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 x14ac:dyDescent="0.2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 x14ac:dyDescent="0.2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 x14ac:dyDescent="0.2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 x14ac:dyDescent="0.2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 x14ac:dyDescent="0.2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 x14ac:dyDescent="0.2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 x14ac:dyDescent="0.2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 x14ac:dyDescent="0.2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 x14ac:dyDescent="0.2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 x14ac:dyDescent="0.2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 x14ac:dyDescent="0.2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 x14ac:dyDescent="0.2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 x14ac:dyDescent="0.2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 x14ac:dyDescent="0.2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 x14ac:dyDescent="0.2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 x14ac:dyDescent="0.2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 x14ac:dyDescent="0.2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 x14ac:dyDescent="0.2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 x14ac:dyDescent="0.2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 x14ac:dyDescent="0.2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 x14ac:dyDescent="0.2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 x14ac:dyDescent="0.2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 x14ac:dyDescent="0.2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 x14ac:dyDescent="0.2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 x14ac:dyDescent="0.2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 x14ac:dyDescent="0.2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 x14ac:dyDescent="0.2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 x14ac:dyDescent="0.2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 x14ac:dyDescent="0.2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 x14ac:dyDescent="0.2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 x14ac:dyDescent="0.2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 x14ac:dyDescent="0.2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 x14ac:dyDescent="0.2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 x14ac:dyDescent="0.2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 x14ac:dyDescent="0.2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 x14ac:dyDescent="0.2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 x14ac:dyDescent="0.2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 x14ac:dyDescent="0.2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 x14ac:dyDescent="0.2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 x14ac:dyDescent="0.2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 x14ac:dyDescent="0.2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 x14ac:dyDescent="0.2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 x14ac:dyDescent="0.2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 x14ac:dyDescent="0.2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 x14ac:dyDescent="0.2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 x14ac:dyDescent="0.2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 x14ac:dyDescent="0.2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 x14ac:dyDescent="0.2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 x14ac:dyDescent="0.2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 x14ac:dyDescent="0.2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 x14ac:dyDescent="0.2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 x14ac:dyDescent="0.2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 x14ac:dyDescent="0.2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 x14ac:dyDescent="0.2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 x14ac:dyDescent="0.2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 x14ac:dyDescent="0.2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 x14ac:dyDescent="0.2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 x14ac:dyDescent="0.2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 x14ac:dyDescent="0.2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 x14ac:dyDescent="0.2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 x14ac:dyDescent="0.2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 x14ac:dyDescent="0.2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 x14ac:dyDescent="0.2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 x14ac:dyDescent="0.2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 x14ac:dyDescent="0.2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 x14ac:dyDescent="0.2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 x14ac:dyDescent="0.2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 x14ac:dyDescent="0.2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 x14ac:dyDescent="0.2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 x14ac:dyDescent="0.2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 x14ac:dyDescent="0.2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 x14ac:dyDescent="0.2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 x14ac:dyDescent="0.2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 x14ac:dyDescent="0.2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 x14ac:dyDescent="0.2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 x14ac:dyDescent="0.2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 x14ac:dyDescent="0.2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 x14ac:dyDescent="0.2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 x14ac:dyDescent="0.2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 x14ac:dyDescent="0.2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 x14ac:dyDescent="0.2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 x14ac:dyDescent="0.2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 x14ac:dyDescent="0.2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 x14ac:dyDescent="0.2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 x14ac:dyDescent="0.2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 x14ac:dyDescent="0.2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 x14ac:dyDescent="0.2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 x14ac:dyDescent="0.2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 x14ac:dyDescent="0.2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 x14ac:dyDescent="0.2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 x14ac:dyDescent="0.2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 x14ac:dyDescent="0.2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 x14ac:dyDescent="0.2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 x14ac:dyDescent="0.2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 x14ac:dyDescent="0.2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 x14ac:dyDescent="0.2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 x14ac:dyDescent="0.2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 x14ac:dyDescent="0.2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 x14ac:dyDescent="0.2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 x14ac:dyDescent="0.2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 x14ac:dyDescent="0.2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 x14ac:dyDescent="0.2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 x14ac:dyDescent="0.2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 x14ac:dyDescent="0.2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 x14ac:dyDescent="0.2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Sheet3</vt:lpstr>
      <vt:lpstr>拌客源数据1-8月</vt:lpstr>
      <vt:lpstr>数据透视图表-完成版</vt:lpstr>
      <vt:lpstr>Sheet1</vt:lpstr>
      <vt:lpstr>常用函数-完成版</vt:lpstr>
      <vt:lpstr>常用函数-练习版</vt:lpstr>
      <vt:lpstr>大厂周报-完成版</vt:lpstr>
      <vt:lpstr>大厂周报-练习版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Administrator</cp:lastModifiedBy>
  <dcterms:created xsi:type="dcterms:W3CDTF">2021-06-18T07:16:56Z</dcterms:created>
  <dcterms:modified xsi:type="dcterms:W3CDTF">2021-11-12T16:33:03Z</dcterms:modified>
</cp:coreProperties>
</file>