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kennedy\Desktop\Dual Control Chart\Validation Chart\Validation Data\"/>
    </mc:Choice>
  </mc:AlternateContent>
  <bookViews>
    <workbookView xWindow="0" yWindow="0" windowWidth="11175" windowHeight="7950"/>
  </bookViews>
  <sheets>
    <sheet name=" Precision &amp; MU" sheetId="3" r:id="rId1"/>
    <sheet name="Repeatability" sheetId="5" r:id="rId2"/>
    <sheet name="ANOVA" sheetId="7" r:id="rId3"/>
    <sheet name="Bias" sheetId="1" r:id="rId4"/>
    <sheet name="Linearity" sheetId="6" r:id="rId5"/>
    <sheet name="LOD-LOR" sheetId="8" r:id="rId6"/>
    <sheet name="Raw Data" sheetId="9" r:id="rId7"/>
    <sheet name="Latest_1922016" sheetId="10" r:id="rId8"/>
  </sheets>
  <definedNames>
    <definedName name="_xlnm._FilterDatabase" localSheetId="0" hidden="1">' Precision &amp; MU'!$A$15:$B$51</definedName>
    <definedName name="_xlnm._FilterDatabase" localSheetId="3" hidden="1">Bias!$A$9:$L$275</definedName>
    <definedName name="_xlnm._FilterDatabase" localSheetId="1" hidden="1">Repeatability!$A$9:$I$36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  <c r="I18" i="1"/>
  <c r="I17" i="1"/>
  <c r="I16" i="1"/>
  <c r="E9" i="3" l="1"/>
  <c r="E10" i="3" s="1"/>
  <c r="B11" i="3" l="1"/>
  <c r="B4" i="3" l="1"/>
  <c r="D33" i="7" l="1"/>
  <c r="D23" i="7"/>
  <c r="J14" i="1" l="1"/>
  <c r="K14" i="1"/>
  <c r="L14" i="1" s="1"/>
  <c r="I81" i="10" l="1"/>
  <c r="I80" i="10"/>
  <c r="I82" i="10" s="1"/>
  <c r="D65" i="10"/>
  <c r="D64" i="10"/>
  <c r="D63" i="10"/>
  <c r="D62" i="10"/>
  <c r="D61" i="10"/>
  <c r="D60" i="10"/>
  <c r="D59" i="10"/>
  <c r="D58" i="10"/>
  <c r="D57" i="10"/>
  <c r="D56" i="10"/>
  <c r="J41" i="10"/>
  <c r="J42" i="10" s="1"/>
  <c r="D41" i="10"/>
  <c r="J40" i="10"/>
  <c r="D40" i="10"/>
  <c r="D39" i="10"/>
  <c r="D38" i="10"/>
  <c r="D37" i="10"/>
  <c r="D36" i="10"/>
  <c r="D35" i="10"/>
  <c r="D34" i="10"/>
  <c r="D33" i="10"/>
  <c r="D32" i="10"/>
  <c r="J31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2" i="7" l="1"/>
  <c r="D34" i="7" l="1"/>
  <c r="B3" i="3" l="1"/>
  <c r="D36" i="7"/>
  <c r="D37" i="7" s="1"/>
  <c r="B12" i="3" l="1"/>
  <c r="J10" i="1"/>
  <c r="K10" i="1"/>
  <c r="L10" i="1" s="1"/>
  <c r="J11" i="1"/>
  <c r="K11" i="1"/>
  <c r="L11" i="1" s="1"/>
  <c r="J12" i="1"/>
  <c r="K12" i="1"/>
  <c r="L12" i="1" s="1"/>
  <c r="J13" i="1"/>
  <c r="K13" i="1"/>
  <c r="L13" i="1" s="1"/>
  <c r="B6" i="3"/>
  <c r="F10" i="5" l="1"/>
  <c r="C1" i="8"/>
  <c r="D1" i="8"/>
  <c r="D2" i="8" s="1"/>
  <c r="E1" i="8"/>
  <c r="C2" i="8"/>
  <c r="E2" i="8"/>
  <c r="C3" i="8"/>
  <c r="D3" i="8"/>
  <c r="E3" i="8"/>
  <c r="B1" i="8"/>
  <c r="B3" i="8" s="1"/>
  <c r="B2" i="8"/>
  <c r="F4" i="5"/>
  <c r="F36" i="5"/>
  <c r="G36" i="5"/>
  <c r="G10" i="5"/>
  <c r="F1" i="5"/>
  <c r="F2" i="5" s="1"/>
  <c r="C2" i="1" l="1"/>
  <c r="C3" i="1"/>
  <c r="B7" i="3" s="1"/>
  <c r="C4" i="1"/>
  <c r="F3" i="5"/>
  <c r="F7" i="5" s="1"/>
  <c r="C5" i="1" l="1"/>
  <c r="C6" i="1" s="1"/>
  <c r="C7" i="3" s="1"/>
  <c r="B13" i="3"/>
  <c r="F6" i="5"/>
  <c r="B8" i="3" l="1"/>
  <c r="B10" i="3" s="1"/>
  <c r="C16" i="3" s="1"/>
</calcChain>
</file>

<file path=xl/sharedStrings.xml><?xml version="1.0" encoding="utf-8"?>
<sst xmlns="http://schemas.openxmlformats.org/spreadsheetml/2006/main" count="185" uniqueCount="99">
  <si>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</si>
  <si>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</si>
  <si>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</si>
  <si>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</si>
  <si>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</si>
  <si>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</si>
  <si>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</si>
  <si>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</si>
  <si>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</si>
  <si>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</si>
  <si>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</si>
  <si>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</si>
  <si>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</si>
  <si>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</si>
  <si>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</si>
  <si>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</si>
  <si>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</si>
  <si>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</si>
  <si>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</si>
  <si>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</si>
  <si>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</si>
  <si>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</si>
  <si>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</si>
  <si>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</si>
  <si>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</si>
  <si>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</si>
  <si>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</si>
  <si>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</si>
  <si>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</si>
  <si>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</si>
  <si>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</si>
  <si>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</si>
  <si>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Yes</t>
  </si>
  <si>
    <t>Duplicates</t>
  </si>
  <si>
    <t>LOD</t>
  </si>
  <si>
    <t>LOR</t>
  </si>
  <si>
    <t>Repeatability sd</t>
  </si>
  <si>
    <t>Reference Mean</t>
  </si>
  <si>
    <t>ANOVA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</si>
  <si>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</si>
  <si>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</si>
  <si>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</si>
  <si>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</si>
  <si>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</si>
  <si>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</si>
  <si>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</si>
  <si>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</si>
  <si>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</si>
  <si>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</si>
  <si>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</si>
  <si>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</si>
  <si>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</si>
  <si>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</si>
  <si>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</si>
  <si>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</si>
  <si>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</si>
  <si>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Repeatabiltiy</t>
  </si>
  <si>
    <t>Conc</t>
  </si>
  <si>
    <t>Response</t>
  </si>
  <si>
    <t>Result</t>
  </si>
  <si>
    <t>NIST 1849a</t>
  </si>
  <si>
    <t>IF</t>
  </si>
  <si>
    <t>Reproducibility</t>
  </si>
  <si>
    <t>Reproducibility sd</t>
  </si>
  <si>
    <t>mg/100 g</t>
  </si>
  <si>
    <t>Si</t>
  </si>
  <si>
    <t>Sr</t>
  </si>
  <si>
    <t>Sb</t>
  </si>
  <si>
    <t>IRM001A-1</t>
  </si>
  <si>
    <t>Bound Inositol Result(mg/100g)</t>
  </si>
  <si>
    <t>Free Inositol Result(mg/100g)</t>
  </si>
  <si>
    <t>Total Inositol Result(mg/100g)</t>
  </si>
  <si>
    <t>NIST</t>
  </si>
  <si>
    <t>Total NIST</t>
  </si>
  <si>
    <t>significant</t>
  </si>
  <si>
    <t>insignificant</t>
  </si>
  <si>
    <t>=k*Reproducibility</t>
  </si>
  <si>
    <t>Reproducibility from ANOVA</t>
  </si>
  <si>
    <t>Uncertainty*mean/100</t>
  </si>
  <si>
    <t>Average of samples</t>
  </si>
  <si>
    <t>Average of Bias*mean of sample/100</t>
  </si>
  <si>
    <t>2*U(Bias) &lt; abs(aveBias)</t>
  </si>
  <si>
    <t>2*U(Bias) &gt; abs(aveBias)</t>
  </si>
  <si>
    <t>F &lt; F critical</t>
  </si>
  <si>
    <t>homogeneity and reproducibility</t>
  </si>
  <si>
    <t>P-value &gt; 0.05</t>
  </si>
  <si>
    <t>greater 95% confidence</t>
  </si>
  <si>
    <t>Standard Deviation</t>
  </si>
  <si>
    <t>ug/100g</t>
  </si>
  <si>
    <t>2*U(Bias) &lt; abs(average Bias)</t>
  </si>
  <si>
    <t>2*U(Bias) &gt; abs(average Bias)</t>
  </si>
  <si>
    <t>ug/100 g</t>
  </si>
  <si>
    <t>Expansion Coefficient</t>
  </si>
  <si>
    <t>SRM</t>
  </si>
  <si>
    <t>Intermediate precision</t>
  </si>
  <si>
    <t>ug/kg</t>
  </si>
  <si>
    <t>mg/kg</t>
  </si>
  <si>
    <t>Howitz MU</t>
  </si>
  <si>
    <r>
      <t>3.478</t>
    </r>
    <r>
      <rPr>
        <sz val="11"/>
        <color theme="1"/>
        <rFont val="Calibri"/>
        <family val="2"/>
      </rPr>
      <t>±1.8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</si>
</sst>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[$-C09]dd\-mmm\-yy;@"/>
    <numFmt numFmtId="168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1" applyFont="1"/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2" fontId="0" fillId="0" borderId="15" xfId="0" applyNumberFormat="1" applyBorder="1" applyAlignment="1">
      <alignment horizontal="center"/>
    </xf>
    <xf numFmtId="0" fontId="0" fillId="0" borderId="15" xfId="0" applyBorder="1"/>
    <xf numFmtId="2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center"/>
    </xf>
    <xf numFmtId="16" fontId="1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" fontId="1" fillId="0" borderId="0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2" fontId="3" fillId="0" borderId="0" xfId="0" applyNumberFormat="1" applyFont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left"/>
    </xf>
    <xf numFmtId="10" fontId="3" fillId="0" borderId="0" xfId="1" applyNumberFormat="1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/>
    <xf numFmtId="14" fontId="0" fillId="0" borderId="12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ANOVA!$L$1:$U$1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ANOVA!$L$2:$U$2</c:f>
              <c:numCache>
                <c:formatCode>0.0000</c:formatCode>
                <c:ptCount val="10"/>
                <c:pt idx="0">
                  <c:v>3.4573704402754433</c:v>
                </c:pt>
                <c:pt idx="1">
                  <c:v>3.4019028745696245</c:v>
                </c:pt>
                <c:pt idx="2">
                  <c:v>3.63367088306943</c:v>
                </c:pt>
                <c:pt idx="3">
                  <c:v>3.4224800415711898</c:v>
                </c:pt>
                <c:pt idx="4">
                  <c:v>3.3650759399075199</c:v>
                </c:pt>
                <c:pt idx="5">
                  <c:v>3.3587139047419092</c:v>
                </c:pt>
                <c:pt idx="6">
                  <c:v>3.5755864105890232</c:v>
                </c:pt>
                <c:pt idx="7">
                  <c:v>3.4909142866884944</c:v>
                </c:pt>
                <c:pt idx="8">
                  <c:v>3.6914739249581641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ANOVA!$L$1:$U$1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ANOVA!$L$3:$U$3</c:f>
              <c:numCache>
                <c:formatCode>0.0000</c:formatCode>
                <c:ptCount val="10"/>
                <c:pt idx="0">
                  <c:v>3.382560312483204</c:v>
                </c:pt>
                <c:pt idx="1">
                  <c:v>3.4582091490633258</c:v>
                </c:pt>
                <c:pt idx="2">
                  <c:v>3.582930096944235</c:v>
                </c:pt>
                <c:pt idx="3">
                  <c:v>3.4630937487118096</c:v>
                </c:pt>
                <c:pt idx="4">
                  <c:v>3.255363408675839</c:v>
                </c:pt>
                <c:pt idx="5">
                  <c:v>3.3553588597259627</c:v>
                </c:pt>
                <c:pt idx="6">
                  <c:v>3.4919300949890721</c:v>
                </c:pt>
                <c:pt idx="7">
                  <c:v>3.5153995431376024</c:v>
                </c:pt>
                <c:pt idx="8">
                  <c:v>3.5716096591264428</c:v>
                </c:pt>
                <c:pt idx="9">
                  <c:v>3.5687721652835505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ANOVA!$L$1:$U$1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ANOVA!$L$4:$U$4</c:f>
              <c:numCache>
                <c:formatCode>0.0000</c:formatCode>
                <c:ptCount val="10"/>
                <c:pt idx="0">
                  <c:v>3.4541748625412989</c:v>
                </c:pt>
                <c:pt idx="1">
                  <c:v>3.3727739359849185</c:v>
                </c:pt>
                <c:pt idx="2">
                  <c:v>3.4949151609648754</c:v>
                </c:pt>
                <c:pt idx="3">
                  <c:v>3.4441859051809827</c:v>
                </c:pt>
                <c:pt idx="4">
                  <c:v>3.2254444280618744</c:v>
                </c:pt>
                <c:pt idx="5">
                  <c:v>3.3977372263648293</c:v>
                </c:pt>
                <c:pt idx="6">
                  <c:v>3.4334922025782251</c:v>
                </c:pt>
                <c:pt idx="7">
                  <c:v>3.5874122845949405</c:v>
                </c:pt>
                <c:pt idx="8">
                  <c:v>3.7728820906348486</c:v>
                </c:pt>
                <c:pt idx="9">
                  <c:v>3.6304371340190169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ANOVA!$L$1:$U$1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ANOVA!$L$5:$U$5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2616"/>
        <c:axId val="449192896"/>
      </c:scatterChart>
      <c:valAx>
        <c:axId val="44557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92896"/>
        <c:crosses val="autoZero"/>
        <c:crossBetween val="midCat"/>
      </c:valAx>
      <c:valAx>
        <c:axId val="449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Bias!$K$10:$K$30</c:f>
              <c:numCache>
                <c:formatCode>0.00</c:formatCode>
                <c:ptCount val="21"/>
                <c:pt idx="0">
                  <c:v>-0.33000000000000007</c:v>
                </c:pt>
                <c:pt idx="1">
                  <c:v>-0.32000000000000028</c:v>
                </c:pt>
                <c:pt idx="2">
                  <c:v>-0.55000000000000071</c:v>
                </c:pt>
                <c:pt idx="3">
                  <c:v>-0.66999999999999993</c:v>
                </c:pt>
                <c:pt idx="4">
                  <c:v>-0.37999999999999989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187408"/>
        <c:axId val="449188584"/>
      </c:barChart>
      <c:catAx>
        <c:axId val="44918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9188584"/>
        <c:crosses val="autoZero"/>
        <c:auto val="1"/>
        <c:lblAlgn val="ctr"/>
        <c:lblOffset val="100"/>
        <c:noMultiLvlLbl val="0"/>
      </c:catAx>
      <c:valAx>
        <c:axId val="449188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918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207" r="0.70000000000000207" t="0.750000000000005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</c:v>
                </c:pt>
                <c:pt idx="1">
                  <c:v>1.02</c:v>
                </c:pt>
                <c:pt idx="2">
                  <c:v>2.0299999999999998</c:v>
                </c:pt>
                <c:pt idx="3">
                  <c:v>4.0999999999999996</c:v>
                </c:pt>
                <c:pt idx="4">
                  <c:v>6.1</c:v>
                </c:pt>
                <c:pt idx="5">
                  <c:v>10.050000000000001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87800"/>
        <c:axId val="449188192"/>
      </c:scatterChart>
      <c:valAx>
        <c:axId val="4491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188192"/>
        <c:crosses val="autoZero"/>
        <c:crossBetween val="midCat"/>
      </c:valAx>
      <c:valAx>
        <c:axId val="4491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187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1081087</xdr:colOff>
      <xdr:row>7</xdr:row>
      <xdr:rowOff>61912</xdr:rowOff>
    </xdr:from>
    <xdr:to>
      <xdr:col>18</xdr:col>
      <xdr:colOff>528637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19" sqref="I19"/>
    </sheetView>
  </sheetViews>
  <sheetFormatPr defaultColWidth="8.85546875" defaultRowHeight="15" x14ac:dyDescent="0.25"/>
  <cols>
    <col min="1" max="1" width="17.7109375" style="1" customWidth="1"/>
    <col min="2" max="2" width="21.85546875" style="1" bestFit="1" customWidth="1"/>
    <col min="3" max="3" width="27" style="75" bestFit="1" customWidth="1"/>
    <col min="4" max="4" width="34.42578125" style="1" bestFit="1" customWidth="1"/>
    <col min="5" max="16384" width="8.85546875" style="1"/>
  </cols>
  <sheetData>
    <row r="1" spans="1:6" x14ac:dyDescent="0.25">
      <c r="A1" s="1" t="s">
        <v>6</v>
      </c>
      <c r="B1" s="1">
        <f>COUNT(ANOVA!A2:J4)</f>
        <v>29</v>
      </c>
    </row>
    <row r="2" spans="1:6" x14ac:dyDescent="0.25">
      <c r="A2" s="1" t="s">
        <v>20</v>
      </c>
      <c r="B2" s="3">
        <v>2</v>
      </c>
      <c r="C2" s="75" t="s">
        <v>92</v>
      </c>
    </row>
    <row r="3" spans="1:6" x14ac:dyDescent="0.25">
      <c r="A3" s="1" t="s">
        <v>63</v>
      </c>
      <c r="B3" s="19">
        <f>ANOVA!D34</f>
        <v>0.12525412510385131</v>
      </c>
      <c r="C3" s="75" t="s">
        <v>77</v>
      </c>
    </row>
    <row r="4" spans="1:6" x14ac:dyDescent="0.25">
      <c r="A4" s="1" t="s">
        <v>3</v>
      </c>
      <c r="B4" s="19">
        <f>AVERAGE(ANOVA!A2:J4)</f>
        <v>3.4777886543254373</v>
      </c>
      <c r="C4" s="75" t="s">
        <v>79</v>
      </c>
    </row>
    <row r="5" spans="1:6" x14ac:dyDescent="0.25">
      <c r="B5" s="19"/>
    </row>
    <row r="6" spans="1:6" x14ac:dyDescent="0.25">
      <c r="A6" s="5" t="s">
        <v>18</v>
      </c>
      <c r="B6" s="17">
        <f>B3*B2</f>
        <v>0.25050825020770262</v>
      </c>
      <c r="C6" s="76" t="s">
        <v>76</v>
      </c>
    </row>
    <row r="7" spans="1:6" x14ac:dyDescent="0.25">
      <c r="A7" s="5" t="s">
        <v>7</v>
      </c>
      <c r="B7" s="17">
        <f>Bias!C3*B4/100</f>
        <v>-0.32468981212581893</v>
      </c>
      <c r="C7" s="77" t="str">
        <f>Bias!C6</f>
        <v>Insignificant</v>
      </c>
      <c r="D7" s="75" t="s">
        <v>80</v>
      </c>
    </row>
    <row r="8" spans="1:6" x14ac:dyDescent="0.25">
      <c r="A8" s="5" t="s">
        <v>31</v>
      </c>
      <c r="B8" s="17">
        <f>Bias!C5*B4/100</f>
        <v>0.29587248813084355</v>
      </c>
      <c r="C8" s="77"/>
      <c r="D8" s="75" t="s">
        <v>78</v>
      </c>
      <c r="E8" s="1">
        <v>3.4780000000000002</v>
      </c>
      <c r="F8" s="1" t="s">
        <v>91</v>
      </c>
    </row>
    <row r="9" spans="1:6" x14ac:dyDescent="0.25">
      <c r="B9" s="19"/>
      <c r="E9" s="1">
        <f>E8*10</f>
        <v>34.78</v>
      </c>
      <c r="F9" s="1" t="s">
        <v>95</v>
      </c>
    </row>
    <row r="10" spans="1:6" x14ac:dyDescent="0.25">
      <c r="A10" s="20" t="s">
        <v>19</v>
      </c>
      <c r="B10" s="21">
        <f>IF(C7="Insignificant", B2*SQRT(B8^2+B3^2), B2*SQRT(B8^2+B3^2)+ABS(B7))</f>
        <v>0.64258579221226919</v>
      </c>
      <c r="C10" s="75" t="s">
        <v>91</v>
      </c>
      <c r="E10" s="1">
        <f>E9/1000</f>
        <v>3.4779999999999998E-2</v>
      </c>
      <c r="F10" s="1" t="s">
        <v>96</v>
      </c>
    </row>
    <row r="11" spans="1:6" x14ac:dyDescent="0.25">
      <c r="B11" s="78">
        <f>B10/B4</f>
        <v>0.18476849978018781</v>
      </c>
      <c r="C11" s="24" t="s">
        <v>97</v>
      </c>
      <c r="D11" s="92" t="s">
        <v>98</v>
      </c>
      <c r="E11" s="91">
        <v>0.53049999999999997</v>
      </c>
    </row>
    <row r="12" spans="1:6" x14ac:dyDescent="0.25">
      <c r="A12" s="1" t="s">
        <v>22</v>
      </c>
      <c r="B12" s="3">
        <f>B2*B3*SQRT(2)</f>
        <v>0.35427216493008579</v>
      </c>
    </row>
    <row r="13" spans="1:6" x14ac:dyDescent="0.25">
      <c r="A13" s="1" t="s">
        <v>21</v>
      </c>
      <c r="B13" s="31">
        <f>IF(LOG(B3/2)&lt;0,10^(TRUNC(LOG(B3/2))-1), 10^(TRUNC(LOG(B3/2))))</f>
        <v>0.01</v>
      </c>
    </row>
    <row r="14" spans="1:6" x14ac:dyDescent="0.25">
      <c r="A14" s="18"/>
      <c r="B14" s="18"/>
    </row>
    <row r="15" spans="1:6" x14ac:dyDescent="0.25">
      <c r="A15" s="18"/>
      <c r="B15" s="18"/>
    </row>
    <row r="16" spans="1:6" x14ac:dyDescent="0.25">
      <c r="B16" s="18">
        <v>3</v>
      </c>
      <c r="C16" s="75">
        <f>B10/SQRT(B16)</f>
        <v>0.37099708011118254</v>
      </c>
    </row>
    <row r="17" spans="2:3" x14ac:dyDescent="0.25">
      <c r="B17" s="18"/>
    </row>
    <row r="18" spans="2:3" x14ac:dyDescent="0.25">
      <c r="B18" s="18"/>
    </row>
    <row r="19" spans="2:3" x14ac:dyDescent="0.25">
      <c r="B19" s="18"/>
    </row>
    <row r="20" spans="2:3" x14ac:dyDescent="0.25">
      <c r="B20" s="18"/>
    </row>
    <row r="21" spans="2:3" x14ac:dyDescent="0.25">
      <c r="B21" s="18"/>
    </row>
    <row r="22" spans="2:3" x14ac:dyDescent="0.25">
      <c r="B22" s="72" t="s">
        <v>81</v>
      </c>
      <c r="C22" s="73" t="s">
        <v>74</v>
      </c>
    </row>
    <row r="23" spans="2:3" x14ac:dyDescent="0.25">
      <c r="B23" s="72" t="s">
        <v>82</v>
      </c>
      <c r="C23" s="74" t="s">
        <v>75</v>
      </c>
    </row>
    <row r="24" spans="2:3" x14ac:dyDescent="0.25">
      <c r="B24" s="18"/>
    </row>
    <row r="25" spans="2:3" x14ac:dyDescent="0.25">
      <c r="B25" s="18"/>
    </row>
    <row r="26" spans="2:3" x14ac:dyDescent="0.25">
      <c r="B26" s="18"/>
    </row>
    <row r="27" spans="2:3" x14ac:dyDescent="0.25">
      <c r="B27" s="18"/>
    </row>
    <row r="28" spans="2:3" x14ac:dyDescent="0.25">
      <c r="B28" s="18"/>
    </row>
    <row r="29" spans="2:3" x14ac:dyDescent="0.25">
      <c r="B29" s="18"/>
    </row>
    <row r="30" spans="2:3" x14ac:dyDescent="0.25">
      <c r="B30" s="18"/>
    </row>
    <row r="31" spans="2:3" x14ac:dyDescent="0.25">
      <c r="B31" s="18"/>
    </row>
    <row r="32" spans="2:3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9" topLeftCell="A10" activePane="bottomLeft" state="frozen"/>
      <selection pane="bottomLeft" activeCell="F3" sqref="F3"/>
    </sheetView>
  </sheetViews>
  <sheetFormatPr defaultColWidth="8.85546875" defaultRowHeight="15" x14ac:dyDescent="0.25"/>
  <cols>
    <col min="1" max="1" width="22.42578125" style="1" customWidth="1"/>
    <col min="2" max="2" width="15.140625" style="1" customWidth="1"/>
    <col min="3" max="3" width="16.42578125" style="1" bestFit="1" customWidth="1"/>
    <col min="4" max="9" width="17.7109375" style="1" customWidth="1"/>
    <col min="10" max="16384" width="8.85546875" style="1"/>
  </cols>
  <sheetData>
    <row r="1" spans="1:9" x14ac:dyDescent="0.25">
      <c r="D1" s="18"/>
      <c r="E1" s="1" t="s">
        <v>6</v>
      </c>
      <c r="F1" s="1">
        <f>SUBTOTAL(2,G10:G1714)</f>
        <v>2</v>
      </c>
      <c r="I1" s="18"/>
    </row>
    <row r="2" spans="1:9" x14ac:dyDescent="0.25">
      <c r="D2" s="18"/>
      <c r="E2" s="1" t="s">
        <v>20</v>
      </c>
      <c r="F2" s="3">
        <f>TINV(0.05,F1)</f>
        <v>4.3026527297494637</v>
      </c>
      <c r="I2" s="18"/>
    </row>
    <row r="3" spans="1:9" x14ac:dyDescent="0.25">
      <c r="D3" s="18"/>
      <c r="E3" s="1" t="s">
        <v>36</v>
      </c>
      <c r="F3" s="19">
        <f>SQRT(SUBTOTAL(9,G10:G1714)/(2*F1))</f>
        <v>0</v>
      </c>
      <c r="H3" s="3"/>
      <c r="I3" s="18"/>
    </row>
    <row r="4" spans="1:9" x14ac:dyDescent="0.25">
      <c r="D4" s="18"/>
      <c r="E4" s="1" t="s">
        <v>3</v>
      </c>
      <c r="F4" s="19" t="e">
        <f>SUBTOTAL(1,D10:D37)</f>
        <v>#DIV/0!</v>
      </c>
      <c r="H4" s="3"/>
      <c r="I4" s="18"/>
    </row>
    <row r="5" spans="1:9" x14ac:dyDescent="0.25">
      <c r="D5" s="18"/>
      <c r="F5" s="19"/>
      <c r="H5" s="3"/>
      <c r="I5" s="18"/>
    </row>
    <row r="6" spans="1:9" x14ac:dyDescent="0.25">
      <c r="D6" s="18"/>
      <c r="E6" s="1" t="s">
        <v>33</v>
      </c>
      <c r="F6" s="3">
        <f>TINV(0.05,F1)*F3*SQRT(2)</f>
        <v>0</v>
      </c>
      <c r="I6" s="18"/>
    </row>
    <row r="7" spans="1:9" x14ac:dyDescent="0.25">
      <c r="D7" s="18"/>
      <c r="E7" s="1" t="s">
        <v>21</v>
      </c>
      <c r="F7" s="19" t="e">
        <f>IF(LOG(F3/2)&lt;0,10^(TRUNC(LOG(F3/2))-1), 10^(TRUNC(LOG(F3/2))))</f>
        <v>#NUM!</v>
      </c>
      <c r="I7" s="18"/>
    </row>
    <row r="8" spans="1:9" x14ac:dyDescent="0.25">
      <c r="D8" s="18"/>
      <c r="E8" s="18"/>
      <c r="F8" s="18"/>
      <c r="G8" s="18"/>
      <c r="H8" s="18"/>
      <c r="I8" s="18"/>
    </row>
    <row r="9" spans="1:9" x14ac:dyDescent="0.25">
      <c r="A9" s="1" t="s">
        <v>9</v>
      </c>
      <c r="B9" s="1" t="s">
        <v>30</v>
      </c>
      <c r="C9" s="1" t="s">
        <v>23</v>
      </c>
      <c r="D9" s="18" t="s">
        <v>24</v>
      </c>
      <c r="E9" s="18" t="s">
        <v>25</v>
      </c>
      <c r="F9" s="18" t="s">
        <v>26</v>
      </c>
      <c r="G9" s="18" t="s">
        <v>27</v>
      </c>
      <c r="H9" s="18" t="s">
        <v>28</v>
      </c>
      <c r="I9" s="18" t="s">
        <v>29</v>
      </c>
    </row>
    <row r="10" spans="1:9" x14ac:dyDescent="0.25">
      <c r="F10" s="18">
        <f>D10-E10</f>
        <v>0</v>
      </c>
      <c r="G10" s="18">
        <f t="shared" ref="G10:G36" si="0">F10^2</f>
        <v>0</v>
      </c>
      <c r="H10" s="18" t="s">
        <v>17</v>
      </c>
      <c r="I10" s="18" t="s">
        <v>17</v>
      </c>
    </row>
    <row r="11" spans="1:9" x14ac:dyDescent="0.25">
      <c r="F11" s="18"/>
      <c r="G11" s="18"/>
      <c r="H11" s="18"/>
      <c r="I11" s="18"/>
    </row>
    <row r="12" spans="1:9" x14ac:dyDescent="0.25">
      <c r="F12" s="18"/>
      <c r="G12" s="18"/>
      <c r="H12" s="18"/>
      <c r="I12" s="18"/>
    </row>
    <row r="13" spans="1:9" x14ac:dyDescent="0.25">
      <c r="F13" s="18"/>
      <c r="G13" s="18"/>
      <c r="H13" s="18"/>
      <c r="I13" s="18"/>
    </row>
    <row r="14" spans="1:9" x14ac:dyDescent="0.25">
      <c r="D14" s="18"/>
      <c r="E14" s="18"/>
      <c r="F14" s="18"/>
      <c r="G14" s="18"/>
      <c r="H14" s="18"/>
      <c r="I14" s="18"/>
    </row>
    <row r="15" spans="1:9" x14ac:dyDescent="0.25">
      <c r="F15" s="18"/>
      <c r="G15" s="18"/>
      <c r="H15" s="18"/>
      <c r="I15" s="18"/>
    </row>
    <row r="16" spans="1:9" x14ac:dyDescent="0.25">
      <c r="F16" s="18"/>
      <c r="G16" s="18"/>
      <c r="H16" s="18"/>
      <c r="I16" s="18"/>
    </row>
    <row r="17" spans="4:9" x14ac:dyDescent="0.25">
      <c r="F17" s="18"/>
      <c r="G17" s="18"/>
      <c r="H17" s="18"/>
      <c r="I17" s="18"/>
    </row>
    <row r="18" spans="4:9" x14ac:dyDescent="0.25">
      <c r="F18" s="18"/>
      <c r="G18" s="18"/>
      <c r="H18" s="18"/>
      <c r="I18" s="18"/>
    </row>
    <row r="19" spans="4:9" x14ac:dyDescent="0.25">
      <c r="F19" s="18"/>
      <c r="G19" s="18"/>
      <c r="H19" s="18"/>
      <c r="I19" s="18"/>
    </row>
    <row r="20" spans="4:9" x14ac:dyDescent="0.25">
      <c r="F20" s="18"/>
      <c r="G20" s="18"/>
      <c r="H20" s="18"/>
      <c r="I20" s="18"/>
    </row>
    <row r="21" spans="4:9" x14ac:dyDescent="0.25">
      <c r="F21" s="18"/>
      <c r="G21" s="18"/>
      <c r="H21" s="18"/>
      <c r="I21" s="18"/>
    </row>
    <row r="22" spans="4:9" x14ac:dyDescent="0.25">
      <c r="F22" s="18"/>
      <c r="G22" s="18"/>
      <c r="H22" s="18"/>
      <c r="I22" s="18"/>
    </row>
    <row r="23" spans="4:9" x14ac:dyDescent="0.25">
      <c r="F23" s="18"/>
      <c r="G23" s="18"/>
      <c r="H23" s="18"/>
      <c r="I23" s="18"/>
    </row>
    <row r="24" spans="4:9" x14ac:dyDescent="0.25">
      <c r="F24" s="18"/>
      <c r="G24" s="18"/>
      <c r="H24" s="18"/>
      <c r="I24" s="18"/>
    </row>
    <row r="25" spans="4:9" x14ac:dyDescent="0.25">
      <c r="F25" s="18"/>
      <c r="G25" s="18"/>
      <c r="H25" s="18"/>
      <c r="I25" s="18"/>
    </row>
    <row r="26" spans="4:9" x14ac:dyDescent="0.25">
      <c r="F26" s="18"/>
      <c r="G26" s="18"/>
      <c r="H26" s="18"/>
      <c r="I26" s="18"/>
    </row>
    <row r="27" spans="4:9" x14ac:dyDescent="0.25">
      <c r="F27" s="18"/>
      <c r="G27" s="18"/>
      <c r="H27" s="18"/>
      <c r="I27" s="18"/>
    </row>
    <row r="28" spans="4:9" x14ac:dyDescent="0.25">
      <c r="F28" s="18"/>
      <c r="G28" s="18"/>
      <c r="H28" s="18"/>
      <c r="I28" s="18"/>
    </row>
    <row r="29" spans="4:9" x14ac:dyDescent="0.25">
      <c r="F29" s="18"/>
      <c r="G29" s="18"/>
      <c r="H29" s="18"/>
      <c r="I29" s="18"/>
    </row>
    <row r="30" spans="4:9" x14ac:dyDescent="0.25">
      <c r="F30" s="18"/>
      <c r="G30" s="18"/>
      <c r="H30" s="18"/>
      <c r="I30" s="18"/>
    </row>
    <row r="31" spans="4:9" x14ac:dyDescent="0.25">
      <c r="D31" s="18"/>
      <c r="E31" s="18"/>
      <c r="F31" s="18"/>
      <c r="G31" s="18"/>
      <c r="H31" s="18"/>
      <c r="I31" s="18"/>
    </row>
    <row r="32" spans="4:9" x14ac:dyDescent="0.25">
      <c r="F32" s="18"/>
      <c r="G32" s="18"/>
      <c r="H32" s="18"/>
      <c r="I32" s="18"/>
    </row>
    <row r="33" spans="4:9" x14ac:dyDescent="0.25">
      <c r="F33" s="18"/>
      <c r="G33" s="18"/>
      <c r="H33" s="18"/>
      <c r="I33" s="18"/>
    </row>
    <row r="34" spans="4:9" x14ac:dyDescent="0.25">
      <c r="D34" s="18"/>
      <c r="E34" s="18"/>
      <c r="F34" s="18"/>
      <c r="G34" s="18"/>
      <c r="H34" s="18"/>
      <c r="I34" s="18"/>
    </row>
    <row r="35" spans="4:9" x14ac:dyDescent="0.25">
      <c r="F35" s="18"/>
      <c r="G35" s="18"/>
      <c r="H35" s="18"/>
      <c r="I35" s="18"/>
    </row>
    <row r="36" spans="4:9" x14ac:dyDescent="0.25">
      <c r="F36" s="18">
        <f t="shared" ref="F36" si="1">ABS(D36-E36)</f>
        <v>0</v>
      </c>
      <c r="G36" s="18">
        <f t="shared" si="0"/>
        <v>0</v>
      </c>
      <c r="H36" s="18" t="s">
        <v>17</v>
      </c>
      <c r="I36" s="18" t="s">
        <v>32</v>
      </c>
    </row>
  </sheetData>
  <autoFilter ref="A9:I3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9" workbookViewId="0">
      <selection activeCell="F26" sqref="F26"/>
    </sheetView>
  </sheetViews>
  <sheetFormatPr defaultColWidth="8.85546875" defaultRowHeight="15" x14ac:dyDescent="0.25"/>
  <cols>
    <col min="1" max="1" width="19.140625" bestFit="1" customWidth="1"/>
    <col min="2" max="7" width="15.42578125" customWidth="1"/>
    <col min="8" max="8" width="12.140625" customWidth="1"/>
    <col min="9" max="9" width="14.140625" customWidth="1"/>
    <col min="10" max="11" width="17.140625" customWidth="1"/>
    <col min="12" max="12" width="6.5703125" bestFit="1" customWidth="1"/>
  </cols>
  <sheetData>
    <row r="1" spans="1:21" x14ac:dyDescent="0.25">
      <c r="A1" s="82">
        <v>42059</v>
      </c>
      <c r="B1" s="82">
        <v>42060</v>
      </c>
      <c r="C1" s="82">
        <v>42061</v>
      </c>
      <c r="D1" s="82">
        <v>42062</v>
      </c>
      <c r="E1" s="79">
        <v>42089</v>
      </c>
      <c r="F1" s="79">
        <v>42090</v>
      </c>
      <c r="G1" s="79">
        <v>42091</v>
      </c>
      <c r="H1" s="79">
        <v>42092</v>
      </c>
      <c r="I1" s="79">
        <v>42093</v>
      </c>
      <c r="J1" s="79">
        <v>42094</v>
      </c>
      <c r="K1" s="26"/>
      <c r="L1" s="86">
        <v>1</v>
      </c>
      <c r="M1" s="86">
        <v>2</v>
      </c>
      <c r="N1" s="86">
        <v>3</v>
      </c>
      <c r="O1" s="86">
        <v>4</v>
      </c>
      <c r="P1" s="86">
        <v>5</v>
      </c>
      <c r="Q1" s="86">
        <v>6</v>
      </c>
      <c r="R1" s="86">
        <v>7</v>
      </c>
      <c r="S1" s="86">
        <v>8</v>
      </c>
      <c r="T1" s="86">
        <v>9</v>
      </c>
      <c r="U1" s="86">
        <v>10</v>
      </c>
    </row>
    <row r="2" spans="1:21" x14ac:dyDescent="0.25">
      <c r="A2" s="80">
        <v>3.4573704402754433</v>
      </c>
      <c r="B2" s="80">
        <v>3.4019028745696245</v>
      </c>
      <c r="C2" s="80">
        <v>3.63367088306943</v>
      </c>
      <c r="D2" s="80">
        <v>3.4224800415711898</v>
      </c>
      <c r="E2" s="80">
        <v>3.3650759399075199</v>
      </c>
      <c r="F2" s="80">
        <v>3.3587139047419092</v>
      </c>
      <c r="G2" s="80">
        <v>3.5755864105890232</v>
      </c>
      <c r="H2" s="80">
        <v>3.4909142866884944</v>
      </c>
      <c r="I2" s="80">
        <v>3.6914739249581641</v>
      </c>
      <c r="K2" s="30"/>
      <c r="L2" s="80">
        <v>3.4573704402754433</v>
      </c>
      <c r="M2" s="80">
        <v>3.4019028745696245</v>
      </c>
      <c r="N2" s="80">
        <v>3.63367088306943</v>
      </c>
      <c r="O2" s="80">
        <v>3.4224800415711898</v>
      </c>
      <c r="P2" s="80">
        <v>3.3650759399075199</v>
      </c>
      <c r="Q2" s="80">
        <v>3.3587139047419092</v>
      </c>
      <c r="R2" s="80">
        <v>3.5755864105890232</v>
      </c>
      <c r="S2" s="80">
        <v>3.4909142866884944</v>
      </c>
      <c r="T2" s="80">
        <v>3.6914739249581641</v>
      </c>
    </row>
    <row r="3" spans="1:21" x14ac:dyDescent="0.25">
      <c r="A3" s="80">
        <v>3.382560312483204</v>
      </c>
      <c r="B3" s="80">
        <v>3.4582091490633258</v>
      </c>
      <c r="C3" s="80">
        <v>3.582930096944235</v>
      </c>
      <c r="D3" s="80">
        <v>3.4630937487118096</v>
      </c>
      <c r="E3" s="80">
        <v>3.255363408675839</v>
      </c>
      <c r="F3" s="80">
        <v>3.3553588597259627</v>
      </c>
      <c r="G3" s="80">
        <v>3.4919300949890721</v>
      </c>
      <c r="H3" s="80">
        <v>3.5153995431376024</v>
      </c>
      <c r="I3" s="80">
        <v>3.5716096591264428</v>
      </c>
      <c r="J3" s="80">
        <v>3.5687721652835505</v>
      </c>
      <c r="K3" s="30"/>
      <c r="L3" s="80">
        <v>3.382560312483204</v>
      </c>
      <c r="M3" s="80">
        <v>3.4582091490633258</v>
      </c>
      <c r="N3" s="80">
        <v>3.582930096944235</v>
      </c>
      <c r="O3" s="80">
        <v>3.4630937487118096</v>
      </c>
      <c r="P3" s="80">
        <v>3.255363408675839</v>
      </c>
      <c r="Q3" s="80">
        <v>3.3553588597259627</v>
      </c>
      <c r="R3" s="80">
        <v>3.4919300949890721</v>
      </c>
      <c r="S3" s="80">
        <v>3.5153995431376024</v>
      </c>
      <c r="T3" s="80">
        <v>3.5716096591264428</v>
      </c>
      <c r="U3" s="80">
        <v>3.5687721652835505</v>
      </c>
    </row>
    <row r="4" spans="1:21" x14ac:dyDescent="0.25">
      <c r="A4" s="80">
        <v>3.4541748625412989</v>
      </c>
      <c r="B4" s="80">
        <v>3.3727739359849185</v>
      </c>
      <c r="C4" s="80">
        <v>3.4949151609648754</v>
      </c>
      <c r="D4" s="80">
        <v>3.4441859051809827</v>
      </c>
      <c r="E4" s="80">
        <v>3.2254444280618744</v>
      </c>
      <c r="F4" s="80">
        <v>3.3977372263648293</v>
      </c>
      <c r="G4" s="80">
        <v>3.4334922025782251</v>
      </c>
      <c r="H4" s="80">
        <v>3.5874122845949405</v>
      </c>
      <c r="I4" s="80">
        <v>3.7728820906348486</v>
      </c>
      <c r="J4" s="80">
        <v>3.6304371340190169</v>
      </c>
      <c r="K4" s="30"/>
      <c r="L4" s="80">
        <v>3.4541748625412989</v>
      </c>
      <c r="M4" s="80">
        <v>3.3727739359849185</v>
      </c>
      <c r="N4" s="80">
        <v>3.4949151609648754</v>
      </c>
      <c r="O4" s="80">
        <v>3.4441859051809827</v>
      </c>
      <c r="P4" s="80">
        <v>3.2254444280618744</v>
      </c>
      <c r="Q4" s="80">
        <v>3.3977372263648293</v>
      </c>
      <c r="R4" s="80">
        <v>3.4334922025782251</v>
      </c>
      <c r="S4" s="80">
        <v>3.5874122845949405</v>
      </c>
      <c r="T4" s="80">
        <v>3.7728820906348486</v>
      </c>
      <c r="U4" s="80">
        <v>3.6304371340190169</v>
      </c>
    </row>
    <row r="5" spans="1:21" x14ac:dyDescent="0.25">
      <c r="K5" s="30"/>
      <c r="L5" s="81"/>
      <c r="M5" s="81"/>
      <c r="N5" s="81"/>
      <c r="O5" s="81"/>
      <c r="P5" s="81"/>
      <c r="Q5" s="81"/>
      <c r="R5" s="81"/>
      <c r="S5" s="81"/>
      <c r="T5" s="81"/>
      <c r="U5" s="81"/>
    </row>
    <row r="6" spans="1:21" x14ac:dyDescent="0.25">
      <c r="A6" s="81">
        <v>3.5022000000000002</v>
      </c>
      <c r="B6" s="81">
        <v>3.5022000000000002</v>
      </c>
      <c r="C6" s="81">
        <v>3.5022000000000002</v>
      </c>
      <c r="D6" s="81">
        <v>3.5022000000000002</v>
      </c>
      <c r="E6" s="81">
        <v>3.5022000000000002</v>
      </c>
      <c r="F6" s="81">
        <v>3.5022000000000002</v>
      </c>
      <c r="G6" s="81">
        <v>3.5022000000000002</v>
      </c>
      <c r="H6" s="81">
        <v>3.5022000000000002</v>
      </c>
      <c r="I6" s="81">
        <v>3.5022000000000002</v>
      </c>
      <c r="J6" s="81">
        <v>3.5022000000000002</v>
      </c>
      <c r="L6" s="1"/>
    </row>
    <row r="7" spans="1:21" x14ac:dyDescent="0.25">
      <c r="A7" s="1"/>
    </row>
    <row r="8" spans="1:21" x14ac:dyDescent="0.25">
      <c r="A8" s="1"/>
    </row>
    <row r="9" spans="1:21" x14ac:dyDescent="0.25">
      <c r="A9" t="s">
        <v>40</v>
      </c>
    </row>
    <row r="11" spans="1:21" ht="15.75" thickBot="1" x14ac:dyDescent="0.3">
      <c r="A11" t="s">
        <v>41</v>
      </c>
    </row>
    <row r="12" spans="1:21" x14ac:dyDescent="0.25">
      <c r="A12" s="23" t="s">
        <v>42</v>
      </c>
      <c r="B12" s="23" t="s">
        <v>43</v>
      </c>
      <c r="C12" s="23" t="s">
        <v>44</v>
      </c>
      <c r="D12" s="23" t="s">
        <v>45</v>
      </c>
      <c r="E12" s="23" t="s">
        <v>46</v>
      </c>
    </row>
    <row r="13" spans="1:21" x14ac:dyDescent="0.25">
      <c r="A13" s="87">
        <v>42059</v>
      </c>
      <c r="B13" s="53">
        <v>3</v>
      </c>
      <c r="C13" s="54">
        <v>10.294105615299946</v>
      </c>
      <c r="D13" s="54">
        <v>3.4313685384333152</v>
      </c>
      <c r="E13" s="54">
        <v>1.7892351195615856E-3</v>
      </c>
    </row>
    <row r="14" spans="1:21" x14ac:dyDescent="0.25">
      <c r="A14" s="87">
        <v>42060</v>
      </c>
      <c r="B14" s="53">
        <v>3</v>
      </c>
      <c r="C14" s="54">
        <v>10.232885959617869</v>
      </c>
      <c r="D14" s="54">
        <v>3.4109619865392897</v>
      </c>
      <c r="E14" s="54">
        <v>1.8863445406974112E-3</v>
      </c>
    </row>
    <row r="15" spans="1:21" x14ac:dyDescent="0.25">
      <c r="A15" s="87">
        <v>42061</v>
      </c>
      <c r="B15" s="53">
        <v>3</v>
      </c>
      <c r="C15" s="54">
        <v>10.71151614097854</v>
      </c>
      <c r="D15" s="54">
        <v>3.5705053803261801</v>
      </c>
      <c r="E15" s="54">
        <v>4.9290677914683202E-3</v>
      </c>
    </row>
    <row r="16" spans="1:21" x14ac:dyDescent="0.25">
      <c r="A16" s="87">
        <v>42062</v>
      </c>
      <c r="B16" s="53">
        <v>3</v>
      </c>
      <c r="C16" s="54">
        <v>10.329759695463981</v>
      </c>
      <c r="D16" s="54">
        <v>3.4432532318213269</v>
      </c>
      <c r="E16" s="54">
        <v>4.1302071162286697E-4</v>
      </c>
    </row>
    <row r="17" spans="1:7" x14ac:dyDescent="0.25">
      <c r="A17" s="87">
        <v>42089</v>
      </c>
      <c r="B17" s="53">
        <v>3</v>
      </c>
      <c r="C17" s="54">
        <v>9.8458837766452341</v>
      </c>
      <c r="D17" s="54">
        <v>3.2819612588817448</v>
      </c>
      <c r="E17" s="54">
        <v>5.4048240017569964E-3</v>
      </c>
    </row>
    <row r="18" spans="1:7" x14ac:dyDescent="0.25">
      <c r="A18" s="87">
        <v>42090</v>
      </c>
      <c r="B18" s="53">
        <v>3</v>
      </c>
      <c r="C18" s="54">
        <v>10.1118099908327</v>
      </c>
      <c r="D18" s="54">
        <v>3.3706033302775666</v>
      </c>
      <c r="E18" s="54">
        <v>5.5500031942051591E-4</v>
      </c>
    </row>
    <row r="19" spans="1:7" x14ac:dyDescent="0.25">
      <c r="A19" s="87">
        <v>42091</v>
      </c>
      <c r="B19" s="53">
        <v>3</v>
      </c>
      <c r="C19" s="54">
        <v>10.50100870815632</v>
      </c>
      <c r="D19" s="54">
        <v>3.5003362360521066</v>
      </c>
      <c r="E19" s="54">
        <v>5.1006883932327163E-3</v>
      </c>
    </row>
    <row r="20" spans="1:7" x14ac:dyDescent="0.25">
      <c r="A20" s="87">
        <v>42092</v>
      </c>
      <c r="B20" s="53">
        <v>3</v>
      </c>
      <c r="C20" s="54">
        <v>10.593726114421036</v>
      </c>
      <c r="D20" s="54">
        <v>3.5312420381403453</v>
      </c>
      <c r="E20" s="54">
        <v>2.5162043859220853E-3</v>
      </c>
    </row>
    <row r="21" spans="1:7" x14ac:dyDescent="0.25">
      <c r="A21" s="87">
        <v>42093</v>
      </c>
      <c r="B21" s="53">
        <v>3</v>
      </c>
      <c r="C21" s="54">
        <v>11.035965674719455</v>
      </c>
      <c r="D21" s="54">
        <v>3.678655224906485</v>
      </c>
      <c r="E21" s="54">
        <v>1.0250887224587661E-2</v>
      </c>
    </row>
    <row r="22" spans="1:7" ht="15.75" thickBot="1" x14ac:dyDescent="0.3">
      <c r="A22" s="88">
        <v>42094</v>
      </c>
      <c r="B22" s="56">
        <v>2</v>
      </c>
      <c r="C22" s="57">
        <v>7.1992092993025674</v>
      </c>
      <c r="D22" s="57">
        <v>3.5996046496512837</v>
      </c>
      <c r="E22" s="57">
        <v>1.9012841845730275E-3</v>
      </c>
    </row>
    <row r="23" spans="1:7" x14ac:dyDescent="0.25">
      <c r="C23" s="3" t="s">
        <v>45</v>
      </c>
      <c r="D23" s="19">
        <f>AVERAGE(D13:D22)</f>
        <v>3.4818491875029642</v>
      </c>
      <c r="E23" s="3"/>
    </row>
    <row r="25" spans="1:7" ht="15.75" thickBot="1" x14ac:dyDescent="0.3">
      <c r="A25" t="s">
        <v>38</v>
      </c>
    </row>
    <row r="26" spans="1:7" x14ac:dyDescent="0.25">
      <c r="A26" s="23" t="s">
        <v>47</v>
      </c>
      <c r="B26" s="23" t="s">
        <v>48</v>
      </c>
      <c r="C26" s="23" t="s">
        <v>49</v>
      </c>
      <c r="D26" s="23" t="s">
        <v>50</v>
      </c>
      <c r="E26" s="23" t="s">
        <v>39</v>
      </c>
      <c r="F26" s="23" t="s">
        <v>51</v>
      </c>
      <c r="G26" s="23" t="s">
        <v>52</v>
      </c>
    </row>
    <row r="27" spans="1:7" x14ac:dyDescent="0.25">
      <c r="A27" s="83" t="s">
        <v>53</v>
      </c>
      <c r="B27" s="89">
        <v>0.35955772363092009</v>
      </c>
      <c r="C27" s="53">
        <v>9</v>
      </c>
      <c r="D27" s="90">
        <v>3.9950858181213342E-2</v>
      </c>
      <c r="E27" s="90">
        <v>11.230148893200191</v>
      </c>
      <c r="F27" s="90">
        <v>6.814111940196661E-6</v>
      </c>
      <c r="G27" s="90">
        <v>2.4226989371239691</v>
      </c>
    </row>
    <row r="28" spans="1:7" x14ac:dyDescent="0.25">
      <c r="A28" s="83" t="s">
        <v>54</v>
      </c>
      <c r="B28" s="89">
        <v>6.7591829161113351E-2</v>
      </c>
      <c r="C28" s="53">
        <v>19</v>
      </c>
      <c r="D28" s="90">
        <v>3.5574646926901763E-3</v>
      </c>
      <c r="E28" s="90"/>
      <c r="F28" s="90"/>
      <c r="G28" s="90"/>
    </row>
    <row r="29" spans="1:7" x14ac:dyDescent="0.25">
      <c r="A29" s="83"/>
      <c r="B29" s="83"/>
      <c r="C29" s="83"/>
      <c r="D29" s="83"/>
      <c r="E29" s="83"/>
      <c r="F29" s="83"/>
      <c r="G29" s="83"/>
    </row>
    <row r="30" spans="1:7" ht="15.75" thickBot="1" x14ac:dyDescent="0.3">
      <c r="A30" s="84" t="s">
        <v>55</v>
      </c>
      <c r="B30" s="84">
        <v>0.42714955279203343</v>
      </c>
      <c r="C30" s="84">
        <v>28</v>
      </c>
      <c r="D30" s="84"/>
      <c r="E30" s="84"/>
      <c r="F30" s="84"/>
      <c r="G30" s="84"/>
    </row>
    <row r="31" spans="1:7" x14ac:dyDescent="0.25">
      <c r="C31" t="s">
        <v>87</v>
      </c>
    </row>
    <row r="32" spans="1:7" x14ac:dyDescent="0.25">
      <c r="A32" t="s">
        <v>36</v>
      </c>
      <c r="C32" s="1" t="s">
        <v>66</v>
      </c>
      <c r="D32" s="3">
        <f>SQRT(D28)</f>
        <v>5.9644485853179892E-2</v>
      </c>
    </row>
    <row r="33" spans="1:4" x14ac:dyDescent="0.25">
      <c r="C33" s="1" t="s">
        <v>67</v>
      </c>
      <c r="D33" s="3">
        <f>SQRT((D27-D28)/3)</f>
        <v>0.11014141438551193</v>
      </c>
    </row>
    <row r="34" spans="1:4" x14ac:dyDescent="0.25">
      <c r="A34" t="s">
        <v>63</v>
      </c>
      <c r="C34" s="1" t="s">
        <v>65</v>
      </c>
      <c r="D34" s="19">
        <f>SQRT(D32^2+D33^2)</f>
        <v>0.12525412510385131</v>
      </c>
    </row>
    <row r="36" spans="1:4" x14ac:dyDescent="0.25">
      <c r="A36" t="s">
        <v>94</v>
      </c>
      <c r="D36" s="3">
        <f>2*D34</f>
        <v>0.25050825020770262</v>
      </c>
    </row>
    <row r="37" spans="1:4" x14ac:dyDescent="0.25">
      <c r="D37" s="78">
        <f>D36/D23</f>
        <v>7.1946898535073134E-2</v>
      </c>
    </row>
    <row r="39" spans="1:4" x14ac:dyDescent="0.25">
      <c r="A39" t="s">
        <v>83</v>
      </c>
      <c r="B39" t="s">
        <v>84</v>
      </c>
    </row>
    <row r="40" spans="1:4" x14ac:dyDescent="0.25">
      <c r="A40" t="s">
        <v>85</v>
      </c>
      <c r="B40" t="s">
        <v>86</v>
      </c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9" topLeftCell="A10" activePane="bottomLeft" state="frozen"/>
      <selection pane="bottomLeft" activeCell="J17" sqref="J17"/>
    </sheetView>
  </sheetViews>
  <sheetFormatPr defaultColWidth="13.42578125" defaultRowHeight="15" x14ac:dyDescent="0.25"/>
  <cols>
    <col min="1" max="1" width="17.7109375" style="1" customWidth="1"/>
    <col min="2" max="2" width="27.140625" style="1" bestFit="1" customWidth="1"/>
    <col min="3" max="3" width="13.42578125" style="2"/>
    <col min="4" max="4" width="15.140625" style="1" customWidth="1"/>
    <col min="5" max="5" width="16.42578125" style="1" bestFit="1" customWidth="1"/>
    <col min="6" max="6" width="13.42578125" style="13"/>
    <col min="7" max="7" width="10.42578125" style="15" customWidth="1"/>
    <col min="8" max="8" width="7.42578125" style="6" customWidth="1"/>
    <col min="9" max="9" width="13.42578125" style="5"/>
    <col min="10" max="12" width="13.42578125" style="3"/>
    <col min="13" max="13" width="31.85546875" customWidth="1"/>
  </cols>
  <sheetData>
    <row r="1" spans="1:12" x14ac:dyDescent="0.25">
      <c r="C1" s="3"/>
    </row>
    <row r="2" spans="1:12" x14ac:dyDescent="0.25">
      <c r="B2" s="1" t="s">
        <v>10</v>
      </c>
      <c r="C2" s="3">
        <f>SUBTOTAL(1,J10:J276)/SQRT(SUBTOTAL(1,H10:H276))</f>
        <v>7.8865468086092152</v>
      </c>
    </row>
    <row r="3" spans="1:12" x14ac:dyDescent="0.25">
      <c r="B3" s="1" t="s">
        <v>13</v>
      </c>
      <c r="C3" s="3">
        <f>SUBTOTAL(1, L10:L276)</f>
        <v>-9.336099585062243</v>
      </c>
    </row>
    <row r="4" spans="1:12" x14ac:dyDescent="0.25">
      <c r="B4" s="1" t="s">
        <v>11</v>
      </c>
      <c r="C4" s="3">
        <f>SUBTOTAL(7,L10:L276)</f>
        <v>3.1905718878069966</v>
      </c>
    </row>
    <row r="5" spans="1:12" x14ac:dyDescent="0.25">
      <c r="B5" s="1" t="s">
        <v>12</v>
      </c>
      <c r="C5" s="3">
        <f>SQRT(C4^2+C2^2)</f>
        <v>8.5074890264782894</v>
      </c>
    </row>
    <row r="6" spans="1:12" x14ac:dyDescent="0.25">
      <c r="B6" s="1" t="s">
        <v>14</v>
      </c>
      <c r="C6" s="4" t="str">
        <f>IF(2*C5&lt;ABS(C3),"Significant","Insignificant")</f>
        <v>Insignificant</v>
      </c>
    </row>
    <row r="7" spans="1:12" x14ac:dyDescent="0.25">
      <c r="B7" s="72" t="s">
        <v>89</v>
      </c>
      <c r="C7" s="73" t="s">
        <v>74</v>
      </c>
    </row>
    <row r="8" spans="1:12" x14ac:dyDescent="0.25">
      <c r="B8" s="72" t="s">
        <v>90</v>
      </c>
      <c r="C8" s="74" t="s">
        <v>75</v>
      </c>
    </row>
    <row r="9" spans="1:12" s="12" customFormat="1" ht="41.25" customHeight="1" x14ac:dyDescent="0.25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12" x14ac:dyDescent="0.25">
      <c r="A10" s="1" t="s">
        <v>93</v>
      </c>
      <c r="B10" s="1" t="s">
        <v>60</v>
      </c>
      <c r="D10" s="1" t="s">
        <v>88</v>
      </c>
      <c r="E10" s="1" t="s">
        <v>61</v>
      </c>
      <c r="F10" s="13">
        <v>4.82</v>
      </c>
      <c r="G10" s="13">
        <v>0.85</v>
      </c>
      <c r="H10" s="6">
        <v>5</v>
      </c>
      <c r="I10" s="5">
        <v>4.49</v>
      </c>
      <c r="J10" s="3">
        <f t="shared" ref="J10:J13" si="0">G10*100/F10</f>
        <v>17.63485477178423</v>
      </c>
      <c r="K10" s="3">
        <f t="shared" ref="K10:K13" si="1">I10-F10</f>
        <v>-0.33000000000000007</v>
      </c>
      <c r="L10" s="3">
        <f t="shared" ref="L10:L13" si="2">K10*100/F10</f>
        <v>-6.8464730290456446</v>
      </c>
    </row>
    <row r="11" spans="1:12" x14ac:dyDescent="0.25">
      <c r="A11" s="1" t="s">
        <v>93</v>
      </c>
      <c r="B11" s="1" t="s">
        <v>60</v>
      </c>
      <c r="D11" s="1" t="s">
        <v>88</v>
      </c>
      <c r="E11" s="1" t="s">
        <v>61</v>
      </c>
      <c r="F11" s="13">
        <v>4.82</v>
      </c>
      <c r="G11" s="13">
        <v>0.85</v>
      </c>
      <c r="H11" s="6">
        <v>5</v>
      </c>
      <c r="I11" s="85">
        <v>4.5</v>
      </c>
      <c r="J11" s="3">
        <f t="shared" si="0"/>
        <v>17.63485477178423</v>
      </c>
      <c r="K11" s="3">
        <f t="shared" si="1"/>
        <v>-0.32000000000000028</v>
      </c>
      <c r="L11" s="3">
        <f t="shared" si="2"/>
        <v>-6.6390041493775991</v>
      </c>
    </row>
    <row r="12" spans="1:12" x14ac:dyDescent="0.25">
      <c r="A12" s="1" t="s">
        <v>93</v>
      </c>
      <c r="B12" s="1" t="s">
        <v>60</v>
      </c>
      <c r="D12" s="1" t="s">
        <v>88</v>
      </c>
      <c r="E12" s="1" t="s">
        <v>61</v>
      </c>
      <c r="F12" s="13">
        <v>4.82</v>
      </c>
      <c r="G12" s="13">
        <v>0.85</v>
      </c>
      <c r="H12" s="6">
        <v>5</v>
      </c>
      <c r="I12" s="5">
        <v>4.2699999999999996</v>
      </c>
      <c r="J12" s="3">
        <f t="shared" si="0"/>
        <v>17.63485477178423</v>
      </c>
      <c r="K12" s="3">
        <f t="shared" si="1"/>
        <v>-0.55000000000000071</v>
      </c>
      <c r="L12" s="3">
        <f t="shared" si="2"/>
        <v>-11.410788381742753</v>
      </c>
    </row>
    <row r="13" spans="1:12" x14ac:dyDescent="0.25">
      <c r="A13" s="1" t="s">
        <v>93</v>
      </c>
      <c r="B13" s="1" t="s">
        <v>60</v>
      </c>
      <c r="D13" s="1" t="s">
        <v>88</v>
      </c>
      <c r="E13" s="1" t="s">
        <v>61</v>
      </c>
      <c r="F13" s="13">
        <v>4.82</v>
      </c>
      <c r="G13" s="13">
        <v>0.85</v>
      </c>
      <c r="H13" s="6">
        <v>5</v>
      </c>
      <c r="I13" s="5">
        <v>4.1500000000000004</v>
      </c>
      <c r="J13" s="3">
        <f t="shared" si="0"/>
        <v>17.63485477178423</v>
      </c>
      <c r="K13" s="3">
        <f t="shared" si="1"/>
        <v>-0.66999999999999993</v>
      </c>
      <c r="L13" s="3">
        <f t="shared" si="2"/>
        <v>-13.900414937759335</v>
      </c>
    </row>
    <row r="14" spans="1:12" x14ac:dyDescent="0.25">
      <c r="A14" s="1" t="s">
        <v>93</v>
      </c>
      <c r="B14" s="1" t="s">
        <v>60</v>
      </c>
      <c r="D14" s="1" t="s">
        <v>88</v>
      </c>
      <c r="E14" s="1" t="s">
        <v>61</v>
      </c>
      <c r="F14" s="13">
        <v>4.82</v>
      </c>
      <c r="G14" s="13">
        <v>0.85</v>
      </c>
      <c r="H14" s="6">
        <v>5</v>
      </c>
      <c r="I14" s="5">
        <v>4.4400000000000004</v>
      </c>
      <c r="J14" s="3">
        <f t="shared" ref="J14" si="3">G14*100/F14</f>
        <v>17.63485477178423</v>
      </c>
      <c r="K14" s="3">
        <f t="shared" ref="K14" si="4">I14-F14</f>
        <v>-0.37999999999999989</v>
      </c>
      <c r="L14" s="3">
        <f t="shared" ref="L14" si="5">K14*100/F14</f>
        <v>-7.883817427385889</v>
      </c>
    </row>
    <row r="16" spans="1:12" x14ac:dyDescent="0.25">
      <c r="I16" s="5">
        <f>AVERAGE(I10:I14)</f>
        <v>4.37</v>
      </c>
    </row>
    <row r="17" spans="6:9" x14ac:dyDescent="0.25">
      <c r="I17" s="85">
        <f>STDEVA(I10:I14)</f>
        <v>0.15378556499229701</v>
      </c>
    </row>
    <row r="18" spans="6:9" x14ac:dyDescent="0.25">
      <c r="I18" s="93">
        <f>I17/I16</f>
        <v>3.5191204803729288E-2</v>
      </c>
    </row>
    <row r="27" spans="6:9" x14ac:dyDescent="0.25">
      <c r="F27" s="22"/>
      <c r="G27" s="22"/>
    </row>
    <row r="28" spans="6:9" x14ac:dyDescent="0.25">
      <c r="F28" s="22"/>
      <c r="G28" s="22"/>
    </row>
    <row r="29" spans="6:9" x14ac:dyDescent="0.25">
      <c r="F29" s="22"/>
      <c r="G29" s="22"/>
    </row>
    <row r="30" spans="6:9" x14ac:dyDescent="0.25">
      <c r="F30" s="22"/>
      <c r="G30" s="22"/>
    </row>
  </sheetData>
  <autoFilter ref="A9:L275">
    <sortState ref="A10:L43">
      <sortCondition ref="K9:K288"/>
    </sortState>
  </autoFilter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7" sqref="Q17"/>
    </sheetView>
  </sheetViews>
  <sheetFormatPr defaultColWidth="8.85546875"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1.02</v>
      </c>
    </row>
    <row r="4" spans="1:2" x14ac:dyDescent="0.25">
      <c r="A4">
        <v>2</v>
      </c>
      <c r="B4">
        <v>2.0299999999999998</v>
      </c>
    </row>
    <row r="5" spans="1:2" x14ac:dyDescent="0.25">
      <c r="A5">
        <v>4</v>
      </c>
      <c r="B5">
        <v>4.0999999999999996</v>
      </c>
    </row>
    <row r="6" spans="1:2" x14ac:dyDescent="0.25">
      <c r="A6">
        <v>6</v>
      </c>
      <c r="B6">
        <v>6.1</v>
      </c>
    </row>
    <row r="7" spans="1:2" x14ac:dyDescent="0.25">
      <c r="A7">
        <v>10</v>
      </c>
      <c r="B7">
        <v>10.050000000000001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" sqref="J8"/>
    </sheetView>
  </sheetViews>
  <sheetFormatPr defaultColWidth="11.42578125" defaultRowHeight="15" x14ac:dyDescent="0.25"/>
  <sheetData>
    <row r="1" spans="1:5" x14ac:dyDescent="0.25">
      <c r="A1" s="24" t="s">
        <v>4</v>
      </c>
      <c r="B1" s="25">
        <f>STDEV(B6:B15)</f>
        <v>4.0221608343995628E-3</v>
      </c>
      <c r="C1" s="25" t="e">
        <f t="shared" ref="C1:E1" si="0">STDEV(C6:C15)</f>
        <v>#DIV/0!</v>
      </c>
      <c r="D1" s="25" t="e">
        <f t="shared" si="0"/>
        <v>#DIV/0!</v>
      </c>
      <c r="E1" s="25" t="e">
        <f t="shared" si="0"/>
        <v>#DIV/0!</v>
      </c>
    </row>
    <row r="2" spans="1:5" x14ac:dyDescent="0.25">
      <c r="A2" s="24" t="s">
        <v>34</v>
      </c>
      <c r="B2" s="25">
        <f>3*B1</f>
        <v>1.2066482503198687E-2</v>
      </c>
      <c r="C2" s="25" t="e">
        <f t="shared" ref="C2:E2" si="1">3*C1</f>
        <v>#DIV/0!</v>
      </c>
      <c r="D2" s="25" t="e">
        <f t="shared" si="1"/>
        <v>#DIV/0!</v>
      </c>
      <c r="E2" s="25" t="e">
        <f t="shared" si="1"/>
        <v>#DIV/0!</v>
      </c>
    </row>
    <row r="3" spans="1:5" x14ac:dyDescent="0.25">
      <c r="A3" s="24" t="s">
        <v>35</v>
      </c>
      <c r="B3" s="25">
        <f>10*B1</f>
        <v>4.022160834399563E-2</v>
      </c>
      <c r="C3" s="25" t="e">
        <f t="shared" ref="C3:E3" si="2">10*C1</f>
        <v>#DIV/0!</v>
      </c>
      <c r="D3" s="25" t="e">
        <f t="shared" si="2"/>
        <v>#DIV/0!</v>
      </c>
      <c r="E3" s="25" t="e">
        <f t="shared" si="2"/>
        <v>#DIV/0!</v>
      </c>
    </row>
    <row r="5" spans="1:5" x14ac:dyDescent="0.25">
      <c r="A5" t="s">
        <v>59</v>
      </c>
      <c r="B5">
        <v>1</v>
      </c>
      <c r="C5">
        <v>2</v>
      </c>
      <c r="D5">
        <v>3</v>
      </c>
      <c r="E5">
        <v>4</v>
      </c>
    </row>
    <row r="6" spans="1:5" x14ac:dyDescent="0.25">
      <c r="A6">
        <v>1</v>
      </c>
      <c r="B6" s="25">
        <v>0.01</v>
      </c>
      <c r="C6" s="25"/>
      <c r="D6" s="25"/>
      <c r="E6" s="25"/>
    </row>
    <row r="7" spans="1:5" x14ac:dyDescent="0.25">
      <c r="A7">
        <v>2</v>
      </c>
      <c r="B7" s="25">
        <v>0.02</v>
      </c>
      <c r="C7" s="25"/>
      <c r="D7" s="25"/>
      <c r="E7" s="25"/>
    </row>
    <row r="8" spans="1:5" x14ac:dyDescent="0.25">
      <c r="A8">
        <v>3</v>
      </c>
      <c r="B8" s="25">
        <v>0.01</v>
      </c>
      <c r="C8" s="25"/>
      <c r="D8" s="25"/>
      <c r="E8" s="25"/>
    </row>
    <row r="9" spans="1:5" x14ac:dyDescent="0.25">
      <c r="A9">
        <v>4</v>
      </c>
      <c r="B9" s="25">
        <v>1.4999999999999999E-2</v>
      </c>
      <c r="C9" s="25"/>
      <c r="D9" s="25"/>
      <c r="E9" s="25"/>
    </row>
    <row r="10" spans="1:5" x14ac:dyDescent="0.25">
      <c r="A10">
        <v>5</v>
      </c>
      <c r="B10" s="25">
        <v>1.4E-2</v>
      </c>
      <c r="C10" s="25"/>
      <c r="D10" s="25"/>
      <c r="E10" s="25"/>
    </row>
    <row r="11" spans="1:5" x14ac:dyDescent="0.25">
      <c r="A11">
        <v>6</v>
      </c>
      <c r="B11" s="25">
        <v>0.01</v>
      </c>
      <c r="C11" s="25"/>
      <c r="D11" s="25"/>
      <c r="E11" s="25"/>
    </row>
    <row r="12" spans="1:5" x14ac:dyDescent="0.25">
      <c r="A12">
        <v>7</v>
      </c>
      <c r="B12" s="25">
        <v>1.0999999999999999E-2</v>
      </c>
      <c r="C12" s="25"/>
      <c r="D12" s="25"/>
      <c r="E12" s="25"/>
    </row>
    <row r="13" spans="1:5" x14ac:dyDescent="0.25">
      <c r="A13">
        <v>8</v>
      </c>
      <c r="B13" s="25">
        <v>0.02</v>
      </c>
      <c r="C13" s="25"/>
      <c r="D13" s="25"/>
      <c r="E13" s="25"/>
    </row>
    <row r="14" spans="1:5" x14ac:dyDescent="0.25">
      <c r="A14">
        <v>9</v>
      </c>
      <c r="B14" s="25">
        <v>1.4E-2</v>
      </c>
      <c r="C14" s="25"/>
      <c r="D14" s="25"/>
      <c r="E14" s="25"/>
    </row>
    <row r="15" spans="1:5" x14ac:dyDescent="0.25">
      <c r="A15">
        <v>10</v>
      </c>
      <c r="B15" s="25">
        <v>1.7999999999999999E-2</v>
      </c>
      <c r="C15" s="25"/>
      <c r="D15" s="25"/>
      <c r="E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9" sqref="F9"/>
    </sheetView>
  </sheetViews>
  <sheetFormatPr defaultRowHeight="15" x14ac:dyDescent="0.25"/>
  <sheetData>
    <row r="1" spans="1:10" x14ac:dyDescent="0.25">
      <c r="A1" s="82">
        <v>42059</v>
      </c>
      <c r="B1" s="82">
        <v>42060</v>
      </c>
      <c r="C1" s="82">
        <v>42061</v>
      </c>
      <c r="D1" s="82">
        <v>42062</v>
      </c>
      <c r="E1" s="79">
        <v>42089</v>
      </c>
      <c r="F1" s="79">
        <v>42090</v>
      </c>
      <c r="G1" s="79">
        <v>42091</v>
      </c>
      <c r="H1" s="79">
        <v>42092</v>
      </c>
      <c r="I1" s="79">
        <v>42093</v>
      </c>
      <c r="J1" s="79">
        <v>42094</v>
      </c>
    </row>
    <row r="2" spans="1:10" x14ac:dyDescent="0.25">
      <c r="A2" s="80">
        <v>3.4573704402754433</v>
      </c>
      <c r="B2" s="80">
        <v>3.4019028745696245</v>
      </c>
      <c r="C2" s="80">
        <v>3.63367088306943</v>
      </c>
      <c r="D2" s="80">
        <v>3.4224800415711898</v>
      </c>
      <c r="E2" s="80">
        <v>3.3650759399075199</v>
      </c>
      <c r="F2" s="80">
        <v>3.3587139047419092</v>
      </c>
      <c r="G2" s="80">
        <v>3.5755864105890232</v>
      </c>
      <c r="H2" s="80">
        <v>3.4909142866884944</v>
      </c>
      <c r="I2" s="80">
        <v>3.6914739249581641</v>
      </c>
    </row>
    <row r="3" spans="1:10" x14ac:dyDescent="0.25">
      <c r="A3" s="80">
        <v>3.382560312483204</v>
      </c>
      <c r="B3" s="80">
        <v>3.4582091490633258</v>
      </c>
      <c r="C3" s="80">
        <v>3.582930096944235</v>
      </c>
      <c r="D3" s="80">
        <v>3.4630937487118096</v>
      </c>
      <c r="E3" s="80">
        <v>3.255363408675839</v>
      </c>
      <c r="F3" s="80">
        <v>3.3553588597259627</v>
      </c>
      <c r="G3" s="80">
        <v>3.4919300949890721</v>
      </c>
      <c r="H3" s="80">
        <v>3.5153995431376024</v>
      </c>
      <c r="I3" s="80">
        <v>3.5716096591264428</v>
      </c>
      <c r="J3" s="80">
        <v>3.5687721652835505</v>
      </c>
    </row>
    <row r="4" spans="1:10" x14ac:dyDescent="0.25">
      <c r="A4" s="80">
        <v>3.4541748625412989</v>
      </c>
      <c r="B4" s="80">
        <v>3.3727739359849185</v>
      </c>
      <c r="C4" s="80">
        <v>3.4949151609648754</v>
      </c>
      <c r="D4" s="80">
        <v>3.4441859051809827</v>
      </c>
      <c r="E4" s="80">
        <v>3.2254444280618744</v>
      </c>
      <c r="F4" s="80">
        <v>3.3977372263648293</v>
      </c>
      <c r="G4" s="80">
        <v>3.4334922025782251</v>
      </c>
      <c r="H4" s="80">
        <v>3.5874122845949405</v>
      </c>
      <c r="I4" s="80">
        <v>3.7728820906348486</v>
      </c>
      <c r="J4" s="80">
        <v>3.6304371340190169</v>
      </c>
    </row>
    <row r="5" spans="1:10" x14ac:dyDescent="0.25">
      <c r="A5" s="81">
        <v>3.5022000000000002</v>
      </c>
      <c r="B5" s="81">
        <v>3.5022000000000002</v>
      </c>
      <c r="C5" s="81">
        <v>3.5022000000000002</v>
      </c>
      <c r="D5" s="81">
        <v>3.5022000000000002</v>
      </c>
      <c r="E5" s="81">
        <v>3.5022000000000002</v>
      </c>
      <c r="F5" s="81">
        <v>3.5022000000000002</v>
      </c>
      <c r="G5" s="81">
        <v>3.5022000000000002</v>
      </c>
      <c r="H5" s="81">
        <v>3.5022000000000002</v>
      </c>
      <c r="I5" s="81">
        <v>3.5022000000000002</v>
      </c>
      <c r="J5" s="81">
        <v>3.5022000000000002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31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18.28515625" customWidth="1"/>
    <col min="3" max="3" width="25.42578125" customWidth="1"/>
    <col min="4" max="4" width="25.140625" customWidth="1"/>
    <col min="6" max="7" width="19.140625" bestFit="1" customWidth="1"/>
    <col min="8" max="8" width="12.28515625" customWidth="1"/>
    <col min="9" max="9" width="11.42578125" customWidth="1"/>
    <col min="10" max="10" width="9.5703125" bestFit="1" customWidth="1"/>
    <col min="11" max="11" width="10.42578125" customWidth="1"/>
    <col min="12" max="12" width="11.28515625" customWidth="1"/>
    <col min="13" max="13" width="10.5703125" customWidth="1"/>
    <col min="15" max="15" width="12.42578125" customWidth="1"/>
  </cols>
  <sheetData>
    <row r="1" spans="1:15" ht="18.75" x14ac:dyDescent="0.25">
      <c r="A1" s="94" t="s">
        <v>68</v>
      </c>
      <c r="B1" s="103"/>
      <c r="C1" s="103"/>
      <c r="D1" s="104"/>
    </row>
    <row r="2" spans="1:15" ht="32.25" thickBot="1" x14ac:dyDescent="0.3">
      <c r="A2" s="35" t="s">
        <v>2</v>
      </c>
      <c r="B2" s="36" t="s">
        <v>69</v>
      </c>
      <c r="C2" s="36" t="s">
        <v>70</v>
      </c>
      <c r="D2" s="37" t="s">
        <v>71</v>
      </c>
    </row>
    <row r="3" spans="1:15" x14ac:dyDescent="0.25">
      <c r="A3" s="99">
        <v>42340</v>
      </c>
      <c r="B3" s="38">
        <v>10.491347565821048</v>
      </c>
      <c r="C3" s="39">
        <v>33.39</v>
      </c>
      <c r="D3" s="40">
        <v>43.881347565821045</v>
      </c>
      <c r="F3" s="41"/>
    </row>
    <row r="4" spans="1:15" x14ac:dyDescent="0.25">
      <c r="A4" s="105"/>
      <c r="B4" s="33">
        <v>9.1591386636648959</v>
      </c>
      <c r="C4" s="42">
        <v>38.11</v>
      </c>
      <c r="D4" s="43">
        <v>47.269138663664897</v>
      </c>
      <c r="F4" s="44"/>
    </row>
    <row r="5" spans="1:15" ht="15.75" thickBot="1" x14ac:dyDescent="0.3">
      <c r="A5" s="105"/>
      <c r="B5" s="33">
        <v>9.4486190491380064</v>
      </c>
      <c r="C5" s="45"/>
      <c r="D5" s="43"/>
      <c r="F5" s="44"/>
    </row>
    <row r="6" spans="1:15" ht="19.5" thickBot="1" x14ac:dyDescent="0.3">
      <c r="A6" s="106"/>
      <c r="B6" s="46">
        <v>9.3861468844811178</v>
      </c>
      <c r="C6" s="47"/>
      <c r="D6" s="48"/>
      <c r="F6" s="49"/>
      <c r="G6" s="94" t="s">
        <v>68</v>
      </c>
      <c r="H6" s="103"/>
      <c r="I6" s="103"/>
      <c r="J6" s="104"/>
    </row>
    <row r="7" spans="1:15" x14ac:dyDescent="0.25">
      <c r="A7" s="102">
        <v>42346</v>
      </c>
      <c r="B7" s="33">
        <v>8.3694255368961628</v>
      </c>
      <c r="C7" s="42">
        <v>31.17</v>
      </c>
      <c r="D7" s="33">
        <f t="shared" ref="D7:D41" si="0">SUM(B7,C7)</f>
        <v>39.539425536896161</v>
      </c>
    </row>
    <row r="8" spans="1:15" x14ac:dyDescent="0.25">
      <c r="A8" s="102"/>
      <c r="B8" s="33">
        <v>7.8145464957759758</v>
      </c>
      <c r="C8" s="42">
        <v>34.53</v>
      </c>
      <c r="D8" s="33">
        <f t="shared" si="0"/>
        <v>42.34454649577598</v>
      </c>
      <c r="F8" s="26">
        <v>42340</v>
      </c>
      <c r="G8" s="26">
        <v>42346</v>
      </c>
      <c r="H8" s="26">
        <v>42359</v>
      </c>
      <c r="I8" s="26">
        <v>42360</v>
      </c>
      <c r="J8" s="26">
        <v>42381</v>
      </c>
      <c r="K8" s="26">
        <v>42387</v>
      </c>
      <c r="L8" s="26">
        <v>42389</v>
      </c>
      <c r="M8" s="26">
        <v>42402</v>
      </c>
      <c r="N8" s="26">
        <v>42409</v>
      </c>
      <c r="O8" s="26">
        <v>42416</v>
      </c>
    </row>
    <row r="9" spans="1:15" ht="15.75" thickBot="1" x14ac:dyDescent="0.3">
      <c r="A9" s="102"/>
      <c r="B9" s="33">
        <v>8.4619053770828607</v>
      </c>
      <c r="C9" s="42">
        <v>30.16</v>
      </c>
      <c r="D9" s="33">
        <f t="shared" si="0"/>
        <v>38.621905377082861</v>
      </c>
      <c r="F9" s="27">
        <v>43.881347565821045</v>
      </c>
      <c r="G9" s="27">
        <v>39.539425536896161</v>
      </c>
      <c r="H9" s="28">
        <v>36.237648071114748</v>
      </c>
      <c r="I9" s="28">
        <v>42.564159311171906</v>
      </c>
      <c r="J9" s="28">
        <v>42.825755350584352</v>
      </c>
      <c r="K9" s="28">
        <v>43.489910626646136</v>
      </c>
      <c r="L9" s="28">
        <v>42.245226570274802</v>
      </c>
      <c r="M9" s="30">
        <v>41.621663534628027</v>
      </c>
      <c r="N9" s="30">
        <v>41.235720588416974</v>
      </c>
      <c r="O9" s="30">
        <v>39.182661208180619</v>
      </c>
    </row>
    <row r="10" spans="1:15" x14ac:dyDescent="0.25">
      <c r="A10" s="99">
        <v>42359</v>
      </c>
      <c r="B10" s="33">
        <v>7.5776480711147469</v>
      </c>
      <c r="C10" s="42">
        <v>28.66</v>
      </c>
      <c r="D10" s="33">
        <f t="shared" si="0"/>
        <v>36.237648071114748</v>
      </c>
      <c r="F10" s="27">
        <v>47.269138663664897</v>
      </c>
      <c r="G10" s="27">
        <v>42.34454649577598</v>
      </c>
      <c r="H10" s="28">
        <v>39.57791925746541</v>
      </c>
      <c r="I10" s="28">
        <v>42.89388655867252</v>
      </c>
      <c r="J10" s="28">
        <v>43.14527419969572</v>
      </c>
      <c r="K10" s="28">
        <v>43.93760033482458</v>
      </c>
      <c r="L10" s="28">
        <v>44.696836922276937</v>
      </c>
      <c r="M10" s="30">
        <v>43.094272386912074</v>
      </c>
      <c r="N10" s="30">
        <v>42.924841324788751</v>
      </c>
      <c r="O10" s="30">
        <v>39.755160409039966</v>
      </c>
    </row>
    <row r="11" spans="1:15" x14ac:dyDescent="0.25">
      <c r="A11" s="100"/>
      <c r="B11" s="33">
        <v>8.0179192574654152</v>
      </c>
      <c r="C11" s="42">
        <v>31.56</v>
      </c>
      <c r="D11" s="33">
        <f t="shared" si="0"/>
        <v>39.57791925746541</v>
      </c>
      <c r="F11" s="29"/>
      <c r="G11" s="27">
        <v>38.621905377082861</v>
      </c>
      <c r="H11" s="28">
        <v>39.636820271391493</v>
      </c>
      <c r="I11" s="28">
        <v>42.976386414597869</v>
      </c>
      <c r="J11" s="28">
        <v>42.586922417355439</v>
      </c>
      <c r="K11" s="28">
        <v>44.544701144527608</v>
      </c>
      <c r="L11" s="28">
        <v>41.768357526825767</v>
      </c>
      <c r="M11" s="30">
        <v>42.311428226374503</v>
      </c>
      <c r="N11" s="30">
        <v>41.63439477151546</v>
      </c>
      <c r="O11" s="30">
        <v>39.199056461506459</v>
      </c>
    </row>
    <row r="12" spans="1:15" x14ac:dyDescent="0.25">
      <c r="A12" s="100"/>
      <c r="B12" s="33">
        <v>7.4968202713914902</v>
      </c>
      <c r="C12" s="42">
        <v>32.14</v>
      </c>
      <c r="D12" s="33">
        <f t="shared" si="0"/>
        <v>39.636820271391493</v>
      </c>
      <c r="F12" s="29"/>
      <c r="G12" s="29"/>
      <c r="H12" s="28">
        <v>38.187340989993999</v>
      </c>
      <c r="I12" s="28">
        <v>42.11857947370509</v>
      </c>
      <c r="J12" s="28">
        <v>42.948664943898919</v>
      </c>
      <c r="K12" s="28">
        <v>44.286133886229102</v>
      </c>
      <c r="L12" s="28">
        <v>40.918490355910102</v>
      </c>
      <c r="M12" s="30">
        <v>42.440557398363708</v>
      </c>
      <c r="N12" s="30">
        <v>44.038644627058034</v>
      </c>
      <c r="O12" s="30">
        <v>38.781749115032831</v>
      </c>
    </row>
    <row r="13" spans="1:15" ht="15.75" thickBot="1" x14ac:dyDescent="0.3">
      <c r="A13" s="101"/>
      <c r="B13" s="33">
        <v>6.4373409899939968</v>
      </c>
      <c r="C13" s="42">
        <v>31.75</v>
      </c>
      <c r="D13" s="33">
        <f t="shared" si="0"/>
        <v>38.187340989993999</v>
      </c>
    </row>
    <row r="14" spans="1:15" x14ac:dyDescent="0.25">
      <c r="A14" s="102">
        <v>42360</v>
      </c>
      <c r="B14" s="50">
        <v>11.404159311171908</v>
      </c>
      <c r="C14" s="51">
        <v>31.16</v>
      </c>
      <c r="D14" s="50">
        <f t="shared" si="0"/>
        <v>42.564159311171906</v>
      </c>
    </row>
    <row r="15" spans="1:15" x14ac:dyDescent="0.25">
      <c r="A15" s="100"/>
      <c r="B15" s="50">
        <v>11.723886558672518</v>
      </c>
      <c r="C15" s="51">
        <v>31.17</v>
      </c>
      <c r="D15" s="50">
        <f t="shared" si="0"/>
        <v>42.89388655867252</v>
      </c>
    </row>
    <row r="16" spans="1:15" x14ac:dyDescent="0.25">
      <c r="A16" s="100"/>
      <c r="B16" s="50">
        <v>11.196386414597864</v>
      </c>
      <c r="C16" s="51">
        <v>31.78</v>
      </c>
      <c r="D16" s="50">
        <f t="shared" si="0"/>
        <v>42.976386414597869</v>
      </c>
    </row>
    <row r="17" spans="1:11" ht="15.75" thickBot="1" x14ac:dyDescent="0.3">
      <c r="A17" s="100"/>
      <c r="B17" s="50">
        <v>11.498579473705091</v>
      </c>
      <c r="C17" s="51">
        <v>30.62</v>
      </c>
      <c r="D17" s="50">
        <f t="shared" si="0"/>
        <v>42.11857947370509</v>
      </c>
      <c r="G17" t="s">
        <v>40</v>
      </c>
    </row>
    <row r="18" spans="1:11" x14ac:dyDescent="0.25">
      <c r="A18" s="99">
        <v>42381</v>
      </c>
      <c r="B18" s="33">
        <v>8.57575535058435</v>
      </c>
      <c r="C18" s="42">
        <v>34.25</v>
      </c>
      <c r="D18" s="33">
        <f t="shared" si="0"/>
        <v>42.825755350584352</v>
      </c>
    </row>
    <row r="19" spans="1:11" ht="15.75" thickBot="1" x14ac:dyDescent="0.3">
      <c r="A19" s="100"/>
      <c r="B19" s="33">
        <v>8.8152741996957253</v>
      </c>
      <c r="C19" s="42">
        <v>34.33</v>
      </c>
      <c r="D19" s="33">
        <f t="shared" si="0"/>
        <v>43.14527419969572</v>
      </c>
      <c r="G19" t="s">
        <v>41</v>
      </c>
      <c r="J19" s="1" t="s">
        <v>64</v>
      </c>
    </row>
    <row r="20" spans="1:11" x14ac:dyDescent="0.25">
      <c r="A20" s="100"/>
      <c r="B20" s="33">
        <v>8.5969224173554331</v>
      </c>
      <c r="C20" s="42">
        <v>33.99</v>
      </c>
      <c r="D20" s="33">
        <f t="shared" si="0"/>
        <v>42.586922417355439</v>
      </c>
      <c r="G20" s="23" t="s">
        <v>42</v>
      </c>
      <c r="H20" s="23" t="s">
        <v>43</v>
      </c>
      <c r="I20" s="23" t="s">
        <v>44</v>
      </c>
      <c r="J20" s="23" t="s">
        <v>45</v>
      </c>
      <c r="K20" s="23" t="s">
        <v>46</v>
      </c>
    </row>
    <row r="21" spans="1:11" ht="15.75" thickBot="1" x14ac:dyDescent="0.3">
      <c r="A21" s="101"/>
      <c r="B21" s="33">
        <v>9.1186649438989189</v>
      </c>
      <c r="C21" s="42">
        <v>33.83</v>
      </c>
      <c r="D21" s="33">
        <f t="shared" si="0"/>
        <v>42.948664943898919</v>
      </c>
      <c r="G21" s="52">
        <v>42340</v>
      </c>
      <c r="H21" s="53">
        <v>2</v>
      </c>
      <c r="I21" s="54">
        <v>91.150486229485949</v>
      </c>
      <c r="J21" s="54">
        <v>45.575243114742975</v>
      </c>
      <c r="K21" s="54">
        <v>5.7385642613150267</v>
      </c>
    </row>
    <row r="22" spans="1:11" x14ac:dyDescent="0.25">
      <c r="A22" s="99">
        <v>42387</v>
      </c>
      <c r="B22" s="33">
        <v>9.3399106266461338</v>
      </c>
      <c r="C22" s="42">
        <v>34.15</v>
      </c>
      <c r="D22" s="33">
        <f t="shared" si="0"/>
        <v>43.489910626646136</v>
      </c>
      <c r="G22" s="52">
        <v>42346</v>
      </c>
      <c r="H22" s="53">
        <v>3</v>
      </c>
      <c r="I22" s="54">
        <v>120.50587740975502</v>
      </c>
      <c r="J22" s="54">
        <v>40.168625803251672</v>
      </c>
      <c r="K22" s="54">
        <v>3.7614339560325689</v>
      </c>
    </row>
    <row r="23" spans="1:11" x14ac:dyDescent="0.25">
      <c r="A23" s="100"/>
      <c r="B23" s="33">
        <v>9.6076003348245784</v>
      </c>
      <c r="C23" s="42">
        <v>34.33</v>
      </c>
      <c r="D23" s="33">
        <f t="shared" si="0"/>
        <v>43.93760033482458</v>
      </c>
      <c r="G23" s="52">
        <v>42359</v>
      </c>
      <c r="H23" s="53">
        <v>4</v>
      </c>
      <c r="I23" s="54">
        <v>153.63972858996564</v>
      </c>
      <c r="J23" s="54">
        <v>38.409932147491411</v>
      </c>
      <c r="K23" s="54">
        <v>2.5459377631693756</v>
      </c>
    </row>
    <row r="24" spans="1:11" x14ac:dyDescent="0.25">
      <c r="A24" s="100"/>
      <c r="B24" s="33">
        <v>10.074701144527612</v>
      </c>
      <c r="C24" s="42">
        <v>34.47</v>
      </c>
      <c r="D24" s="33">
        <f t="shared" si="0"/>
        <v>44.544701144527608</v>
      </c>
      <c r="G24" s="52">
        <v>42360</v>
      </c>
      <c r="H24" s="53">
        <v>4</v>
      </c>
      <c r="I24" s="54">
        <v>170.55301175814739</v>
      </c>
      <c r="J24" s="54">
        <v>42.638252939536848</v>
      </c>
      <c r="K24" s="54">
        <v>0.15174439034770579</v>
      </c>
    </row>
    <row r="25" spans="1:11" ht="15.75" thickBot="1" x14ac:dyDescent="0.3">
      <c r="A25" s="101"/>
      <c r="B25" s="33">
        <v>9.8961338862291033</v>
      </c>
      <c r="C25" s="42">
        <v>34.39</v>
      </c>
      <c r="D25" s="33">
        <f t="shared" si="0"/>
        <v>44.286133886229102</v>
      </c>
      <c r="G25" s="52">
        <v>42381</v>
      </c>
      <c r="H25" s="53">
        <v>4</v>
      </c>
      <c r="I25" s="54">
        <v>171.50661691153442</v>
      </c>
      <c r="J25" s="54">
        <v>42.876654227883606</v>
      </c>
      <c r="K25" s="54">
        <v>5.4625816739877826E-2</v>
      </c>
    </row>
    <row r="26" spans="1:11" x14ac:dyDescent="0.25">
      <c r="A26" s="99">
        <v>42389</v>
      </c>
      <c r="B26" s="33">
        <v>8.5052265702748002</v>
      </c>
      <c r="C26" s="42">
        <v>33.74</v>
      </c>
      <c r="D26" s="33">
        <f t="shared" si="0"/>
        <v>42.245226570274802</v>
      </c>
      <c r="G26" s="52">
        <v>42387</v>
      </c>
      <c r="H26" s="53">
        <v>4</v>
      </c>
      <c r="I26" s="54">
        <v>176.25834599222742</v>
      </c>
      <c r="J26" s="54">
        <v>44.064586498056855</v>
      </c>
      <c r="K26" s="54">
        <v>0.20865705393193443</v>
      </c>
    </row>
    <row r="27" spans="1:11" x14ac:dyDescent="0.25">
      <c r="A27" s="100"/>
      <c r="B27" s="33">
        <v>9.3468369222769336</v>
      </c>
      <c r="C27" s="42">
        <v>35.35</v>
      </c>
      <c r="D27" s="33">
        <f t="shared" si="0"/>
        <v>44.696836922276937</v>
      </c>
      <c r="G27" s="52">
        <v>42389</v>
      </c>
      <c r="H27" s="53">
        <v>4</v>
      </c>
      <c r="I27" s="54">
        <v>169.62891137528763</v>
      </c>
      <c r="J27" s="54">
        <v>42.407227843821907</v>
      </c>
      <c r="K27" s="54">
        <v>2.631016244875759</v>
      </c>
    </row>
    <row r="28" spans="1:11" x14ac:dyDescent="0.25">
      <c r="A28" s="100"/>
      <c r="B28" s="33">
        <v>9.7583575268257725</v>
      </c>
      <c r="C28" s="42">
        <v>32.01</v>
      </c>
      <c r="D28" s="33">
        <f t="shared" si="0"/>
        <v>41.768357526825767</v>
      </c>
      <c r="G28" s="52">
        <v>42402</v>
      </c>
      <c r="H28" s="53">
        <v>4</v>
      </c>
      <c r="I28" s="54">
        <v>169.46792154627832</v>
      </c>
      <c r="J28" s="54">
        <v>42.36698038656958</v>
      </c>
      <c r="K28" s="54">
        <v>0.36431682757238198</v>
      </c>
    </row>
    <row r="29" spans="1:11" ht="15.75" thickBot="1" x14ac:dyDescent="0.3">
      <c r="A29" s="101"/>
      <c r="B29" s="33">
        <v>8.548490355910106</v>
      </c>
      <c r="C29" s="42">
        <v>32.369999999999997</v>
      </c>
      <c r="D29" s="33">
        <f t="shared" si="0"/>
        <v>40.918490355910102</v>
      </c>
      <c r="G29" s="52">
        <v>42409</v>
      </c>
      <c r="H29" s="53">
        <v>4</v>
      </c>
      <c r="I29" s="54">
        <v>169.8336013117792</v>
      </c>
      <c r="J29" s="54">
        <v>42.458400327944801</v>
      </c>
      <c r="K29" s="54">
        <v>1.6295567169649707</v>
      </c>
    </row>
    <row r="30" spans="1:11" ht="15.75" thickBot="1" x14ac:dyDescent="0.3">
      <c r="A30" s="99">
        <v>42402</v>
      </c>
      <c r="B30" s="33">
        <v>10.101663534628027</v>
      </c>
      <c r="C30" s="42">
        <v>31.52</v>
      </c>
      <c r="D30" s="33">
        <f t="shared" si="0"/>
        <v>41.621663534628027</v>
      </c>
      <c r="G30" s="55">
        <v>42416</v>
      </c>
      <c r="H30" s="56">
        <v>4</v>
      </c>
      <c r="I30" s="57">
        <v>156.91862719375987</v>
      </c>
      <c r="J30" s="57">
        <v>39.229656798439969</v>
      </c>
      <c r="K30" s="57">
        <v>0.15997343457768395</v>
      </c>
    </row>
    <row r="31" spans="1:11" x14ac:dyDescent="0.25">
      <c r="A31" s="100"/>
      <c r="B31" s="33">
        <v>9.6342723869120732</v>
      </c>
      <c r="C31" s="42">
        <v>33.46</v>
      </c>
      <c r="D31" s="33">
        <f t="shared" si="0"/>
        <v>43.094272386912074</v>
      </c>
      <c r="J31">
        <f>AVERAGEA(J21:J30)</f>
        <v>42.019556008773961</v>
      </c>
    </row>
    <row r="32" spans="1:11" x14ac:dyDescent="0.25">
      <c r="A32" s="100"/>
      <c r="B32" s="33">
        <v>9.2114282263745029</v>
      </c>
      <c r="C32" s="42">
        <v>33.1</v>
      </c>
      <c r="D32" s="33">
        <f t="shared" si="0"/>
        <v>42.311428226374503</v>
      </c>
    </row>
    <row r="33" spans="1:13" ht="15.75" thickBot="1" x14ac:dyDescent="0.3">
      <c r="A33" s="101"/>
      <c r="B33" s="33">
        <v>9.660557398363709</v>
      </c>
      <c r="C33" s="42">
        <v>32.78</v>
      </c>
      <c r="D33" s="33">
        <f t="shared" si="0"/>
        <v>42.440557398363708</v>
      </c>
      <c r="G33" t="s">
        <v>38</v>
      </c>
    </row>
    <row r="34" spans="1:13" x14ac:dyDescent="0.25">
      <c r="A34" s="99">
        <v>42409</v>
      </c>
      <c r="B34" s="33">
        <v>8.3357205884169758</v>
      </c>
      <c r="C34" s="42">
        <v>32.9</v>
      </c>
      <c r="D34" s="33">
        <f t="shared" si="0"/>
        <v>41.235720588416974</v>
      </c>
      <c r="G34" s="23" t="s">
        <v>47</v>
      </c>
      <c r="H34" s="23" t="s">
        <v>48</v>
      </c>
      <c r="I34" s="23" t="s">
        <v>49</v>
      </c>
      <c r="J34" s="23" t="s">
        <v>50</v>
      </c>
      <c r="K34" s="23" t="s">
        <v>39</v>
      </c>
      <c r="L34" s="23" t="s">
        <v>51</v>
      </c>
      <c r="M34" s="23" t="s">
        <v>52</v>
      </c>
    </row>
    <row r="35" spans="1:13" x14ac:dyDescent="0.25">
      <c r="A35" s="100"/>
      <c r="B35" s="33">
        <v>8.2148413247887504</v>
      </c>
      <c r="C35" s="42">
        <v>34.71</v>
      </c>
      <c r="D35" s="33">
        <f t="shared" si="0"/>
        <v>42.924841324788751</v>
      </c>
      <c r="G35" s="53" t="s">
        <v>53</v>
      </c>
      <c r="H35" s="54">
        <v>141.11996009468839</v>
      </c>
      <c r="I35" s="53">
        <v>9</v>
      </c>
      <c r="J35" s="54">
        <v>15.679995566076489</v>
      </c>
      <c r="K35" s="54">
        <v>11.599245019684831</v>
      </c>
      <c r="L35" s="53">
        <v>3.3294277146019841E-7</v>
      </c>
      <c r="M35" s="54">
        <v>2.250131477202665</v>
      </c>
    </row>
    <row r="36" spans="1:13" x14ac:dyDescent="0.25">
      <c r="A36" s="100"/>
      <c r="B36" s="33">
        <v>8.6143947715154532</v>
      </c>
      <c r="C36" s="42">
        <v>33.020000000000003</v>
      </c>
      <c r="D36" s="33">
        <f t="shared" si="0"/>
        <v>41.63439477151546</v>
      </c>
      <c r="G36" s="53" t="s">
        <v>54</v>
      </c>
      <c r="H36" s="54">
        <v>36.498916917919239</v>
      </c>
      <c r="I36" s="53">
        <v>27</v>
      </c>
      <c r="J36" s="54">
        <v>1.3518117377007126</v>
      </c>
      <c r="K36" s="54"/>
      <c r="L36" s="53"/>
      <c r="M36" s="53"/>
    </row>
    <row r="37" spans="1:13" ht="15.75" thickBot="1" x14ac:dyDescent="0.3">
      <c r="A37" s="101"/>
      <c r="B37" s="33">
        <v>9.6286446270580335</v>
      </c>
      <c r="C37" s="42">
        <v>34.409999999999997</v>
      </c>
      <c r="D37" s="33">
        <f t="shared" si="0"/>
        <v>44.038644627058034</v>
      </c>
      <c r="G37" s="53"/>
      <c r="H37" s="53"/>
      <c r="I37" s="53"/>
      <c r="J37" s="53"/>
      <c r="K37" s="53"/>
      <c r="L37" s="53"/>
      <c r="M37" s="53"/>
    </row>
    <row r="38" spans="1:13" ht="15.75" thickBot="1" x14ac:dyDescent="0.3">
      <c r="A38" s="99">
        <v>42416</v>
      </c>
      <c r="B38" s="33">
        <v>6.6726612081806236</v>
      </c>
      <c r="C38" s="42">
        <v>32.51</v>
      </c>
      <c r="D38" s="33">
        <f t="shared" si="0"/>
        <v>39.182661208180619</v>
      </c>
      <c r="G38" s="56" t="s">
        <v>55</v>
      </c>
      <c r="H38" s="56">
        <v>177.61887701260764</v>
      </c>
      <c r="I38" s="56">
        <v>36</v>
      </c>
      <c r="J38" s="56"/>
      <c r="K38" s="56"/>
      <c r="L38" s="56"/>
      <c r="M38" s="56"/>
    </row>
    <row r="39" spans="1:13" x14ac:dyDescent="0.25">
      <c r="A39" s="100"/>
      <c r="B39" s="33">
        <v>6.485160409039965</v>
      </c>
      <c r="C39" s="42">
        <v>33.270000000000003</v>
      </c>
      <c r="D39" s="33">
        <f t="shared" si="0"/>
        <v>39.755160409039966</v>
      </c>
      <c r="J39" s="1" t="s">
        <v>64</v>
      </c>
    </row>
    <row r="40" spans="1:13" x14ac:dyDescent="0.25">
      <c r="A40" s="100"/>
      <c r="B40" s="33">
        <v>7.1790564615064572</v>
      </c>
      <c r="C40" s="42">
        <v>32.020000000000003</v>
      </c>
      <c r="D40" s="33">
        <f t="shared" si="0"/>
        <v>39.199056461506459</v>
      </c>
      <c r="G40" s="32" t="s">
        <v>56</v>
      </c>
      <c r="I40" s="1" t="s">
        <v>66</v>
      </c>
      <c r="J40" s="3">
        <f>SQRT(J36)</f>
        <v>1.1626743902317247</v>
      </c>
    </row>
    <row r="41" spans="1:13" ht="15.75" thickBot="1" x14ac:dyDescent="0.3">
      <c r="A41" s="101"/>
      <c r="B41" s="33">
        <v>7.1417491150328285</v>
      </c>
      <c r="C41" s="42">
        <v>31.64</v>
      </c>
      <c r="D41" s="33">
        <f t="shared" si="0"/>
        <v>38.781749115032831</v>
      </c>
      <c r="G41" s="32"/>
      <c r="I41" s="1" t="s">
        <v>67</v>
      </c>
      <c r="J41" s="3">
        <f>SQRT((J35-J36)/4)</f>
        <v>1.892629376580091</v>
      </c>
    </row>
    <row r="42" spans="1:13" x14ac:dyDescent="0.25">
      <c r="G42" s="32" t="s">
        <v>62</v>
      </c>
      <c r="I42" s="1" t="s">
        <v>65</v>
      </c>
      <c r="J42" s="3">
        <f>SQRT(J40^2+J41^2)</f>
        <v>2.2212288704216538</v>
      </c>
    </row>
    <row r="49" spans="1:13" ht="15.75" thickBot="1" x14ac:dyDescent="0.3"/>
    <row r="50" spans="1:13" ht="18.75" x14ac:dyDescent="0.25">
      <c r="A50" s="94" t="s">
        <v>72</v>
      </c>
      <c r="B50" s="95"/>
      <c r="C50" s="95"/>
      <c r="D50" s="96"/>
    </row>
    <row r="51" spans="1:13" ht="32.25" thickBot="1" x14ac:dyDescent="0.3">
      <c r="A51" s="58" t="s">
        <v>2</v>
      </c>
      <c r="B51" s="59" t="s">
        <v>69</v>
      </c>
      <c r="C51" s="59" t="s">
        <v>70</v>
      </c>
      <c r="D51" s="60" t="s">
        <v>71</v>
      </c>
    </row>
    <row r="52" spans="1:13" ht="18.75" x14ac:dyDescent="0.25">
      <c r="A52" s="97">
        <v>42150</v>
      </c>
      <c r="B52" s="33">
        <v>1</v>
      </c>
      <c r="C52" s="42"/>
      <c r="D52" s="61"/>
      <c r="G52" s="62" t="s">
        <v>72</v>
      </c>
      <c r="H52" s="63"/>
      <c r="I52" s="63"/>
      <c r="J52" s="64"/>
    </row>
    <row r="53" spans="1:13" x14ac:dyDescent="0.25">
      <c r="A53" s="98"/>
      <c r="B53" s="33">
        <v>0.77</v>
      </c>
      <c r="C53" s="42"/>
      <c r="D53" s="61"/>
      <c r="F53" t="s">
        <v>73</v>
      </c>
    </row>
    <row r="54" spans="1:13" x14ac:dyDescent="0.25">
      <c r="A54" s="65">
        <v>42152</v>
      </c>
      <c r="B54" s="33">
        <v>0.76</v>
      </c>
      <c r="C54" s="42"/>
      <c r="D54" s="61"/>
      <c r="F54" s="66">
        <v>42346</v>
      </c>
      <c r="G54" s="66">
        <v>42359</v>
      </c>
      <c r="H54" s="66">
        <v>42381</v>
      </c>
      <c r="I54" s="66">
        <v>42387</v>
      </c>
      <c r="J54" s="66">
        <v>42389</v>
      </c>
      <c r="K54" s="66">
        <v>42402</v>
      </c>
      <c r="L54" s="66">
        <v>42409</v>
      </c>
      <c r="M54" s="67">
        <v>42416</v>
      </c>
    </row>
    <row r="55" spans="1:13" x14ac:dyDescent="0.25">
      <c r="A55" s="65">
        <v>42346</v>
      </c>
      <c r="B55" s="33">
        <v>0.8323185616802814</v>
      </c>
      <c r="C55" s="42">
        <v>41.57</v>
      </c>
      <c r="D55" s="33">
        <v>42.402318561680282</v>
      </c>
      <c r="F55" s="33">
        <v>42.402318561680282</v>
      </c>
      <c r="G55" s="33">
        <v>37.831185285295028</v>
      </c>
      <c r="H55" s="33">
        <v>43.261933854094913</v>
      </c>
      <c r="I55" s="33">
        <v>40.69848319905752</v>
      </c>
      <c r="J55" s="33">
        <v>40.74543658476248</v>
      </c>
      <c r="K55" s="33">
        <v>38.338093967415396</v>
      </c>
      <c r="L55" s="34">
        <v>41.027508181486184</v>
      </c>
      <c r="M55" s="33">
        <v>40.053726460915982</v>
      </c>
    </row>
    <row r="56" spans="1:13" x14ac:dyDescent="0.25">
      <c r="A56" s="65">
        <v>42359</v>
      </c>
      <c r="B56" s="33">
        <v>0.91118528529502429</v>
      </c>
      <c r="C56" s="42">
        <v>36.92</v>
      </c>
      <c r="D56" s="33">
        <f>SUM(B56,C56)</f>
        <v>37.831185285295028</v>
      </c>
      <c r="F56" s="45"/>
      <c r="G56" s="45"/>
      <c r="H56" s="33">
        <v>42.990913570460791</v>
      </c>
      <c r="I56" s="33">
        <v>40.959781107509826</v>
      </c>
      <c r="J56" s="33">
        <v>41.769944010289514</v>
      </c>
      <c r="K56" s="33">
        <v>39.765305065583476</v>
      </c>
      <c r="L56" s="34">
        <v>42.836849680487177</v>
      </c>
      <c r="M56" s="33">
        <v>39.740392330577968</v>
      </c>
    </row>
    <row r="57" spans="1:13" x14ac:dyDescent="0.25">
      <c r="A57" s="65">
        <v>42360</v>
      </c>
      <c r="B57" s="50">
        <v>1.0112731719777628</v>
      </c>
      <c r="C57" s="51">
        <v>31.56</v>
      </c>
      <c r="D57" s="50">
        <f>SUM(B57,C57)</f>
        <v>32.571273171977765</v>
      </c>
    </row>
    <row r="58" spans="1:13" x14ac:dyDescent="0.25">
      <c r="A58" s="68">
        <v>42016</v>
      </c>
      <c r="B58" s="33">
        <v>0.69193385409491026</v>
      </c>
      <c r="C58" s="42">
        <v>42.57</v>
      </c>
      <c r="D58" s="33">
        <f t="shared" ref="D58:D65" si="1">SUM(B58,C58)</f>
        <v>43.261933854094913</v>
      </c>
    </row>
    <row r="59" spans="1:13" x14ac:dyDescent="0.25">
      <c r="A59" s="69"/>
      <c r="B59" s="33">
        <v>0.75091357046078544</v>
      </c>
      <c r="C59" s="42">
        <v>42.24</v>
      </c>
      <c r="D59" s="33">
        <f t="shared" si="1"/>
        <v>42.990913570460791</v>
      </c>
      <c r="F59" t="s">
        <v>40</v>
      </c>
    </row>
    <row r="60" spans="1:13" x14ac:dyDescent="0.25">
      <c r="A60" s="68">
        <v>42022</v>
      </c>
      <c r="B60" s="33">
        <v>0.92848319905751686</v>
      </c>
      <c r="C60" s="42">
        <v>39.770000000000003</v>
      </c>
      <c r="D60" s="33">
        <f t="shared" si="1"/>
        <v>40.69848319905752</v>
      </c>
    </row>
    <row r="61" spans="1:13" ht="15.75" thickBot="1" x14ac:dyDescent="0.3">
      <c r="A61" s="69"/>
      <c r="B61" s="33">
        <v>0.94978110750983158</v>
      </c>
      <c r="C61" s="42">
        <v>40.01</v>
      </c>
      <c r="D61" s="33">
        <f t="shared" si="1"/>
        <v>40.959781107509826</v>
      </c>
      <c r="F61" t="s">
        <v>41</v>
      </c>
      <c r="I61" s="1" t="s">
        <v>64</v>
      </c>
    </row>
    <row r="62" spans="1:13" x14ac:dyDescent="0.25">
      <c r="A62" s="70">
        <v>42024</v>
      </c>
      <c r="B62" s="33">
        <v>0.885436584762479</v>
      </c>
      <c r="C62" s="42">
        <v>39.86</v>
      </c>
      <c r="D62" s="33">
        <f t="shared" si="1"/>
        <v>40.74543658476248</v>
      </c>
      <c r="F62" s="23" t="s">
        <v>42</v>
      </c>
      <c r="G62" s="23" t="s">
        <v>43</v>
      </c>
      <c r="H62" s="23" t="s">
        <v>44</v>
      </c>
      <c r="I62" s="23" t="s">
        <v>45</v>
      </c>
      <c r="J62" s="23" t="s">
        <v>46</v>
      </c>
    </row>
    <row r="63" spans="1:13" x14ac:dyDescent="0.25">
      <c r="A63" s="71"/>
      <c r="B63" s="33">
        <v>0.82994401028951315</v>
      </c>
      <c r="C63" s="42">
        <v>40.94</v>
      </c>
      <c r="D63" s="33">
        <f t="shared" si="1"/>
        <v>41.769944010289514</v>
      </c>
      <c r="F63" s="52">
        <v>42346</v>
      </c>
      <c r="G63" s="53">
        <v>1</v>
      </c>
      <c r="H63" s="54">
        <v>42.402318561680282</v>
      </c>
      <c r="I63" s="54">
        <v>42.402318561680282</v>
      </c>
      <c r="J63" s="54"/>
    </row>
    <row r="64" spans="1:13" x14ac:dyDescent="0.25">
      <c r="A64" s="70">
        <v>42037</v>
      </c>
      <c r="B64" s="33">
        <v>0.79809396741539818</v>
      </c>
      <c r="C64" s="42">
        <v>37.54</v>
      </c>
      <c r="D64" s="33">
        <f t="shared" si="1"/>
        <v>38.338093967415396</v>
      </c>
      <c r="F64" s="52">
        <v>42359</v>
      </c>
      <c r="G64" s="53">
        <v>1</v>
      </c>
      <c r="H64" s="54">
        <v>37.831185285295028</v>
      </c>
      <c r="I64" s="54">
        <v>37.831185285295028</v>
      </c>
      <c r="J64" s="54"/>
    </row>
    <row r="65" spans="1:12" x14ac:dyDescent="0.25">
      <c r="A65" s="71"/>
      <c r="B65" s="33">
        <v>0.71530506558347984</v>
      </c>
      <c r="C65" s="42">
        <v>39.049999999999997</v>
      </c>
      <c r="D65" s="33">
        <f t="shared" si="1"/>
        <v>39.765305065583476</v>
      </c>
      <c r="F65" s="52">
        <v>42381</v>
      </c>
      <c r="G65" s="53">
        <v>2</v>
      </c>
      <c r="H65" s="54">
        <v>86.252847424555711</v>
      </c>
      <c r="I65" s="54">
        <v>43.126423712277855</v>
      </c>
      <c r="J65" s="54">
        <v>3.6725997070560096E-2</v>
      </c>
    </row>
    <row r="66" spans="1:12" x14ac:dyDescent="0.25">
      <c r="A66" s="70">
        <v>42044</v>
      </c>
      <c r="B66" s="34">
        <v>0.76750818148618882</v>
      </c>
      <c r="C66" s="42">
        <v>40.26</v>
      </c>
      <c r="D66" s="34">
        <v>41.027508181486184</v>
      </c>
      <c r="F66" s="52">
        <v>42387</v>
      </c>
      <c r="G66" s="53">
        <v>2</v>
      </c>
      <c r="H66" s="54">
        <v>81.658264306567347</v>
      </c>
      <c r="I66" s="54">
        <v>40.829132153283673</v>
      </c>
      <c r="J66" s="54">
        <v>3.4138298480774883E-2</v>
      </c>
    </row>
    <row r="67" spans="1:12" x14ac:dyDescent="0.25">
      <c r="A67" s="71"/>
      <c r="B67" s="34">
        <v>0.78684968048718018</v>
      </c>
      <c r="C67" s="42">
        <v>42.05</v>
      </c>
      <c r="D67" s="34">
        <v>42.836849680487177</v>
      </c>
      <c r="F67" s="52">
        <v>42389</v>
      </c>
      <c r="G67" s="53">
        <v>2</v>
      </c>
      <c r="H67" s="54">
        <v>82.515380595051994</v>
      </c>
      <c r="I67" s="54">
        <v>41.257690297525997</v>
      </c>
      <c r="J67" s="54">
        <v>0.52480773248001544</v>
      </c>
    </row>
    <row r="68" spans="1:12" x14ac:dyDescent="0.25">
      <c r="A68" s="70">
        <v>42051</v>
      </c>
      <c r="B68" s="33">
        <v>0.45372646091598118</v>
      </c>
      <c r="C68" s="33">
        <v>39.6</v>
      </c>
      <c r="D68" s="33">
        <v>40.053726460915982</v>
      </c>
      <c r="F68" s="52">
        <v>42402</v>
      </c>
      <c r="G68" s="53">
        <v>2</v>
      </c>
      <c r="H68" s="54">
        <v>78.10339903299888</v>
      </c>
      <c r="I68" s="54">
        <v>39.05169951649944</v>
      </c>
      <c r="J68" s="54">
        <v>1.0184657593670678</v>
      </c>
    </row>
    <row r="69" spans="1:12" x14ac:dyDescent="0.25">
      <c r="A69" s="71"/>
      <c r="B69" s="33">
        <v>0.53039233057796775</v>
      </c>
      <c r="C69" s="33">
        <v>39.21</v>
      </c>
      <c r="D69" s="33">
        <v>39.740392330577968</v>
      </c>
      <c r="F69" s="52">
        <v>42409</v>
      </c>
      <c r="G69" s="53">
        <v>2</v>
      </c>
      <c r="H69" s="54">
        <v>83.86435786197336</v>
      </c>
      <c r="I69" s="54">
        <v>41.93217893098668</v>
      </c>
      <c r="J69" s="54">
        <v>1.6368583300035806</v>
      </c>
    </row>
    <row r="70" spans="1:12" ht="15.75" thickBot="1" x14ac:dyDescent="0.3">
      <c r="F70" s="55">
        <v>42416</v>
      </c>
      <c r="G70" s="56">
        <v>2</v>
      </c>
      <c r="H70" s="57">
        <v>79.794118791493958</v>
      </c>
      <c r="I70" s="57">
        <v>39.897059395746979</v>
      </c>
      <c r="J70" s="57">
        <v>4.9089138617339614E-2</v>
      </c>
    </row>
    <row r="73" spans="1:12" ht="15.75" thickBot="1" x14ac:dyDescent="0.3">
      <c r="F73" t="s">
        <v>38</v>
      </c>
    </row>
    <row r="74" spans="1:12" x14ac:dyDescent="0.25">
      <c r="F74" s="23" t="s">
        <v>47</v>
      </c>
      <c r="G74" s="23" t="s">
        <v>48</v>
      </c>
      <c r="H74" s="23" t="s">
        <v>49</v>
      </c>
      <c r="I74" s="23" t="s">
        <v>50</v>
      </c>
      <c r="J74" s="23" t="s">
        <v>39</v>
      </c>
      <c r="K74" s="23" t="s">
        <v>51</v>
      </c>
      <c r="L74" s="23" t="s">
        <v>52</v>
      </c>
    </row>
    <row r="75" spans="1:12" x14ac:dyDescent="0.25">
      <c r="F75" s="53" t="s">
        <v>53</v>
      </c>
      <c r="G75" s="54">
        <v>32.827168463054349</v>
      </c>
      <c r="H75" s="53">
        <v>7</v>
      </c>
      <c r="I75" s="54">
        <v>4.6895954947220497</v>
      </c>
      <c r="J75" s="54">
        <v>8.5263169843898758</v>
      </c>
      <c r="K75" s="53">
        <v>9.2215288754922565E-3</v>
      </c>
      <c r="L75" s="54">
        <v>4.2066584878692064</v>
      </c>
    </row>
    <row r="76" spans="1:12" x14ac:dyDescent="0.25">
      <c r="F76" s="53" t="s">
        <v>54</v>
      </c>
      <c r="G76" s="54">
        <v>3.3000852560193388</v>
      </c>
      <c r="H76" s="53">
        <v>6</v>
      </c>
      <c r="I76" s="54">
        <v>0.55001420933655643</v>
      </c>
      <c r="J76" s="54"/>
      <c r="K76" s="53"/>
      <c r="L76" s="53"/>
    </row>
    <row r="77" spans="1:12" x14ac:dyDescent="0.25">
      <c r="F77" s="53"/>
      <c r="G77" s="54"/>
      <c r="H77" s="53"/>
      <c r="I77" s="53"/>
      <c r="J77" s="53"/>
      <c r="K77" s="53"/>
      <c r="L77" s="53"/>
    </row>
    <row r="78" spans="1:12" ht="15.75" thickBot="1" x14ac:dyDescent="0.3">
      <c r="F78" s="56" t="s">
        <v>55</v>
      </c>
      <c r="G78" s="57">
        <v>36.127253719073686</v>
      </c>
      <c r="H78" s="56">
        <v>13</v>
      </c>
      <c r="I78" s="56"/>
      <c r="J78" s="56"/>
      <c r="K78" s="56"/>
      <c r="L78" s="56"/>
    </row>
    <row r="79" spans="1:12" x14ac:dyDescent="0.25">
      <c r="I79" s="1" t="s">
        <v>64</v>
      </c>
    </row>
    <row r="80" spans="1:12" x14ac:dyDescent="0.25">
      <c r="F80" s="32" t="s">
        <v>56</v>
      </c>
      <c r="H80" s="1" t="s">
        <v>66</v>
      </c>
      <c r="I80" s="3">
        <f>SQRT(I76)</f>
        <v>0.74162942858044434</v>
      </c>
    </row>
    <row r="81" spans="6:9" x14ac:dyDescent="0.25">
      <c r="F81" s="32"/>
      <c r="H81" s="1" t="s">
        <v>67</v>
      </c>
      <c r="I81" s="3">
        <f>SQRT((I75-I76)/4)</f>
        <v>1.017298049416381</v>
      </c>
    </row>
    <row r="82" spans="6:9" x14ac:dyDescent="0.25">
      <c r="F82" s="32" t="s">
        <v>62</v>
      </c>
      <c r="H82" s="1" t="s">
        <v>65</v>
      </c>
      <c r="I82" s="3">
        <f>SQRT(I80^2+I81^2)</f>
        <v>1.2589319007328912</v>
      </c>
    </row>
  </sheetData>
  <mergeCells count="14">
    <mergeCell ref="A14:A17"/>
    <mergeCell ref="A1:D1"/>
    <mergeCell ref="A3:A6"/>
    <mergeCell ref="G6:J6"/>
    <mergeCell ref="A7:A9"/>
    <mergeCell ref="A10:A13"/>
    <mergeCell ref="A50:D50"/>
    <mergeCell ref="A52:A53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Precision &amp; MU</vt:lpstr>
      <vt:lpstr>Repeatability</vt:lpstr>
      <vt:lpstr>ANOVA</vt:lpstr>
      <vt:lpstr>Bias</vt:lpstr>
      <vt:lpstr>Linearity</vt:lpstr>
      <vt:lpstr>LOD-LOR</vt:lpstr>
      <vt:lpstr>Raw Data</vt:lpstr>
      <vt:lpstr>Latest_1922016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2016-03-21T22:26:11Z</dcterms:modified>
</cp:coreProperties>
</file>