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lkennedy\Desktop\Dual Control Chart\Validation Chart\Validation Data\"/>
    </mc:Choice>
  </mc:AlternateContent>
  <bookViews>
    <workbookView xWindow="0" yWindow="0" windowWidth="27705" windowHeight="10665" tabRatio="717"/>
  </bookViews>
  <sheets>
    <sheet name=" Precision &amp; MU" sheetId="3" r:id="rId1"/>
    <sheet name="Repeatability" sheetId="5" r:id="rId2"/>
    <sheet name="ANOVA" sheetId="7" r:id="rId3"/>
    <sheet name="Bias" sheetId="1" r:id="rId4"/>
    <sheet name="Linearity" sheetId="6" r:id="rId5"/>
    <sheet name="LOD-LOR" sheetId="8" r:id="rId6"/>
    <sheet name="Raw Data" sheetId="9" r:id="rId7"/>
  </sheets>
  <definedNames>
    <definedName name="_xlnm._FilterDatabase" localSheetId="0" hidden="1">' Precision &amp; MU'!$A$15:$B$51</definedName>
    <definedName name="_xlnm._FilterDatabase" localSheetId="3" hidden="1">Bias!$A$9:$L$287</definedName>
    <definedName name="_xlnm._FilterDatabase" localSheetId="1" hidden="1">Repeatability!$A$9:$I$36</definedName>
    <definedName name="_ftn1" localSheetId="2">ANOVA!$J$31</definedName>
    <definedName name="_ftnref1" localSheetId="2">ANOVA!#REF!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  <c r="F20" i="7"/>
  <c r="F14" i="7"/>
  <c r="F15" i="7"/>
  <c r="F16" i="7"/>
  <c r="F17" i="7"/>
  <c r="F18" i="7"/>
  <c r="F19" i="7"/>
  <c r="F13" i="7"/>
  <c r="B11" i="3" l="1"/>
  <c r="B4" i="3" l="1"/>
  <c r="K11" i="1" l="1"/>
  <c r="L11" i="1" s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J32" i="1"/>
  <c r="K32" i="1"/>
  <c r="L32" i="1"/>
  <c r="J33" i="1"/>
  <c r="K33" i="1"/>
  <c r="L33" i="1"/>
  <c r="J34" i="1"/>
  <c r="K34" i="1"/>
  <c r="L34" i="1" s="1"/>
  <c r="D30" i="7" l="1"/>
  <c r="D29" i="7"/>
  <c r="D20" i="7"/>
  <c r="J26" i="1" l="1"/>
  <c r="K26" i="1"/>
  <c r="L26" i="1"/>
  <c r="J27" i="1"/>
  <c r="K27" i="1"/>
  <c r="L27" i="1"/>
  <c r="J28" i="1"/>
  <c r="K28" i="1"/>
  <c r="L28" i="1" s="1"/>
  <c r="J29" i="1"/>
  <c r="K29" i="1"/>
  <c r="L29" i="1"/>
  <c r="J30" i="1"/>
  <c r="K30" i="1"/>
  <c r="L30" i="1"/>
  <c r="J31" i="1"/>
  <c r="K31" i="1"/>
  <c r="L31" i="1" s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12" i="1"/>
  <c r="K24" i="1" l="1"/>
  <c r="L24" i="1" s="1"/>
  <c r="K25" i="1"/>
  <c r="L25" i="1" s="1"/>
  <c r="J24" i="1"/>
  <c r="J25" i="1"/>
  <c r="D31" i="7" l="1"/>
  <c r="B3" i="3" l="1"/>
  <c r="D33" i="7"/>
  <c r="D34" i="7" s="1"/>
  <c r="K22" i="1"/>
  <c r="L22" i="1" s="1"/>
  <c r="K23" i="1"/>
  <c r="L23" i="1" s="1"/>
  <c r="J18" i="1"/>
  <c r="J19" i="1"/>
  <c r="J20" i="1"/>
  <c r="J21" i="1"/>
  <c r="J22" i="1"/>
  <c r="J23" i="1"/>
  <c r="B12" i="3" l="1"/>
  <c r="J13" i="1"/>
  <c r="K13" i="1"/>
  <c r="L13" i="1" s="1"/>
  <c r="J14" i="1"/>
  <c r="K14" i="1"/>
  <c r="L14" i="1" s="1"/>
  <c r="J15" i="1"/>
  <c r="J16" i="1"/>
  <c r="J17" i="1"/>
  <c r="B6" i="3"/>
  <c r="J11" i="1" l="1"/>
  <c r="J12" i="1"/>
  <c r="K12" i="1"/>
  <c r="L12" i="1" s="1"/>
  <c r="F10" i="5"/>
  <c r="C1" i="8"/>
  <c r="D1" i="8"/>
  <c r="D2" i="8" s="1"/>
  <c r="E1" i="8"/>
  <c r="C2" i="8"/>
  <c r="E2" i="8"/>
  <c r="C3" i="8"/>
  <c r="D3" i="8"/>
  <c r="E3" i="8"/>
  <c r="B1" i="8"/>
  <c r="B3" i="8" s="1"/>
  <c r="B2" i="8"/>
  <c r="F4" i="5"/>
  <c r="K10" i="1"/>
  <c r="L10" i="1" s="1"/>
  <c r="J10" i="1"/>
  <c r="F36" i="5"/>
  <c r="G36" i="5"/>
  <c r="G10" i="5"/>
  <c r="F1" i="5"/>
  <c r="F2" i="5" s="1"/>
  <c r="C2" i="1" l="1"/>
  <c r="C3" i="1"/>
  <c r="B7" i="3" s="1"/>
  <c r="C4" i="1"/>
  <c r="F3" i="5"/>
  <c r="F7" i="5" s="1"/>
  <c r="C5" i="1" l="1"/>
  <c r="C6" i="1" s="1"/>
  <c r="C7" i="3" s="1"/>
  <c r="B13" i="3"/>
  <c r="F6" i="5"/>
  <c r="B8" i="3" l="1"/>
  <c r="B10" i="3" s="1"/>
  <c r="C16" i="3" s="1"/>
</calcChain>
</file>

<file path=xl/sharedStrings.xml><?xml version="1.0" encoding="utf-8"?>
<sst xmlns="http://schemas.openxmlformats.org/spreadsheetml/2006/main" count="227" uniqueCount="100">
  <si>
    <t>Type</t>
  </si>
  <si>
    <t>Reference</t>
  </si>
  <si>
    <t>Date</t>
  </si>
  <si>
    <t>Mean</t>
  </si>
  <si>
    <t>sd</t>
  </si>
  <si>
    <t>% sd</t>
  </si>
  <si>
    <t>n</t>
  </si>
  <si>
    <t>Bias</t>
  </si>
  <si>
    <t>% Bias</t>
  </si>
  <si>
    <t>Matrix</t>
  </si>
  <si>
    <t>U(Ref Conc), %</t>
  </si>
  <si>
    <t>sd (Bias), %</t>
  </si>
  <si>
    <t>U(Bias), %</t>
  </si>
  <si>
    <t>Average Bias, %</t>
  </si>
  <si>
    <t>Bias Significance</t>
  </si>
  <si>
    <t>Unit</t>
  </si>
  <si>
    <t>Lab Result</t>
  </si>
  <si>
    <t>No</t>
  </si>
  <si>
    <t>Precision</t>
  </si>
  <si>
    <t>MU ±</t>
  </si>
  <si>
    <t>k</t>
  </si>
  <si>
    <t>Rounding</t>
  </si>
  <si>
    <t>Replicates</t>
  </si>
  <si>
    <t>REPORTED_UNITS</t>
  </si>
  <si>
    <t>A</t>
  </si>
  <si>
    <t>B</t>
  </si>
  <si>
    <t>Diff</t>
  </si>
  <si>
    <t>sqr</t>
  </si>
  <si>
    <t>Omit</t>
  </si>
  <si>
    <t>Outlier</t>
  </si>
  <si>
    <t>Ref</t>
  </si>
  <si>
    <t>UoBias</t>
  </si>
  <si>
    <t>Yes</t>
  </si>
  <si>
    <t>Duplicates</t>
  </si>
  <si>
    <t>LOD</t>
  </si>
  <si>
    <t>LOR</t>
  </si>
  <si>
    <t>Repeatability sd</t>
  </si>
  <si>
    <t>Reference Mean</t>
  </si>
  <si>
    <t>ANOVA</t>
  </si>
  <si>
    <t>F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</si>
  <si>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</si>
  <si>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</si>
  <si>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</si>
  <si>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</si>
  <si>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</si>
  <si>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</si>
  <si>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</si>
  <si>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</si>
  <si>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</si>
  <si>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</si>
  <si>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</si>
  <si>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</si>
  <si>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</si>
  <si>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</si>
  <si>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</si>
  <si>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</si>
  <si>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Conc</t>
  </si>
  <si>
    <t>Response</t>
  </si>
  <si>
    <t>Result</t>
  </si>
  <si>
    <t>CRM</t>
  </si>
  <si>
    <t>NIST 1849a</t>
  </si>
  <si>
    <t>IF</t>
  </si>
  <si>
    <t>Reproducibility</t>
  </si>
  <si>
    <t>Reproducibility sd</t>
  </si>
  <si>
    <t>Si</t>
  </si>
  <si>
    <t>Sr</t>
  </si>
  <si>
    <t>Sb</t>
  </si>
  <si>
    <t>significant</t>
  </si>
  <si>
    <t>insignificant</t>
  </si>
  <si>
    <t>=k*Reproducibility</t>
  </si>
  <si>
    <t>Reproducibility from ANOVA</t>
  </si>
  <si>
    <t>Uncertainty*mean/100</t>
  </si>
  <si>
    <t>Average of samples</t>
  </si>
  <si>
    <t>Average of Bias*mean of sample/100</t>
  </si>
  <si>
    <t>2*U(Bias) &lt; abs(aveBias)</t>
  </si>
  <si>
    <t>2*U(Bias) &gt; abs(aveBias)</t>
  </si>
  <si>
    <t>F &lt; F critical</t>
  </si>
  <si>
    <t>homogeneity and reproducibility</t>
  </si>
  <si>
    <t>P-value &gt; 0.05</t>
  </si>
  <si>
    <t>greater 95% confidence</t>
  </si>
  <si>
    <t>k=expansion coefficient</t>
  </si>
  <si>
    <t>2*U(Bias) &lt; abs(averageBias)</t>
  </si>
  <si>
    <t>2*U(Bias) &gt; abs(averageBias)</t>
  </si>
  <si>
    <t>Batch#</t>
  </si>
  <si>
    <t>FA</t>
  </si>
  <si>
    <t>5-Me THF</t>
  </si>
  <si>
    <t>Sample#</t>
  </si>
  <si>
    <t>SRM 1849a NIST (µg/100g)</t>
  </si>
  <si>
    <t>Accuracy</t>
  </si>
  <si>
    <t>NA</t>
  </si>
  <si>
    <t>C</t>
  </si>
  <si>
    <t>D</t>
  </si>
  <si>
    <t>E</t>
  </si>
  <si>
    <t>G</t>
  </si>
  <si>
    <t>mg/kg</t>
  </si>
  <si>
    <r>
      <t>63.68</t>
    </r>
    <r>
      <rPr>
        <sz val="11"/>
        <color theme="1"/>
        <rFont val="Calibri"/>
        <family val="2"/>
      </rPr>
      <t xml:space="preserve">±10.9 </t>
    </r>
  </si>
  <si>
    <t>Repeatability</t>
  </si>
  <si>
    <t>Standard Deviation</t>
  </si>
  <si>
    <t>Intermediate precision</t>
  </si>
  <si>
    <t>Horwitz 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</si>
</sst>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15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0" fillId="0" borderId="0" xfId="0" applyBorder="1"/>
    <xf numFmtId="2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7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0" fillId="0" borderId="8" xfId="0" applyFont="1" applyBorder="1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5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Fill="1"/>
    <xf numFmtId="14" fontId="0" fillId="0" borderId="0" xfId="0" applyNumberFormat="1"/>
    <xf numFmtId="164" fontId="0" fillId="0" borderId="0" xfId="0" applyNumberFormat="1" applyFill="1" applyBorder="1" applyAlignment="1">
      <alignment horizontal="center"/>
    </xf>
    <xf numFmtId="9" fontId="10" fillId="0" borderId="8" xfId="0" applyNumberFormat="1" applyFont="1" applyBorder="1" applyAlignment="1">
      <alignment horizontal="center" vertical="center"/>
    </xf>
    <xf numFmtId="0" fontId="12" fillId="0" borderId="0" xfId="2" applyAlignment="1">
      <alignment vertical="center"/>
    </xf>
    <xf numFmtId="0" fontId="11" fillId="0" borderId="3" xfId="0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0" fontId="0" fillId="0" borderId="14" xfId="0" applyBorder="1"/>
    <xf numFmtId="0" fontId="0" fillId="0" borderId="15" xfId="0" applyBorder="1"/>
    <xf numFmtId="2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" xfId="0" applyBorder="1"/>
    <xf numFmtId="10" fontId="0" fillId="0" borderId="1" xfId="1" applyNumberFormat="1" applyFont="1" applyBorder="1" applyAlignment="1">
      <alignment horizontal="center"/>
    </xf>
    <xf numFmtId="0" fontId="0" fillId="0" borderId="8" xfId="0" applyBorder="1"/>
    <xf numFmtId="10" fontId="0" fillId="0" borderId="0" xfId="1" applyNumberFormat="1" applyFont="1"/>
    <xf numFmtId="10" fontId="0" fillId="0" borderId="0" xfId="0" applyNumberFormat="1"/>
    <xf numFmtId="10" fontId="0" fillId="0" borderId="13" xfId="1" applyNumberFormat="1" applyFont="1" applyBorder="1"/>
    <xf numFmtId="10" fontId="0" fillId="0" borderId="1" xfId="1" applyNumberFormat="1" applyFont="1" applyBorder="1"/>
    <xf numFmtId="10" fontId="0" fillId="0" borderId="0" xfId="0" applyNumberFormat="1" applyAlignment="1">
      <alignment horizontal="left"/>
    </xf>
    <xf numFmtId="15" fontId="10" fillId="0" borderId="12" xfId="0" applyNumberFormat="1" applyFont="1" applyBorder="1" applyAlignment="1">
      <alignment horizontal="center" vertical="center"/>
    </xf>
    <xf numFmtId="15" fontId="10" fillId="0" borderId="9" xfId="0" applyNumberFormat="1" applyFont="1" applyBorder="1" applyAlignment="1">
      <alignment horizontal="center" vertical="center"/>
    </xf>
    <xf numFmtId="15" fontId="10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5" fontId="10" fillId="0" borderId="4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">
    <dxf>
      <font>
        <b/>
        <i val="0"/>
        <color rgb="FF009900"/>
      </font>
    </dxf>
  </dxfs>
  <tableStyles count="0" defaultTableStyle="TableStyleMedium9" defaultPivotStyle="PivotStyleLight16"/>
  <colors>
    <mruColors>
      <color rgb="FF0000FF"/>
      <color rgb="FF0066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ANOVA!$A$1:$G$1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ANOVA!$A$2:$G$2</c:f>
              <c:numCache>
                <c:formatCode>General</c:formatCode>
                <c:ptCount val="7"/>
                <c:pt idx="0">
                  <c:v>63.9</c:v>
                </c:pt>
                <c:pt idx="1">
                  <c:v>63.9</c:v>
                </c:pt>
                <c:pt idx="2">
                  <c:v>63.5</c:v>
                </c:pt>
                <c:pt idx="3">
                  <c:v>65</c:v>
                </c:pt>
                <c:pt idx="4">
                  <c:v>64.900000000000006</c:v>
                </c:pt>
                <c:pt idx="5">
                  <c:v>63.4</c:v>
                </c:pt>
                <c:pt idx="6">
                  <c:v>62.9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ANOVA!$A$1:$G$1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ANOVA!$A$3:$G$3</c:f>
              <c:numCache>
                <c:formatCode>General</c:formatCode>
                <c:ptCount val="7"/>
                <c:pt idx="0">
                  <c:v>63.7</c:v>
                </c:pt>
                <c:pt idx="2">
                  <c:v>62.4</c:v>
                </c:pt>
                <c:pt idx="3">
                  <c:v>63.1</c:v>
                </c:pt>
                <c:pt idx="4">
                  <c:v>64.8</c:v>
                </c:pt>
                <c:pt idx="5">
                  <c:v>62.5</c:v>
                </c:pt>
                <c:pt idx="6">
                  <c:v>63.3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ANOVA!$A$1:$G$1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xVal>
          <c:yVal>
            <c:numRef>
              <c:f>ANOVA!$A$4:$G$4</c:f>
              <c:numCache>
                <c:formatCode>General</c:formatCode>
                <c:ptCount val="7"/>
                <c:pt idx="3">
                  <c:v>62.5</c:v>
                </c:pt>
                <c:pt idx="4">
                  <c:v>64.5</c:v>
                </c:pt>
                <c:pt idx="5">
                  <c:v>65.400000000000006</c:v>
                </c:pt>
                <c:pt idx="6">
                  <c:v>63.1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30336"/>
        <c:axId val="466127984"/>
      </c:scatterChart>
      <c:valAx>
        <c:axId val="4661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27984"/>
        <c:crosses val="autoZero"/>
        <c:crossBetween val="midCat"/>
      </c:valAx>
      <c:valAx>
        <c:axId val="4661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Bias!$K$10:$K$42</c:f>
              <c:numCache>
                <c:formatCode>0.00</c:formatCode>
                <c:ptCount val="33"/>
                <c:pt idx="0">
                  <c:v>9.4099999999999966</c:v>
                </c:pt>
                <c:pt idx="1">
                  <c:v>7.019999999999996</c:v>
                </c:pt>
                <c:pt idx="2">
                  <c:v>7.019999999999996</c:v>
                </c:pt>
                <c:pt idx="3">
                  <c:v>5.2099999999999937</c:v>
                </c:pt>
                <c:pt idx="4">
                  <c:v>8.2599999999999909</c:v>
                </c:pt>
                <c:pt idx="5">
                  <c:v>5.4299999999999926</c:v>
                </c:pt>
                <c:pt idx="6">
                  <c:v>4.9699999999999989</c:v>
                </c:pt>
                <c:pt idx="7">
                  <c:v>2.8599999999999994</c:v>
                </c:pt>
                <c:pt idx="8">
                  <c:v>4.9699999999999989</c:v>
                </c:pt>
                <c:pt idx="9">
                  <c:v>-3.5</c:v>
                </c:pt>
                <c:pt idx="10">
                  <c:v>-2.2000000000000028</c:v>
                </c:pt>
                <c:pt idx="11">
                  <c:v>-6.2000000000000028</c:v>
                </c:pt>
                <c:pt idx="12">
                  <c:v>-3.5</c:v>
                </c:pt>
                <c:pt idx="13">
                  <c:v>-2.2000000000000028</c:v>
                </c:pt>
                <c:pt idx="14">
                  <c:v>-6.2000000000000028</c:v>
                </c:pt>
                <c:pt idx="15">
                  <c:v>-6.8000000000000043</c:v>
                </c:pt>
                <c:pt idx="16">
                  <c:v>-5.5</c:v>
                </c:pt>
                <c:pt idx="17">
                  <c:v>-13.300000000000004</c:v>
                </c:pt>
                <c:pt idx="18">
                  <c:v>-1.6000000000000085</c:v>
                </c:pt>
                <c:pt idx="19">
                  <c:v>9.9999999999994316E-2</c:v>
                </c:pt>
                <c:pt idx="20">
                  <c:v>-2.6000000000000085</c:v>
                </c:pt>
                <c:pt idx="21">
                  <c:v>-1.5</c:v>
                </c:pt>
                <c:pt idx="22">
                  <c:v>-0.90000000000000568</c:v>
                </c:pt>
                <c:pt idx="23">
                  <c:v>-10.200000000000003</c:v>
                </c:pt>
                <c:pt idx="24">
                  <c:v>-9.7000000000000028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128768"/>
        <c:axId val="466126808"/>
      </c:barChart>
      <c:catAx>
        <c:axId val="46612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66126808"/>
        <c:crosses val="autoZero"/>
        <c:auto val="1"/>
        <c:lblAlgn val="ctr"/>
        <c:lblOffset val="100"/>
        <c:noMultiLvlLbl val="0"/>
      </c:catAx>
      <c:valAx>
        <c:axId val="466126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6128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11" l="0.70000000000000207" r="0.70000000000000207" t="0.750000000000005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Linearity!$B$1</c:f>
              <c:strCache>
                <c:ptCount val="1"/>
                <c:pt idx="0">
                  <c:v>Response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19387295745506"/>
                  <c:y val="-7.5189846552199818E-2"/>
                </c:manualLayout>
              </c:layout>
              <c:numFmt formatCode="General" sourceLinked="0"/>
            </c:trendlineLbl>
          </c:trendline>
          <c:xVal>
            <c:numRef>
              <c:f>Linearity!$A$2:$A$7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10</c:v>
                </c:pt>
              </c:numCache>
            </c:numRef>
          </c:xVal>
          <c:yVal>
            <c:numRef>
              <c:f>Linearity!$B$2:$B$7</c:f>
              <c:numCache>
                <c:formatCode>General</c:formatCode>
                <c:ptCount val="6"/>
                <c:pt idx="0">
                  <c:v>0</c:v>
                </c:pt>
                <c:pt idx="1">
                  <c:v>1.02</c:v>
                </c:pt>
                <c:pt idx="2">
                  <c:v>2.0299999999999998</c:v>
                </c:pt>
                <c:pt idx="3">
                  <c:v>4.0999999999999996</c:v>
                </c:pt>
                <c:pt idx="4">
                  <c:v>6.1</c:v>
                </c:pt>
                <c:pt idx="5">
                  <c:v>10.050000000000001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31904"/>
        <c:axId val="466131512"/>
      </c:scatterChart>
      <c:valAx>
        <c:axId val="4661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6131512"/>
        <c:crosses val="autoZero"/>
        <c:crossBetween val="midCat"/>
      </c:valAx>
      <c:valAx>
        <c:axId val="466131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13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0</xdr:row>
      <xdr:rowOff>114300</xdr:rowOff>
    </xdr:from>
    <xdr:to>
      <xdr:col>12</xdr:col>
      <xdr:colOff>304800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133350</xdr:rowOff>
    </xdr:from>
    <xdr:to>
      <xdr:col>12</xdr:col>
      <xdr:colOff>1485900</xdr:colOff>
      <xdr:row>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88900</xdr:rowOff>
    </xdr:from>
    <xdr:to>
      <xdr:col>14</xdr:col>
      <xdr:colOff>349250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I21" sqref="I21"/>
    </sheetView>
  </sheetViews>
  <sheetFormatPr defaultColWidth="8.85546875" defaultRowHeight="15" x14ac:dyDescent="0.25"/>
  <cols>
    <col min="1" max="1" width="17.7109375" style="1" customWidth="1"/>
    <col min="2" max="2" width="26.7109375" style="1" bestFit="1" customWidth="1"/>
    <col min="3" max="3" width="27" style="40" bestFit="1" customWidth="1"/>
    <col min="4" max="4" width="34.42578125" style="1" bestFit="1" customWidth="1"/>
    <col min="5" max="16384" width="8.85546875" style="1"/>
  </cols>
  <sheetData>
    <row r="1" spans="1:6" x14ac:dyDescent="0.25">
      <c r="A1" s="1" t="s">
        <v>6</v>
      </c>
      <c r="B1" s="1">
        <f>COUNT(ANOVA!A2:G4)</f>
        <v>17</v>
      </c>
    </row>
    <row r="2" spans="1:6" x14ac:dyDescent="0.25">
      <c r="A2" s="1" t="s">
        <v>20</v>
      </c>
      <c r="B2" s="3">
        <v>2</v>
      </c>
    </row>
    <row r="3" spans="1:6" x14ac:dyDescent="0.25">
      <c r="A3" s="1" t="s">
        <v>63</v>
      </c>
      <c r="B3" s="20">
        <f>ANOVA!D31</f>
        <v>0.93957471953792659</v>
      </c>
      <c r="C3" s="40" t="s">
        <v>70</v>
      </c>
    </row>
    <row r="4" spans="1:6" x14ac:dyDescent="0.25">
      <c r="A4" s="1" t="s">
        <v>3</v>
      </c>
      <c r="B4" s="20">
        <f>AVERAGE(ANOVA!A2:G4)</f>
        <v>63.694117647058818</v>
      </c>
      <c r="C4" s="40" t="s">
        <v>72</v>
      </c>
    </row>
    <row r="5" spans="1:6" x14ac:dyDescent="0.25">
      <c r="B5" s="20"/>
    </row>
    <row r="6" spans="1:6" x14ac:dyDescent="0.25">
      <c r="A6" s="5" t="s">
        <v>18</v>
      </c>
      <c r="B6" s="18">
        <f>B3*B2</f>
        <v>1.8791494390758532</v>
      </c>
      <c r="C6" s="41" t="s">
        <v>69</v>
      </c>
      <c r="D6" s="40" t="s">
        <v>80</v>
      </c>
    </row>
    <row r="7" spans="1:6" x14ac:dyDescent="0.25">
      <c r="A7" s="5" t="s">
        <v>7</v>
      </c>
      <c r="B7" s="18">
        <f>Bias!C3*B4/100</f>
        <v>-0.77142728997757815</v>
      </c>
      <c r="C7" s="42" t="str">
        <f>Bias!C6</f>
        <v>Insignificant</v>
      </c>
      <c r="D7" s="40" t="s">
        <v>73</v>
      </c>
    </row>
    <row r="8" spans="1:6" x14ac:dyDescent="0.25">
      <c r="A8" s="5" t="s">
        <v>31</v>
      </c>
      <c r="B8" s="18">
        <f>Bias!C5*B4/100</f>
        <v>5.8192429416818436</v>
      </c>
      <c r="C8" s="42"/>
      <c r="D8" s="40" t="s">
        <v>71</v>
      </c>
    </row>
    <row r="9" spans="1:6" x14ac:dyDescent="0.25">
      <c r="B9" s="20"/>
    </row>
    <row r="10" spans="1:6" x14ac:dyDescent="0.25">
      <c r="A10" s="21" t="s">
        <v>19</v>
      </c>
      <c r="B10" s="22">
        <f>IF(C7="Insignificant", B2*SQRT(B8^2+B3^2), B2*SQRT(B8^2+B3^2)+ABS(B7))</f>
        <v>11.789213556112847</v>
      </c>
      <c r="C10" s="40" t="s">
        <v>94</v>
      </c>
      <c r="E10" s="1">
        <v>63.694000000000003</v>
      </c>
      <c r="F10" s="1" t="s">
        <v>94</v>
      </c>
    </row>
    <row r="11" spans="1:6" x14ac:dyDescent="0.25">
      <c r="B11" s="43">
        <f>B10/B4</f>
        <v>0.18509108833941487</v>
      </c>
    </row>
    <row r="12" spans="1:6" x14ac:dyDescent="0.25">
      <c r="A12" s="1" t="s">
        <v>22</v>
      </c>
      <c r="B12" s="3">
        <f>B2*B3*SQRT(2)</f>
        <v>2.6575186224668657</v>
      </c>
    </row>
    <row r="13" spans="1:6" x14ac:dyDescent="0.25">
      <c r="A13" s="1" t="s">
        <v>21</v>
      </c>
      <c r="B13" s="32">
        <f>IF(LOG(B3/2)&lt;0,10^(TRUNC(LOG(B3/2))-1), 10^(TRUNC(LOG(B3/2))))</f>
        <v>0.1</v>
      </c>
    </row>
    <row r="14" spans="1:6" x14ac:dyDescent="0.25">
      <c r="A14" s="1" t="s">
        <v>99</v>
      </c>
      <c r="B14" s="56" t="s">
        <v>95</v>
      </c>
      <c r="C14" s="69">
        <v>0.17119999999999999</v>
      </c>
    </row>
    <row r="15" spans="1:6" x14ac:dyDescent="0.25">
      <c r="A15" s="19"/>
      <c r="B15" s="19"/>
    </row>
    <row r="16" spans="1:6" x14ac:dyDescent="0.25">
      <c r="B16" s="19">
        <v>3</v>
      </c>
      <c r="C16" s="40">
        <f>B10/SQRT(B16)</f>
        <v>6.8065056201557379</v>
      </c>
    </row>
    <row r="17" spans="2:3" x14ac:dyDescent="0.25">
      <c r="B17" s="19"/>
    </row>
    <row r="18" spans="2:3" x14ac:dyDescent="0.25">
      <c r="B18" s="19"/>
    </row>
    <row r="19" spans="2:3" x14ac:dyDescent="0.25">
      <c r="B19" s="19"/>
    </row>
    <row r="20" spans="2:3" x14ac:dyDescent="0.25">
      <c r="B20" s="19"/>
    </row>
    <row r="21" spans="2:3" x14ac:dyDescent="0.25">
      <c r="B21" s="19"/>
    </row>
    <row r="22" spans="2:3" x14ac:dyDescent="0.25">
      <c r="B22" s="37" t="s">
        <v>81</v>
      </c>
      <c r="C22" s="38" t="s">
        <v>67</v>
      </c>
    </row>
    <row r="23" spans="2:3" x14ac:dyDescent="0.25">
      <c r="B23" s="37" t="s">
        <v>82</v>
      </c>
      <c r="C23" s="39" t="s">
        <v>68</v>
      </c>
    </row>
    <row r="24" spans="2:3" x14ac:dyDescent="0.25">
      <c r="B24" s="19"/>
    </row>
    <row r="25" spans="2:3" x14ac:dyDescent="0.25">
      <c r="B25" s="19"/>
    </row>
    <row r="26" spans="2:3" x14ac:dyDescent="0.25">
      <c r="B26" s="19"/>
    </row>
    <row r="27" spans="2:3" x14ac:dyDescent="0.25">
      <c r="B27" s="19"/>
    </row>
    <row r="28" spans="2:3" x14ac:dyDescent="0.25">
      <c r="B28" s="19"/>
    </row>
    <row r="29" spans="2:3" x14ac:dyDescent="0.25">
      <c r="B29" s="19"/>
    </row>
    <row r="30" spans="2:3" x14ac:dyDescent="0.25">
      <c r="B30" s="19"/>
    </row>
    <row r="31" spans="2:3" x14ac:dyDescent="0.25">
      <c r="B31" s="19"/>
    </row>
    <row r="32" spans="2:3" x14ac:dyDescent="0.25">
      <c r="B32" s="19"/>
    </row>
    <row r="33" spans="2:2" x14ac:dyDescent="0.25">
      <c r="B33" s="19"/>
    </row>
    <row r="34" spans="2:2" x14ac:dyDescent="0.25">
      <c r="B34" s="19"/>
    </row>
    <row r="35" spans="2:2" x14ac:dyDescent="0.25">
      <c r="B35" s="19"/>
    </row>
    <row r="36" spans="2:2" x14ac:dyDescent="0.25">
      <c r="B36" s="19"/>
    </row>
    <row r="37" spans="2:2" x14ac:dyDescent="0.25">
      <c r="B37" s="19"/>
    </row>
    <row r="38" spans="2:2" x14ac:dyDescent="0.25">
      <c r="B38" s="19"/>
    </row>
    <row r="39" spans="2:2" x14ac:dyDescent="0.25">
      <c r="B39" s="19"/>
    </row>
    <row r="40" spans="2:2" x14ac:dyDescent="0.25">
      <c r="B40" s="19"/>
    </row>
    <row r="41" spans="2:2" x14ac:dyDescent="0.25">
      <c r="B41" s="19"/>
    </row>
    <row r="42" spans="2:2" x14ac:dyDescent="0.25">
      <c r="B42" s="19"/>
    </row>
    <row r="43" spans="2:2" x14ac:dyDescent="0.25">
      <c r="B43" s="19"/>
    </row>
    <row r="44" spans="2:2" x14ac:dyDescent="0.25">
      <c r="B44" s="19"/>
    </row>
    <row r="45" spans="2:2" x14ac:dyDescent="0.25">
      <c r="B45" s="19"/>
    </row>
    <row r="46" spans="2:2" x14ac:dyDescent="0.25">
      <c r="B46" s="19"/>
    </row>
    <row r="47" spans="2:2" x14ac:dyDescent="0.25">
      <c r="B47" s="19"/>
    </row>
    <row r="48" spans="2:2" x14ac:dyDescent="0.25">
      <c r="B48" s="19"/>
    </row>
    <row r="49" spans="2:2" x14ac:dyDescent="0.25">
      <c r="B49" s="19"/>
    </row>
    <row r="50" spans="2:2" x14ac:dyDescent="0.25">
      <c r="B50" s="19"/>
    </row>
    <row r="51" spans="2:2" x14ac:dyDescent="0.25">
      <c r="B51" s="1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9" topLeftCell="A10" activePane="bottomLeft" state="frozen"/>
      <selection pane="bottomLeft" activeCell="F3" sqref="F3"/>
    </sheetView>
  </sheetViews>
  <sheetFormatPr defaultColWidth="8.85546875" defaultRowHeight="15" x14ac:dyDescent="0.25"/>
  <cols>
    <col min="1" max="1" width="22.42578125" style="1" customWidth="1"/>
    <col min="2" max="2" width="15.140625" style="1" customWidth="1"/>
    <col min="3" max="3" width="16.42578125" style="1" bestFit="1" customWidth="1"/>
    <col min="4" max="9" width="17.7109375" style="1" customWidth="1"/>
    <col min="10" max="16384" width="8.85546875" style="1"/>
  </cols>
  <sheetData>
    <row r="1" spans="1:9" x14ac:dyDescent="0.25">
      <c r="D1" s="19"/>
      <c r="E1" s="1" t="s">
        <v>6</v>
      </c>
      <c r="F1" s="1">
        <f>SUBTOTAL(2,G10:G1714)</f>
        <v>2</v>
      </c>
      <c r="I1" s="19"/>
    </row>
    <row r="2" spans="1:9" x14ac:dyDescent="0.25">
      <c r="D2" s="19"/>
      <c r="E2" s="1" t="s">
        <v>20</v>
      </c>
      <c r="F2" s="3">
        <f>TINV(0.05,F1)</f>
        <v>4.3026527297494637</v>
      </c>
      <c r="I2" s="19"/>
    </row>
    <row r="3" spans="1:9" x14ac:dyDescent="0.25">
      <c r="D3" s="19"/>
      <c r="E3" s="1" t="s">
        <v>36</v>
      </c>
      <c r="F3" s="20">
        <f>SQRT(SUBTOTAL(9,G10:G1714)/(2*F1))</f>
        <v>0</v>
      </c>
      <c r="H3" s="3"/>
      <c r="I3" s="19"/>
    </row>
    <row r="4" spans="1:9" x14ac:dyDescent="0.25">
      <c r="D4" s="19"/>
      <c r="E4" s="1" t="s">
        <v>3</v>
      </c>
      <c r="F4" s="20" t="e">
        <f>SUBTOTAL(1,D10:D37)</f>
        <v>#DIV/0!</v>
      </c>
      <c r="H4" s="3"/>
      <c r="I4" s="19"/>
    </row>
    <row r="5" spans="1:9" x14ac:dyDescent="0.25">
      <c r="D5" s="19"/>
      <c r="F5" s="20"/>
      <c r="H5" s="3"/>
      <c r="I5" s="19"/>
    </row>
    <row r="6" spans="1:9" x14ac:dyDescent="0.25">
      <c r="D6" s="19"/>
      <c r="E6" s="1" t="s">
        <v>33</v>
      </c>
      <c r="F6" s="3">
        <f>TINV(0.05,F1)*F3*SQRT(2)</f>
        <v>0</v>
      </c>
      <c r="I6" s="19"/>
    </row>
    <row r="7" spans="1:9" x14ac:dyDescent="0.25">
      <c r="D7" s="19"/>
      <c r="E7" s="1" t="s">
        <v>21</v>
      </c>
      <c r="F7" s="20" t="e">
        <f>IF(LOG(F3/2)&lt;0,10^(TRUNC(LOG(F3/2))-1), 10^(TRUNC(LOG(F3/2))))</f>
        <v>#NUM!</v>
      </c>
      <c r="I7" s="19"/>
    </row>
    <row r="8" spans="1:9" x14ac:dyDescent="0.25">
      <c r="D8" s="19"/>
      <c r="E8" s="19"/>
      <c r="F8" s="19"/>
      <c r="G8" s="19"/>
      <c r="H8" s="19"/>
      <c r="I8" s="19"/>
    </row>
    <row r="9" spans="1:9" x14ac:dyDescent="0.25">
      <c r="A9" s="1" t="s">
        <v>9</v>
      </c>
      <c r="B9" s="1" t="s">
        <v>30</v>
      </c>
      <c r="C9" s="1" t="s">
        <v>23</v>
      </c>
      <c r="D9" s="19" t="s">
        <v>24</v>
      </c>
      <c r="E9" s="19" t="s">
        <v>25</v>
      </c>
      <c r="F9" s="19" t="s">
        <v>26</v>
      </c>
      <c r="G9" s="19" t="s">
        <v>27</v>
      </c>
      <c r="H9" s="19" t="s">
        <v>28</v>
      </c>
      <c r="I9" s="19" t="s">
        <v>29</v>
      </c>
    </row>
    <row r="10" spans="1:9" x14ac:dyDescent="0.25">
      <c r="F10" s="19">
        <f>D10-E10</f>
        <v>0</v>
      </c>
      <c r="G10" s="19">
        <f t="shared" ref="G10:G36" si="0">F10^2</f>
        <v>0</v>
      </c>
      <c r="H10" s="19" t="s">
        <v>17</v>
      </c>
      <c r="I10" s="19" t="s">
        <v>17</v>
      </c>
    </row>
    <row r="11" spans="1:9" x14ac:dyDescent="0.25">
      <c r="F11" s="19"/>
      <c r="G11" s="19"/>
      <c r="H11" s="19"/>
      <c r="I11" s="19"/>
    </row>
    <row r="12" spans="1:9" x14ac:dyDescent="0.25">
      <c r="F12" s="19"/>
      <c r="G12" s="19"/>
      <c r="H12" s="19"/>
      <c r="I12" s="19"/>
    </row>
    <row r="13" spans="1:9" x14ac:dyDescent="0.25">
      <c r="F13" s="19"/>
      <c r="G13" s="19"/>
      <c r="H13" s="19"/>
      <c r="I13" s="19"/>
    </row>
    <row r="14" spans="1:9" x14ac:dyDescent="0.25">
      <c r="D14" s="19"/>
      <c r="E14" s="19"/>
      <c r="F14" s="19"/>
      <c r="G14" s="19"/>
      <c r="H14" s="19"/>
      <c r="I14" s="19"/>
    </row>
    <row r="15" spans="1:9" x14ac:dyDescent="0.25">
      <c r="F15" s="19"/>
      <c r="G15" s="19"/>
      <c r="H15" s="19"/>
      <c r="I15" s="19"/>
    </row>
    <row r="16" spans="1:9" x14ac:dyDescent="0.25">
      <c r="F16" s="19"/>
      <c r="G16" s="19"/>
      <c r="H16" s="19"/>
      <c r="I16" s="19"/>
    </row>
    <row r="17" spans="4:9" x14ac:dyDescent="0.25">
      <c r="F17" s="19"/>
      <c r="G17" s="19"/>
      <c r="H17" s="19"/>
      <c r="I17" s="19"/>
    </row>
    <row r="18" spans="4:9" x14ac:dyDescent="0.25">
      <c r="F18" s="19"/>
      <c r="G18" s="19"/>
      <c r="H18" s="19"/>
      <c r="I18" s="19"/>
    </row>
    <row r="19" spans="4:9" x14ac:dyDescent="0.25">
      <c r="F19" s="19"/>
      <c r="G19" s="19"/>
      <c r="H19" s="19"/>
      <c r="I19" s="19"/>
    </row>
    <row r="20" spans="4:9" x14ac:dyDescent="0.25">
      <c r="F20" s="19"/>
      <c r="G20" s="19"/>
      <c r="H20" s="19"/>
      <c r="I20" s="19"/>
    </row>
    <row r="21" spans="4:9" x14ac:dyDescent="0.25">
      <c r="F21" s="19"/>
      <c r="G21" s="19"/>
      <c r="H21" s="19"/>
      <c r="I21" s="19"/>
    </row>
    <row r="22" spans="4:9" x14ac:dyDescent="0.25">
      <c r="F22" s="19"/>
      <c r="G22" s="19"/>
      <c r="H22" s="19"/>
      <c r="I22" s="19"/>
    </row>
    <row r="23" spans="4:9" x14ac:dyDescent="0.25">
      <c r="F23" s="19"/>
      <c r="G23" s="19"/>
      <c r="H23" s="19"/>
      <c r="I23" s="19"/>
    </row>
    <row r="24" spans="4:9" x14ac:dyDescent="0.25">
      <c r="F24" s="19"/>
      <c r="G24" s="19"/>
      <c r="H24" s="19"/>
      <c r="I24" s="19"/>
    </row>
    <row r="25" spans="4:9" x14ac:dyDescent="0.25">
      <c r="F25" s="19"/>
      <c r="G25" s="19"/>
      <c r="H25" s="19"/>
      <c r="I25" s="19"/>
    </row>
    <row r="26" spans="4:9" x14ac:dyDescent="0.25">
      <c r="F26" s="19"/>
      <c r="G26" s="19"/>
      <c r="H26" s="19"/>
      <c r="I26" s="19"/>
    </row>
    <row r="27" spans="4:9" x14ac:dyDescent="0.25">
      <c r="F27" s="19"/>
      <c r="G27" s="19"/>
      <c r="H27" s="19"/>
      <c r="I27" s="19"/>
    </row>
    <row r="28" spans="4:9" x14ac:dyDescent="0.25">
      <c r="F28" s="19"/>
      <c r="G28" s="19"/>
      <c r="H28" s="19"/>
      <c r="I28" s="19"/>
    </row>
    <row r="29" spans="4:9" x14ac:dyDescent="0.25">
      <c r="F29" s="19"/>
      <c r="G29" s="19"/>
      <c r="H29" s="19"/>
      <c r="I29" s="19"/>
    </row>
    <row r="30" spans="4:9" x14ac:dyDescent="0.25">
      <c r="F30" s="19"/>
      <c r="G30" s="19"/>
      <c r="H30" s="19"/>
      <c r="I30" s="19"/>
    </row>
    <row r="31" spans="4:9" x14ac:dyDescent="0.25">
      <c r="D31" s="19"/>
      <c r="E31" s="19"/>
      <c r="F31" s="19"/>
      <c r="G31" s="19"/>
      <c r="H31" s="19"/>
      <c r="I31" s="19"/>
    </row>
    <row r="32" spans="4:9" x14ac:dyDescent="0.25">
      <c r="F32" s="19"/>
      <c r="G32" s="19"/>
      <c r="H32" s="19"/>
      <c r="I32" s="19"/>
    </row>
    <row r="33" spans="4:9" x14ac:dyDescent="0.25">
      <c r="F33" s="19"/>
      <c r="G33" s="19"/>
      <c r="H33" s="19"/>
      <c r="I33" s="19"/>
    </row>
    <row r="34" spans="4:9" x14ac:dyDescent="0.25">
      <c r="D34" s="19"/>
      <c r="E34" s="19"/>
      <c r="F34" s="19"/>
      <c r="G34" s="19"/>
      <c r="H34" s="19"/>
      <c r="I34" s="19"/>
    </row>
    <row r="35" spans="4:9" x14ac:dyDescent="0.25">
      <c r="F35" s="19"/>
      <c r="G35" s="19"/>
      <c r="H35" s="19"/>
      <c r="I35" s="19"/>
    </row>
    <row r="36" spans="4:9" x14ac:dyDescent="0.25">
      <c r="F36" s="19">
        <f t="shared" ref="F36" si="1">ABS(D36-E36)</f>
        <v>0</v>
      </c>
      <c r="G36" s="19">
        <f t="shared" si="0"/>
        <v>0</v>
      </c>
      <c r="H36" s="19" t="s">
        <v>17</v>
      </c>
      <c r="I36" s="19" t="s">
        <v>32</v>
      </c>
    </row>
  </sheetData>
  <autoFilter ref="A9:I36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28" sqref="D28"/>
    </sheetView>
  </sheetViews>
  <sheetFormatPr defaultColWidth="8.85546875" defaultRowHeight="15" x14ac:dyDescent="0.25"/>
  <cols>
    <col min="1" max="1" width="19.140625" bestFit="1" customWidth="1"/>
    <col min="2" max="2" width="15.42578125" customWidth="1"/>
    <col min="3" max="3" width="10.7109375" customWidth="1"/>
    <col min="4" max="4" width="18.140625" bestFit="1" customWidth="1"/>
    <col min="5" max="5" width="9.28515625" bestFit="1" customWidth="1"/>
    <col min="6" max="6" width="8.140625" bestFit="1" customWidth="1"/>
    <col min="7" max="7" width="8.42578125" customWidth="1"/>
    <col min="8" max="8" width="12.140625" customWidth="1"/>
    <col min="9" max="9" width="14.140625" customWidth="1"/>
    <col min="10" max="11" width="17.140625" customWidth="1"/>
  </cols>
  <sheetData>
    <row r="1" spans="1:13" x14ac:dyDescent="0.25">
      <c r="A1" s="55" t="s">
        <v>24</v>
      </c>
      <c r="B1" s="55" t="s">
        <v>25</v>
      </c>
      <c r="C1" s="55" t="s">
        <v>90</v>
      </c>
      <c r="D1" s="55" t="s">
        <v>91</v>
      </c>
      <c r="E1" s="55" t="s">
        <v>92</v>
      </c>
      <c r="F1" s="55" t="s">
        <v>39</v>
      </c>
      <c r="G1" s="55" t="s">
        <v>93</v>
      </c>
      <c r="H1" s="48"/>
      <c r="I1" s="51"/>
      <c r="J1" s="27"/>
      <c r="K1" s="27"/>
      <c r="L1" s="27"/>
      <c r="M1" s="27"/>
    </row>
    <row r="2" spans="1:13" x14ac:dyDescent="0.25">
      <c r="A2" s="55">
        <v>63.9</v>
      </c>
      <c r="B2" s="55">
        <v>63.9</v>
      </c>
      <c r="C2" s="55">
        <v>63.5</v>
      </c>
      <c r="D2" s="55">
        <v>65</v>
      </c>
      <c r="E2" s="55">
        <v>64.900000000000006</v>
      </c>
      <c r="F2" s="55">
        <v>63.4</v>
      </c>
      <c r="G2" s="55">
        <v>62.9</v>
      </c>
      <c r="H2" s="50"/>
      <c r="J2" s="28"/>
      <c r="K2" s="28"/>
      <c r="L2" s="29"/>
      <c r="M2" s="31"/>
    </row>
    <row r="3" spans="1:13" x14ac:dyDescent="0.25">
      <c r="A3" s="55">
        <v>63.7</v>
      </c>
      <c r="B3" s="55"/>
      <c r="C3" s="55">
        <v>62.4</v>
      </c>
      <c r="D3" s="55">
        <v>63.1</v>
      </c>
      <c r="E3" s="55">
        <v>64.8</v>
      </c>
      <c r="F3" s="55">
        <v>62.5</v>
      </c>
      <c r="G3" s="55">
        <v>63.3</v>
      </c>
      <c r="H3" s="50"/>
      <c r="J3" s="28"/>
      <c r="K3" s="28"/>
      <c r="L3" s="29"/>
      <c r="M3" s="31"/>
    </row>
    <row r="4" spans="1:13" x14ac:dyDescent="0.25">
      <c r="A4" s="55"/>
      <c r="B4" s="55"/>
      <c r="C4" s="55"/>
      <c r="D4" s="55">
        <v>62.5</v>
      </c>
      <c r="E4" s="55">
        <v>64.5</v>
      </c>
      <c r="F4" s="55">
        <v>65.400000000000006</v>
      </c>
      <c r="G4" s="55">
        <v>63.1</v>
      </c>
      <c r="H4" s="50"/>
      <c r="J4" s="30"/>
      <c r="K4" s="28"/>
      <c r="L4" s="29"/>
      <c r="M4" s="31"/>
    </row>
    <row r="5" spans="1:13" x14ac:dyDescent="0.25">
      <c r="A5" s="49"/>
      <c r="B5" s="49"/>
      <c r="C5" s="49"/>
      <c r="D5" s="49"/>
      <c r="E5" s="50"/>
      <c r="F5" s="50"/>
      <c r="G5" s="50"/>
      <c r="H5" s="50"/>
      <c r="J5" s="30"/>
      <c r="K5" s="30"/>
      <c r="L5" s="29"/>
      <c r="M5" s="31"/>
    </row>
    <row r="6" spans="1:13" x14ac:dyDescent="0.25">
      <c r="A6" s="49"/>
      <c r="B6" s="49"/>
      <c r="C6" s="49"/>
      <c r="D6" s="49"/>
      <c r="E6" s="50"/>
      <c r="F6" s="50"/>
      <c r="G6" s="50"/>
      <c r="H6" s="50"/>
      <c r="J6" s="30"/>
      <c r="K6" s="30"/>
      <c r="L6" s="29"/>
      <c r="M6" s="31"/>
    </row>
    <row r="7" spans="1:13" x14ac:dyDescent="0.25">
      <c r="A7" s="49"/>
      <c r="B7" s="49"/>
      <c r="C7" s="49"/>
      <c r="D7" s="49"/>
      <c r="E7" s="50"/>
      <c r="F7" s="50"/>
      <c r="G7" s="50"/>
      <c r="H7" s="50"/>
      <c r="J7" s="30"/>
      <c r="K7" s="30"/>
      <c r="L7" s="29"/>
      <c r="M7" s="31"/>
    </row>
    <row r="8" spans="1:13" x14ac:dyDescent="0.25">
      <c r="A8" s="49"/>
      <c r="B8" s="49"/>
      <c r="C8" s="49"/>
      <c r="D8" s="49"/>
      <c r="E8" s="50"/>
      <c r="F8" s="50"/>
      <c r="G8" s="50"/>
      <c r="H8" s="50"/>
      <c r="J8" s="30"/>
      <c r="K8" s="30"/>
      <c r="L8" s="29"/>
      <c r="M8" s="31"/>
    </row>
    <row r="9" spans="1:13" x14ac:dyDescent="0.25">
      <c r="A9" t="s">
        <v>40</v>
      </c>
    </row>
    <row r="11" spans="1:13" ht="15.75" thickBot="1" x14ac:dyDescent="0.3">
      <c r="A11" t="s">
        <v>41</v>
      </c>
      <c r="F11" s="62"/>
    </row>
    <row r="12" spans="1:13" x14ac:dyDescent="0.25">
      <c r="A12" s="24" t="s">
        <v>42</v>
      </c>
      <c r="B12" s="24" t="s">
        <v>43</v>
      </c>
      <c r="C12" s="24" t="s">
        <v>44</v>
      </c>
      <c r="D12" s="24" t="s">
        <v>45</v>
      </c>
      <c r="E12" s="24" t="s">
        <v>46</v>
      </c>
    </row>
    <row r="13" spans="1:13" x14ac:dyDescent="0.25">
      <c r="A13" s="33" t="s">
        <v>24</v>
      </c>
      <c r="B13" s="33">
        <v>2</v>
      </c>
      <c r="C13" s="33">
        <v>127.6</v>
      </c>
      <c r="D13" s="34">
        <v>63.8</v>
      </c>
      <c r="E13" s="34">
        <v>1.999999999999915E-2</v>
      </c>
      <c r="F13" s="67">
        <f>E13/$D$20</f>
        <v>3.1405391258831433E-4</v>
      </c>
    </row>
    <row r="14" spans="1:13" x14ac:dyDescent="0.25">
      <c r="A14" s="33" t="s">
        <v>25</v>
      </c>
      <c r="B14" s="33">
        <v>1</v>
      </c>
      <c r="C14" s="33">
        <v>63.9</v>
      </c>
      <c r="D14" s="34">
        <v>63.9</v>
      </c>
      <c r="E14" s="34"/>
      <c r="F14" s="65">
        <f t="shared" ref="F14:F19" si="0">E14/$D$20</f>
        <v>0</v>
      </c>
    </row>
    <row r="15" spans="1:13" x14ac:dyDescent="0.25">
      <c r="A15" s="33" t="s">
        <v>90</v>
      </c>
      <c r="B15" s="33">
        <v>2</v>
      </c>
      <c r="C15" s="33">
        <v>125.9</v>
      </c>
      <c r="D15" s="34">
        <v>62.95</v>
      </c>
      <c r="E15" s="34">
        <v>0.60500000000000154</v>
      </c>
      <c r="F15" s="65">
        <f t="shared" si="0"/>
        <v>9.5001308557969358E-3</v>
      </c>
    </row>
    <row r="16" spans="1:13" x14ac:dyDescent="0.25">
      <c r="A16" s="33" t="s">
        <v>91</v>
      </c>
      <c r="B16" s="33">
        <v>3</v>
      </c>
      <c r="C16" s="33">
        <v>190.6</v>
      </c>
      <c r="D16" s="34">
        <v>63.533333333333331</v>
      </c>
      <c r="E16" s="34">
        <v>1.7033333333333327</v>
      </c>
      <c r="F16" s="65">
        <f t="shared" si="0"/>
        <v>2.6746924888772564E-2</v>
      </c>
    </row>
    <row r="17" spans="1:10" x14ac:dyDescent="0.25">
      <c r="A17" s="33" t="s">
        <v>92</v>
      </c>
      <c r="B17" s="33">
        <v>3</v>
      </c>
      <c r="C17" s="33">
        <v>194.2</v>
      </c>
      <c r="D17" s="34">
        <v>64.733333333333334</v>
      </c>
      <c r="E17" s="34">
        <v>4.3333333333334091E-2</v>
      </c>
      <c r="F17" s="65">
        <f t="shared" si="0"/>
        <v>6.8045014394138852E-4</v>
      </c>
    </row>
    <row r="18" spans="1:10" x14ac:dyDescent="0.25">
      <c r="A18" s="33" t="s">
        <v>39</v>
      </c>
      <c r="B18" s="33">
        <v>3</v>
      </c>
      <c r="C18" s="33">
        <v>191.3</v>
      </c>
      <c r="D18" s="34">
        <v>63.766666666666673</v>
      </c>
      <c r="E18" s="34">
        <v>2.2033333333333429</v>
      </c>
      <c r="F18" s="65">
        <f t="shared" si="0"/>
        <v>3.4598272703480919E-2</v>
      </c>
    </row>
    <row r="19" spans="1:10" ht="15.75" thickBot="1" x14ac:dyDescent="0.3">
      <c r="A19" s="35" t="s">
        <v>93</v>
      </c>
      <c r="B19" s="35">
        <v>3</v>
      </c>
      <c r="C19" s="35">
        <v>189.29999999999998</v>
      </c>
      <c r="D19" s="36">
        <v>63.099999999999994</v>
      </c>
      <c r="E19" s="36">
        <v>3.9999999999999716E-2</v>
      </c>
      <c r="F19" s="68">
        <f t="shared" si="0"/>
        <v>6.281078251766509E-4</v>
      </c>
    </row>
    <row r="20" spans="1:10" x14ac:dyDescent="0.25">
      <c r="C20" s="1" t="s">
        <v>45</v>
      </c>
      <c r="D20" s="3">
        <f>AVERAGE(D13:D19)</f>
        <v>63.68333333333333</v>
      </c>
      <c r="E20" s="1" t="s">
        <v>94</v>
      </c>
      <c r="F20" s="66">
        <f>AVERAGE(F13:F19)</f>
        <v>1.0352562904250967E-2</v>
      </c>
    </row>
    <row r="22" spans="1:10" ht="15.75" thickBot="1" x14ac:dyDescent="0.3">
      <c r="A22" t="s">
        <v>38</v>
      </c>
    </row>
    <row r="23" spans="1:10" x14ac:dyDescent="0.25">
      <c r="A23" s="24" t="s">
        <v>47</v>
      </c>
      <c r="B23" s="24" t="s">
        <v>48</v>
      </c>
      <c r="C23" s="24" t="s">
        <v>49</v>
      </c>
      <c r="D23" s="24" t="s">
        <v>50</v>
      </c>
      <c r="E23" s="24" t="s">
        <v>39</v>
      </c>
      <c r="F23" s="24" t="s">
        <v>51</v>
      </c>
      <c r="G23" s="24" t="s">
        <v>52</v>
      </c>
    </row>
    <row r="24" spans="1:10" x14ac:dyDescent="0.25">
      <c r="A24" s="44" t="s">
        <v>53</v>
      </c>
      <c r="B24" s="34">
        <v>5.5644117647058966</v>
      </c>
      <c r="C24" s="33">
        <v>6</v>
      </c>
      <c r="D24" s="52">
        <v>0.92740196078431614</v>
      </c>
      <c r="E24" s="52">
        <v>1.0777477754611435</v>
      </c>
      <c r="F24" s="52">
        <v>0.43587883618735324</v>
      </c>
      <c r="G24" s="52">
        <v>3.217174547398995</v>
      </c>
    </row>
    <row r="25" spans="1:10" x14ac:dyDescent="0.25">
      <c r="A25" s="44" t="s">
        <v>54</v>
      </c>
      <c r="B25" s="34">
        <v>8.60500000000002</v>
      </c>
      <c r="C25" s="33">
        <v>10</v>
      </c>
      <c r="D25" s="52">
        <v>0.86050000000000204</v>
      </c>
      <c r="E25" s="52"/>
      <c r="F25" s="52"/>
      <c r="G25" s="52"/>
    </row>
    <row r="26" spans="1:10" x14ac:dyDescent="0.25">
      <c r="A26" s="44"/>
      <c r="B26" s="34"/>
      <c r="C26" s="33"/>
      <c r="D26" s="44"/>
      <c r="E26" s="44"/>
      <c r="F26" s="44"/>
      <c r="G26" s="44"/>
    </row>
    <row r="27" spans="1:10" ht="15.75" thickBot="1" x14ac:dyDescent="0.3">
      <c r="A27" s="45" t="s">
        <v>55</v>
      </c>
      <c r="B27" s="36">
        <v>14.169411764705917</v>
      </c>
      <c r="C27" s="35">
        <v>16</v>
      </c>
      <c r="D27" s="45"/>
      <c r="E27" s="45"/>
      <c r="F27" s="45"/>
      <c r="G27" s="45"/>
    </row>
    <row r="28" spans="1:10" x14ac:dyDescent="0.25">
      <c r="A28" s="44"/>
      <c r="B28" s="34"/>
      <c r="C28" s="33"/>
      <c r="D28" s="52" t="s">
        <v>97</v>
      </c>
      <c r="E28" s="52"/>
      <c r="F28" s="52"/>
      <c r="G28" s="52"/>
    </row>
    <row r="29" spans="1:10" x14ac:dyDescent="0.25">
      <c r="A29" t="s">
        <v>96</v>
      </c>
      <c r="C29" s="1" t="s">
        <v>65</v>
      </c>
      <c r="D29" s="3">
        <f>SQRT(D25)</f>
        <v>0.92763139231054592</v>
      </c>
    </row>
    <row r="30" spans="1:10" x14ac:dyDescent="0.25">
      <c r="C30" s="1" t="s">
        <v>66</v>
      </c>
      <c r="D30" s="3">
        <f>SQRT((D24-D25)/3)</f>
        <v>0.14933403361180386</v>
      </c>
    </row>
    <row r="31" spans="1:10" x14ac:dyDescent="0.25">
      <c r="A31" t="s">
        <v>62</v>
      </c>
      <c r="C31" s="1" t="s">
        <v>64</v>
      </c>
      <c r="D31" s="3">
        <f>SQRT(D29^2+D30^2)</f>
        <v>0.93957471953792659</v>
      </c>
      <c r="J31" s="54"/>
    </row>
    <row r="32" spans="1:10" ht="15.75" thickBot="1" x14ac:dyDescent="0.3"/>
    <row r="33" spans="1:5" x14ac:dyDescent="0.25">
      <c r="A33" s="57" t="s">
        <v>98</v>
      </c>
      <c r="B33" s="58"/>
      <c r="C33" s="58"/>
      <c r="D33" s="59">
        <f>2*D31</f>
        <v>1.8791494390758532</v>
      </c>
      <c r="E33" s="60" t="s">
        <v>94</v>
      </c>
    </row>
    <row r="34" spans="1:5" ht="15.75" thickBot="1" x14ac:dyDescent="0.3">
      <c r="A34" s="61"/>
      <c r="B34" s="62"/>
      <c r="C34" s="62"/>
      <c r="D34" s="63">
        <f>D33/D20</f>
        <v>2.950771168399665E-2</v>
      </c>
      <c r="E34" s="64"/>
    </row>
    <row r="36" spans="1:5" x14ac:dyDescent="0.25">
      <c r="A36" t="s">
        <v>76</v>
      </c>
      <c r="B36" t="s">
        <v>77</v>
      </c>
    </row>
    <row r="37" spans="1:5" x14ac:dyDescent="0.25">
      <c r="A37" t="s">
        <v>78</v>
      </c>
      <c r="B37" t="s">
        <v>79</v>
      </c>
    </row>
  </sheetData>
  <hyperlinks>
    <hyperlink ref="J31" location="_ftnref1" display="_ftnref1"/>
  </hyperlink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pane ySplit="9" topLeftCell="A10" activePane="bottomLeft" state="frozen"/>
      <selection pane="bottomLeft" activeCell="C4" sqref="C4"/>
    </sheetView>
  </sheetViews>
  <sheetFormatPr defaultColWidth="13.42578125" defaultRowHeight="15" x14ac:dyDescent="0.25"/>
  <cols>
    <col min="1" max="1" width="17.7109375" style="1" customWidth="1"/>
    <col min="2" max="2" width="21.85546875" style="1" bestFit="1" customWidth="1"/>
    <col min="3" max="3" width="13.42578125" style="2"/>
    <col min="4" max="4" width="15.140625" style="1" customWidth="1"/>
    <col min="5" max="5" width="16.42578125" style="1" bestFit="1" customWidth="1"/>
    <col min="6" max="6" width="13.42578125" style="13"/>
    <col min="7" max="7" width="10.42578125" style="15" customWidth="1"/>
    <col min="8" max="8" width="7.42578125" style="6" customWidth="1"/>
    <col min="9" max="9" width="13.42578125" style="5"/>
    <col min="10" max="12" width="13.42578125" style="3"/>
    <col min="13" max="13" width="31.85546875" customWidth="1"/>
  </cols>
  <sheetData>
    <row r="1" spans="1:20" x14ac:dyDescent="0.25">
      <c r="C1" s="3"/>
    </row>
    <row r="2" spans="1:20" x14ac:dyDescent="0.25">
      <c r="B2" s="1" t="s">
        <v>10</v>
      </c>
      <c r="C2" s="3">
        <f>SUBTOTAL(1,J10:J288)/SQRT(SUBTOTAL(1,H10:H288))</f>
        <v>0.62295148933278621</v>
      </c>
    </row>
    <row r="3" spans="1:20" x14ac:dyDescent="0.25">
      <c r="B3" s="1" t="s">
        <v>13</v>
      </c>
      <c r="C3" s="3">
        <f>SUBTOTAL(1, L10:L288)</f>
        <v>-1.2111436950146683</v>
      </c>
    </row>
    <row r="4" spans="1:20" x14ac:dyDescent="0.25">
      <c r="B4" s="1" t="s">
        <v>11</v>
      </c>
      <c r="C4" s="3">
        <f>SUBTOTAL(7,L10:L288)</f>
        <v>9.1149702867018014</v>
      </c>
    </row>
    <row r="5" spans="1:20" x14ac:dyDescent="0.25">
      <c r="B5" s="1" t="s">
        <v>12</v>
      </c>
      <c r="C5" s="3">
        <f>SQRT(C4^2+C2^2)</f>
        <v>9.1362329154591198</v>
      </c>
    </row>
    <row r="6" spans="1:20" x14ac:dyDescent="0.25">
      <c r="B6" s="1" t="s">
        <v>14</v>
      </c>
      <c r="C6" s="4" t="str">
        <f>IF(2*C5&lt;ABS(C3),"Significant","Insignificant")</f>
        <v>Insignificant</v>
      </c>
    </row>
    <row r="7" spans="1:20" x14ac:dyDescent="0.25">
      <c r="B7" s="37" t="s">
        <v>74</v>
      </c>
      <c r="C7" s="38" t="s">
        <v>67</v>
      </c>
    </row>
    <row r="8" spans="1:20" x14ac:dyDescent="0.25">
      <c r="B8" s="37" t="s">
        <v>75</v>
      </c>
      <c r="C8" s="39" t="s">
        <v>68</v>
      </c>
    </row>
    <row r="9" spans="1:20" s="12" customFormat="1" ht="41.25" customHeight="1" thickBot="1" x14ac:dyDescent="0.3">
      <c r="A9" s="7" t="s">
        <v>0</v>
      </c>
      <c r="B9" s="7" t="s">
        <v>1</v>
      </c>
      <c r="C9" s="8" t="s">
        <v>2</v>
      </c>
      <c r="D9" s="7" t="s">
        <v>15</v>
      </c>
      <c r="E9" s="7" t="s">
        <v>9</v>
      </c>
      <c r="F9" s="14" t="s">
        <v>37</v>
      </c>
      <c r="G9" s="16" t="s">
        <v>4</v>
      </c>
      <c r="H9" s="9" t="s">
        <v>6</v>
      </c>
      <c r="I9" s="10" t="s">
        <v>16</v>
      </c>
      <c r="J9" s="11" t="s">
        <v>5</v>
      </c>
      <c r="K9" s="11" t="s">
        <v>7</v>
      </c>
      <c r="L9" s="11" t="s">
        <v>8</v>
      </c>
    </row>
    <row r="10" spans="1:20" ht="15.75" thickBot="1" x14ac:dyDescent="0.3">
      <c r="A10" s="1" t="s">
        <v>59</v>
      </c>
      <c r="B10" s="1" t="s">
        <v>60</v>
      </c>
      <c r="D10" s="1" t="s">
        <v>94</v>
      </c>
      <c r="E10" s="1" t="s">
        <v>61</v>
      </c>
      <c r="F10" s="23">
        <v>68.2</v>
      </c>
      <c r="G10" s="23">
        <v>1.9</v>
      </c>
      <c r="H10" s="6">
        <v>20</v>
      </c>
      <c r="I10" s="5">
        <v>77.61</v>
      </c>
      <c r="J10" s="3">
        <f t="shared" ref="J10" si="0">G10*100/F10</f>
        <v>2.7859237536656889</v>
      </c>
      <c r="K10" s="3">
        <f t="shared" ref="K10" si="1">I10-F10</f>
        <v>9.4099999999999966</v>
      </c>
      <c r="L10" s="3">
        <f t="shared" ref="L10" si="2">K10*100/F10</f>
        <v>13.797653958944275</v>
      </c>
      <c r="M10" s="17"/>
      <c r="N10" s="73" t="s">
        <v>83</v>
      </c>
      <c r="O10" s="73" t="s">
        <v>86</v>
      </c>
      <c r="P10" s="75" t="s">
        <v>87</v>
      </c>
      <c r="Q10" s="76"/>
      <c r="R10" s="76"/>
      <c r="S10" s="77"/>
    </row>
    <row r="11" spans="1:20" ht="15.75" thickBot="1" x14ac:dyDescent="0.3">
      <c r="A11" s="1" t="s">
        <v>59</v>
      </c>
      <c r="B11" s="1" t="s">
        <v>60</v>
      </c>
      <c r="D11" s="1" t="s">
        <v>94</v>
      </c>
      <c r="E11" s="1" t="s">
        <v>61</v>
      </c>
      <c r="F11" s="23">
        <v>68.2</v>
      </c>
      <c r="G11" s="23">
        <v>1.9</v>
      </c>
      <c r="H11" s="6">
        <v>20</v>
      </c>
      <c r="I11" s="5">
        <v>75.22</v>
      </c>
      <c r="J11" s="3">
        <f t="shared" ref="J11:J12" si="3">G11*100/F11</f>
        <v>2.7859237536656889</v>
      </c>
      <c r="K11" s="3">
        <f t="shared" ref="K11" si="4">I11-F11</f>
        <v>7.019999999999996</v>
      </c>
      <c r="L11" s="3">
        <f t="shared" ref="L11" si="5">K11*100/F11</f>
        <v>10.293255131964802</v>
      </c>
      <c r="M11" s="17"/>
      <c r="N11" s="74"/>
      <c r="O11" s="74"/>
      <c r="P11" s="46" t="s">
        <v>84</v>
      </c>
      <c r="Q11" s="46" t="s">
        <v>88</v>
      </c>
      <c r="R11" s="46" t="s">
        <v>85</v>
      </c>
      <c r="S11" s="46" t="s">
        <v>88</v>
      </c>
    </row>
    <row r="12" spans="1:20" ht="15.75" thickBot="1" x14ac:dyDescent="0.3">
      <c r="A12" s="1" t="s">
        <v>59</v>
      </c>
      <c r="B12" s="1" t="s">
        <v>60</v>
      </c>
      <c r="D12" s="1" t="s">
        <v>94</v>
      </c>
      <c r="E12" s="1" t="s">
        <v>61</v>
      </c>
      <c r="F12" s="23">
        <v>68.2</v>
      </c>
      <c r="G12" s="23">
        <v>1.9</v>
      </c>
      <c r="H12" s="6">
        <v>20</v>
      </c>
      <c r="I12" s="5">
        <v>73.41</v>
      </c>
      <c r="J12" s="3">
        <f t="shared" si="3"/>
        <v>2.7859237536656889</v>
      </c>
      <c r="K12" s="3">
        <f>I11-F12</f>
        <v>7.019999999999996</v>
      </c>
      <c r="L12" s="3">
        <f t="shared" ref="L12" si="6">K12*100/F12</f>
        <v>10.293255131964802</v>
      </c>
      <c r="N12" s="78">
        <v>41986</v>
      </c>
      <c r="O12" s="46">
        <v>1</v>
      </c>
      <c r="P12" s="46">
        <v>263.60000000000002</v>
      </c>
      <c r="Q12" s="53">
        <v>1.1499999999999999</v>
      </c>
      <c r="R12" s="46">
        <v>10.1</v>
      </c>
      <c r="S12" s="53">
        <v>1.2</v>
      </c>
      <c r="T12">
        <f>P12+R12</f>
        <v>273.70000000000005</v>
      </c>
    </row>
    <row r="13" spans="1:20" ht="15.75" thickBot="1" x14ac:dyDescent="0.3">
      <c r="A13" s="1" t="s">
        <v>59</v>
      </c>
      <c r="B13" s="1" t="s">
        <v>60</v>
      </c>
      <c r="D13" s="1" t="s">
        <v>94</v>
      </c>
      <c r="E13" s="1" t="s">
        <v>61</v>
      </c>
      <c r="F13" s="23">
        <v>68.2</v>
      </c>
      <c r="G13" s="23">
        <v>1.9</v>
      </c>
      <c r="H13" s="6">
        <v>20</v>
      </c>
      <c r="I13" s="5">
        <v>76.459999999999994</v>
      </c>
      <c r="J13" s="3">
        <f t="shared" ref="J13:J25" si="7">G13*100/F13</f>
        <v>2.7859237536656889</v>
      </c>
      <c r="K13" s="3">
        <f>I12-F13</f>
        <v>5.2099999999999937</v>
      </c>
      <c r="L13" s="3">
        <f t="shared" ref="L13:L14" si="8">K13*100/F13</f>
        <v>7.6392961876832741</v>
      </c>
      <c r="N13" s="72"/>
      <c r="O13" s="46">
        <v>2</v>
      </c>
      <c r="P13" s="46">
        <v>233.9</v>
      </c>
      <c r="Q13" s="53">
        <v>1.02</v>
      </c>
      <c r="R13" s="46">
        <v>9.1999999999999993</v>
      </c>
      <c r="S13" s="53">
        <v>1.0900000000000001</v>
      </c>
      <c r="T13">
        <f t="shared" ref="T13:T35" si="9">P13+R13</f>
        <v>243.1</v>
      </c>
    </row>
    <row r="14" spans="1:20" ht="15.75" thickBot="1" x14ac:dyDescent="0.3">
      <c r="A14" s="1" t="s">
        <v>59</v>
      </c>
      <c r="B14" s="1" t="s">
        <v>60</v>
      </c>
      <c r="D14" s="1" t="s">
        <v>94</v>
      </c>
      <c r="E14" s="1" t="s">
        <v>61</v>
      </c>
      <c r="F14" s="23">
        <v>68.2</v>
      </c>
      <c r="G14" s="23">
        <v>1.9</v>
      </c>
      <c r="H14" s="6">
        <v>20</v>
      </c>
      <c r="I14" s="5">
        <v>73.63</v>
      </c>
      <c r="J14" s="3">
        <f t="shared" si="7"/>
        <v>2.7859237536656889</v>
      </c>
      <c r="K14" s="3">
        <f>I13-F14</f>
        <v>8.2599999999999909</v>
      </c>
      <c r="L14" s="3">
        <f t="shared" si="8"/>
        <v>12.111436950146613</v>
      </c>
      <c r="N14" s="70">
        <v>41993</v>
      </c>
      <c r="O14" s="46">
        <v>3</v>
      </c>
      <c r="P14" s="46">
        <v>252.4</v>
      </c>
      <c r="Q14" s="53">
        <v>1.1000000000000001</v>
      </c>
      <c r="R14" s="46">
        <v>9.5</v>
      </c>
      <c r="S14" s="53">
        <v>1.1299999999999999</v>
      </c>
      <c r="T14">
        <f t="shared" si="9"/>
        <v>261.89999999999998</v>
      </c>
    </row>
    <row r="15" spans="1:20" ht="15.75" thickBot="1" x14ac:dyDescent="0.3">
      <c r="A15" s="1" t="s">
        <v>59</v>
      </c>
      <c r="B15" s="1" t="s">
        <v>60</v>
      </c>
      <c r="D15" s="1" t="s">
        <v>94</v>
      </c>
      <c r="E15" s="1" t="s">
        <v>61</v>
      </c>
      <c r="F15" s="23">
        <v>68.2</v>
      </c>
      <c r="G15" s="23">
        <v>1.9</v>
      </c>
      <c r="H15" s="6">
        <v>20</v>
      </c>
      <c r="I15" s="5">
        <v>73.17</v>
      </c>
      <c r="J15" s="3">
        <f t="shared" si="7"/>
        <v>2.7859237536656889</v>
      </c>
      <c r="K15" s="3">
        <f t="shared" ref="K15:K21" si="10">I14-F15</f>
        <v>5.4299999999999926</v>
      </c>
      <c r="L15" s="3">
        <f t="shared" ref="L15:L21" si="11">K15*100/F15</f>
        <v>7.9618768328445642</v>
      </c>
      <c r="N15" s="72"/>
      <c r="O15" s="46">
        <v>4</v>
      </c>
      <c r="P15" s="46">
        <v>255.3</v>
      </c>
      <c r="Q15" s="53">
        <v>1.1100000000000001</v>
      </c>
      <c r="R15" s="46">
        <v>9.9</v>
      </c>
      <c r="S15" s="53">
        <v>1.18</v>
      </c>
      <c r="T15">
        <f t="shared" si="9"/>
        <v>265.2</v>
      </c>
    </row>
    <row r="16" spans="1:20" ht="15.75" thickBot="1" x14ac:dyDescent="0.3">
      <c r="A16" s="1" t="s">
        <v>59</v>
      </c>
      <c r="B16" s="1" t="s">
        <v>60</v>
      </c>
      <c r="D16" s="1" t="s">
        <v>94</v>
      </c>
      <c r="E16" s="1" t="s">
        <v>61</v>
      </c>
      <c r="F16" s="23">
        <v>68.2</v>
      </c>
      <c r="G16" s="23">
        <v>1.9</v>
      </c>
      <c r="H16" s="6">
        <v>20</v>
      </c>
      <c r="I16" s="5">
        <v>71.06</v>
      </c>
      <c r="J16" s="3">
        <f t="shared" si="7"/>
        <v>2.7859237536656889</v>
      </c>
      <c r="K16" s="3">
        <f t="shared" si="10"/>
        <v>4.9699999999999989</v>
      </c>
      <c r="L16" s="3">
        <f t="shared" si="11"/>
        <v>7.2873900293255112</v>
      </c>
      <c r="N16" s="70">
        <v>42095</v>
      </c>
      <c r="O16" s="46">
        <v>5</v>
      </c>
      <c r="P16" s="46">
        <v>256</v>
      </c>
      <c r="Q16" s="53">
        <v>1.1200000000000001</v>
      </c>
      <c r="R16" s="46">
        <v>9.6999999999999993</v>
      </c>
      <c r="S16" s="53">
        <v>1.1599999999999999</v>
      </c>
      <c r="T16">
        <f t="shared" si="9"/>
        <v>265.7</v>
      </c>
    </row>
    <row r="17" spans="1:20" ht="15.75" thickBot="1" x14ac:dyDescent="0.3">
      <c r="A17" s="1" t="s">
        <v>59</v>
      </c>
      <c r="B17" s="1" t="s">
        <v>60</v>
      </c>
      <c r="D17" s="1" t="s">
        <v>94</v>
      </c>
      <c r="E17" s="1" t="s">
        <v>61</v>
      </c>
      <c r="F17" s="23">
        <v>68.2</v>
      </c>
      <c r="G17" s="23">
        <v>1.9</v>
      </c>
      <c r="H17" s="6">
        <v>20</v>
      </c>
      <c r="I17" s="5">
        <v>73.17</v>
      </c>
      <c r="J17" s="3">
        <f t="shared" si="7"/>
        <v>2.7859237536656889</v>
      </c>
      <c r="K17" s="3">
        <f t="shared" si="10"/>
        <v>2.8599999999999994</v>
      </c>
      <c r="L17" s="3">
        <f t="shared" si="11"/>
        <v>4.1935483870967731</v>
      </c>
      <c r="N17" s="71"/>
      <c r="O17" s="46">
        <v>6</v>
      </c>
      <c r="P17" s="46">
        <v>233</v>
      </c>
      <c r="Q17" s="53">
        <v>1.02</v>
      </c>
      <c r="R17" s="46">
        <v>10.199999999999999</v>
      </c>
      <c r="S17" s="53">
        <v>1.21</v>
      </c>
      <c r="T17">
        <f t="shared" si="9"/>
        <v>243.2</v>
      </c>
    </row>
    <row r="18" spans="1:20" ht="15.75" thickBot="1" x14ac:dyDescent="0.3">
      <c r="A18" s="1" t="s">
        <v>59</v>
      </c>
      <c r="B18" s="1" t="s">
        <v>60</v>
      </c>
      <c r="D18" s="1" t="s">
        <v>94</v>
      </c>
      <c r="E18" s="1" t="s">
        <v>61</v>
      </c>
      <c r="F18" s="23">
        <v>68.2</v>
      </c>
      <c r="G18" s="23">
        <v>1.9</v>
      </c>
      <c r="H18" s="6">
        <v>20</v>
      </c>
      <c r="I18" s="5">
        <v>64.7</v>
      </c>
      <c r="J18" s="3">
        <f t="shared" si="7"/>
        <v>2.7859237536656889</v>
      </c>
      <c r="K18" s="3">
        <f t="shared" si="10"/>
        <v>4.9699999999999989</v>
      </c>
      <c r="L18" s="3">
        <f t="shared" si="11"/>
        <v>7.2873900293255112</v>
      </c>
      <c r="N18" s="72"/>
      <c r="O18" s="46">
        <v>7</v>
      </c>
      <c r="P18" s="46">
        <v>211</v>
      </c>
      <c r="Q18" s="53">
        <v>0.92</v>
      </c>
      <c r="R18" s="46">
        <v>10.5</v>
      </c>
      <c r="S18" s="53">
        <v>1.25</v>
      </c>
      <c r="T18">
        <f t="shared" si="9"/>
        <v>221.5</v>
      </c>
    </row>
    <row r="19" spans="1:20" ht="15.75" thickBot="1" x14ac:dyDescent="0.3">
      <c r="A19" s="1" t="s">
        <v>59</v>
      </c>
      <c r="B19" s="1" t="s">
        <v>60</v>
      </c>
      <c r="D19" s="1" t="s">
        <v>94</v>
      </c>
      <c r="E19" s="1" t="s">
        <v>61</v>
      </c>
      <c r="F19" s="23">
        <v>68.2</v>
      </c>
      <c r="G19" s="23">
        <v>1.9</v>
      </c>
      <c r="H19" s="6">
        <v>20</v>
      </c>
      <c r="I19" s="5">
        <v>66</v>
      </c>
      <c r="J19" s="3">
        <f t="shared" si="7"/>
        <v>2.7859237536656889</v>
      </c>
      <c r="K19" s="3">
        <f t="shared" si="10"/>
        <v>-3.5</v>
      </c>
      <c r="L19" s="3">
        <f t="shared" si="11"/>
        <v>-5.1319648093841641</v>
      </c>
      <c r="N19" s="70">
        <v>42114</v>
      </c>
      <c r="O19" s="46">
        <v>8</v>
      </c>
      <c r="P19" s="46">
        <v>221.3</v>
      </c>
      <c r="Q19" s="53">
        <v>0.97</v>
      </c>
      <c r="R19" s="46">
        <v>9.4</v>
      </c>
      <c r="S19" s="53">
        <v>1.1200000000000001</v>
      </c>
      <c r="T19">
        <f t="shared" si="9"/>
        <v>230.70000000000002</v>
      </c>
    </row>
    <row r="20" spans="1:20" ht="15.75" thickBot="1" x14ac:dyDescent="0.3">
      <c r="A20" s="1" t="s">
        <v>59</v>
      </c>
      <c r="B20" s="1" t="s">
        <v>60</v>
      </c>
      <c r="D20" s="1" t="s">
        <v>94</v>
      </c>
      <c r="E20" s="1" t="s">
        <v>61</v>
      </c>
      <c r="F20" s="23">
        <v>68.2</v>
      </c>
      <c r="G20" s="23">
        <v>1.9</v>
      </c>
      <c r="H20" s="6">
        <v>20</v>
      </c>
      <c r="I20" s="5">
        <v>62</v>
      </c>
      <c r="J20" s="3">
        <f t="shared" si="7"/>
        <v>2.7859237536656889</v>
      </c>
      <c r="K20" s="3">
        <f t="shared" si="10"/>
        <v>-2.2000000000000028</v>
      </c>
      <c r="L20" s="3">
        <f t="shared" si="11"/>
        <v>-3.2258064516129075</v>
      </c>
      <c r="N20" s="71"/>
      <c r="O20" s="46">
        <v>9</v>
      </c>
      <c r="P20" s="46">
        <v>206.9</v>
      </c>
      <c r="Q20" s="53">
        <v>0.9</v>
      </c>
      <c r="R20" s="46">
        <v>11.9</v>
      </c>
      <c r="S20" s="53">
        <v>1.42</v>
      </c>
      <c r="T20">
        <f t="shared" si="9"/>
        <v>218.8</v>
      </c>
    </row>
    <row r="21" spans="1:20" ht="15.75" thickBot="1" x14ac:dyDescent="0.3">
      <c r="A21" s="1" t="s">
        <v>59</v>
      </c>
      <c r="B21" s="1" t="s">
        <v>60</v>
      </c>
      <c r="D21" s="1" t="s">
        <v>94</v>
      </c>
      <c r="E21" s="1" t="s">
        <v>61</v>
      </c>
      <c r="F21" s="23">
        <v>68.2</v>
      </c>
      <c r="G21" s="23">
        <v>1.9</v>
      </c>
      <c r="H21" s="6">
        <v>20</v>
      </c>
      <c r="I21" s="5">
        <v>61.4</v>
      </c>
      <c r="J21" s="3">
        <f t="shared" si="7"/>
        <v>2.7859237536656889</v>
      </c>
      <c r="K21" s="3">
        <f t="shared" si="10"/>
        <v>-6.2000000000000028</v>
      </c>
      <c r="L21" s="3">
        <f t="shared" si="11"/>
        <v>-9.0909090909090935</v>
      </c>
      <c r="N21" s="72"/>
      <c r="O21" s="46">
        <v>10</v>
      </c>
      <c r="P21" s="46">
        <v>216.6</v>
      </c>
      <c r="Q21" s="53">
        <v>0.95</v>
      </c>
      <c r="R21" s="46">
        <v>9.6999999999999993</v>
      </c>
      <c r="S21" s="53">
        <v>1.1499999999999999</v>
      </c>
      <c r="T21">
        <f t="shared" si="9"/>
        <v>226.29999999999998</v>
      </c>
    </row>
    <row r="22" spans="1:20" ht="15.75" thickBot="1" x14ac:dyDescent="0.3">
      <c r="A22" s="1" t="s">
        <v>59</v>
      </c>
      <c r="B22" s="1" t="s">
        <v>60</v>
      </c>
      <c r="D22" s="1" t="s">
        <v>94</v>
      </c>
      <c r="E22" s="1" t="s">
        <v>61</v>
      </c>
      <c r="F22" s="23">
        <v>68.2</v>
      </c>
      <c r="G22" s="23">
        <v>1.9</v>
      </c>
      <c r="H22" s="6">
        <v>20</v>
      </c>
      <c r="I22" s="5">
        <v>62.7</v>
      </c>
      <c r="J22" s="3">
        <f t="shared" si="7"/>
        <v>2.7859237536656889</v>
      </c>
      <c r="K22" s="3">
        <f t="shared" ref="K22:K31" si="12">I18-F22</f>
        <v>-3.5</v>
      </c>
      <c r="L22" s="3">
        <f t="shared" ref="L22:L23" si="13">K22*100/F22</f>
        <v>-5.1319648093841641</v>
      </c>
      <c r="N22" s="70">
        <v>42186</v>
      </c>
      <c r="O22" s="46">
        <v>11</v>
      </c>
      <c r="P22" s="46">
        <v>210.2</v>
      </c>
      <c r="Q22" s="53">
        <v>0.92</v>
      </c>
      <c r="R22" s="46" t="s">
        <v>89</v>
      </c>
      <c r="S22" s="46" t="s">
        <v>89</v>
      </c>
      <c r="T22" t="e">
        <f t="shared" si="9"/>
        <v>#VALUE!</v>
      </c>
    </row>
    <row r="23" spans="1:20" ht="15.75" thickBot="1" x14ac:dyDescent="0.3">
      <c r="A23" s="1" t="s">
        <v>59</v>
      </c>
      <c r="B23" s="1" t="s">
        <v>60</v>
      </c>
      <c r="D23" s="1" t="s">
        <v>94</v>
      </c>
      <c r="E23" s="1" t="s">
        <v>61</v>
      </c>
      <c r="F23" s="23">
        <v>68.2</v>
      </c>
      <c r="G23" s="23">
        <v>1.9</v>
      </c>
      <c r="H23" s="6">
        <v>20</v>
      </c>
      <c r="I23" s="5">
        <v>54.9</v>
      </c>
      <c r="J23" s="3">
        <f t="shared" si="7"/>
        <v>2.7859237536656889</v>
      </c>
      <c r="K23" s="3">
        <f t="shared" si="12"/>
        <v>-2.2000000000000028</v>
      </c>
      <c r="L23" s="3">
        <f t="shared" si="13"/>
        <v>-3.2258064516129075</v>
      </c>
      <c r="N23" s="72"/>
      <c r="O23" s="46">
        <v>12</v>
      </c>
      <c r="P23" s="46">
        <v>224.5</v>
      </c>
      <c r="Q23" s="53">
        <v>0.98</v>
      </c>
      <c r="R23" s="46" t="s">
        <v>89</v>
      </c>
      <c r="S23" s="46" t="s">
        <v>89</v>
      </c>
      <c r="T23" t="e">
        <f t="shared" si="9"/>
        <v>#VALUE!</v>
      </c>
    </row>
    <row r="24" spans="1:20" ht="15.75" thickBot="1" x14ac:dyDescent="0.3">
      <c r="A24" s="1" t="s">
        <v>59</v>
      </c>
      <c r="B24" s="1" t="s">
        <v>60</v>
      </c>
      <c r="D24" s="1" t="s">
        <v>94</v>
      </c>
      <c r="E24" s="1" t="s">
        <v>61</v>
      </c>
      <c r="F24" s="23">
        <v>68.2</v>
      </c>
      <c r="G24" s="23">
        <v>1.9</v>
      </c>
      <c r="H24" s="6">
        <v>20</v>
      </c>
      <c r="I24" s="5">
        <v>66.599999999999994</v>
      </c>
      <c r="J24" s="3">
        <f t="shared" si="7"/>
        <v>2.7859237536656889</v>
      </c>
      <c r="K24" s="3">
        <f t="shared" si="12"/>
        <v>-6.2000000000000028</v>
      </c>
      <c r="L24" s="3">
        <f t="shared" ref="L24:L25" si="14">K24*100/F24</f>
        <v>-9.0909090909090935</v>
      </c>
      <c r="N24" s="70">
        <v>42187</v>
      </c>
      <c r="O24" s="46">
        <v>13</v>
      </c>
      <c r="P24" s="46">
        <v>260.8</v>
      </c>
      <c r="Q24" s="53">
        <v>1.1399999999999999</v>
      </c>
      <c r="R24" s="46">
        <v>11.1</v>
      </c>
      <c r="S24" s="53">
        <v>1.32</v>
      </c>
      <c r="T24">
        <f t="shared" si="9"/>
        <v>271.90000000000003</v>
      </c>
    </row>
    <row r="25" spans="1:20" ht="15.75" thickBot="1" x14ac:dyDescent="0.3">
      <c r="A25" s="1" t="s">
        <v>59</v>
      </c>
      <c r="B25" s="1" t="s">
        <v>60</v>
      </c>
      <c r="D25" s="1" t="s">
        <v>94</v>
      </c>
      <c r="E25" s="1" t="s">
        <v>61</v>
      </c>
      <c r="F25" s="23">
        <v>68.2</v>
      </c>
      <c r="G25" s="23">
        <v>1.9</v>
      </c>
      <c r="H25" s="6">
        <v>20</v>
      </c>
      <c r="I25" s="5">
        <v>68.3</v>
      </c>
      <c r="J25" s="3">
        <f t="shared" si="7"/>
        <v>2.7859237536656889</v>
      </c>
      <c r="K25" s="3">
        <f t="shared" si="12"/>
        <v>-6.8000000000000043</v>
      </c>
      <c r="L25" s="3">
        <f t="shared" si="14"/>
        <v>-9.9706744868035262</v>
      </c>
      <c r="N25" s="72"/>
      <c r="O25" s="46">
        <v>14</v>
      </c>
      <c r="P25" s="46">
        <v>248.1</v>
      </c>
      <c r="Q25" s="53">
        <v>1.08</v>
      </c>
      <c r="R25" s="46">
        <v>11.4</v>
      </c>
      <c r="S25" s="53">
        <v>1.36</v>
      </c>
      <c r="T25">
        <f t="shared" si="9"/>
        <v>259.5</v>
      </c>
    </row>
    <row r="26" spans="1:20" ht="15.75" thickBot="1" x14ac:dyDescent="0.3">
      <c r="A26" s="1" t="s">
        <v>59</v>
      </c>
      <c r="B26" s="1" t="s">
        <v>60</v>
      </c>
      <c r="D26" s="1" t="s">
        <v>94</v>
      </c>
      <c r="E26" s="1" t="s">
        <v>61</v>
      </c>
      <c r="F26" s="23">
        <v>68.2</v>
      </c>
      <c r="G26" s="23">
        <v>1.9</v>
      </c>
      <c r="H26" s="6">
        <v>20</v>
      </c>
      <c r="I26" s="5">
        <v>65.599999999999994</v>
      </c>
      <c r="J26" s="3">
        <f t="shared" ref="J26:J31" si="15">G26*100/F26</f>
        <v>2.7859237536656889</v>
      </c>
      <c r="K26" s="3">
        <f t="shared" si="12"/>
        <v>-5.5</v>
      </c>
      <c r="L26" s="3">
        <f t="shared" ref="L26:L31" si="16">K26*100/F26</f>
        <v>-8.064516129032258</v>
      </c>
      <c r="N26" s="70">
        <v>42221</v>
      </c>
      <c r="O26" s="46">
        <v>15</v>
      </c>
      <c r="P26" s="46">
        <v>249.5</v>
      </c>
      <c r="Q26" s="53">
        <v>1.0900000000000001</v>
      </c>
      <c r="R26" s="46">
        <v>11.4</v>
      </c>
      <c r="S26" s="53">
        <v>1.36</v>
      </c>
      <c r="T26">
        <f t="shared" si="9"/>
        <v>260.89999999999998</v>
      </c>
    </row>
    <row r="27" spans="1:20" ht="15.75" thickBot="1" x14ac:dyDescent="0.3">
      <c r="A27" s="1" t="s">
        <v>59</v>
      </c>
      <c r="B27" s="1" t="s">
        <v>60</v>
      </c>
      <c r="D27" s="1" t="s">
        <v>94</v>
      </c>
      <c r="E27" s="1" t="s">
        <v>61</v>
      </c>
      <c r="F27" s="23">
        <v>68.2</v>
      </c>
      <c r="G27" s="23">
        <v>1.9</v>
      </c>
      <c r="H27" s="6">
        <v>20</v>
      </c>
      <c r="I27" s="5">
        <v>66.7</v>
      </c>
      <c r="J27" s="3">
        <f t="shared" si="15"/>
        <v>2.7859237536656889</v>
      </c>
      <c r="K27" s="3">
        <f t="shared" si="12"/>
        <v>-13.300000000000004</v>
      </c>
      <c r="L27" s="3">
        <f t="shared" si="16"/>
        <v>-19.50146627565983</v>
      </c>
      <c r="N27" s="72"/>
      <c r="O27" s="46">
        <v>16</v>
      </c>
      <c r="P27" s="46">
        <v>245.5</v>
      </c>
      <c r="Q27" s="53">
        <v>1.07</v>
      </c>
      <c r="R27" s="46">
        <v>11.8</v>
      </c>
      <c r="S27" s="53">
        <v>1.4</v>
      </c>
      <c r="T27">
        <f t="shared" si="9"/>
        <v>257.3</v>
      </c>
    </row>
    <row r="28" spans="1:20" ht="15.75" thickBot="1" x14ac:dyDescent="0.3">
      <c r="A28" s="1" t="s">
        <v>59</v>
      </c>
      <c r="B28" s="1" t="s">
        <v>60</v>
      </c>
      <c r="D28" s="1" t="s">
        <v>94</v>
      </c>
      <c r="E28" s="1" t="s">
        <v>61</v>
      </c>
      <c r="F28" s="23">
        <v>68.2</v>
      </c>
      <c r="G28" s="23">
        <v>1.9</v>
      </c>
      <c r="H28" s="6">
        <v>20</v>
      </c>
      <c r="I28" s="5">
        <v>67.3</v>
      </c>
      <c r="J28" s="3">
        <f t="shared" si="15"/>
        <v>2.7859237536656889</v>
      </c>
      <c r="K28" s="3">
        <f t="shared" si="12"/>
        <v>-1.6000000000000085</v>
      </c>
      <c r="L28" s="3">
        <f t="shared" si="16"/>
        <v>-2.3460410557184876</v>
      </c>
      <c r="N28" s="70">
        <v>42226</v>
      </c>
      <c r="O28" s="46">
        <v>17</v>
      </c>
      <c r="P28" s="46">
        <v>219.8</v>
      </c>
      <c r="Q28" s="53">
        <v>0.96</v>
      </c>
      <c r="R28" s="46">
        <v>10.9</v>
      </c>
      <c r="S28" s="53">
        <v>1.3</v>
      </c>
      <c r="T28">
        <f t="shared" si="9"/>
        <v>230.70000000000002</v>
      </c>
    </row>
    <row r="29" spans="1:20" ht="15.75" thickBot="1" x14ac:dyDescent="0.3">
      <c r="A29" s="1" t="s">
        <v>59</v>
      </c>
      <c r="B29" s="1" t="s">
        <v>60</v>
      </c>
      <c r="D29" s="1" t="s">
        <v>94</v>
      </c>
      <c r="E29" s="1" t="s">
        <v>61</v>
      </c>
      <c r="F29" s="23">
        <v>68.2</v>
      </c>
      <c r="G29" s="23">
        <v>1.9</v>
      </c>
      <c r="H29" s="6">
        <v>20</v>
      </c>
      <c r="I29" s="5">
        <v>58</v>
      </c>
      <c r="J29" s="3">
        <f t="shared" si="15"/>
        <v>2.7859237536656889</v>
      </c>
      <c r="K29" s="3">
        <f t="shared" si="12"/>
        <v>9.9999999999994316E-2</v>
      </c>
      <c r="L29" s="3">
        <f t="shared" si="16"/>
        <v>0.14662756598239635</v>
      </c>
      <c r="N29" s="72"/>
      <c r="O29" s="46">
        <v>18</v>
      </c>
      <c r="P29" s="46">
        <v>221.8</v>
      </c>
      <c r="Q29" s="53">
        <v>0.97</v>
      </c>
      <c r="R29" s="46">
        <v>10.9</v>
      </c>
      <c r="S29" s="53">
        <v>1.3</v>
      </c>
      <c r="T29">
        <f t="shared" si="9"/>
        <v>232.70000000000002</v>
      </c>
    </row>
    <row r="30" spans="1:20" ht="15.75" thickBot="1" x14ac:dyDescent="0.3">
      <c r="A30" s="1" t="s">
        <v>59</v>
      </c>
      <c r="B30" s="1" t="s">
        <v>60</v>
      </c>
      <c r="D30" s="1" t="s">
        <v>94</v>
      </c>
      <c r="E30" s="1" t="s">
        <v>61</v>
      </c>
      <c r="F30" s="23">
        <v>68.2</v>
      </c>
      <c r="G30" s="23">
        <v>1.9</v>
      </c>
      <c r="H30" s="6">
        <v>20</v>
      </c>
      <c r="I30" s="5">
        <v>58.5</v>
      </c>
      <c r="J30" s="3">
        <f t="shared" si="15"/>
        <v>2.7859237536656889</v>
      </c>
      <c r="K30" s="3">
        <f t="shared" si="12"/>
        <v>-2.6000000000000085</v>
      </c>
      <c r="L30" s="3">
        <f t="shared" si="16"/>
        <v>-3.8123167155425342</v>
      </c>
      <c r="N30" s="70">
        <v>42228</v>
      </c>
      <c r="O30" s="46">
        <v>19</v>
      </c>
      <c r="P30" s="46">
        <v>201.7</v>
      </c>
      <c r="Q30" s="53">
        <v>0.88</v>
      </c>
      <c r="R30" s="46">
        <v>10.3</v>
      </c>
      <c r="S30" s="53">
        <v>1.23</v>
      </c>
      <c r="T30">
        <f t="shared" si="9"/>
        <v>212</v>
      </c>
    </row>
    <row r="31" spans="1:20" ht="15.75" thickBot="1" x14ac:dyDescent="0.3">
      <c r="A31" s="1" t="s">
        <v>59</v>
      </c>
      <c r="B31" s="1" t="s">
        <v>60</v>
      </c>
      <c r="D31" s="1" t="s">
        <v>94</v>
      </c>
      <c r="E31" s="1" t="s">
        <v>61</v>
      </c>
      <c r="F31" s="23">
        <v>68.2</v>
      </c>
      <c r="G31" s="23">
        <v>1.9</v>
      </c>
      <c r="H31" s="6">
        <v>20</v>
      </c>
      <c r="I31" s="5">
        <v>63.7</v>
      </c>
      <c r="J31" s="3">
        <f t="shared" si="15"/>
        <v>2.7859237536656889</v>
      </c>
      <c r="K31" s="3">
        <f t="shared" si="12"/>
        <v>-1.5</v>
      </c>
      <c r="L31" s="3">
        <f t="shared" si="16"/>
        <v>-2.1994134897360702</v>
      </c>
      <c r="N31" s="72"/>
      <c r="O31" s="46">
        <v>20</v>
      </c>
      <c r="P31" s="46">
        <v>197.8</v>
      </c>
      <c r="Q31" s="53">
        <v>0.86</v>
      </c>
      <c r="R31" s="46">
        <v>10</v>
      </c>
      <c r="S31" s="53">
        <v>1.2</v>
      </c>
      <c r="T31">
        <f t="shared" si="9"/>
        <v>207.8</v>
      </c>
    </row>
    <row r="32" spans="1:20" ht="15.75" thickBot="1" x14ac:dyDescent="0.3">
      <c r="A32" s="1" t="s">
        <v>59</v>
      </c>
      <c r="B32" s="1" t="s">
        <v>60</v>
      </c>
      <c r="D32" s="1" t="s">
        <v>94</v>
      </c>
      <c r="E32" s="1" t="s">
        <v>61</v>
      </c>
      <c r="F32" s="23">
        <v>68.2</v>
      </c>
      <c r="G32" s="23">
        <v>1.9</v>
      </c>
      <c r="H32" s="6">
        <v>20</v>
      </c>
      <c r="I32" s="5">
        <v>66.8</v>
      </c>
      <c r="J32" s="3">
        <f t="shared" ref="J32:J34" si="17">G32*100/F32</f>
        <v>2.7859237536656889</v>
      </c>
      <c r="K32" s="3">
        <f t="shared" ref="K32:K34" si="18">I28-F32</f>
        <v>-0.90000000000000568</v>
      </c>
      <c r="L32" s="3">
        <f t="shared" ref="L32:L34" si="19">K32*100/F32</f>
        <v>-1.3196480938416506</v>
      </c>
      <c r="N32" s="70">
        <v>42230</v>
      </c>
      <c r="O32" s="46">
        <v>21</v>
      </c>
      <c r="P32" s="46">
        <v>226</v>
      </c>
      <c r="Q32" s="53">
        <v>0.99</v>
      </c>
      <c r="R32" s="46">
        <v>10.199999999999999</v>
      </c>
      <c r="S32" s="53">
        <v>1.22</v>
      </c>
      <c r="T32">
        <f t="shared" si="9"/>
        <v>236.2</v>
      </c>
    </row>
    <row r="33" spans="1:20" ht="15.75" thickBot="1" x14ac:dyDescent="0.3">
      <c r="A33" s="1" t="s">
        <v>59</v>
      </c>
      <c r="B33" s="1" t="s">
        <v>60</v>
      </c>
      <c r="D33" s="1" t="s">
        <v>94</v>
      </c>
      <c r="E33" s="1" t="s">
        <v>61</v>
      </c>
      <c r="F33" s="23">
        <v>68.2</v>
      </c>
      <c r="G33" s="23">
        <v>1.9</v>
      </c>
      <c r="H33" s="6">
        <v>20</v>
      </c>
      <c r="I33" s="5">
        <v>65.900000000000006</v>
      </c>
      <c r="J33" s="3">
        <f t="shared" si="17"/>
        <v>2.7859237536656889</v>
      </c>
      <c r="K33" s="3">
        <f t="shared" si="18"/>
        <v>-10.200000000000003</v>
      </c>
      <c r="L33" s="3">
        <f t="shared" si="19"/>
        <v>-14.956011730205281</v>
      </c>
      <c r="N33" s="72"/>
      <c r="O33" s="46">
        <v>22</v>
      </c>
      <c r="P33" s="46">
        <v>234.8</v>
      </c>
      <c r="Q33" s="53">
        <v>1.02</v>
      </c>
      <c r="R33" s="46">
        <v>12.2</v>
      </c>
      <c r="S33" s="53">
        <v>1.45</v>
      </c>
      <c r="T33">
        <f t="shared" si="9"/>
        <v>247</v>
      </c>
    </row>
    <row r="34" spans="1:20" ht="15.75" thickBot="1" x14ac:dyDescent="0.3">
      <c r="A34" s="1" t="s">
        <v>59</v>
      </c>
      <c r="B34" s="1" t="s">
        <v>60</v>
      </c>
      <c r="D34" s="1" t="s">
        <v>94</v>
      </c>
      <c r="E34" s="1" t="s">
        <v>61</v>
      </c>
      <c r="F34" s="23">
        <v>68.2</v>
      </c>
      <c r="G34" s="23">
        <v>1.9</v>
      </c>
      <c r="H34" s="6">
        <v>20</v>
      </c>
      <c r="I34" s="5">
        <v>65.7</v>
      </c>
      <c r="J34" s="3">
        <f t="shared" si="17"/>
        <v>2.7859237536656889</v>
      </c>
      <c r="K34" s="3">
        <f t="shared" si="18"/>
        <v>-9.7000000000000028</v>
      </c>
      <c r="L34" s="3">
        <f t="shared" si="19"/>
        <v>-14.222873900293258</v>
      </c>
      <c r="N34" s="47">
        <v>42234</v>
      </c>
      <c r="O34" s="46">
        <v>23</v>
      </c>
      <c r="P34" s="46">
        <v>214.9</v>
      </c>
      <c r="Q34" s="53">
        <v>0.94</v>
      </c>
      <c r="R34" s="46">
        <v>10.6</v>
      </c>
      <c r="S34" s="53">
        <v>1.27</v>
      </c>
      <c r="T34">
        <f t="shared" si="9"/>
        <v>225.5</v>
      </c>
    </row>
    <row r="35" spans="1:20" ht="15.75" thickBot="1" x14ac:dyDescent="0.3">
      <c r="N35" s="47">
        <v>42237</v>
      </c>
      <c r="O35" s="46">
        <v>24</v>
      </c>
      <c r="P35" s="46">
        <v>249.4</v>
      </c>
      <c r="Q35" s="53">
        <v>1.0900000000000001</v>
      </c>
      <c r="R35" s="46">
        <v>10</v>
      </c>
      <c r="S35" s="53">
        <v>1.19</v>
      </c>
      <c r="T35">
        <f t="shared" si="9"/>
        <v>259.39999999999998</v>
      </c>
    </row>
    <row r="39" spans="1:20" x14ac:dyDescent="0.25">
      <c r="F39" s="23"/>
      <c r="G39" s="23"/>
    </row>
    <row r="40" spans="1:20" x14ac:dyDescent="0.25">
      <c r="F40" s="23"/>
      <c r="G40" s="23"/>
    </row>
    <row r="41" spans="1:20" x14ac:dyDescent="0.25">
      <c r="F41" s="23"/>
      <c r="G41" s="23"/>
    </row>
    <row r="42" spans="1:20" x14ac:dyDescent="0.25">
      <c r="F42" s="23"/>
      <c r="G42" s="23"/>
    </row>
  </sheetData>
  <autoFilter ref="A9:L287">
    <sortState ref="A10:L43">
      <sortCondition ref="K9:K288"/>
    </sortState>
  </autoFilter>
  <mergeCells count="13">
    <mergeCell ref="N32:N33"/>
    <mergeCell ref="N19:N21"/>
    <mergeCell ref="N22:N23"/>
    <mergeCell ref="N24:N25"/>
    <mergeCell ref="N26:N27"/>
    <mergeCell ref="N28:N29"/>
    <mergeCell ref="N30:N31"/>
    <mergeCell ref="N16:N18"/>
    <mergeCell ref="N10:N11"/>
    <mergeCell ref="O10:O11"/>
    <mergeCell ref="P10:S10"/>
    <mergeCell ref="N12:N13"/>
    <mergeCell ref="N14:N15"/>
  </mergeCells>
  <conditionalFormatting sqref="C6">
    <cfRule type="containsText" dxfId="0" priority="3" operator="containsText" text="Insignificant">
      <formula>NOT(ISERROR(SEARCH("Insignificant",C6)))</formula>
    </cfRule>
  </conditionalFormatting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Q17" sqref="Q17"/>
    </sheetView>
  </sheetViews>
  <sheetFormatPr defaultColWidth="8.85546875" defaultRowHeight="15" x14ac:dyDescent="0.25"/>
  <sheetData>
    <row r="1" spans="1:2" x14ac:dyDescent="0.25">
      <c r="A1" t="s">
        <v>56</v>
      </c>
      <c r="B1" t="s">
        <v>57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1.02</v>
      </c>
    </row>
    <row r="4" spans="1:2" x14ac:dyDescent="0.25">
      <c r="A4">
        <v>2</v>
      </c>
      <c r="B4">
        <v>2.0299999999999998</v>
      </c>
    </row>
    <row r="5" spans="1:2" x14ac:dyDescent="0.25">
      <c r="A5">
        <v>4</v>
      </c>
      <c r="B5">
        <v>4.0999999999999996</v>
      </c>
    </row>
    <row r="6" spans="1:2" x14ac:dyDescent="0.25">
      <c r="A6">
        <v>6</v>
      </c>
      <c r="B6">
        <v>6.1</v>
      </c>
    </row>
    <row r="7" spans="1:2" x14ac:dyDescent="0.25">
      <c r="A7">
        <v>10</v>
      </c>
      <c r="B7">
        <v>10.050000000000001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8" sqref="J8"/>
    </sheetView>
  </sheetViews>
  <sheetFormatPr defaultColWidth="11.42578125" defaultRowHeight="15" x14ac:dyDescent="0.25"/>
  <sheetData>
    <row r="1" spans="1:5" x14ac:dyDescent="0.25">
      <c r="A1" s="25" t="s">
        <v>4</v>
      </c>
      <c r="B1" s="26">
        <f>STDEV(B6:B15)</f>
        <v>4.0221608343995628E-3</v>
      </c>
      <c r="C1" s="26" t="e">
        <f t="shared" ref="C1:E1" si="0">STDEV(C6:C15)</f>
        <v>#DIV/0!</v>
      </c>
      <c r="D1" s="26" t="e">
        <f t="shared" si="0"/>
        <v>#DIV/0!</v>
      </c>
      <c r="E1" s="26" t="e">
        <f t="shared" si="0"/>
        <v>#DIV/0!</v>
      </c>
    </row>
    <row r="2" spans="1:5" x14ac:dyDescent="0.25">
      <c r="A2" s="25" t="s">
        <v>34</v>
      </c>
      <c r="B2" s="26">
        <f>3*B1</f>
        <v>1.2066482503198687E-2</v>
      </c>
      <c r="C2" s="26" t="e">
        <f t="shared" ref="C2:E2" si="1">3*C1</f>
        <v>#DIV/0!</v>
      </c>
      <c r="D2" s="26" t="e">
        <f t="shared" si="1"/>
        <v>#DIV/0!</v>
      </c>
      <c r="E2" s="26" t="e">
        <f t="shared" si="1"/>
        <v>#DIV/0!</v>
      </c>
    </row>
    <row r="3" spans="1:5" x14ac:dyDescent="0.25">
      <c r="A3" s="25" t="s">
        <v>35</v>
      </c>
      <c r="B3" s="26">
        <f>10*B1</f>
        <v>4.022160834399563E-2</v>
      </c>
      <c r="C3" s="26" t="e">
        <f t="shared" ref="C3:E3" si="2">10*C1</f>
        <v>#DIV/0!</v>
      </c>
      <c r="D3" s="26" t="e">
        <f t="shared" si="2"/>
        <v>#DIV/0!</v>
      </c>
      <c r="E3" s="26" t="e">
        <f t="shared" si="2"/>
        <v>#DIV/0!</v>
      </c>
    </row>
    <row r="5" spans="1:5" x14ac:dyDescent="0.25">
      <c r="A5" t="s">
        <v>58</v>
      </c>
      <c r="B5">
        <v>1</v>
      </c>
      <c r="C5">
        <v>2</v>
      </c>
      <c r="D5">
        <v>3</v>
      </c>
      <c r="E5">
        <v>4</v>
      </c>
    </row>
    <row r="6" spans="1:5" x14ac:dyDescent="0.25">
      <c r="A6">
        <v>1</v>
      </c>
      <c r="B6" s="26">
        <v>0.01</v>
      </c>
      <c r="C6" s="26"/>
      <c r="D6" s="26"/>
      <c r="E6" s="26"/>
    </row>
    <row r="7" spans="1:5" x14ac:dyDescent="0.25">
      <c r="A7">
        <v>2</v>
      </c>
      <c r="B7" s="26">
        <v>0.02</v>
      </c>
      <c r="C7" s="26"/>
      <c r="D7" s="26"/>
      <c r="E7" s="26"/>
    </row>
    <row r="8" spans="1:5" x14ac:dyDescent="0.25">
      <c r="A8">
        <v>3</v>
      </c>
      <c r="B8" s="26">
        <v>0.01</v>
      </c>
      <c r="C8" s="26"/>
      <c r="D8" s="26"/>
      <c r="E8" s="26"/>
    </row>
    <row r="9" spans="1:5" x14ac:dyDescent="0.25">
      <c r="A9">
        <v>4</v>
      </c>
      <c r="B9" s="26">
        <v>1.4999999999999999E-2</v>
      </c>
      <c r="C9" s="26"/>
      <c r="D9" s="26"/>
      <c r="E9" s="26"/>
    </row>
    <row r="10" spans="1:5" x14ac:dyDescent="0.25">
      <c r="A10">
        <v>5</v>
      </c>
      <c r="B10" s="26">
        <v>1.4E-2</v>
      </c>
      <c r="C10" s="26"/>
      <c r="D10" s="26"/>
      <c r="E10" s="26"/>
    </row>
    <row r="11" spans="1:5" x14ac:dyDescent="0.25">
      <c r="A11">
        <v>6</v>
      </c>
      <c r="B11" s="26">
        <v>0.01</v>
      </c>
      <c r="C11" s="26"/>
      <c r="D11" s="26"/>
      <c r="E11" s="26"/>
    </row>
    <row r="12" spans="1:5" x14ac:dyDescent="0.25">
      <c r="A12">
        <v>7</v>
      </c>
      <c r="B12" s="26">
        <v>1.0999999999999999E-2</v>
      </c>
      <c r="C12" s="26"/>
      <c r="D12" s="26"/>
      <c r="E12" s="26"/>
    </row>
    <row r="13" spans="1:5" x14ac:dyDescent="0.25">
      <c r="A13">
        <v>8</v>
      </c>
      <c r="B13" s="26">
        <v>0.02</v>
      </c>
      <c r="C13" s="26"/>
      <c r="D13" s="26"/>
      <c r="E13" s="26"/>
    </row>
    <row r="14" spans="1:5" x14ac:dyDescent="0.25">
      <c r="A14">
        <v>9</v>
      </c>
      <c r="B14" s="26">
        <v>1.4E-2</v>
      </c>
      <c r="C14" s="26"/>
      <c r="D14" s="26"/>
      <c r="E14" s="26"/>
    </row>
    <row r="15" spans="1:5" x14ac:dyDescent="0.25">
      <c r="A15">
        <v>10</v>
      </c>
      <c r="B15" s="26">
        <v>1.7999999999999999E-2</v>
      </c>
      <c r="C15" s="26"/>
      <c r="D15" s="26"/>
      <c r="E15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 Precision &amp; MU</vt:lpstr>
      <vt:lpstr>Repeatability</vt:lpstr>
      <vt:lpstr>ANOVA</vt:lpstr>
      <vt:lpstr>Bias</vt:lpstr>
      <vt:lpstr>Linearity</vt:lpstr>
      <vt:lpstr>LOD-LOR</vt:lpstr>
      <vt:lpstr>Raw Data</vt:lpstr>
      <vt:lpstr>ANOVA!_ftn1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2012-10-08T01:22:15Z</cp:lastPrinted>
  <dcterms:created xsi:type="dcterms:W3CDTF">2012-10-08T00:47:38Z</dcterms:created>
  <dcterms:modified xsi:type="dcterms:W3CDTF">2016-03-21T22:26:54Z</dcterms:modified>
</cp:coreProperties>
</file>