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kennedy\Desktop\Dual Control Chart\Validation Chart\Validation Data\"/>
    </mc:Choice>
  </mc:AlternateContent>
  <bookViews>
    <workbookView xWindow="0" yWindow="0" windowWidth="27705" windowHeight="10665"/>
  </bookViews>
  <sheets>
    <sheet name=" Precision &amp; MU" sheetId="3" r:id="rId1"/>
    <sheet name="Repeatability" sheetId="5" r:id="rId2"/>
    <sheet name="ANOVA" sheetId="7" r:id="rId3"/>
    <sheet name="Bias" sheetId="1" r:id="rId4"/>
    <sheet name="Linearity" sheetId="6" r:id="rId5"/>
    <sheet name="LOD-LOR" sheetId="8" r:id="rId6"/>
    <sheet name="Raw Data" sheetId="9" r:id="rId7"/>
    <sheet name="Latest_1922016" sheetId="10" r:id="rId8"/>
  </sheets>
  <definedNames>
    <definedName name="_xlnm._FilterDatabase" localSheetId="0" hidden="1">' Precision &amp; MU'!$A$15:$B$51</definedName>
    <definedName name="_xlnm._FilterDatabase" localSheetId="3" hidden="1">Bias!$A$9:$L$287</definedName>
    <definedName name="_xlnm._FilterDatabase" localSheetId="1" hidden="1">Repeatability!$A$9:$I$36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  <c r="F23" i="7"/>
  <c r="F14" i="7"/>
  <c r="F15" i="7"/>
  <c r="F16" i="7"/>
  <c r="F17" i="7"/>
  <c r="F18" i="7"/>
  <c r="F19" i="7"/>
  <c r="F20" i="7"/>
  <c r="F21" i="7"/>
  <c r="F22" i="7"/>
  <c r="F13" i="7"/>
  <c r="B11" i="3" l="1"/>
  <c r="B4" i="3"/>
  <c r="J11" i="1"/>
  <c r="K11" i="1"/>
  <c r="L11" i="1"/>
  <c r="J12" i="1"/>
  <c r="K12" i="1"/>
  <c r="L12" i="1"/>
  <c r="J13" i="1"/>
  <c r="K13" i="1"/>
  <c r="L13" i="1"/>
  <c r="J14" i="1"/>
  <c r="K14" i="1"/>
  <c r="L14" i="1" s="1"/>
  <c r="J15" i="1"/>
  <c r="K15" i="1"/>
  <c r="L15" i="1"/>
  <c r="J16" i="1"/>
  <c r="K16" i="1"/>
  <c r="L16" i="1"/>
  <c r="J17" i="1"/>
  <c r="K17" i="1"/>
  <c r="L17" i="1" s="1"/>
  <c r="J18" i="1"/>
  <c r="K18" i="1"/>
  <c r="L18" i="1" s="1"/>
  <c r="J19" i="1"/>
  <c r="K19" i="1"/>
  <c r="L19" i="1"/>
  <c r="J20" i="1"/>
  <c r="K20" i="1"/>
  <c r="L20" i="1"/>
  <c r="J21" i="1"/>
  <c r="K21" i="1"/>
  <c r="L21" i="1"/>
  <c r="J22" i="1"/>
  <c r="K22" i="1"/>
  <c r="L22" i="1" s="1"/>
  <c r="J23" i="1"/>
  <c r="K23" i="1"/>
  <c r="L23" i="1"/>
  <c r="J24" i="1"/>
  <c r="K24" i="1"/>
  <c r="L24" i="1"/>
  <c r="J25" i="1"/>
  <c r="K25" i="1"/>
  <c r="L25" i="1" s="1"/>
  <c r="J26" i="1"/>
  <c r="K26" i="1"/>
  <c r="L26" i="1" s="1"/>
  <c r="J27" i="1"/>
  <c r="K27" i="1"/>
  <c r="L27" i="1"/>
  <c r="J28" i="1"/>
  <c r="K28" i="1"/>
  <c r="L28" i="1"/>
  <c r="J29" i="1"/>
  <c r="K29" i="1"/>
  <c r="L29" i="1" s="1"/>
  <c r="J30" i="1"/>
  <c r="K30" i="1"/>
  <c r="L30" i="1" s="1"/>
  <c r="J31" i="1"/>
  <c r="K31" i="1"/>
  <c r="L31" i="1"/>
  <c r="J32" i="1"/>
  <c r="K32" i="1"/>
  <c r="L32" i="1"/>
  <c r="J33" i="1"/>
  <c r="K33" i="1"/>
  <c r="L33" i="1" s="1"/>
  <c r="J34" i="1"/>
  <c r="K34" i="1"/>
  <c r="L34" i="1" s="1"/>
  <c r="J35" i="1"/>
  <c r="K35" i="1"/>
  <c r="L35" i="1"/>
  <c r="D23" i="7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2" i="1"/>
  <c r="D33" i="7" l="1"/>
  <c r="D32" i="7"/>
  <c r="I81" i="10" l="1"/>
  <c r="I80" i="10"/>
  <c r="I82" i="10" s="1"/>
  <c r="D65" i="10"/>
  <c r="D64" i="10"/>
  <c r="D63" i="10"/>
  <c r="D62" i="10"/>
  <c r="D61" i="10"/>
  <c r="D60" i="10"/>
  <c r="D59" i="10"/>
  <c r="D58" i="10"/>
  <c r="D57" i="10"/>
  <c r="D56" i="10"/>
  <c r="J41" i="10"/>
  <c r="J42" i="10" s="1"/>
  <c r="D41" i="10"/>
  <c r="J40" i="10"/>
  <c r="D40" i="10"/>
  <c r="D39" i="10"/>
  <c r="D38" i="10"/>
  <c r="D37" i="10"/>
  <c r="D36" i="10"/>
  <c r="D35" i="10"/>
  <c r="D34" i="10"/>
  <c r="D33" i="10"/>
  <c r="D32" i="10"/>
  <c r="J31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4" i="7" l="1"/>
  <c r="B3" i="3" l="1"/>
  <c r="D36" i="7"/>
  <c r="D37" i="7" s="1"/>
  <c r="B12" i="3" l="1"/>
  <c r="B6" i="3"/>
  <c r="F10" i="5" l="1"/>
  <c r="C1" i="8"/>
  <c r="D1" i="8"/>
  <c r="D2" i="8" s="1"/>
  <c r="E1" i="8"/>
  <c r="C2" i="8"/>
  <c r="E2" i="8"/>
  <c r="C3" i="8"/>
  <c r="D3" i="8"/>
  <c r="E3" i="8"/>
  <c r="B1" i="8"/>
  <c r="B3" i="8" s="1"/>
  <c r="B2" i="8"/>
  <c r="F4" i="5"/>
  <c r="K10" i="1"/>
  <c r="L10" i="1" s="1"/>
  <c r="J10" i="1"/>
  <c r="F36" i="5"/>
  <c r="G36" i="5"/>
  <c r="G10" i="5"/>
  <c r="F1" i="5"/>
  <c r="F2" i="5" s="1"/>
  <c r="C2" i="1" l="1"/>
  <c r="C3" i="1"/>
  <c r="B7" i="3" s="1"/>
  <c r="C4" i="1"/>
  <c r="F3" i="5"/>
  <c r="F7" i="5" s="1"/>
  <c r="C5" i="1" l="1"/>
  <c r="C6" i="1" s="1"/>
  <c r="C7" i="3" s="1"/>
  <c r="B13" i="3"/>
  <c r="F6" i="5"/>
  <c r="B8" i="3" l="1"/>
  <c r="B10" i="3" s="1"/>
  <c r="C16" i="3" s="1"/>
</calcChain>
</file>

<file path=xl/sharedStrings.xml><?xml version="1.0" encoding="utf-8"?>
<sst xmlns="http://schemas.openxmlformats.org/spreadsheetml/2006/main" count="301" uniqueCount="112">
  <si>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</si>
  <si>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</si>
  <si>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</si>
  <si>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</si>
  <si>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</si>
  <si>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</si>
  <si>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</si>
  <si>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</si>
  <si>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</si>
  <si>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</si>
  <si>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</si>
  <si>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</si>
  <si>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</si>
  <si>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</si>
  <si>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</si>
  <si>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</si>
  <si>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</si>
  <si>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</si>
  <si>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</si>
  <si>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</si>
  <si>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</si>
  <si>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</si>
  <si>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</si>
  <si>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</si>
  <si>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</si>
  <si>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</si>
  <si>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</si>
  <si>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</si>
  <si>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</si>
  <si>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</si>
  <si>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</si>
  <si>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</si>
  <si>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Yes</t>
  </si>
  <si>
    <t>Duplicates</t>
  </si>
  <si>
    <t>LOD</t>
  </si>
  <si>
    <t>LOR</t>
  </si>
  <si>
    <t>Repeatability sd</t>
  </si>
  <si>
    <t>Reference Mean</t>
  </si>
  <si>
    <t>ANOVA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</si>
  <si>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</si>
  <si>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</si>
  <si>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</si>
  <si>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</si>
  <si>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</si>
  <si>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</si>
  <si>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</si>
  <si>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</si>
  <si>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</si>
  <si>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</si>
  <si>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</si>
  <si>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</si>
  <si>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</si>
  <si>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</si>
  <si>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</si>
  <si>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</si>
  <si>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</si>
  <si>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Repeatabiltiy</t>
  </si>
  <si>
    <t>Conc</t>
  </si>
  <si>
    <t>Response</t>
  </si>
  <si>
    <t>Result</t>
  </si>
  <si>
    <t>CRM</t>
  </si>
  <si>
    <t>NIST 1849a</t>
  </si>
  <si>
    <t>IF</t>
  </si>
  <si>
    <t>Reproducibility</t>
  </si>
  <si>
    <t>Reproducibility sd</t>
  </si>
  <si>
    <t>mg/100 g</t>
  </si>
  <si>
    <t>Si</t>
  </si>
  <si>
    <t>Sr</t>
  </si>
  <si>
    <t>Sb</t>
  </si>
  <si>
    <t>IRM001A-1</t>
  </si>
  <si>
    <t>Bound Inositol Result(mg/100g)</t>
  </si>
  <si>
    <t>Free Inositol Result(mg/100g)</t>
  </si>
  <si>
    <t>Total Inositol Result(mg/100g)</t>
  </si>
  <si>
    <t>NIST</t>
  </si>
  <si>
    <t>Total NIST</t>
  </si>
  <si>
    <t>significant</t>
  </si>
  <si>
    <t>insignificant</t>
  </si>
  <si>
    <t>=k*Reproducibility</t>
  </si>
  <si>
    <t>Reproducibility from ANOVA</t>
  </si>
  <si>
    <t>Uncertainty*mean/100</t>
  </si>
  <si>
    <t>Average of samples</t>
  </si>
  <si>
    <t>Average of Bias*mean of sample/100</t>
  </si>
  <si>
    <t>2*U(Bias) &lt; abs(aveBias)</t>
  </si>
  <si>
    <t>2*U(Bias) &gt; abs(aveBias)</t>
  </si>
  <si>
    <t>F &lt; F critical</t>
  </si>
  <si>
    <t>homogeneity and reproducibility</t>
  </si>
  <si>
    <t>P-value &gt; 0.05</t>
  </si>
  <si>
    <t>greater 95% confidence</t>
  </si>
  <si>
    <t>k=expansion coefficient</t>
  </si>
  <si>
    <t>2*U(Bias) &lt; abs(averageBias)</t>
  </si>
  <si>
    <t>2*U(Bias) &gt; abs(averageBias)</t>
  </si>
  <si>
    <t>Batch#</t>
  </si>
  <si>
    <t>FA</t>
  </si>
  <si>
    <t>5-Me THF</t>
  </si>
  <si>
    <t>Sample#</t>
  </si>
  <si>
    <t>SRM 1849a NIST (µg/100g)</t>
  </si>
  <si>
    <t>Accuracy</t>
  </si>
  <si>
    <t>NA</t>
  </si>
  <si>
    <t>C</t>
  </si>
  <si>
    <t>D</t>
  </si>
  <si>
    <t>E</t>
  </si>
  <si>
    <t>G</t>
  </si>
  <si>
    <t>H</t>
  </si>
  <si>
    <t>I</t>
  </si>
  <si>
    <t>J</t>
  </si>
  <si>
    <t>mg/kg</t>
  </si>
  <si>
    <t>CV</t>
  </si>
  <si>
    <t>Intermediate precision</t>
  </si>
  <si>
    <t>Standard Deviation</t>
  </si>
  <si>
    <t>Repeatability</t>
  </si>
  <si>
    <r>
      <t xml:space="preserve">0.277 </t>
    </r>
    <r>
      <rPr>
        <sz val="11"/>
        <color theme="1"/>
        <rFont val="Calibri"/>
        <family val="2"/>
      </rPr>
      <t>± 0.108</t>
    </r>
  </si>
  <si>
    <t>Horwitz 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</si>
</sst>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[$-C09]dd\-mmm\-yy;@"/>
    <numFmt numFmtId="168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1" applyFont="1"/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2" fontId="0" fillId="0" borderId="15" xfId="0" applyNumberFormat="1" applyBorder="1" applyAlignment="1">
      <alignment horizontal="center"/>
    </xf>
    <xf numFmtId="0" fontId="0" fillId="0" borderId="15" xfId="0" applyBorder="1"/>
    <xf numFmtId="2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3" xfId="0" applyFont="1" applyBorder="1" applyAlignment="1">
      <alignment horizontal="center" vertical="center"/>
    </xf>
    <xf numFmtId="15" fontId="12" fillId="0" borderId="25" xfId="0" applyNumberFormat="1" applyFont="1" applyBorder="1" applyAlignment="1">
      <alignment horizontal="center" vertical="center" wrapText="1"/>
    </xf>
    <xf numFmtId="2" fontId="0" fillId="0" borderId="0" xfId="0" applyNumberFormat="1" applyFill="1" applyBorder="1"/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8" fillId="0" borderId="0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2" fontId="0" fillId="0" borderId="31" xfId="0" applyNumberFormat="1" applyBorder="1" applyAlignment="1">
      <alignment horizontal="center"/>
    </xf>
    <xf numFmtId="0" fontId="0" fillId="0" borderId="32" xfId="0" applyBorder="1"/>
    <xf numFmtId="10" fontId="0" fillId="0" borderId="23" xfId="1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5" fontId="12" fillId="0" borderId="27" xfId="0" applyNumberFormat="1" applyFont="1" applyBorder="1" applyAlignment="1">
      <alignment horizontal="center" vertical="center"/>
    </xf>
    <xf numFmtId="15" fontId="12" fillId="0" borderId="20" xfId="0" applyNumberFormat="1" applyFont="1" applyBorder="1" applyAlignment="1">
      <alignment horizontal="center" vertical="center"/>
    </xf>
    <xf numFmtId="15" fontId="12" fillId="0" borderId="24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5" fontId="12" fillId="0" borderId="19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/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ANOVA!$A$1:$J$1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xVal>
          <c:yVal>
            <c:numRef>
              <c:f>ANOVA!$A$2:$J$2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0.26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0.32</c:v>
                </c:pt>
                <c:pt idx="8">
                  <c:v>0.28000000000000003</c:v>
                </c:pt>
                <c:pt idx="9">
                  <c:v>0.21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ANOVA!$A$1:$J$1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xVal>
          <c:yVal>
            <c:numRef>
              <c:f>ANOVA!$A$3:$J$3</c:f>
              <c:numCache>
                <c:formatCode>General</c:formatCode>
                <c:ptCount val="10"/>
                <c:pt idx="0">
                  <c:v>0.28000000000000003</c:v>
                </c:pt>
                <c:pt idx="2">
                  <c:v>0.27</c:v>
                </c:pt>
                <c:pt idx="3">
                  <c:v>0.25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ANOVA!$A$1:$J$1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xVal>
          <c:yVal>
            <c:numRef>
              <c:f>ANOVA!$A$4:$J$4</c:f>
              <c:numCache>
                <c:formatCode>General</c:formatCode>
                <c:ptCount val="10"/>
                <c:pt idx="3">
                  <c:v>0.27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9344"/>
        <c:axId val="33349736"/>
      </c:scatterChart>
      <c:valAx>
        <c:axId val="333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9736"/>
        <c:crosses val="autoZero"/>
        <c:crossBetween val="midCat"/>
      </c:valAx>
      <c:valAx>
        <c:axId val="333497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Bias!$K$10:$K$42</c:f>
              <c:numCache>
                <c:formatCode>0.00</c:formatCode>
                <c:ptCount val="33"/>
                <c:pt idx="0">
                  <c:v>-0.1100000000000001</c:v>
                </c:pt>
                <c:pt idx="1">
                  <c:v>-0.18999999999999995</c:v>
                </c:pt>
                <c:pt idx="2">
                  <c:v>-0.22999999999999998</c:v>
                </c:pt>
                <c:pt idx="3">
                  <c:v>-8.0000000000000071E-2</c:v>
                </c:pt>
                <c:pt idx="4">
                  <c:v>-0.22999999999999998</c:v>
                </c:pt>
                <c:pt idx="5">
                  <c:v>-0.1399999999999999</c:v>
                </c:pt>
                <c:pt idx="6">
                  <c:v>-0.16999999999999993</c:v>
                </c:pt>
                <c:pt idx="7">
                  <c:v>-0.27</c:v>
                </c:pt>
                <c:pt idx="8">
                  <c:v>-0.24</c:v>
                </c:pt>
                <c:pt idx="9">
                  <c:v>-0.1100000000000001</c:v>
                </c:pt>
                <c:pt idx="10">
                  <c:v>-0.25</c:v>
                </c:pt>
                <c:pt idx="11">
                  <c:v>-0.29000000000000004</c:v>
                </c:pt>
                <c:pt idx="12">
                  <c:v>-0.28000000000000003</c:v>
                </c:pt>
                <c:pt idx="13">
                  <c:v>-0.11999999999999988</c:v>
                </c:pt>
                <c:pt idx="14">
                  <c:v>5.0000000000000044E-2</c:v>
                </c:pt>
                <c:pt idx="15">
                  <c:v>-0.10000000000000009</c:v>
                </c:pt>
                <c:pt idx="16">
                  <c:v>-0.19999999999999996</c:v>
                </c:pt>
                <c:pt idx="17">
                  <c:v>-0.12999999999999989</c:v>
                </c:pt>
                <c:pt idx="18">
                  <c:v>-0.11999999999999988</c:v>
                </c:pt>
                <c:pt idx="19">
                  <c:v>-0.27</c:v>
                </c:pt>
                <c:pt idx="20">
                  <c:v>-0.36999999999999988</c:v>
                </c:pt>
                <c:pt idx="21">
                  <c:v>-0.24</c:v>
                </c:pt>
                <c:pt idx="22">
                  <c:v>-0.30000000000000004</c:v>
                </c:pt>
                <c:pt idx="23">
                  <c:v>-0.20999999999999996</c:v>
                </c:pt>
                <c:pt idx="24">
                  <c:v>-0.10000000000000009</c:v>
                </c:pt>
                <c:pt idx="25">
                  <c:v>-0.27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54440"/>
        <c:axId val="33355616"/>
      </c:barChart>
      <c:catAx>
        <c:axId val="3335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355616"/>
        <c:crosses val="autoZero"/>
        <c:auto val="1"/>
        <c:lblAlgn val="ctr"/>
        <c:lblOffset val="100"/>
        <c:noMultiLvlLbl val="0"/>
      </c:catAx>
      <c:valAx>
        <c:axId val="33355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35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207" r="0.70000000000000207" t="0.750000000000005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</c:v>
                </c:pt>
                <c:pt idx="1">
                  <c:v>1.02</c:v>
                </c:pt>
                <c:pt idx="2">
                  <c:v>2.0299999999999998</c:v>
                </c:pt>
                <c:pt idx="3">
                  <c:v>4.0999999999999996</c:v>
                </c:pt>
                <c:pt idx="4">
                  <c:v>6.1</c:v>
                </c:pt>
                <c:pt idx="5">
                  <c:v>10.050000000000001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0128"/>
        <c:axId val="446151992"/>
      </c:scatterChart>
      <c:valAx>
        <c:axId val="3335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151992"/>
        <c:crosses val="autoZero"/>
        <c:crossBetween val="midCat"/>
      </c:valAx>
      <c:valAx>
        <c:axId val="44615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5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</xdr:row>
      <xdr:rowOff>128587</xdr:rowOff>
    </xdr:from>
    <xdr:to>
      <xdr:col>13</xdr:col>
      <xdr:colOff>190500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17.7109375" style="1" customWidth="1"/>
    <col min="2" max="2" width="26.7109375" style="1" bestFit="1" customWidth="1"/>
    <col min="3" max="3" width="27" style="76" bestFit="1" customWidth="1"/>
    <col min="4" max="4" width="34.42578125" style="1" bestFit="1" customWidth="1"/>
    <col min="5" max="16384" width="8.85546875" style="1"/>
  </cols>
  <sheetData>
    <row r="1" spans="1:6" x14ac:dyDescent="0.25">
      <c r="A1" s="1" t="s">
        <v>6</v>
      </c>
      <c r="B1" s="1">
        <f>COUNT(ANOVA!A2:J4)</f>
        <v>23</v>
      </c>
    </row>
    <row r="2" spans="1:6" x14ac:dyDescent="0.25">
      <c r="A2" s="1" t="s">
        <v>20</v>
      </c>
      <c r="B2" s="3">
        <v>2</v>
      </c>
    </row>
    <row r="3" spans="1:6" x14ac:dyDescent="0.25">
      <c r="A3" s="1" t="s">
        <v>64</v>
      </c>
      <c r="B3" s="20">
        <f>ANOVA!D34</f>
        <v>2.1025958250500496E-2</v>
      </c>
      <c r="C3" s="76" t="s">
        <v>78</v>
      </c>
    </row>
    <row r="4" spans="1:6" x14ac:dyDescent="0.25">
      <c r="A4" s="1" t="s">
        <v>3</v>
      </c>
      <c r="B4" s="20">
        <f>AVERAGE(ANOVA!A1:J4)</f>
        <v>0.27652173913043482</v>
      </c>
      <c r="C4" s="76" t="s">
        <v>80</v>
      </c>
    </row>
    <row r="5" spans="1:6" x14ac:dyDescent="0.25">
      <c r="B5" s="20"/>
    </row>
    <row r="6" spans="1:6" x14ac:dyDescent="0.25">
      <c r="A6" s="5" t="s">
        <v>18</v>
      </c>
      <c r="B6" s="18">
        <f>B3*B2</f>
        <v>4.2051916501000992E-2</v>
      </c>
      <c r="C6" s="77" t="s">
        <v>77</v>
      </c>
      <c r="D6" s="76" t="s">
        <v>88</v>
      </c>
    </row>
    <row r="7" spans="1:6" x14ac:dyDescent="0.25">
      <c r="A7" s="5" t="s">
        <v>7</v>
      </c>
      <c r="B7" s="18">
        <f>Bias!C3*B4/100</f>
        <v>-2.6561906522579455E-2</v>
      </c>
      <c r="C7" s="78" t="str">
        <f>Bias!C6</f>
        <v>Insignificant</v>
      </c>
      <c r="D7" s="76" t="s">
        <v>81</v>
      </c>
    </row>
    <row r="8" spans="1:6" x14ac:dyDescent="0.25">
      <c r="A8" s="5" t="s">
        <v>31</v>
      </c>
      <c r="B8" s="18">
        <f>Bias!C5*B4/100</f>
        <v>1.3333672633064137E-2</v>
      </c>
      <c r="C8" s="78"/>
      <c r="D8" s="76" t="s">
        <v>79</v>
      </c>
    </row>
    <row r="9" spans="1:6" x14ac:dyDescent="0.25">
      <c r="B9" s="20"/>
    </row>
    <row r="10" spans="1:6" x14ac:dyDescent="0.25">
      <c r="A10" s="21" t="s">
        <v>19</v>
      </c>
      <c r="B10" s="22">
        <f>IF(C7="Insignificant", B2*SQRT(B8^2+B3^2), B2*SQRT(B8^2+B3^2)+ABS(B7))</f>
        <v>4.9794688320643737E-2</v>
      </c>
      <c r="C10" s="76" t="s">
        <v>105</v>
      </c>
      <c r="E10" s="1">
        <v>0.27700000000000002</v>
      </c>
      <c r="F10" s="1" t="s">
        <v>105</v>
      </c>
    </row>
    <row r="11" spans="1:6" x14ac:dyDescent="0.25">
      <c r="B11" s="79">
        <f>B10/B4</f>
        <v>0.18007513071930908</v>
      </c>
    </row>
    <row r="12" spans="1:6" x14ac:dyDescent="0.25">
      <c r="A12" s="1" t="s">
        <v>22</v>
      </c>
      <c r="B12" s="3">
        <f>B2*B3*SQRT(2)</f>
        <v>5.9470390639496558E-2</v>
      </c>
    </row>
    <row r="13" spans="1:6" x14ac:dyDescent="0.25">
      <c r="A13" s="1" t="s">
        <v>21</v>
      </c>
      <c r="B13" s="32">
        <f>IF(LOG(B3/2)&lt;0,10^(TRUNC(LOG(B3/2))-1), 10^(TRUNC(LOG(B3/2))))</f>
        <v>0.01</v>
      </c>
    </row>
    <row r="14" spans="1:6" x14ac:dyDescent="0.25">
      <c r="A14" s="1" t="s">
        <v>111</v>
      </c>
      <c r="B14" s="91" t="s">
        <v>110</v>
      </c>
      <c r="C14" s="76" t="s">
        <v>105</v>
      </c>
    </row>
    <row r="15" spans="1:6" x14ac:dyDescent="0.25">
      <c r="A15" s="19"/>
      <c r="B15" s="91">
        <v>0.38819999999999999</v>
      </c>
    </row>
    <row r="16" spans="1:6" x14ac:dyDescent="0.25">
      <c r="B16" s="19">
        <v>3</v>
      </c>
      <c r="C16" s="76">
        <f>B10/SQRT(B16)</f>
        <v>2.8748976706137179E-2</v>
      </c>
    </row>
    <row r="17" spans="2:3" x14ac:dyDescent="0.25">
      <c r="B17" s="19"/>
    </row>
    <row r="18" spans="2:3" x14ac:dyDescent="0.25">
      <c r="B18" s="19"/>
    </row>
    <row r="19" spans="2:3" x14ac:dyDescent="0.25">
      <c r="B19" s="19"/>
    </row>
    <row r="20" spans="2:3" x14ac:dyDescent="0.25">
      <c r="B20" s="19"/>
    </row>
    <row r="21" spans="2:3" x14ac:dyDescent="0.25">
      <c r="B21" s="19"/>
    </row>
    <row r="22" spans="2:3" x14ac:dyDescent="0.25">
      <c r="B22" s="73" t="s">
        <v>89</v>
      </c>
      <c r="C22" s="74" t="s">
        <v>75</v>
      </c>
    </row>
    <row r="23" spans="2:3" x14ac:dyDescent="0.25">
      <c r="B23" s="73" t="s">
        <v>90</v>
      </c>
      <c r="C23" s="75" t="s">
        <v>76</v>
      </c>
    </row>
    <row r="24" spans="2:3" x14ac:dyDescent="0.25">
      <c r="B24" s="19"/>
    </row>
    <row r="25" spans="2:3" x14ac:dyDescent="0.25">
      <c r="B25" s="19"/>
    </row>
    <row r="26" spans="2:3" x14ac:dyDescent="0.25">
      <c r="B26" s="19"/>
    </row>
    <row r="27" spans="2:3" x14ac:dyDescent="0.25">
      <c r="B27" s="19"/>
    </row>
    <row r="28" spans="2:3" x14ac:dyDescent="0.25">
      <c r="B28" s="19"/>
    </row>
    <row r="29" spans="2:3" x14ac:dyDescent="0.25">
      <c r="B29" s="19"/>
    </row>
    <row r="30" spans="2:3" x14ac:dyDescent="0.25">
      <c r="B30" s="19"/>
    </row>
    <row r="31" spans="2:3" x14ac:dyDescent="0.25">
      <c r="B31" s="19"/>
    </row>
    <row r="32" spans="2:3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2" x14ac:dyDescent="0.25">
      <c r="B49" s="19"/>
    </row>
    <row r="50" spans="2:2" x14ac:dyDescent="0.25">
      <c r="B50" s="19"/>
    </row>
    <row r="51" spans="2:2" x14ac:dyDescent="0.25">
      <c r="B5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9" topLeftCell="A10" activePane="bottomLeft" state="frozen"/>
      <selection pane="bottomLeft" activeCell="F3" sqref="F3"/>
    </sheetView>
  </sheetViews>
  <sheetFormatPr defaultColWidth="8.85546875" defaultRowHeight="15" x14ac:dyDescent="0.25"/>
  <cols>
    <col min="1" max="1" width="22.42578125" style="1" customWidth="1"/>
    <col min="2" max="2" width="15.140625" style="1" customWidth="1"/>
    <col min="3" max="3" width="16.42578125" style="1" bestFit="1" customWidth="1"/>
    <col min="4" max="9" width="17.7109375" style="1" customWidth="1"/>
    <col min="10" max="16384" width="8.85546875" style="1"/>
  </cols>
  <sheetData>
    <row r="1" spans="1:9" x14ac:dyDescent="0.25">
      <c r="D1" s="19"/>
      <c r="E1" s="1" t="s">
        <v>6</v>
      </c>
      <c r="F1" s="1">
        <f>SUBTOTAL(2,G10:G1714)</f>
        <v>2</v>
      </c>
      <c r="I1" s="19"/>
    </row>
    <row r="2" spans="1:9" x14ac:dyDescent="0.25">
      <c r="D2" s="19"/>
      <c r="E2" s="1" t="s">
        <v>20</v>
      </c>
      <c r="F2" s="3">
        <f>TINV(0.05,F1)</f>
        <v>4.3026527297494637</v>
      </c>
      <c r="I2" s="19"/>
    </row>
    <row r="3" spans="1:9" x14ac:dyDescent="0.25">
      <c r="D3" s="19"/>
      <c r="E3" s="1" t="s">
        <v>36</v>
      </c>
      <c r="F3" s="20">
        <f>SQRT(SUBTOTAL(9,G10:G1714)/(2*F1))</f>
        <v>0</v>
      </c>
      <c r="H3" s="3"/>
      <c r="I3" s="19"/>
    </row>
    <row r="4" spans="1:9" x14ac:dyDescent="0.25">
      <c r="D4" s="19"/>
      <c r="E4" s="1" t="s">
        <v>3</v>
      </c>
      <c r="F4" s="20" t="e">
        <f>SUBTOTAL(1,D10:D37)</f>
        <v>#DIV/0!</v>
      </c>
      <c r="H4" s="3"/>
      <c r="I4" s="19"/>
    </row>
    <row r="5" spans="1:9" x14ac:dyDescent="0.25">
      <c r="D5" s="19"/>
      <c r="F5" s="20"/>
      <c r="H5" s="3"/>
      <c r="I5" s="19"/>
    </row>
    <row r="6" spans="1:9" x14ac:dyDescent="0.25">
      <c r="D6" s="19"/>
      <c r="E6" s="1" t="s">
        <v>33</v>
      </c>
      <c r="F6" s="3">
        <f>TINV(0.05,F1)*F3*SQRT(2)</f>
        <v>0</v>
      </c>
      <c r="I6" s="19"/>
    </row>
    <row r="7" spans="1:9" x14ac:dyDescent="0.25">
      <c r="D7" s="19"/>
      <c r="E7" s="1" t="s">
        <v>21</v>
      </c>
      <c r="F7" s="20" t="e">
        <f>IF(LOG(F3/2)&lt;0,10^(TRUNC(LOG(F3/2))-1), 10^(TRUNC(LOG(F3/2))))</f>
        <v>#NUM!</v>
      </c>
      <c r="I7" s="19"/>
    </row>
    <row r="8" spans="1:9" x14ac:dyDescent="0.25">
      <c r="D8" s="19"/>
      <c r="E8" s="19"/>
      <c r="F8" s="19"/>
      <c r="G8" s="19"/>
      <c r="H8" s="19"/>
      <c r="I8" s="19"/>
    </row>
    <row r="9" spans="1:9" x14ac:dyDescent="0.25">
      <c r="A9" s="1" t="s">
        <v>9</v>
      </c>
      <c r="B9" s="1" t="s">
        <v>30</v>
      </c>
      <c r="C9" s="1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</row>
    <row r="10" spans="1:9" x14ac:dyDescent="0.25">
      <c r="F10" s="19">
        <f>D10-E10</f>
        <v>0</v>
      </c>
      <c r="G10" s="19">
        <f t="shared" ref="G10:G36" si="0">F10^2</f>
        <v>0</v>
      </c>
      <c r="H10" s="19" t="s">
        <v>17</v>
      </c>
      <c r="I10" s="19" t="s">
        <v>17</v>
      </c>
    </row>
    <row r="11" spans="1:9" x14ac:dyDescent="0.25">
      <c r="F11" s="19"/>
      <c r="G11" s="19"/>
      <c r="H11" s="19"/>
      <c r="I11" s="19"/>
    </row>
    <row r="12" spans="1:9" x14ac:dyDescent="0.25">
      <c r="F12" s="19"/>
      <c r="G12" s="19"/>
      <c r="H12" s="19"/>
      <c r="I12" s="19"/>
    </row>
    <row r="13" spans="1:9" x14ac:dyDescent="0.25">
      <c r="F13" s="19"/>
      <c r="G13" s="19"/>
      <c r="H13" s="19"/>
      <c r="I13" s="19"/>
    </row>
    <row r="14" spans="1:9" x14ac:dyDescent="0.25">
      <c r="D14" s="19"/>
      <c r="E14" s="19"/>
      <c r="F14" s="19"/>
      <c r="G14" s="19"/>
      <c r="H14" s="19"/>
      <c r="I14" s="19"/>
    </row>
    <row r="15" spans="1:9" x14ac:dyDescent="0.25">
      <c r="F15" s="19"/>
      <c r="G15" s="19"/>
      <c r="H15" s="19"/>
      <c r="I15" s="19"/>
    </row>
    <row r="16" spans="1:9" x14ac:dyDescent="0.25">
      <c r="F16" s="19"/>
      <c r="G16" s="19"/>
      <c r="H16" s="19"/>
      <c r="I16" s="19"/>
    </row>
    <row r="17" spans="4:9" x14ac:dyDescent="0.25">
      <c r="F17" s="19"/>
      <c r="G17" s="19"/>
      <c r="H17" s="19"/>
      <c r="I17" s="19"/>
    </row>
    <row r="18" spans="4:9" x14ac:dyDescent="0.25">
      <c r="F18" s="19"/>
      <c r="G18" s="19"/>
      <c r="H18" s="19"/>
      <c r="I18" s="19"/>
    </row>
    <row r="19" spans="4:9" x14ac:dyDescent="0.25">
      <c r="F19" s="19"/>
      <c r="G19" s="19"/>
      <c r="H19" s="19"/>
      <c r="I19" s="19"/>
    </row>
    <row r="20" spans="4:9" x14ac:dyDescent="0.25">
      <c r="F20" s="19"/>
      <c r="G20" s="19"/>
      <c r="H20" s="19"/>
      <c r="I20" s="19"/>
    </row>
    <row r="21" spans="4:9" x14ac:dyDescent="0.25">
      <c r="F21" s="19"/>
      <c r="G21" s="19"/>
      <c r="H21" s="19"/>
      <c r="I21" s="19"/>
    </row>
    <row r="22" spans="4:9" x14ac:dyDescent="0.25">
      <c r="F22" s="19"/>
      <c r="G22" s="19"/>
      <c r="H22" s="19"/>
      <c r="I22" s="19"/>
    </row>
    <row r="23" spans="4:9" x14ac:dyDescent="0.25">
      <c r="F23" s="19"/>
      <c r="G23" s="19"/>
      <c r="H23" s="19"/>
      <c r="I23" s="19"/>
    </row>
    <row r="24" spans="4:9" x14ac:dyDescent="0.25">
      <c r="F24" s="19"/>
      <c r="G24" s="19"/>
      <c r="H24" s="19"/>
      <c r="I24" s="19"/>
    </row>
    <row r="25" spans="4:9" x14ac:dyDescent="0.25">
      <c r="F25" s="19"/>
      <c r="G25" s="19"/>
      <c r="H25" s="19"/>
      <c r="I25" s="19"/>
    </row>
    <row r="26" spans="4:9" x14ac:dyDescent="0.25">
      <c r="F26" s="19"/>
      <c r="G26" s="19"/>
      <c r="H26" s="19"/>
      <c r="I26" s="19"/>
    </row>
    <row r="27" spans="4:9" x14ac:dyDescent="0.25">
      <c r="F27" s="19"/>
      <c r="G27" s="19"/>
      <c r="H27" s="19"/>
      <c r="I27" s="19"/>
    </row>
    <row r="28" spans="4:9" x14ac:dyDescent="0.25">
      <c r="F28" s="19"/>
      <c r="G28" s="19"/>
      <c r="H28" s="19"/>
      <c r="I28" s="19"/>
    </row>
    <row r="29" spans="4:9" x14ac:dyDescent="0.25">
      <c r="F29" s="19"/>
      <c r="G29" s="19"/>
      <c r="H29" s="19"/>
      <c r="I29" s="19"/>
    </row>
    <row r="30" spans="4:9" x14ac:dyDescent="0.25">
      <c r="F30" s="19"/>
      <c r="G30" s="19"/>
      <c r="H30" s="19"/>
      <c r="I30" s="19"/>
    </row>
    <row r="31" spans="4:9" x14ac:dyDescent="0.25">
      <c r="D31" s="19"/>
      <c r="E31" s="19"/>
      <c r="F31" s="19"/>
      <c r="G31" s="19"/>
      <c r="H31" s="19"/>
      <c r="I31" s="19"/>
    </row>
    <row r="32" spans="4:9" x14ac:dyDescent="0.25">
      <c r="F32" s="19"/>
      <c r="G32" s="19"/>
      <c r="H32" s="19"/>
      <c r="I32" s="19"/>
    </row>
    <row r="33" spans="4:9" x14ac:dyDescent="0.25">
      <c r="F33" s="19"/>
      <c r="G33" s="19"/>
      <c r="H33" s="19"/>
      <c r="I33" s="19"/>
    </row>
    <row r="34" spans="4:9" x14ac:dyDescent="0.25">
      <c r="D34" s="19"/>
      <c r="E34" s="19"/>
      <c r="F34" s="19"/>
      <c r="G34" s="19"/>
      <c r="H34" s="19"/>
      <c r="I34" s="19"/>
    </row>
    <row r="35" spans="4:9" x14ac:dyDescent="0.25">
      <c r="F35" s="19"/>
      <c r="G35" s="19"/>
      <c r="H35" s="19"/>
      <c r="I35" s="19"/>
    </row>
    <row r="36" spans="4:9" x14ac:dyDescent="0.25">
      <c r="F36" s="19">
        <f t="shared" ref="F36" si="1">ABS(D36-E36)</f>
        <v>0</v>
      </c>
      <c r="G36" s="19">
        <f t="shared" si="0"/>
        <v>0</v>
      </c>
      <c r="H36" s="19" t="s">
        <v>17</v>
      </c>
      <c r="I36" s="19" t="s">
        <v>32</v>
      </c>
    </row>
  </sheetData>
  <autoFilter ref="A9:I3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51" sqref="E51"/>
    </sheetView>
  </sheetViews>
  <sheetFormatPr defaultColWidth="8.85546875" defaultRowHeight="15" x14ac:dyDescent="0.25"/>
  <cols>
    <col min="1" max="1" width="19" customWidth="1"/>
    <col min="2" max="2" width="11.28515625" customWidth="1"/>
    <col min="3" max="4" width="11.85546875" customWidth="1"/>
    <col min="5" max="5" width="10.42578125" customWidth="1"/>
    <col min="6" max="6" width="10.140625" customWidth="1"/>
    <col min="7" max="7" width="10.85546875" customWidth="1"/>
    <col min="8" max="8" width="12.140625" customWidth="1"/>
    <col min="9" max="9" width="14.140625" customWidth="1"/>
    <col min="10" max="11" width="17.140625" customWidth="1"/>
  </cols>
  <sheetData>
    <row r="1" spans="1:13" x14ac:dyDescent="0.25">
      <c r="A1" s="88" t="s">
        <v>24</v>
      </c>
      <c r="B1" s="88" t="s">
        <v>25</v>
      </c>
      <c r="C1" s="88" t="s">
        <v>98</v>
      </c>
      <c r="D1" s="88" t="s">
        <v>99</v>
      </c>
      <c r="E1" s="88" t="s">
        <v>100</v>
      </c>
      <c r="F1" s="88" t="s">
        <v>39</v>
      </c>
      <c r="G1" s="88" t="s">
        <v>101</v>
      </c>
      <c r="H1" s="88" t="s">
        <v>102</v>
      </c>
      <c r="I1" s="88" t="s">
        <v>103</v>
      </c>
      <c r="J1" s="88" t="s">
        <v>104</v>
      </c>
      <c r="K1" s="28"/>
      <c r="L1" s="29"/>
      <c r="M1" s="31"/>
    </row>
    <row r="2" spans="1:13" x14ac:dyDescent="0.25">
      <c r="A2" s="88">
        <v>0.28000000000000003</v>
      </c>
      <c r="B2" s="88">
        <v>0.28999999999999998</v>
      </c>
      <c r="C2" s="88">
        <v>0.27</v>
      </c>
      <c r="D2" s="88">
        <v>0.26</v>
      </c>
      <c r="E2" s="88">
        <v>0.27</v>
      </c>
      <c r="F2" s="88">
        <v>0.28999999999999998</v>
      </c>
      <c r="G2" s="88">
        <v>0.27</v>
      </c>
      <c r="H2" s="88">
        <v>0.32</v>
      </c>
      <c r="I2" s="88">
        <v>0.28000000000000003</v>
      </c>
      <c r="J2" s="88">
        <v>0.21</v>
      </c>
      <c r="K2" s="28"/>
      <c r="L2" s="29"/>
      <c r="M2" s="31"/>
    </row>
    <row r="3" spans="1:13" x14ac:dyDescent="0.25">
      <c r="A3" s="88">
        <v>0.28000000000000003</v>
      </c>
      <c r="B3" s="88"/>
      <c r="C3" s="88">
        <v>0.27</v>
      </c>
      <c r="D3" s="88">
        <v>0.25</v>
      </c>
      <c r="E3" s="88">
        <v>0.27</v>
      </c>
      <c r="F3" s="88">
        <v>0.28000000000000003</v>
      </c>
      <c r="G3" s="88">
        <v>0.28000000000000003</v>
      </c>
      <c r="H3" s="88">
        <v>0.3</v>
      </c>
      <c r="I3" s="88">
        <v>0.28999999999999998</v>
      </c>
      <c r="J3" s="88">
        <v>0.28999999999999998</v>
      </c>
      <c r="K3" s="28"/>
      <c r="L3" s="29"/>
      <c r="M3" s="31"/>
    </row>
    <row r="4" spans="1:13" x14ac:dyDescent="0.25">
      <c r="A4" s="88"/>
      <c r="B4" s="88"/>
      <c r="C4" s="88"/>
      <c r="D4" s="88">
        <v>0.27</v>
      </c>
      <c r="E4" s="88">
        <v>0.27</v>
      </c>
      <c r="F4" s="88">
        <v>0.28999999999999998</v>
      </c>
      <c r="G4" s="88">
        <v>0.28000000000000003</v>
      </c>
      <c r="H4" s="88"/>
      <c r="I4" s="88"/>
      <c r="J4" s="88"/>
      <c r="K4" s="30"/>
      <c r="L4" s="29"/>
      <c r="M4" s="31"/>
    </row>
    <row r="5" spans="1:13" x14ac:dyDescent="0.25">
      <c r="A5" s="84"/>
      <c r="B5" s="84"/>
      <c r="C5" s="84"/>
      <c r="D5" s="84"/>
      <c r="E5" s="85"/>
      <c r="F5" s="85"/>
      <c r="G5" s="85"/>
      <c r="H5" s="85"/>
      <c r="J5" s="30"/>
      <c r="K5" s="30"/>
      <c r="L5" s="29"/>
      <c r="M5" s="31"/>
    </row>
    <row r="6" spans="1:13" x14ac:dyDescent="0.25">
      <c r="A6" s="84"/>
      <c r="B6" s="84"/>
      <c r="C6" s="84"/>
      <c r="D6" s="84"/>
      <c r="E6" s="85"/>
      <c r="F6" s="85"/>
      <c r="G6" s="85"/>
      <c r="H6" s="85"/>
      <c r="J6" s="30"/>
      <c r="K6" s="30"/>
      <c r="L6" s="29"/>
      <c r="M6" s="31"/>
    </row>
    <row r="7" spans="1:13" x14ac:dyDescent="0.25">
      <c r="A7" s="84"/>
      <c r="B7" s="84"/>
      <c r="C7" s="84"/>
      <c r="D7" s="84"/>
      <c r="E7" s="85"/>
      <c r="F7" s="85"/>
      <c r="G7" s="85"/>
      <c r="H7" s="85"/>
      <c r="J7" s="30"/>
      <c r="K7" s="30"/>
      <c r="L7" s="29"/>
      <c r="M7" s="31"/>
    </row>
    <row r="9" spans="1:13" x14ac:dyDescent="0.25">
      <c r="A9" t="s">
        <v>40</v>
      </c>
    </row>
    <row r="11" spans="1:13" ht="15.75" thickBot="1" x14ac:dyDescent="0.3">
      <c r="A11" t="s">
        <v>41</v>
      </c>
      <c r="F11" s="92"/>
    </row>
    <row r="12" spans="1:13" x14ac:dyDescent="0.25">
      <c r="A12" s="24" t="s">
        <v>42</v>
      </c>
      <c r="B12" s="24" t="s">
        <v>43</v>
      </c>
      <c r="C12" s="24" t="s">
        <v>44</v>
      </c>
      <c r="D12" s="24" t="s">
        <v>45</v>
      </c>
      <c r="E12" s="24" t="s">
        <v>46</v>
      </c>
      <c r="F12" s="93" t="s">
        <v>106</v>
      </c>
    </row>
    <row r="13" spans="1:13" x14ac:dyDescent="0.25">
      <c r="A13" s="54" t="s">
        <v>24</v>
      </c>
      <c r="B13" s="54">
        <v>2</v>
      </c>
      <c r="C13" s="54">
        <v>0.56000000000000005</v>
      </c>
      <c r="D13" s="86">
        <v>0.28000000000000003</v>
      </c>
      <c r="E13" s="86">
        <v>0</v>
      </c>
      <c r="F13" s="101">
        <f>E13/$D$23</f>
        <v>0</v>
      </c>
    </row>
    <row r="14" spans="1:13" x14ac:dyDescent="0.25">
      <c r="A14" s="54" t="s">
        <v>25</v>
      </c>
      <c r="B14" s="54">
        <v>1</v>
      </c>
      <c r="C14" s="54">
        <v>0.28999999999999998</v>
      </c>
      <c r="D14" s="86">
        <v>0.28999999999999998</v>
      </c>
      <c r="E14" s="86"/>
      <c r="F14" s="79">
        <f t="shared" ref="F14:F22" si="0">E14/$D$23</f>
        <v>0</v>
      </c>
    </row>
    <row r="15" spans="1:13" x14ac:dyDescent="0.25">
      <c r="A15" s="54" t="s">
        <v>98</v>
      </c>
      <c r="B15" s="54">
        <v>2</v>
      </c>
      <c r="C15" s="54">
        <v>0.54</v>
      </c>
      <c r="D15" s="86">
        <v>0.27</v>
      </c>
      <c r="E15" s="86">
        <v>0</v>
      </c>
      <c r="F15" s="79">
        <f t="shared" si="0"/>
        <v>0</v>
      </c>
    </row>
    <row r="16" spans="1:13" x14ac:dyDescent="0.25">
      <c r="A16" s="54" t="s">
        <v>99</v>
      </c>
      <c r="B16" s="54">
        <v>3</v>
      </c>
      <c r="C16" s="54">
        <v>0.78</v>
      </c>
      <c r="D16" s="86">
        <v>0.26</v>
      </c>
      <c r="E16" s="86">
        <v>1.0000000000000018E-4</v>
      </c>
      <c r="F16" s="79">
        <f t="shared" si="0"/>
        <v>3.5992801439712122E-4</v>
      </c>
    </row>
    <row r="17" spans="1:7" x14ac:dyDescent="0.25">
      <c r="A17" s="54" t="s">
        <v>100</v>
      </c>
      <c r="B17" s="54">
        <v>3</v>
      </c>
      <c r="C17" s="54">
        <v>0.81</v>
      </c>
      <c r="D17" s="86">
        <v>0.27</v>
      </c>
      <c r="E17" s="86">
        <v>0</v>
      </c>
      <c r="F17" s="79">
        <f t="shared" si="0"/>
        <v>0</v>
      </c>
    </row>
    <row r="18" spans="1:7" x14ac:dyDescent="0.25">
      <c r="A18" s="54" t="s">
        <v>39</v>
      </c>
      <c r="B18" s="54">
        <v>3</v>
      </c>
      <c r="C18" s="54">
        <v>0.8600000000000001</v>
      </c>
      <c r="D18" s="86">
        <v>0.28666666666666668</v>
      </c>
      <c r="E18" s="86">
        <v>3.3333333333333023E-5</v>
      </c>
      <c r="F18" s="79">
        <f t="shared" si="0"/>
        <v>1.1997600479903909E-4</v>
      </c>
    </row>
    <row r="19" spans="1:7" x14ac:dyDescent="0.25">
      <c r="A19" s="54" t="s">
        <v>101</v>
      </c>
      <c r="B19" s="54">
        <v>3</v>
      </c>
      <c r="C19" s="54">
        <v>0.83000000000000007</v>
      </c>
      <c r="D19" s="86">
        <v>0.27666666666666667</v>
      </c>
      <c r="E19" s="86">
        <v>3.3333333333333389E-5</v>
      </c>
      <c r="F19" s="79">
        <f t="shared" si="0"/>
        <v>1.199760047990404E-4</v>
      </c>
    </row>
    <row r="20" spans="1:7" x14ac:dyDescent="0.25">
      <c r="A20" s="54" t="s">
        <v>102</v>
      </c>
      <c r="B20" s="54">
        <v>2</v>
      </c>
      <c r="C20" s="54">
        <v>0.62</v>
      </c>
      <c r="D20" s="86">
        <v>0.31</v>
      </c>
      <c r="E20" s="86">
        <v>2.0000000000000036E-4</v>
      </c>
      <c r="F20" s="79">
        <f t="shared" si="0"/>
        <v>7.1985602879424244E-4</v>
      </c>
    </row>
    <row r="21" spans="1:7" x14ac:dyDescent="0.25">
      <c r="A21" s="54" t="s">
        <v>103</v>
      </c>
      <c r="B21" s="54">
        <v>2</v>
      </c>
      <c r="C21" s="54">
        <v>0.57000000000000006</v>
      </c>
      <c r="D21" s="86">
        <v>0.28500000000000003</v>
      </c>
      <c r="E21" s="86">
        <v>4.9999999999999535E-5</v>
      </c>
      <c r="F21" s="79">
        <f t="shared" si="0"/>
        <v>1.7996400719855863E-4</v>
      </c>
    </row>
    <row r="22" spans="1:7" ht="15.75" thickBot="1" x14ac:dyDescent="0.3">
      <c r="A22" s="57" t="s">
        <v>104</v>
      </c>
      <c r="B22" s="57">
        <v>2</v>
      </c>
      <c r="C22" s="57">
        <v>0.5</v>
      </c>
      <c r="D22" s="89">
        <v>0.25</v>
      </c>
      <c r="E22" s="89">
        <v>3.1999999999999806E-3</v>
      </c>
      <c r="F22" s="102">
        <f t="shared" si="0"/>
        <v>1.1517696460707789E-2</v>
      </c>
    </row>
    <row r="23" spans="1:7" x14ac:dyDescent="0.25">
      <c r="C23" s="1" t="s">
        <v>45</v>
      </c>
      <c r="D23" s="20">
        <f>AVERAGE(D13:D22)</f>
        <v>0.27783333333333332</v>
      </c>
      <c r="E23" s="1" t="s">
        <v>105</v>
      </c>
      <c r="F23" s="91">
        <f>AVERAGE(F13:F22)</f>
        <v>1.301739652069579E-3</v>
      </c>
    </row>
    <row r="25" spans="1:7" ht="15.75" thickBot="1" x14ac:dyDescent="0.3">
      <c r="A25" t="s">
        <v>38</v>
      </c>
    </row>
    <row r="26" spans="1:7" x14ac:dyDescent="0.25">
      <c r="A26" s="24" t="s">
        <v>47</v>
      </c>
      <c r="B26" s="24" t="s">
        <v>48</v>
      </c>
      <c r="C26" s="24" t="s">
        <v>49</v>
      </c>
      <c r="D26" s="24" t="s">
        <v>50</v>
      </c>
      <c r="E26" s="24" t="s">
        <v>39</v>
      </c>
      <c r="F26" s="24" t="s">
        <v>51</v>
      </c>
      <c r="G26" s="24" t="s">
        <v>52</v>
      </c>
    </row>
    <row r="27" spans="1:7" x14ac:dyDescent="0.25">
      <c r="A27" s="80" t="s">
        <v>53</v>
      </c>
      <c r="B27" s="99">
        <v>5.3384057971014491E-3</v>
      </c>
      <c r="C27" s="54">
        <v>9</v>
      </c>
      <c r="D27" s="90">
        <v>5.9315619967793875E-4</v>
      </c>
      <c r="E27" s="86">
        <v>2.0381578667347684</v>
      </c>
      <c r="F27" s="86">
        <v>0.11798421578832619</v>
      </c>
      <c r="G27" s="86">
        <v>2.7143557890598928</v>
      </c>
    </row>
    <row r="28" spans="1:7" x14ac:dyDescent="0.25">
      <c r="A28" s="80" t="s">
        <v>54</v>
      </c>
      <c r="B28" s="99">
        <v>3.7833333333333321E-3</v>
      </c>
      <c r="C28" s="54">
        <v>13</v>
      </c>
      <c r="D28" s="90">
        <v>2.9102564102564092E-4</v>
      </c>
      <c r="E28" s="86"/>
      <c r="F28" s="86"/>
      <c r="G28" s="86"/>
    </row>
    <row r="29" spans="1:7" x14ac:dyDescent="0.25">
      <c r="A29" s="80"/>
      <c r="B29" s="99"/>
      <c r="C29" s="54"/>
      <c r="D29" s="80"/>
      <c r="E29" s="80"/>
      <c r="F29" s="80"/>
      <c r="G29" s="80"/>
    </row>
    <row r="30" spans="1:7" ht="15.75" thickBot="1" x14ac:dyDescent="0.3">
      <c r="A30" s="81" t="s">
        <v>55</v>
      </c>
      <c r="B30" s="100">
        <v>9.1217391304347813E-3</v>
      </c>
      <c r="C30" s="57">
        <v>22</v>
      </c>
      <c r="D30" s="81"/>
      <c r="E30" s="81"/>
      <c r="F30" s="81"/>
      <c r="G30" s="81"/>
    </row>
    <row r="31" spans="1:7" x14ac:dyDescent="0.25">
      <c r="A31" s="80"/>
      <c r="B31" s="80"/>
      <c r="C31" s="80"/>
      <c r="D31" s="86" t="s">
        <v>108</v>
      </c>
      <c r="E31" s="80"/>
      <c r="F31" s="80"/>
      <c r="G31" s="80"/>
    </row>
    <row r="32" spans="1:7" x14ac:dyDescent="0.25">
      <c r="A32" t="s">
        <v>109</v>
      </c>
      <c r="C32" s="1" t="s">
        <v>67</v>
      </c>
      <c r="D32" s="3">
        <f>SQRT(D28)</f>
        <v>1.7059473644448733E-2</v>
      </c>
    </row>
    <row r="33" spans="1:4" x14ac:dyDescent="0.25">
      <c r="C33" s="1" t="s">
        <v>68</v>
      </c>
      <c r="D33" s="3">
        <f>SQRT((D27-D28)/2)</f>
        <v>1.2290861618542002E-2</v>
      </c>
    </row>
    <row r="34" spans="1:4" x14ac:dyDescent="0.25">
      <c r="A34" t="s">
        <v>63</v>
      </c>
      <c r="C34" s="1" t="s">
        <v>66</v>
      </c>
      <c r="D34" s="3">
        <f>SQRT(D32^2+D33^2)</f>
        <v>2.1025958250500496E-2</v>
      </c>
    </row>
    <row r="35" spans="1:4" ht="15.75" thickBot="1" x14ac:dyDescent="0.3"/>
    <row r="36" spans="1:4" x14ac:dyDescent="0.25">
      <c r="A36" s="94" t="s">
        <v>107</v>
      </c>
      <c r="B36" s="95"/>
      <c r="C36" s="95"/>
      <c r="D36" s="96">
        <f>2*D34</f>
        <v>4.2051916501000992E-2</v>
      </c>
    </row>
    <row r="37" spans="1:4" ht="15.75" thickBot="1" x14ac:dyDescent="0.3">
      <c r="A37" s="97"/>
      <c r="B37" s="92"/>
      <c r="C37" s="92"/>
      <c r="D37" s="98">
        <f>D36/D21</f>
        <v>0.14755058421403855</v>
      </c>
    </row>
    <row r="39" spans="1:4" x14ac:dyDescent="0.25">
      <c r="A39" t="s">
        <v>84</v>
      </c>
      <c r="B39" t="s">
        <v>85</v>
      </c>
    </row>
    <row r="40" spans="1:4" x14ac:dyDescent="0.25">
      <c r="A40" t="s">
        <v>86</v>
      </c>
      <c r="B40" t="s">
        <v>87</v>
      </c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9" topLeftCell="A13" activePane="bottomLeft" state="frozen"/>
      <selection pane="bottomLeft" activeCell="J10" sqref="J10"/>
    </sheetView>
  </sheetViews>
  <sheetFormatPr defaultColWidth="13.42578125" defaultRowHeight="15" x14ac:dyDescent="0.25"/>
  <cols>
    <col min="1" max="1" width="17.7109375" style="1" customWidth="1"/>
    <col min="2" max="2" width="21.85546875" style="1" bestFit="1" customWidth="1"/>
    <col min="3" max="3" width="13.42578125" style="2"/>
    <col min="4" max="4" width="15.140625" style="1" customWidth="1"/>
    <col min="5" max="5" width="16.42578125" style="1" bestFit="1" customWidth="1"/>
    <col min="6" max="6" width="13.42578125" style="13"/>
    <col min="7" max="7" width="10.42578125" style="15" customWidth="1"/>
    <col min="8" max="8" width="7.42578125" style="6" customWidth="1"/>
    <col min="9" max="9" width="13.42578125" style="5"/>
    <col min="10" max="12" width="13.42578125" style="3"/>
    <col min="13" max="13" width="31.85546875" customWidth="1"/>
  </cols>
  <sheetData>
    <row r="1" spans="1:20" x14ac:dyDescent="0.25">
      <c r="C1" s="3"/>
    </row>
    <row r="2" spans="1:20" x14ac:dyDescent="0.25">
      <c r="B2" s="1" t="s">
        <v>10</v>
      </c>
      <c r="C2" s="3">
        <f>SUBTOTAL(1,J10:J288)/SQRT(SUBTOTAL(1,H10:H288))</f>
        <v>1.4607479249998629</v>
      </c>
    </row>
    <row r="3" spans="1:20" x14ac:dyDescent="0.25">
      <c r="B3" s="1" t="s">
        <v>13</v>
      </c>
      <c r="C3" s="3">
        <f>SUBTOTAL(1, L10:L288)</f>
        <v>-9.6057209122535756</v>
      </c>
    </row>
    <row r="4" spans="1:20" x14ac:dyDescent="0.25">
      <c r="B4" s="1" t="s">
        <v>11</v>
      </c>
      <c r="C4" s="3">
        <f>SUBTOTAL(7,L10:L288)</f>
        <v>4.5953435514153798</v>
      </c>
    </row>
    <row r="5" spans="1:20" x14ac:dyDescent="0.25">
      <c r="B5" s="1" t="s">
        <v>12</v>
      </c>
      <c r="C5" s="3">
        <f>SQRT(C4^2+C2^2)</f>
        <v>4.8219256377433197</v>
      </c>
    </row>
    <row r="6" spans="1:20" x14ac:dyDescent="0.25">
      <c r="B6" s="1" t="s">
        <v>14</v>
      </c>
      <c r="C6" s="4" t="str">
        <f>IF(2*C5&lt;ABS(C3),"Significant","Insignificant")</f>
        <v>Insignificant</v>
      </c>
    </row>
    <row r="7" spans="1:20" x14ac:dyDescent="0.25">
      <c r="B7" s="73" t="s">
        <v>82</v>
      </c>
      <c r="C7" s="74" t="s">
        <v>75</v>
      </c>
    </row>
    <row r="8" spans="1:20" x14ac:dyDescent="0.25">
      <c r="B8" s="73" t="s">
        <v>83</v>
      </c>
      <c r="C8" s="75" t="s">
        <v>76</v>
      </c>
    </row>
    <row r="9" spans="1:20" s="12" customFormat="1" ht="41.25" customHeight="1" thickBot="1" x14ac:dyDescent="0.3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20" ht="15.75" thickBot="1" x14ac:dyDescent="0.3">
      <c r="A10" s="1" t="s">
        <v>60</v>
      </c>
      <c r="B10" s="1" t="s">
        <v>61</v>
      </c>
      <c r="D10" s="1" t="s">
        <v>105</v>
      </c>
      <c r="E10" s="1" t="s">
        <v>62</v>
      </c>
      <c r="F10" s="13">
        <v>1.99</v>
      </c>
      <c r="G10" s="13">
        <v>0.13</v>
      </c>
      <c r="H10" s="6">
        <v>20</v>
      </c>
      <c r="I10" s="5">
        <v>1.88</v>
      </c>
      <c r="J10" s="3">
        <f t="shared" ref="J10" si="0">G10*100/F10</f>
        <v>6.5326633165829149</v>
      </c>
      <c r="K10" s="3">
        <f t="shared" ref="K10" si="1">I10-F10</f>
        <v>-0.1100000000000001</v>
      </c>
      <c r="L10" s="3">
        <f t="shared" ref="L10" si="2">K10*100/F10</f>
        <v>-5.5276381909547796</v>
      </c>
      <c r="M10" s="17"/>
      <c r="N10" s="106" t="s">
        <v>91</v>
      </c>
      <c r="O10" s="106" t="s">
        <v>94</v>
      </c>
      <c r="P10" s="108" t="s">
        <v>95</v>
      </c>
      <c r="Q10" s="109"/>
      <c r="R10" s="109"/>
      <c r="S10" s="110"/>
    </row>
    <row r="11" spans="1:20" ht="15.75" thickBot="1" x14ac:dyDescent="0.3">
      <c r="A11" s="1" t="s">
        <v>60</v>
      </c>
      <c r="B11" s="1" t="s">
        <v>61</v>
      </c>
      <c r="D11" s="1" t="s">
        <v>105</v>
      </c>
      <c r="E11" s="1" t="s">
        <v>62</v>
      </c>
      <c r="F11" s="13">
        <v>1.99</v>
      </c>
      <c r="G11" s="13">
        <v>0.13</v>
      </c>
      <c r="H11" s="6">
        <v>20</v>
      </c>
      <c r="I11" s="5">
        <v>1.8</v>
      </c>
      <c r="J11" s="3">
        <f t="shared" ref="J11:J35" si="3">G11*100/F11</f>
        <v>6.5326633165829149</v>
      </c>
      <c r="K11" s="3">
        <f t="shared" ref="K11:K35" si="4">I11-F11</f>
        <v>-0.18999999999999995</v>
      </c>
      <c r="L11" s="3">
        <f t="shared" ref="L11:L35" si="5">K11*100/F11</f>
        <v>-9.5477386934673323</v>
      </c>
      <c r="M11" s="17"/>
      <c r="N11" s="107"/>
      <c r="O11" s="107"/>
      <c r="P11" s="82" t="s">
        <v>92</v>
      </c>
      <c r="Q11" s="82" t="s">
        <v>96</v>
      </c>
      <c r="R11" s="82" t="s">
        <v>93</v>
      </c>
      <c r="S11" s="82" t="s">
        <v>96</v>
      </c>
    </row>
    <row r="12" spans="1:20" ht="15.75" thickBot="1" x14ac:dyDescent="0.3">
      <c r="A12" s="1" t="s">
        <v>60</v>
      </c>
      <c r="B12" s="1" t="s">
        <v>61</v>
      </c>
      <c r="D12" s="1" t="s">
        <v>105</v>
      </c>
      <c r="E12" s="1" t="s">
        <v>62</v>
      </c>
      <c r="F12" s="13">
        <v>1.99</v>
      </c>
      <c r="G12" s="13">
        <v>0.13</v>
      </c>
      <c r="H12" s="6">
        <v>20</v>
      </c>
      <c r="I12" s="5">
        <v>1.76</v>
      </c>
      <c r="J12" s="3">
        <f t="shared" si="3"/>
        <v>6.5326633165829149</v>
      </c>
      <c r="K12" s="3">
        <f t="shared" si="4"/>
        <v>-0.22999999999999998</v>
      </c>
      <c r="L12" s="3">
        <f t="shared" si="5"/>
        <v>-11.557788944723619</v>
      </c>
      <c r="N12" s="111">
        <v>41986</v>
      </c>
      <c r="O12" s="82">
        <v>1</v>
      </c>
      <c r="P12" s="82">
        <v>263.60000000000002</v>
      </c>
      <c r="Q12" s="87">
        <v>1.1499999999999999</v>
      </c>
      <c r="R12" s="82">
        <v>10.1</v>
      </c>
      <c r="S12" s="87">
        <v>1.2</v>
      </c>
      <c r="T12">
        <f>P12+R12</f>
        <v>273.70000000000005</v>
      </c>
    </row>
    <row r="13" spans="1:20" ht="15.75" thickBot="1" x14ac:dyDescent="0.3">
      <c r="A13" s="1" t="s">
        <v>60</v>
      </c>
      <c r="B13" s="1" t="s">
        <v>61</v>
      </c>
      <c r="D13" s="1" t="s">
        <v>105</v>
      </c>
      <c r="E13" s="1" t="s">
        <v>62</v>
      </c>
      <c r="F13" s="13">
        <v>1.99</v>
      </c>
      <c r="G13" s="13">
        <v>0.13</v>
      </c>
      <c r="H13" s="6">
        <v>20</v>
      </c>
      <c r="I13" s="5">
        <v>1.91</v>
      </c>
      <c r="J13" s="3">
        <f t="shared" si="3"/>
        <v>6.5326633165829149</v>
      </c>
      <c r="K13" s="3">
        <f t="shared" si="4"/>
        <v>-8.0000000000000071E-2</v>
      </c>
      <c r="L13" s="3">
        <f t="shared" si="5"/>
        <v>-4.020100502512566</v>
      </c>
      <c r="N13" s="104"/>
      <c r="O13" s="82">
        <v>2</v>
      </c>
      <c r="P13" s="82">
        <v>233.9</v>
      </c>
      <c r="Q13" s="87">
        <v>1.02</v>
      </c>
      <c r="R13" s="82">
        <v>9.1999999999999993</v>
      </c>
      <c r="S13" s="87">
        <v>1.0900000000000001</v>
      </c>
      <c r="T13">
        <f t="shared" ref="T13:T35" si="6">P13+R13</f>
        <v>243.1</v>
      </c>
    </row>
    <row r="14" spans="1:20" ht="15.75" thickBot="1" x14ac:dyDescent="0.3">
      <c r="A14" s="1" t="s">
        <v>60</v>
      </c>
      <c r="B14" s="1" t="s">
        <v>61</v>
      </c>
      <c r="D14" s="1" t="s">
        <v>105</v>
      </c>
      <c r="E14" s="1" t="s">
        <v>62</v>
      </c>
      <c r="F14" s="13">
        <v>1.99</v>
      </c>
      <c r="G14" s="13">
        <v>0.13</v>
      </c>
      <c r="H14" s="6">
        <v>20</v>
      </c>
      <c r="I14" s="5">
        <v>1.76</v>
      </c>
      <c r="J14" s="3">
        <f t="shared" si="3"/>
        <v>6.5326633165829149</v>
      </c>
      <c r="K14" s="3">
        <f t="shared" si="4"/>
        <v>-0.22999999999999998</v>
      </c>
      <c r="L14" s="3">
        <f t="shared" si="5"/>
        <v>-11.557788944723619</v>
      </c>
      <c r="N14" s="103">
        <v>41993</v>
      </c>
      <c r="O14" s="82">
        <v>3</v>
      </c>
      <c r="P14" s="82">
        <v>252.4</v>
      </c>
      <c r="Q14" s="87">
        <v>1.1000000000000001</v>
      </c>
      <c r="R14" s="82">
        <v>9.5</v>
      </c>
      <c r="S14" s="87">
        <v>1.1299999999999999</v>
      </c>
      <c r="T14">
        <f t="shared" si="6"/>
        <v>261.89999999999998</v>
      </c>
    </row>
    <row r="15" spans="1:20" ht="15.75" thickBot="1" x14ac:dyDescent="0.3">
      <c r="A15" s="1" t="s">
        <v>60</v>
      </c>
      <c r="B15" s="1" t="s">
        <v>61</v>
      </c>
      <c r="D15" s="1" t="s">
        <v>105</v>
      </c>
      <c r="E15" s="1" t="s">
        <v>62</v>
      </c>
      <c r="F15" s="13">
        <v>1.99</v>
      </c>
      <c r="G15" s="13">
        <v>0.13</v>
      </c>
      <c r="H15" s="6">
        <v>20</v>
      </c>
      <c r="I15" s="5">
        <v>1.85</v>
      </c>
      <c r="J15" s="3">
        <f t="shared" si="3"/>
        <v>6.5326633165829149</v>
      </c>
      <c r="K15" s="3">
        <f t="shared" si="4"/>
        <v>-0.1399999999999999</v>
      </c>
      <c r="L15" s="3">
        <f t="shared" si="5"/>
        <v>-7.0351758793969799</v>
      </c>
      <c r="N15" s="104"/>
      <c r="O15" s="82">
        <v>4</v>
      </c>
      <c r="P15" s="82">
        <v>255.3</v>
      </c>
      <c r="Q15" s="87">
        <v>1.1100000000000001</v>
      </c>
      <c r="R15" s="82">
        <v>9.9</v>
      </c>
      <c r="S15" s="87">
        <v>1.18</v>
      </c>
      <c r="T15">
        <f t="shared" si="6"/>
        <v>265.2</v>
      </c>
    </row>
    <row r="16" spans="1:20" ht="15.75" thickBot="1" x14ac:dyDescent="0.3">
      <c r="A16" s="1" t="s">
        <v>60</v>
      </c>
      <c r="B16" s="1" t="s">
        <v>61</v>
      </c>
      <c r="D16" s="1" t="s">
        <v>105</v>
      </c>
      <c r="E16" s="1" t="s">
        <v>62</v>
      </c>
      <c r="F16" s="13">
        <v>1.99</v>
      </c>
      <c r="G16" s="13">
        <v>0.13</v>
      </c>
      <c r="H16" s="6">
        <v>20</v>
      </c>
      <c r="I16" s="5">
        <v>1.82</v>
      </c>
      <c r="J16" s="3">
        <f t="shared" si="3"/>
        <v>6.5326633165829149</v>
      </c>
      <c r="K16" s="3">
        <f t="shared" si="4"/>
        <v>-0.16999999999999993</v>
      </c>
      <c r="L16" s="3">
        <f t="shared" si="5"/>
        <v>-8.5427135678391917</v>
      </c>
      <c r="N16" s="103">
        <v>42095</v>
      </c>
      <c r="O16" s="82">
        <v>5</v>
      </c>
      <c r="P16" s="82">
        <v>256</v>
      </c>
      <c r="Q16" s="87">
        <v>1.1200000000000001</v>
      </c>
      <c r="R16" s="82">
        <v>9.6999999999999993</v>
      </c>
      <c r="S16" s="87">
        <v>1.1599999999999999</v>
      </c>
      <c r="T16">
        <f t="shared" si="6"/>
        <v>265.7</v>
      </c>
    </row>
    <row r="17" spans="1:20" ht="15.75" thickBot="1" x14ac:dyDescent="0.3">
      <c r="A17" s="1" t="s">
        <v>60</v>
      </c>
      <c r="B17" s="1" t="s">
        <v>61</v>
      </c>
      <c r="D17" s="1" t="s">
        <v>105</v>
      </c>
      <c r="E17" s="1" t="s">
        <v>62</v>
      </c>
      <c r="F17" s="13">
        <v>1.99</v>
      </c>
      <c r="G17" s="13">
        <v>0.13</v>
      </c>
      <c r="H17" s="6">
        <v>20</v>
      </c>
      <c r="I17" s="5">
        <v>1.72</v>
      </c>
      <c r="J17" s="3">
        <f t="shared" si="3"/>
        <v>6.5326633165829149</v>
      </c>
      <c r="K17" s="3">
        <f t="shared" si="4"/>
        <v>-0.27</v>
      </c>
      <c r="L17" s="3">
        <f t="shared" si="5"/>
        <v>-13.5678391959799</v>
      </c>
      <c r="N17" s="105"/>
      <c r="O17" s="82">
        <v>6</v>
      </c>
      <c r="P17" s="82">
        <v>233</v>
      </c>
      <c r="Q17" s="87">
        <v>1.02</v>
      </c>
      <c r="R17" s="82">
        <v>10.199999999999999</v>
      </c>
      <c r="S17" s="87">
        <v>1.21</v>
      </c>
      <c r="T17">
        <f t="shared" si="6"/>
        <v>243.2</v>
      </c>
    </row>
    <row r="18" spans="1:20" ht="15.75" thickBot="1" x14ac:dyDescent="0.3">
      <c r="A18" s="1" t="s">
        <v>60</v>
      </c>
      <c r="B18" s="1" t="s">
        <v>61</v>
      </c>
      <c r="D18" s="1" t="s">
        <v>105</v>
      </c>
      <c r="E18" s="1" t="s">
        <v>62</v>
      </c>
      <c r="F18" s="13">
        <v>1.99</v>
      </c>
      <c r="G18" s="13">
        <v>0.13</v>
      </c>
      <c r="H18" s="6">
        <v>20</v>
      </c>
      <c r="I18" s="5">
        <v>1.75</v>
      </c>
      <c r="J18" s="3">
        <f t="shared" si="3"/>
        <v>6.5326633165829149</v>
      </c>
      <c r="K18" s="3">
        <f t="shared" si="4"/>
        <v>-0.24</v>
      </c>
      <c r="L18" s="3">
        <f t="shared" si="5"/>
        <v>-12.060301507537689</v>
      </c>
      <c r="N18" s="104"/>
      <c r="O18" s="82">
        <v>7</v>
      </c>
      <c r="P18" s="82">
        <v>211</v>
      </c>
      <c r="Q18" s="87">
        <v>0.92</v>
      </c>
      <c r="R18" s="82">
        <v>10.5</v>
      </c>
      <c r="S18" s="87">
        <v>1.25</v>
      </c>
      <c r="T18">
        <f t="shared" si="6"/>
        <v>221.5</v>
      </c>
    </row>
    <row r="19" spans="1:20" ht="15.75" thickBot="1" x14ac:dyDescent="0.3">
      <c r="A19" s="1" t="s">
        <v>60</v>
      </c>
      <c r="B19" s="1" t="s">
        <v>61</v>
      </c>
      <c r="D19" s="1" t="s">
        <v>105</v>
      </c>
      <c r="E19" s="1" t="s">
        <v>62</v>
      </c>
      <c r="F19" s="13">
        <v>1.99</v>
      </c>
      <c r="G19" s="13">
        <v>0.13</v>
      </c>
      <c r="H19" s="6">
        <v>20</v>
      </c>
      <c r="I19" s="5">
        <v>1.88</v>
      </c>
      <c r="J19" s="3">
        <f t="shared" si="3"/>
        <v>6.5326633165829149</v>
      </c>
      <c r="K19" s="3">
        <f t="shared" si="4"/>
        <v>-0.1100000000000001</v>
      </c>
      <c r="L19" s="3">
        <f t="shared" si="5"/>
        <v>-5.5276381909547796</v>
      </c>
      <c r="N19" s="103">
        <v>42114</v>
      </c>
      <c r="O19" s="82">
        <v>8</v>
      </c>
      <c r="P19" s="82">
        <v>221.3</v>
      </c>
      <c r="Q19" s="87">
        <v>0.97</v>
      </c>
      <c r="R19" s="82">
        <v>9.4</v>
      </c>
      <c r="S19" s="87">
        <v>1.1200000000000001</v>
      </c>
      <c r="T19">
        <f t="shared" si="6"/>
        <v>230.70000000000002</v>
      </c>
    </row>
    <row r="20" spans="1:20" ht="15.75" thickBot="1" x14ac:dyDescent="0.3">
      <c r="A20" s="1" t="s">
        <v>60</v>
      </c>
      <c r="B20" s="1" t="s">
        <v>61</v>
      </c>
      <c r="D20" s="1" t="s">
        <v>105</v>
      </c>
      <c r="E20" s="1" t="s">
        <v>62</v>
      </c>
      <c r="F20" s="13">
        <v>1.99</v>
      </c>
      <c r="G20" s="13">
        <v>0.13</v>
      </c>
      <c r="H20" s="6">
        <v>20</v>
      </c>
      <c r="I20" s="5">
        <v>1.74</v>
      </c>
      <c r="J20" s="3">
        <f t="shared" si="3"/>
        <v>6.5326633165829149</v>
      </c>
      <c r="K20" s="3">
        <f t="shared" si="4"/>
        <v>-0.25</v>
      </c>
      <c r="L20" s="3">
        <f t="shared" si="5"/>
        <v>-12.562814070351759</v>
      </c>
      <c r="N20" s="105"/>
      <c r="O20" s="82">
        <v>9</v>
      </c>
      <c r="P20" s="82">
        <v>206.9</v>
      </c>
      <c r="Q20" s="87">
        <v>0.9</v>
      </c>
      <c r="R20" s="82">
        <v>11.9</v>
      </c>
      <c r="S20" s="87">
        <v>1.42</v>
      </c>
      <c r="T20">
        <f t="shared" si="6"/>
        <v>218.8</v>
      </c>
    </row>
    <row r="21" spans="1:20" ht="15.75" thickBot="1" x14ac:dyDescent="0.3">
      <c r="A21" s="1" t="s">
        <v>60</v>
      </c>
      <c r="B21" s="1" t="s">
        <v>61</v>
      </c>
      <c r="D21" s="1" t="s">
        <v>105</v>
      </c>
      <c r="E21" s="1" t="s">
        <v>62</v>
      </c>
      <c r="F21" s="13">
        <v>1.99</v>
      </c>
      <c r="G21" s="13">
        <v>0.13</v>
      </c>
      <c r="H21" s="6">
        <v>20</v>
      </c>
      <c r="I21" s="5">
        <v>1.7</v>
      </c>
      <c r="J21" s="3">
        <f t="shared" si="3"/>
        <v>6.5326633165829149</v>
      </c>
      <c r="K21" s="3">
        <f t="shared" si="4"/>
        <v>-0.29000000000000004</v>
      </c>
      <c r="L21" s="3">
        <f t="shared" si="5"/>
        <v>-14.572864321608042</v>
      </c>
      <c r="N21" s="104"/>
      <c r="O21" s="82">
        <v>10</v>
      </c>
      <c r="P21" s="82">
        <v>216.6</v>
      </c>
      <c r="Q21" s="87">
        <v>0.95</v>
      </c>
      <c r="R21" s="82">
        <v>9.6999999999999993</v>
      </c>
      <c r="S21" s="87">
        <v>1.1499999999999999</v>
      </c>
      <c r="T21">
        <f t="shared" si="6"/>
        <v>226.29999999999998</v>
      </c>
    </row>
    <row r="22" spans="1:20" ht="15.75" thickBot="1" x14ac:dyDescent="0.3">
      <c r="A22" s="1" t="s">
        <v>60</v>
      </c>
      <c r="B22" s="1" t="s">
        <v>61</v>
      </c>
      <c r="D22" s="1" t="s">
        <v>105</v>
      </c>
      <c r="E22" s="1" t="s">
        <v>62</v>
      </c>
      <c r="F22" s="13">
        <v>1.99</v>
      </c>
      <c r="G22" s="13">
        <v>0.13</v>
      </c>
      <c r="H22" s="6">
        <v>20</v>
      </c>
      <c r="I22" s="5">
        <v>1.71</v>
      </c>
      <c r="J22" s="3">
        <f t="shared" si="3"/>
        <v>6.5326633165829149</v>
      </c>
      <c r="K22" s="3">
        <f t="shared" si="4"/>
        <v>-0.28000000000000003</v>
      </c>
      <c r="L22" s="3">
        <f t="shared" si="5"/>
        <v>-14.070351758793972</v>
      </c>
      <c r="N22" s="103">
        <v>42186</v>
      </c>
      <c r="O22" s="82">
        <v>11</v>
      </c>
      <c r="P22" s="82">
        <v>210.2</v>
      </c>
      <c r="Q22" s="87">
        <v>0.92</v>
      </c>
      <c r="R22" s="82" t="s">
        <v>97</v>
      </c>
      <c r="S22" s="82" t="s">
        <v>97</v>
      </c>
      <c r="T22" t="e">
        <f t="shared" si="6"/>
        <v>#VALUE!</v>
      </c>
    </row>
    <row r="23" spans="1:20" ht="15.75" thickBot="1" x14ac:dyDescent="0.3">
      <c r="A23" s="1" t="s">
        <v>60</v>
      </c>
      <c r="B23" s="1" t="s">
        <v>61</v>
      </c>
      <c r="D23" s="1" t="s">
        <v>105</v>
      </c>
      <c r="E23" s="1" t="s">
        <v>62</v>
      </c>
      <c r="F23" s="13">
        <v>1.99</v>
      </c>
      <c r="G23" s="13">
        <v>0.13</v>
      </c>
      <c r="H23" s="6">
        <v>20</v>
      </c>
      <c r="I23" s="5">
        <v>1.87</v>
      </c>
      <c r="J23" s="3">
        <f t="shared" si="3"/>
        <v>6.5326633165829149</v>
      </c>
      <c r="K23" s="3">
        <f t="shared" si="4"/>
        <v>-0.11999999999999988</v>
      </c>
      <c r="L23" s="3">
        <f t="shared" si="5"/>
        <v>-6.0301507537688392</v>
      </c>
      <c r="N23" s="104"/>
      <c r="O23" s="82">
        <v>12</v>
      </c>
      <c r="P23" s="82">
        <v>224.5</v>
      </c>
      <c r="Q23" s="87">
        <v>0.98</v>
      </c>
      <c r="R23" s="82" t="s">
        <v>97</v>
      </c>
      <c r="S23" s="82" t="s">
        <v>97</v>
      </c>
      <c r="T23" t="e">
        <f t="shared" si="6"/>
        <v>#VALUE!</v>
      </c>
    </row>
    <row r="24" spans="1:20" ht="15.75" thickBot="1" x14ac:dyDescent="0.3">
      <c r="A24" s="1" t="s">
        <v>60</v>
      </c>
      <c r="B24" s="1" t="s">
        <v>61</v>
      </c>
      <c r="D24" s="1" t="s">
        <v>105</v>
      </c>
      <c r="E24" s="1" t="s">
        <v>62</v>
      </c>
      <c r="F24" s="13">
        <v>1.99</v>
      </c>
      <c r="G24" s="13">
        <v>0.13</v>
      </c>
      <c r="H24" s="6">
        <v>20</v>
      </c>
      <c r="I24" s="5">
        <v>2.04</v>
      </c>
      <c r="J24" s="3">
        <f t="shared" si="3"/>
        <v>6.5326633165829149</v>
      </c>
      <c r="K24" s="3">
        <f t="shared" si="4"/>
        <v>5.0000000000000044E-2</v>
      </c>
      <c r="L24" s="3">
        <f t="shared" si="5"/>
        <v>2.5125628140703542</v>
      </c>
      <c r="N24" s="103">
        <v>42187</v>
      </c>
      <c r="O24" s="82">
        <v>13</v>
      </c>
      <c r="P24" s="82">
        <v>260.8</v>
      </c>
      <c r="Q24" s="87">
        <v>1.1399999999999999</v>
      </c>
      <c r="R24" s="82">
        <v>11.1</v>
      </c>
      <c r="S24" s="87">
        <v>1.32</v>
      </c>
      <c r="T24">
        <f t="shared" si="6"/>
        <v>271.90000000000003</v>
      </c>
    </row>
    <row r="25" spans="1:20" ht="15.75" thickBot="1" x14ac:dyDescent="0.3">
      <c r="A25" s="1" t="s">
        <v>60</v>
      </c>
      <c r="B25" s="1" t="s">
        <v>61</v>
      </c>
      <c r="D25" s="1" t="s">
        <v>105</v>
      </c>
      <c r="E25" s="1" t="s">
        <v>62</v>
      </c>
      <c r="F25" s="13">
        <v>1.99</v>
      </c>
      <c r="G25" s="13">
        <v>0.13</v>
      </c>
      <c r="H25" s="6">
        <v>20</v>
      </c>
      <c r="I25" s="5">
        <v>1.89</v>
      </c>
      <c r="J25" s="3">
        <f t="shared" si="3"/>
        <v>6.5326633165829149</v>
      </c>
      <c r="K25" s="3">
        <f t="shared" si="4"/>
        <v>-0.10000000000000009</v>
      </c>
      <c r="L25" s="3">
        <f t="shared" si="5"/>
        <v>-5.0251256281407084</v>
      </c>
      <c r="N25" s="104"/>
      <c r="O25" s="82">
        <v>14</v>
      </c>
      <c r="P25" s="82">
        <v>248.1</v>
      </c>
      <c r="Q25" s="87">
        <v>1.08</v>
      </c>
      <c r="R25" s="82">
        <v>11.4</v>
      </c>
      <c r="S25" s="87">
        <v>1.36</v>
      </c>
      <c r="T25">
        <f t="shared" si="6"/>
        <v>259.5</v>
      </c>
    </row>
    <row r="26" spans="1:20" ht="15.75" thickBot="1" x14ac:dyDescent="0.3">
      <c r="A26" s="1" t="s">
        <v>60</v>
      </c>
      <c r="B26" s="1" t="s">
        <v>61</v>
      </c>
      <c r="D26" s="1" t="s">
        <v>105</v>
      </c>
      <c r="E26" s="1" t="s">
        <v>62</v>
      </c>
      <c r="F26" s="13">
        <v>1.99</v>
      </c>
      <c r="G26" s="13">
        <v>0.13</v>
      </c>
      <c r="H26" s="6">
        <v>20</v>
      </c>
      <c r="I26" s="5">
        <v>1.79</v>
      </c>
      <c r="J26" s="3">
        <f t="shared" si="3"/>
        <v>6.5326633165829149</v>
      </c>
      <c r="K26" s="3">
        <f t="shared" si="4"/>
        <v>-0.19999999999999996</v>
      </c>
      <c r="L26" s="3">
        <f t="shared" si="5"/>
        <v>-10.050251256281406</v>
      </c>
      <c r="N26" s="103">
        <v>42221</v>
      </c>
      <c r="O26" s="82">
        <v>15</v>
      </c>
      <c r="P26" s="82">
        <v>249.5</v>
      </c>
      <c r="Q26" s="87">
        <v>1.0900000000000001</v>
      </c>
      <c r="R26" s="82">
        <v>11.4</v>
      </c>
      <c r="S26" s="87">
        <v>1.36</v>
      </c>
      <c r="T26">
        <f t="shared" si="6"/>
        <v>260.89999999999998</v>
      </c>
    </row>
    <row r="27" spans="1:20" ht="15.75" thickBot="1" x14ac:dyDescent="0.3">
      <c r="A27" s="1" t="s">
        <v>60</v>
      </c>
      <c r="B27" s="1" t="s">
        <v>61</v>
      </c>
      <c r="D27" s="1" t="s">
        <v>105</v>
      </c>
      <c r="E27" s="1" t="s">
        <v>62</v>
      </c>
      <c r="F27" s="13">
        <v>1.99</v>
      </c>
      <c r="G27" s="13">
        <v>0.13</v>
      </c>
      <c r="H27" s="6">
        <v>20</v>
      </c>
      <c r="I27" s="5">
        <v>1.86</v>
      </c>
      <c r="J27" s="3">
        <f t="shared" si="3"/>
        <v>6.5326633165829149</v>
      </c>
      <c r="K27" s="3">
        <f t="shared" si="4"/>
        <v>-0.12999999999999989</v>
      </c>
      <c r="L27" s="3">
        <f t="shared" si="5"/>
        <v>-6.5326633165829096</v>
      </c>
      <c r="N27" s="104"/>
      <c r="O27" s="82">
        <v>16</v>
      </c>
      <c r="P27" s="82">
        <v>245.5</v>
      </c>
      <c r="Q27" s="87">
        <v>1.07</v>
      </c>
      <c r="R27" s="82">
        <v>11.8</v>
      </c>
      <c r="S27" s="87">
        <v>1.4</v>
      </c>
      <c r="T27">
        <f t="shared" si="6"/>
        <v>257.3</v>
      </c>
    </row>
    <row r="28" spans="1:20" ht="15.75" thickBot="1" x14ac:dyDescent="0.3">
      <c r="A28" s="1" t="s">
        <v>60</v>
      </c>
      <c r="B28" s="1" t="s">
        <v>61</v>
      </c>
      <c r="D28" s="1" t="s">
        <v>105</v>
      </c>
      <c r="E28" s="1" t="s">
        <v>62</v>
      </c>
      <c r="F28" s="13">
        <v>1.99</v>
      </c>
      <c r="G28" s="13">
        <v>0.13</v>
      </c>
      <c r="H28" s="6">
        <v>20</v>
      </c>
      <c r="I28" s="5">
        <v>1.87</v>
      </c>
      <c r="J28" s="3">
        <f t="shared" si="3"/>
        <v>6.5326633165829149</v>
      </c>
      <c r="K28" s="3">
        <f t="shared" si="4"/>
        <v>-0.11999999999999988</v>
      </c>
      <c r="L28" s="3">
        <f t="shared" si="5"/>
        <v>-6.0301507537688392</v>
      </c>
      <c r="N28" s="103">
        <v>42226</v>
      </c>
      <c r="O28" s="82">
        <v>17</v>
      </c>
      <c r="P28" s="82">
        <v>219.8</v>
      </c>
      <c r="Q28" s="87">
        <v>0.96</v>
      </c>
      <c r="R28" s="82">
        <v>10.9</v>
      </c>
      <c r="S28" s="87">
        <v>1.3</v>
      </c>
      <c r="T28">
        <f t="shared" si="6"/>
        <v>230.70000000000002</v>
      </c>
    </row>
    <row r="29" spans="1:20" ht="15.75" thickBot="1" x14ac:dyDescent="0.3">
      <c r="A29" s="1" t="s">
        <v>60</v>
      </c>
      <c r="B29" s="1" t="s">
        <v>61</v>
      </c>
      <c r="D29" s="1" t="s">
        <v>105</v>
      </c>
      <c r="E29" s="1" t="s">
        <v>62</v>
      </c>
      <c r="F29" s="13">
        <v>1.99</v>
      </c>
      <c r="G29" s="13">
        <v>0.13</v>
      </c>
      <c r="H29" s="6">
        <v>20</v>
      </c>
      <c r="I29" s="5">
        <v>1.72</v>
      </c>
      <c r="J29" s="3">
        <f t="shared" si="3"/>
        <v>6.5326633165829149</v>
      </c>
      <c r="K29" s="3">
        <f t="shared" si="4"/>
        <v>-0.27</v>
      </c>
      <c r="L29" s="3">
        <f t="shared" si="5"/>
        <v>-13.5678391959799</v>
      </c>
      <c r="N29" s="104"/>
      <c r="O29" s="82">
        <v>18</v>
      </c>
      <c r="P29" s="82">
        <v>221.8</v>
      </c>
      <c r="Q29" s="87">
        <v>0.97</v>
      </c>
      <c r="R29" s="82">
        <v>10.9</v>
      </c>
      <c r="S29" s="87">
        <v>1.3</v>
      </c>
      <c r="T29">
        <f t="shared" si="6"/>
        <v>232.70000000000002</v>
      </c>
    </row>
    <row r="30" spans="1:20" ht="15.75" thickBot="1" x14ac:dyDescent="0.3">
      <c r="A30" s="1" t="s">
        <v>60</v>
      </c>
      <c r="B30" s="1" t="s">
        <v>61</v>
      </c>
      <c r="D30" s="1" t="s">
        <v>105</v>
      </c>
      <c r="E30" s="1" t="s">
        <v>62</v>
      </c>
      <c r="F30" s="13">
        <v>1.99</v>
      </c>
      <c r="G30" s="13">
        <v>0.13</v>
      </c>
      <c r="H30" s="6">
        <v>20</v>
      </c>
      <c r="I30" s="5">
        <v>1.62</v>
      </c>
      <c r="J30" s="3">
        <f t="shared" si="3"/>
        <v>6.5326633165829149</v>
      </c>
      <c r="K30" s="3">
        <f t="shared" si="4"/>
        <v>-0.36999999999999988</v>
      </c>
      <c r="L30" s="3">
        <f t="shared" si="5"/>
        <v>-18.592964824120596</v>
      </c>
      <c r="N30" s="103">
        <v>42228</v>
      </c>
      <c r="O30" s="82">
        <v>19</v>
      </c>
      <c r="P30" s="82">
        <v>201.7</v>
      </c>
      <c r="Q30" s="87">
        <v>0.88</v>
      </c>
      <c r="R30" s="82">
        <v>10.3</v>
      </c>
      <c r="S30" s="87">
        <v>1.23</v>
      </c>
      <c r="T30">
        <f t="shared" si="6"/>
        <v>212</v>
      </c>
    </row>
    <row r="31" spans="1:20" ht="15.75" thickBot="1" x14ac:dyDescent="0.3">
      <c r="A31" s="1" t="s">
        <v>60</v>
      </c>
      <c r="B31" s="1" t="s">
        <v>61</v>
      </c>
      <c r="D31" s="1" t="s">
        <v>105</v>
      </c>
      <c r="E31" s="1" t="s">
        <v>62</v>
      </c>
      <c r="F31" s="13">
        <v>1.99</v>
      </c>
      <c r="G31" s="13">
        <v>0.13</v>
      </c>
      <c r="H31" s="6">
        <v>20</v>
      </c>
      <c r="I31" s="5">
        <v>1.75</v>
      </c>
      <c r="J31" s="3">
        <f t="shared" si="3"/>
        <v>6.5326633165829149</v>
      </c>
      <c r="K31" s="3">
        <f t="shared" si="4"/>
        <v>-0.24</v>
      </c>
      <c r="L31" s="3">
        <f t="shared" si="5"/>
        <v>-12.060301507537689</v>
      </c>
      <c r="N31" s="104"/>
      <c r="O31" s="82">
        <v>20</v>
      </c>
      <c r="P31" s="82">
        <v>197.8</v>
      </c>
      <c r="Q31" s="87">
        <v>0.86</v>
      </c>
      <c r="R31" s="82">
        <v>10</v>
      </c>
      <c r="S31" s="87">
        <v>1.2</v>
      </c>
      <c r="T31">
        <f t="shared" si="6"/>
        <v>207.8</v>
      </c>
    </row>
    <row r="32" spans="1:20" ht="15.75" thickBot="1" x14ac:dyDescent="0.3">
      <c r="A32" s="1" t="s">
        <v>60</v>
      </c>
      <c r="B32" s="1" t="s">
        <v>61</v>
      </c>
      <c r="D32" s="1" t="s">
        <v>105</v>
      </c>
      <c r="E32" s="1" t="s">
        <v>62</v>
      </c>
      <c r="F32" s="13">
        <v>1.99</v>
      </c>
      <c r="G32" s="13">
        <v>0.13</v>
      </c>
      <c r="H32" s="6">
        <v>20</v>
      </c>
      <c r="I32" s="5">
        <v>1.69</v>
      </c>
      <c r="J32" s="3">
        <f t="shared" si="3"/>
        <v>6.5326633165829149</v>
      </c>
      <c r="K32" s="3">
        <f t="shared" si="4"/>
        <v>-0.30000000000000004</v>
      </c>
      <c r="L32" s="3">
        <f t="shared" si="5"/>
        <v>-15.075376884422113</v>
      </c>
      <c r="N32" s="103">
        <v>42230</v>
      </c>
      <c r="O32" s="82">
        <v>21</v>
      </c>
      <c r="P32" s="82">
        <v>226</v>
      </c>
      <c r="Q32" s="87">
        <v>0.99</v>
      </c>
      <c r="R32" s="82">
        <v>10.199999999999999</v>
      </c>
      <c r="S32" s="87">
        <v>1.22</v>
      </c>
      <c r="T32">
        <f t="shared" si="6"/>
        <v>236.2</v>
      </c>
    </row>
    <row r="33" spans="1:20" ht="15.75" thickBot="1" x14ac:dyDescent="0.3">
      <c r="A33" s="1" t="s">
        <v>60</v>
      </c>
      <c r="B33" s="1" t="s">
        <v>61</v>
      </c>
      <c r="D33" s="1" t="s">
        <v>105</v>
      </c>
      <c r="E33" s="1" t="s">
        <v>62</v>
      </c>
      <c r="F33" s="13">
        <v>1.99</v>
      </c>
      <c r="G33" s="13">
        <v>0.13</v>
      </c>
      <c r="H33" s="6">
        <v>20</v>
      </c>
      <c r="I33" s="5">
        <v>1.78</v>
      </c>
      <c r="J33" s="3">
        <f t="shared" si="3"/>
        <v>6.5326633165829149</v>
      </c>
      <c r="K33" s="3">
        <f t="shared" si="4"/>
        <v>-0.20999999999999996</v>
      </c>
      <c r="L33" s="3">
        <f t="shared" si="5"/>
        <v>-10.552763819095476</v>
      </c>
      <c r="N33" s="104"/>
      <c r="O33" s="82">
        <v>22</v>
      </c>
      <c r="P33" s="82">
        <v>234.8</v>
      </c>
      <c r="Q33" s="87">
        <v>1.02</v>
      </c>
      <c r="R33" s="82">
        <v>12.2</v>
      </c>
      <c r="S33" s="87">
        <v>1.45</v>
      </c>
      <c r="T33">
        <f t="shared" si="6"/>
        <v>247</v>
      </c>
    </row>
    <row r="34" spans="1:20" ht="15.75" thickBot="1" x14ac:dyDescent="0.3">
      <c r="A34" s="1" t="s">
        <v>60</v>
      </c>
      <c r="B34" s="1" t="s">
        <v>61</v>
      </c>
      <c r="D34" s="1" t="s">
        <v>105</v>
      </c>
      <c r="E34" s="1" t="s">
        <v>62</v>
      </c>
      <c r="F34" s="13">
        <v>1.99</v>
      </c>
      <c r="G34" s="13">
        <v>0.13</v>
      </c>
      <c r="H34" s="6">
        <v>20</v>
      </c>
      <c r="I34" s="5">
        <v>1.89</v>
      </c>
      <c r="J34" s="3">
        <f t="shared" si="3"/>
        <v>6.5326633165829149</v>
      </c>
      <c r="K34" s="3">
        <f t="shared" si="4"/>
        <v>-0.10000000000000009</v>
      </c>
      <c r="L34" s="3">
        <f t="shared" si="5"/>
        <v>-5.0251256281407084</v>
      </c>
      <c r="N34" s="83">
        <v>42234</v>
      </c>
      <c r="O34" s="82">
        <v>23</v>
      </c>
      <c r="P34" s="82">
        <v>214.9</v>
      </c>
      <c r="Q34" s="87">
        <v>0.94</v>
      </c>
      <c r="R34" s="82">
        <v>10.6</v>
      </c>
      <c r="S34" s="87">
        <v>1.27</v>
      </c>
      <c r="T34">
        <f t="shared" si="6"/>
        <v>225.5</v>
      </c>
    </row>
    <row r="35" spans="1:20" ht="15.75" thickBot="1" x14ac:dyDescent="0.3">
      <c r="A35" s="1" t="s">
        <v>60</v>
      </c>
      <c r="B35" s="1" t="s">
        <v>61</v>
      </c>
      <c r="D35" s="1" t="s">
        <v>105</v>
      </c>
      <c r="E35" s="1" t="s">
        <v>62</v>
      </c>
      <c r="F35" s="13">
        <v>1.99</v>
      </c>
      <c r="G35" s="13">
        <v>0.13</v>
      </c>
      <c r="H35" s="6">
        <v>20</v>
      </c>
      <c r="I35" s="5">
        <v>1.72</v>
      </c>
      <c r="J35" s="3">
        <f t="shared" si="3"/>
        <v>6.5326633165829149</v>
      </c>
      <c r="K35" s="3">
        <f t="shared" si="4"/>
        <v>-0.27</v>
      </c>
      <c r="L35" s="3">
        <f t="shared" si="5"/>
        <v>-13.5678391959799</v>
      </c>
      <c r="N35" s="83">
        <v>42237</v>
      </c>
      <c r="O35" s="82">
        <v>24</v>
      </c>
      <c r="P35" s="82">
        <v>249.4</v>
      </c>
      <c r="Q35" s="87">
        <v>1.0900000000000001</v>
      </c>
      <c r="R35" s="82">
        <v>10</v>
      </c>
      <c r="S35" s="87">
        <v>1.19</v>
      </c>
      <c r="T35">
        <f t="shared" si="6"/>
        <v>259.39999999999998</v>
      </c>
    </row>
    <row r="39" spans="1:20" x14ac:dyDescent="0.25">
      <c r="F39" s="23"/>
      <c r="G39" s="23"/>
    </row>
    <row r="40" spans="1:20" x14ac:dyDescent="0.25">
      <c r="F40" s="23"/>
      <c r="G40" s="23"/>
    </row>
    <row r="41" spans="1:20" x14ac:dyDescent="0.25">
      <c r="F41" s="23"/>
      <c r="G41" s="23"/>
    </row>
    <row r="42" spans="1:20" x14ac:dyDescent="0.25">
      <c r="F42" s="23"/>
      <c r="G42" s="23"/>
    </row>
  </sheetData>
  <autoFilter ref="A9:L287">
    <sortState ref="A10:L43">
      <sortCondition ref="K9:K288"/>
    </sortState>
  </autoFilter>
  <mergeCells count="13">
    <mergeCell ref="N16:N18"/>
    <mergeCell ref="N10:N11"/>
    <mergeCell ref="O10:O11"/>
    <mergeCell ref="P10:S10"/>
    <mergeCell ref="N12:N13"/>
    <mergeCell ref="N14:N15"/>
    <mergeCell ref="N32:N33"/>
    <mergeCell ref="N19:N21"/>
    <mergeCell ref="N22:N23"/>
    <mergeCell ref="N24:N25"/>
    <mergeCell ref="N26:N27"/>
    <mergeCell ref="N28:N29"/>
    <mergeCell ref="N30:N31"/>
  </mergeCells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7" sqref="Q17"/>
    </sheetView>
  </sheetViews>
  <sheetFormatPr defaultColWidth="8.85546875"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1.02</v>
      </c>
    </row>
    <row r="4" spans="1:2" x14ac:dyDescent="0.25">
      <c r="A4">
        <v>2</v>
      </c>
      <c r="B4">
        <v>2.0299999999999998</v>
      </c>
    </row>
    <row r="5" spans="1:2" x14ac:dyDescent="0.25">
      <c r="A5">
        <v>4</v>
      </c>
      <c r="B5">
        <v>4.0999999999999996</v>
      </c>
    </row>
    <row r="6" spans="1:2" x14ac:dyDescent="0.25">
      <c r="A6">
        <v>6</v>
      </c>
      <c r="B6">
        <v>6.1</v>
      </c>
    </row>
    <row r="7" spans="1:2" x14ac:dyDescent="0.25">
      <c r="A7">
        <v>10</v>
      </c>
      <c r="B7">
        <v>10.050000000000001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" sqref="J8"/>
    </sheetView>
  </sheetViews>
  <sheetFormatPr defaultColWidth="11.42578125" defaultRowHeight="15" x14ac:dyDescent="0.25"/>
  <sheetData>
    <row r="1" spans="1:5" x14ac:dyDescent="0.25">
      <c r="A1" s="25" t="s">
        <v>4</v>
      </c>
      <c r="B1" s="26">
        <f>STDEV(B6:B15)</f>
        <v>4.0221608343995628E-3</v>
      </c>
      <c r="C1" s="26" t="e">
        <f t="shared" ref="C1:E1" si="0">STDEV(C6:C15)</f>
        <v>#DIV/0!</v>
      </c>
      <c r="D1" s="26" t="e">
        <f t="shared" si="0"/>
        <v>#DIV/0!</v>
      </c>
      <c r="E1" s="26" t="e">
        <f t="shared" si="0"/>
        <v>#DIV/0!</v>
      </c>
    </row>
    <row r="2" spans="1:5" x14ac:dyDescent="0.25">
      <c r="A2" s="25" t="s">
        <v>34</v>
      </c>
      <c r="B2" s="26">
        <f>3*B1</f>
        <v>1.2066482503198687E-2</v>
      </c>
      <c r="C2" s="26" t="e">
        <f t="shared" ref="C2:E2" si="1">3*C1</f>
        <v>#DIV/0!</v>
      </c>
      <c r="D2" s="26" t="e">
        <f t="shared" si="1"/>
        <v>#DIV/0!</v>
      </c>
      <c r="E2" s="26" t="e">
        <f t="shared" si="1"/>
        <v>#DIV/0!</v>
      </c>
    </row>
    <row r="3" spans="1:5" x14ac:dyDescent="0.25">
      <c r="A3" s="25" t="s">
        <v>35</v>
      </c>
      <c r="B3" s="26">
        <f>10*B1</f>
        <v>4.022160834399563E-2</v>
      </c>
      <c r="C3" s="26" t="e">
        <f t="shared" ref="C3:E3" si="2">10*C1</f>
        <v>#DIV/0!</v>
      </c>
      <c r="D3" s="26" t="e">
        <f t="shared" si="2"/>
        <v>#DIV/0!</v>
      </c>
      <c r="E3" s="26" t="e">
        <f t="shared" si="2"/>
        <v>#DIV/0!</v>
      </c>
    </row>
    <row r="5" spans="1:5" x14ac:dyDescent="0.25">
      <c r="A5" t="s">
        <v>59</v>
      </c>
      <c r="B5">
        <v>1</v>
      </c>
      <c r="C5">
        <v>2</v>
      </c>
      <c r="D5">
        <v>3</v>
      </c>
      <c r="E5">
        <v>4</v>
      </c>
    </row>
    <row r="6" spans="1:5" x14ac:dyDescent="0.25">
      <c r="A6">
        <v>1</v>
      </c>
      <c r="B6" s="26">
        <v>0.01</v>
      </c>
      <c r="C6" s="26"/>
      <c r="D6" s="26"/>
      <c r="E6" s="26"/>
    </row>
    <row r="7" spans="1:5" x14ac:dyDescent="0.25">
      <c r="A7">
        <v>2</v>
      </c>
      <c r="B7" s="26">
        <v>0.02</v>
      </c>
      <c r="C7" s="26"/>
      <c r="D7" s="26"/>
      <c r="E7" s="26"/>
    </row>
    <row r="8" spans="1:5" x14ac:dyDescent="0.25">
      <c r="A8">
        <v>3</v>
      </c>
      <c r="B8" s="26">
        <v>0.01</v>
      </c>
      <c r="C8" s="26"/>
      <c r="D8" s="26"/>
      <c r="E8" s="26"/>
    </row>
    <row r="9" spans="1:5" x14ac:dyDescent="0.25">
      <c r="A9">
        <v>4</v>
      </c>
      <c r="B9" s="26">
        <v>1.4999999999999999E-2</v>
      </c>
      <c r="C9" s="26"/>
      <c r="D9" s="26"/>
      <c r="E9" s="26"/>
    </row>
    <row r="10" spans="1:5" x14ac:dyDescent="0.25">
      <c r="A10">
        <v>5</v>
      </c>
      <c r="B10" s="26">
        <v>1.4E-2</v>
      </c>
      <c r="C10" s="26"/>
      <c r="D10" s="26"/>
      <c r="E10" s="26"/>
    </row>
    <row r="11" spans="1:5" x14ac:dyDescent="0.25">
      <c r="A11">
        <v>6</v>
      </c>
      <c r="B11" s="26">
        <v>0.01</v>
      </c>
      <c r="C11" s="26"/>
      <c r="D11" s="26"/>
      <c r="E11" s="26"/>
    </row>
    <row r="12" spans="1:5" x14ac:dyDescent="0.25">
      <c r="A12">
        <v>7</v>
      </c>
      <c r="B12" s="26">
        <v>1.0999999999999999E-2</v>
      </c>
      <c r="C12" s="26"/>
      <c r="D12" s="26"/>
      <c r="E12" s="26"/>
    </row>
    <row r="13" spans="1:5" x14ac:dyDescent="0.25">
      <c r="A13">
        <v>8</v>
      </c>
      <c r="B13" s="26">
        <v>0.02</v>
      </c>
      <c r="C13" s="26"/>
      <c r="D13" s="26"/>
      <c r="E13" s="26"/>
    </row>
    <row r="14" spans="1:5" x14ac:dyDescent="0.25">
      <c r="A14">
        <v>9</v>
      </c>
      <c r="B14" s="26">
        <v>1.4E-2</v>
      </c>
      <c r="C14" s="26"/>
      <c r="D14" s="26"/>
      <c r="E14" s="26"/>
    </row>
    <row r="15" spans="1:5" x14ac:dyDescent="0.25">
      <c r="A15">
        <v>10</v>
      </c>
      <c r="B15" s="26">
        <v>1.7999999999999999E-2</v>
      </c>
      <c r="C15" s="26"/>
      <c r="D15" s="26"/>
      <c r="E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31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18.28515625" customWidth="1"/>
    <col min="3" max="3" width="25.42578125" customWidth="1"/>
    <col min="4" max="4" width="25.140625" customWidth="1"/>
    <col min="6" max="7" width="19.140625" bestFit="1" customWidth="1"/>
    <col min="8" max="8" width="12.28515625" customWidth="1"/>
    <col min="9" max="9" width="11.42578125" customWidth="1"/>
    <col min="10" max="10" width="9.5703125" bestFit="1" customWidth="1"/>
    <col min="11" max="11" width="10.42578125" customWidth="1"/>
    <col min="12" max="12" width="11.28515625" customWidth="1"/>
    <col min="13" max="13" width="10.5703125" customWidth="1"/>
    <col min="15" max="15" width="12.42578125" customWidth="1"/>
  </cols>
  <sheetData>
    <row r="1" spans="1:15" ht="18.75" x14ac:dyDescent="0.25">
      <c r="A1" s="114" t="s">
        <v>69</v>
      </c>
      <c r="B1" s="115"/>
      <c r="C1" s="115"/>
      <c r="D1" s="116"/>
    </row>
    <row r="2" spans="1:15" ht="32.25" thickBot="1" x14ac:dyDescent="0.3">
      <c r="A2" s="36" t="s">
        <v>2</v>
      </c>
      <c r="B2" s="37" t="s">
        <v>70</v>
      </c>
      <c r="C2" s="37" t="s">
        <v>71</v>
      </c>
      <c r="D2" s="38" t="s">
        <v>72</v>
      </c>
    </row>
    <row r="3" spans="1:15" x14ac:dyDescent="0.25">
      <c r="A3" s="117">
        <v>42340</v>
      </c>
      <c r="B3" s="39">
        <v>10.491347565821048</v>
      </c>
      <c r="C3" s="40">
        <v>33.39</v>
      </c>
      <c r="D3" s="41">
        <v>43.881347565821045</v>
      </c>
      <c r="F3" s="42"/>
    </row>
    <row r="4" spans="1:15" x14ac:dyDescent="0.25">
      <c r="A4" s="118"/>
      <c r="B4" s="34">
        <v>9.1591386636648959</v>
      </c>
      <c r="C4" s="43">
        <v>38.11</v>
      </c>
      <c r="D4" s="44">
        <v>47.269138663664897</v>
      </c>
      <c r="F4" s="45"/>
    </row>
    <row r="5" spans="1:15" ht="15.75" thickBot="1" x14ac:dyDescent="0.3">
      <c r="A5" s="118"/>
      <c r="B5" s="34">
        <v>9.4486190491380064</v>
      </c>
      <c r="C5" s="46"/>
      <c r="D5" s="44"/>
      <c r="F5" s="45"/>
    </row>
    <row r="6" spans="1:15" ht="19.5" thickBot="1" x14ac:dyDescent="0.3">
      <c r="A6" s="119"/>
      <c r="B6" s="47">
        <v>9.3861468844811178</v>
      </c>
      <c r="C6" s="48"/>
      <c r="D6" s="49"/>
      <c r="F6" s="50"/>
      <c r="G6" s="114" t="s">
        <v>69</v>
      </c>
      <c r="H6" s="115"/>
      <c r="I6" s="115"/>
      <c r="J6" s="116"/>
    </row>
    <row r="7" spans="1:15" x14ac:dyDescent="0.25">
      <c r="A7" s="112">
        <v>42346</v>
      </c>
      <c r="B7" s="34">
        <v>8.3694255368961628</v>
      </c>
      <c r="C7" s="43">
        <v>31.17</v>
      </c>
      <c r="D7" s="34">
        <f t="shared" ref="D7:D41" si="0">SUM(B7,C7)</f>
        <v>39.539425536896161</v>
      </c>
    </row>
    <row r="8" spans="1:15" x14ac:dyDescent="0.25">
      <c r="A8" s="112"/>
      <c r="B8" s="34">
        <v>7.8145464957759758</v>
      </c>
      <c r="C8" s="43">
        <v>34.53</v>
      </c>
      <c r="D8" s="34">
        <f t="shared" si="0"/>
        <v>42.34454649577598</v>
      </c>
      <c r="F8" s="27">
        <v>42340</v>
      </c>
      <c r="G8" s="27">
        <v>42346</v>
      </c>
      <c r="H8" s="27">
        <v>42359</v>
      </c>
      <c r="I8" s="27">
        <v>42360</v>
      </c>
      <c r="J8" s="27">
        <v>42381</v>
      </c>
      <c r="K8" s="27">
        <v>42387</v>
      </c>
      <c r="L8" s="27">
        <v>42389</v>
      </c>
      <c r="M8" s="27">
        <v>42402</v>
      </c>
      <c r="N8" s="27">
        <v>42409</v>
      </c>
      <c r="O8" s="27">
        <v>42416</v>
      </c>
    </row>
    <row r="9" spans="1:15" ht="15.75" thickBot="1" x14ac:dyDescent="0.3">
      <c r="A9" s="112"/>
      <c r="B9" s="34">
        <v>8.4619053770828607</v>
      </c>
      <c r="C9" s="43">
        <v>30.16</v>
      </c>
      <c r="D9" s="34">
        <f t="shared" si="0"/>
        <v>38.621905377082861</v>
      </c>
      <c r="F9" s="28">
        <v>43.881347565821045</v>
      </c>
      <c r="G9" s="28">
        <v>39.539425536896161</v>
      </c>
      <c r="H9" s="29">
        <v>36.237648071114748</v>
      </c>
      <c r="I9" s="29">
        <v>42.564159311171906</v>
      </c>
      <c r="J9" s="29">
        <v>42.825755350584352</v>
      </c>
      <c r="K9" s="29">
        <v>43.489910626646136</v>
      </c>
      <c r="L9" s="29">
        <v>42.245226570274802</v>
      </c>
      <c r="M9" s="31">
        <v>41.621663534628027</v>
      </c>
      <c r="N9" s="31">
        <v>41.235720588416974</v>
      </c>
      <c r="O9" s="31">
        <v>39.182661208180619</v>
      </c>
    </row>
    <row r="10" spans="1:15" x14ac:dyDescent="0.25">
      <c r="A10" s="117">
        <v>42359</v>
      </c>
      <c r="B10" s="34">
        <v>7.5776480711147469</v>
      </c>
      <c r="C10" s="43">
        <v>28.66</v>
      </c>
      <c r="D10" s="34">
        <f t="shared" si="0"/>
        <v>36.237648071114748</v>
      </c>
      <c r="F10" s="28">
        <v>47.269138663664897</v>
      </c>
      <c r="G10" s="28">
        <v>42.34454649577598</v>
      </c>
      <c r="H10" s="29">
        <v>39.57791925746541</v>
      </c>
      <c r="I10" s="29">
        <v>42.89388655867252</v>
      </c>
      <c r="J10" s="29">
        <v>43.14527419969572</v>
      </c>
      <c r="K10" s="29">
        <v>43.93760033482458</v>
      </c>
      <c r="L10" s="29">
        <v>44.696836922276937</v>
      </c>
      <c r="M10" s="31">
        <v>43.094272386912074</v>
      </c>
      <c r="N10" s="31">
        <v>42.924841324788751</v>
      </c>
      <c r="O10" s="31">
        <v>39.755160409039966</v>
      </c>
    </row>
    <row r="11" spans="1:15" x14ac:dyDescent="0.25">
      <c r="A11" s="113"/>
      <c r="B11" s="34">
        <v>8.0179192574654152</v>
      </c>
      <c r="C11" s="43">
        <v>31.56</v>
      </c>
      <c r="D11" s="34">
        <f t="shared" si="0"/>
        <v>39.57791925746541</v>
      </c>
      <c r="F11" s="30"/>
      <c r="G11" s="28">
        <v>38.621905377082861</v>
      </c>
      <c r="H11" s="29">
        <v>39.636820271391493</v>
      </c>
      <c r="I11" s="29">
        <v>42.976386414597869</v>
      </c>
      <c r="J11" s="29">
        <v>42.586922417355439</v>
      </c>
      <c r="K11" s="29">
        <v>44.544701144527608</v>
      </c>
      <c r="L11" s="29">
        <v>41.768357526825767</v>
      </c>
      <c r="M11" s="31">
        <v>42.311428226374503</v>
      </c>
      <c r="N11" s="31">
        <v>41.63439477151546</v>
      </c>
      <c r="O11" s="31">
        <v>39.199056461506459</v>
      </c>
    </row>
    <row r="12" spans="1:15" x14ac:dyDescent="0.25">
      <c r="A12" s="113"/>
      <c r="B12" s="34">
        <v>7.4968202713914902</v>
      </c>
      <c r="C12" s="43">
        <v>32.14</v>
      </c>
      <c r="D12" s="34">
        <f t="shared" si="0"/>
        <v>39.636820271391493</v>
      </c>
      <c r="F12" s="30"/>
      <c r="G12" s="30"/>
      <c r="H12" s="29">
        <v>38.187340989993999</v>
      </c>
      <c r="I12" s="29">
        <v>42.11857947370509</v>
      </c>
      <c r="J12" s="29">
        <v>42.948664943898919</v>
      </c>
      <c r="K12" s="29">
        <v>44.286133886229102</v>
      </c>
      <c r="L12" s="29">
        <v>40.918490355910102</v>
      </c>
      <c r="M12" s="31">
        <v>42.440557398363708</v>
      </c>
      <c r="N12" s="31">
        <v>44.038644627058034</v>
      </c>
      <c r="O12" s="31">
        <v>38.781749115032831</v>
      </c>
    </row>
    <row r="13" spans="1:15" ht="15.75" thickBot="1" x14ac:dyDescent="0.3">
      <c r="A13" s="120"/>
      <c r="B13" s="34">
        <v>6.4373409899939968</v>
      </c>
      <c r="C13" s="43">
        <v>31.75</v>
      </c>
      <c r="D13" s="34">
        <f t="shared" si="0"/>
        <v>38.187340989993999</v>
      </c>
    </row>
    <row r="14" spans="1:15" x14ac:dyDescent="0.25">
      <c r="A14" s="112">
        <v>42360</v>
      </c>
      <c r="B14" s="51">
        <v>11.404159311171908</v>
      </c>
      <c r="C14" s="52">
        <v>31.16</v>
      </c>
      <c r="D14" s="51">
        <f t="shared" si="0"/>
        <v>42.564159311171906</v>
      </c>
    </row>
    <row r="15" spans="1:15" x14ac:dyDescent="0.25">
      <c r="A15" s="113"/>
      <c r="B15" s="51">
        <v>11.723886558672518</v>
      </c>
      <c r="C15" s="52">
        <v>31.17</v>
      </c>
      <c r="D15" s="51">
        <f t="shared" si="0"/>
        <v>42.89388655867252</v>
      </c>
    </row>
    <row r="16" spans="1:15" x14ac:dyDescent="0.25">
      <c r="A16" s="113"/>
      <c r="B16" s="51">
        <v>11.196386414597864</v>
      </c>
      <c r="C16" s="52">
        <v>31.78</v>
      </c>
      <c r="D16" s="51">
        <f t="shared" si="0"/>
        <v>42.976386414597869</v>
      </c>
    </row>
    <row r="17" spans="1:11" ht="15.75" thickBot="1" x14ac:dyDescent="0.3">
      <c r="A17" s="113"/>
      <c r="B17" s="51">
        <v>11.498579473705091</v>
      </c>
      <c r="C17" s="52">
        <v>30.62</v>
      </c>
      <c r="D17" s="51">
        <f t="shared" si="0"/>
        <v>42.11857947370509</v>
      </c>
      <c r="G17" t="s">
        <v>40</v>
      </c>
    </row>
    <row r="18" spans="1:11" x14ac:dyDescent="0.25">
      <c r="A18" s="117">
        <v>42381</v>
      </c>
      <c r="B18" s="34">
        <v>8.57575535058435</v>
      </c>
      <c r="C18" s="43">
        <v>34.25</v>
      </c>
      <c r="D18" s="34">
        <f t="shared" si="0"/>
        <v>42.825755350584352</v>
      </c>
    </row>
    <row r="19" spans="1:11" ht="15.75" thickBot="1" x14ac:dyDescent="0.3">
      <c r="A19" s="113"/>
      <c r="B19" s="34">
        <v>8.8152741996957253</v>
      </c>
      <c r="C19" s="43">
        <v>34.33</v>
      </c>
      <c r="D19" s="34">
        <f t="shared" si="0"/>
        <v>43.14527419969572</v>
      </c>
      <c r="G19" t="s">
        <v>41</v>
      </c>
      <c r="J19" s="1" t="s">
        <v>65</v>
      </c>
    </row>
    <row r="20" spans="1:11" x14ac:dyDescent="0.25">
      <c r="A20" s="113"/>
      <c r="B20" s="34">
        <v>8.5969224173554331</v>
      </c>
      <c r="C20" s="43">
        <v>33.99</v>
      </c>
      <c r="D20" s="34">
        <f t="shared" si="0"/>
        <v>42.586922417355439</v>
      </c>
      <c r="G20" s="24" t="s">
        <v>42</v>
      </c>
      <c r="H20" s="24" t="s">
        <v>43</v>
      </c>
      <c r="I20" s="24" t="s">
        <v>44</v>
      </c>
      <c r="J20" s="24" t="s">
        <v>45</v>
      </c>
      <c r="K20" s="24" t="s">
        <v>46</v>
      </c>
    </row>
    <row r="21" spans="1:11" ht="15.75" thickBot="1" x14ac:dyDescent="0.3">
      <c r="A21" s="120"/>
      <c r="B21" s="34">
        <v>9.1186649438989189</v>
      </c>
      <c r="C21" s="43">
        <v>33.83</v>
      </c>
      <c r="D21" s="34">
        <f t="shared" si="0"/>
        <v>42.948664943898919</v>
      </c>
      <c r="G21" s="53">
        <v>42340</v>
      </c>
      <c r="H21" s="54">
        <v>2</v>
      </c>
      <c r="I21" s="55">
        <v>91.150486229485949</v>
      </c>
      <c r="J21" s="55">
        <v>45.575243114742975</v>
      </c>
      <c r="K21" s="55">
        <v>5.7385642613150267</v>
      </c>
    </row>
    <row r="22" spans="1:11" x14ac:dyDescent="0.25">
      <c r="A22" s="117">
        <v>42387</v>
      </c>
      <c r="B22" s="34">
        <v>9.3399106266461338</v>
      </c>
      <c r="C22" s="43">
        <v>34.15</v>
      </c>
      <c r="D22" s="34">
        <f t="shared" si="0"/>
        <v>43.489910626646136</v>
      </c>
      <c r="G22" s="53">
        <v>42346</v>
      </c>
      <c r="H22" s="54">
        <v>3</v>
      </c>
      <c r="I22" s="55">
        <v>120.50587740975502</v>
      </c>
      <c r="J22" s="55">
        <v>40.168625803251672</v>
      </c>
      <c r="K22" s="55">
        <v>3.7614339560325689</v>
      </c>
    </row>
    <row r="23" spans="1:11" x14ac:dyDescent="0.25">
      <c r="A23" s="113"/>
      <c r="B23" s="34">
        <v>9.6076003348245784</v>
      </c>
      <c r="C23" s="43">
        <v>34.33</v>
      </c>
      <c r="D23" s="34">
        <f t="shared" si="0"/>
        <v>43.93760033482458</v>
      </c>
      <c r="G23" s="53">
        <v>42359</v>
      </c>
      <c r="H23" s="54">
        <v>4</v>
      </c>
      <c r="I23" s="55">
        <v>153.63972858996564</v>
      </c>
      <c r="J23" s="55">
        <v>38.409932147491411</v>
      </c>
      <c r="K23" s="55">
        <v>2.5459377631693756</v>
      </c>
    </row>
    <row r="24" spans="1:11" x14ac:dyDescent="0.25">
      <c r="A24" s="113"/>
      <c r="B24" s="34">
        <v>10.074701144527612</v>
      </c>
      <c r="C24" s="43">
        <v>34.47</v>
      </c>
      <c r="D24" s="34">
        <f t="shared" si="0"/>
        <v>44.544701144527608</v>
      </c>
      <c r="G24" s="53">
        <v>42360</v>
      </c>
      <c r="H24" s="54">
        <v>4</v>
      </c>
      <c r="I24" s="55">
        <v>170.55301175814739</v>
      </c>
      <c r="J24" s="55">
        <v>42.638252939536848</v>
      </c>
      <c r="K24" s="55">
        <v>0.15174439034770579</v>
      </c>
    </row>
    <row r="25" spans="1:11" ht="15.75" thickBot="1" x14ac:dyDescent="0.3">
      <c r="A25" s="120"/>
      <c r="B25" s="34">
        <v>9.8961338862291033</v>
      </c>
      <c r="C25" s="43">
        <v>34.39</v>
      </c>
      <c r="D25" s="34">
        <f t="shared" si="0"/>
        <v>44.286133886229102</v>
      </c>
      <c r="G25" s="53">
        <v>42381</v>
      </c>
      <c r="H25" s="54">
        <v>4</v>
      </c>
      <c r="I25" s="55">
        <v>171.50661691153442</v>
      </c>
      <c r="J25" s="55">
        <v>42.876654227883606</v>
      </c>
      <c r="K25" s="55">
        <v>5.4625816739877826E-2</v>
      </c>
    </row>
    <row r="26" spans="1:11" x14ac:dyDescent="0.25">
      <c r="A26" s="117">
        <v>42389</v>
      </c>
      <c r="B26" s="34">
        <v>8.5052265702748002</v>
      </c>
      <c r="C26" s="43">
        <v>33.74</v>
      </c>
      <c r="D26" s="34">
        <f t="shared" si="0"/>
        <v>42.245226570274802</v>
      </c>
      <c r="G26" s="53">
        <v>42387</v>
      </c>
      <c r="H26" s="54">
        <v>4</v>
      </c>
      <c r="I26" s="55">
        <v>176.25834599222742</v>
      </c>
      <c r="J26" s="55">
        <v>44.064586498056855</v>
      </c>
      <c r="K26" s="55">
        <v>0.20865705393193443</v>
      </c>
    </row>
    <row r="27" spans="1:11" x14ac:dyDescent="0.25">
      <c r="A27" s="113"/>
      <c r="B27" s="34">
        <v>9.3468369222769336</v>
      </c>
      <c r="C27" s="43">
        <v>35.35</v>
      </c>
      <c r="D27" s="34">
        <f t="shared" si="0"/>
        <v>44.696836922276937</v>
      </c>
      <c r="G27" s="53">
        <v>42389</v>
      </c>
      <c r="H27" s="54">
        <v>4</v>
      </c>
      <c r="I27" s="55">
        <v>169.62891137528763</v>
      </c>
      <c r="J27" s="55">
        <v>42.407227843821907</v>
      </c>
      <c r="K27" s="55">
        <v>2.631016244875759</v>
      </c>
    </row>
    <row r="28" spans="1:11" x14ac:dyDescent="0.25">
      <c r="A28" s="113"/>
      <c r="B28" s="34">
        <v>9.7583575268257725</v>
      </c>
      <c r="C28" s="43">
        <v>32.01</v>
      </c>
      <c r="D28" s="34">
        <f t="shared" si="0"/>
        <v>41.768357526825767</v>
      </c>
      <c r="G28" s="53">
        <v>42402</v>
      </c>
      <c r="H28" s="54">
        <v>4</v>
      </c>
      <c r="I28" s="55">
        <v>169.46792154627832</v>
      </c>
      <c r="J28" s="55">
        <v>42.36698038656958</v>
      </c>
      <c r="K28" s="55">
        <v>0.36431682757238198</v>
      </c>
    </row>
    <row r="29" spans="1:11" ht="15.75" thickBot="1" x14ac:dyDescent="0.3">
      <c r="A29" s="120"/>
      <c r="B29" s="34">
        <v>8.548490355910106</v>
      </c>
      <c r="C29" s="43">
        <v>32.369999999999997</v>
      </c>
      <c r="D29" s="34">
        <f t="shared" si="0"/>
        <v>40.918490355910102</v>
      </c>
      <c r="G29" s="53">
        <v>42409</v>
      </c>
      <c r="H29" s="54">
        <v>4</v>
      </c>
      <c r="I29" s="55">
        <v>169.8336013117792</v>
      </c>
      <c r="J29" s="55">
        <v>42.458400327944801</v>
      </c>
      <c r="K29" s="55">
        <v>1.6295567169649707</v>
      </c>
    </row>
    <row r="30" spans="1:11" ht="15.75" thickBot="1" x14ac:dyDescent="0.3">
      <c r="A30" s="117">
        <v>42402</v>
      </c>
      <c r="B30" s="34">
        <v>10.101663534628027</v>
      </c>
      <c r="C30" s="43">
        <v>31.52</v>
      </c>
      <c r="D30" s="34">
        <f t="shared" si="0"/>
        <v>41.621663534628027</v>
      </c>
      <c r="G30" s="56">
        <v>42416</v>
      </c>
      <c r="H30" s="57">
        <v>4</v>
      </c>
      <c r="I30" s="58">
        <v>156.91862719375987</v>
      </c>
      <c r="J30" s="58">
        <v>39.229656798439969</v>
      </c>
      <c r="K30" s="58">
        <v>0.15997343457768395</v>
      </c>
    </row>
    <row r="31" spans="1:11" x14ac:dyDescent="0.25">
      <c r="A31" s="113"/>
      <c r="B31" s="34">
        <v>9.6342723869120732</v>
      </c>
      <c r="C31" s="43">
        <v>33.46</v>
      </c>
      <c r="D31" s="34">
        <f t="shared" si="0"/>
        <v>43.094272386912074</v>
      </c>
      <c r="J31">
        <f>AVERAGEA(J21:J30)</f>
        <v>42.019556008773961</v>
      </c>
    </row>
    <row r="32" spans="1:11" x14ac:dyDescent="0.25">
      <c r="A32" s="113"/>
      <c r="B32" s="34">
        <v>9.2114282263745029</v>
      </c>
      <c r="C32" s="43">
        <v>33.1</v>
      </c>
      <c r="D32" s="34">
        <f t="shared" si="0"/>
        <v>42.311428226374503</v>
      </c>
    </row>
    <row r="33" spans="1:13" ht="15.75" thickBot="1" x14ac:dyDescent="0.3">
      <c r="A33" s="120"/>
      <c r="B33" s="34">
        <v>9.660557398363709</v>
      </c>
      <c r="C33" s="43">
        <v>32.78</v>
      </c>
      <c r="D33" s="34">
        <f t="shared" si="0"/>
        <v>42.440557398363708</v>
      </c>
      <c r="G33" t="s">
        <v>38</v>
      </c>
    </row>
    <row r="34" spans="1:13" x14ac:dyDescent="0.25">
      <c r="A34" s="117">
        <v>42409</v>
      </c>
      <c r="B34" s="34">
        <v>8.3357205884169758</v>
      </c>
      <c r="C34" s="43">
        <v>32.9</v>
      </c>
      <c r="D34" s="34">
        <f t="shared" si="0"/>
        <v>41.235720588416974</v>
      </c>
      <c r="G34" s="24" t="s">
        <v>47</v>
      </c>
      <c r="H34" s="24" t="s">
        <v>48</v>
      </c>
      <c r="I34" s="24" t="s">
        <v>49</v>
      </c>
      <c r="J34" s="24" t="s">
        <v>50</v>
      </c>
      <c r="K34" s="24" t="s">
        <v>39</v>
      </c>
      <c r="L34" s="24" t="s">
        <v>51</v>
      </c>
      <c r="M34" s="24" t="s">
        <v>52</v>
      </c>
    </row>
    <row r="35" spans="1:13" x14ac:dyDescent="0.25">
      <c r="A35" s="113"/>
      <c r="B35" s="34">
        <v>8.2148413247887504</v>
      </c>
      <c r="C35" s="43">
        <v>34.71</v>
      </c>
      <c r="D35" s="34">
        <f t="shared" si="0"/>
        <v>42.924841324788751</v>
      </c>
      <c r="G35" s="54" t="s">
        <v>53</v>
      </c>
      <c r="H35" s="55">
        <v>141.11996009468839</v>
      </c>
      <c r="I35" s="54">
        <v>9</v>
      </c>
      <c r="J35" s="55">
        <v>15.679995566076489</v>
      </c>
      <c r="K35" s="55">
        <v>11.599245019684831</v>
      </c>
      <c r="L35" s="54">
        <v>3.3294277146019841E-7</v>
      </c>
      <c r="M35" s="55">
        <v>2.250131477202665</v>
      </c>
    </row>
    <row r="36" spans="1:13" x14ac:dyDescent="0.25">
      <c r="A36" s="113"/>
      <c r="B36" s="34">
        <v>8.6143947715154532</v>
      </c>
      <c r="C36" s="43">
        <v>33.020000000000003</v>
      </c>
      <c r="D36" s="34">
        <f t="shared" si="0"/>
        <v>41.63439477151546</v>
      </c>
      <c r="G36" s="54" t="s">
        <v>54</v>
      </c>
      <c r="H36" s="55">
        <v>36.498916917919239</v>
      </c>
      <c r="I36" s="54">
        <v>27</v>
      </c>
      <c r="J36" s="55">
        <v>1.3518117377007126</v>
      </c>
      <c r="K36" s="55"/>
      <c r="L36" s="54"/>
      <c r="M36" s="54"/>
    </row>
    <row r="37" spans="1:13" ht="15.75" thickBot="1" x14ac:dyDescent="0.3">
      <c r="A37" s="120"/>
      <c r="B37" s="34">
        <v>9.6286446270580335</v>
      </c>
      <c r="C37" s="43">
        <v>34.409999999999997</v>
      </c>
      <c r="D37" s="34">
        <f t="shared" si="0"/>
        <v>44.038644627058034</v>
      </c>
      <c r="G37" s="54"/>
      <c r="H37" s="54"/>
      <c r="I37" s="54"/>
      <c r="J37" s="54"/>
      <c r="K37" s="54"/>
      <c r="L37" s="54"/>
      <c r="M37" s="54"/>
    </row>
    <row r="38" spans="1:13" ht="15.75" thickBot="1" x14ac:dyDescent="0.3">
      <c r="A38" s="117">
        <v>42416</v>
      </c>
      <c r="B38" s="34">
        <v>6.6726612081806236</v>
      </c>
      <c r="C38" s="43">
        <v>32.51</v>
      </c>
      <c r="D38" s="34">
        <f t="shared" si="0"/>
        <v>39.182661208180619</v>
      </c>
      <c r="G38" s="57" t="s">
        <v>55</v>
      </c>
      <c r="H38" s="57">
        <v>177.61887701260764</v>
      </c>
      <c r="I38" s="57">
        <v>36</v>
      </c>
      <c r="J38" s="57"/>
      <c r="K38" s="57"/>
      <c r="L38" s="57"/>
      <c r="M38" s="57"/>
    </row>
    <row r="39" spans="1:13" x14ac:dyDescent="0.25">
      <c r="A39" s="113"/>
      <c r="B39" s="34">
        <v>6.485160409039965</v>
      </c>
      <c r="C39" s="43">
        <v>33.270000000000003</v>
      </c>
      <c r="D39" s="34">
        <f t="shared" si="0"/>
        <v>39.755160409039966</v>
      </c>
      <c r="J39" s="1" t="s">
        <v>65</v>
      </c>
    </row>
    <row r="40" spans="1:13" x14ac:dyDescent="0.25">
      <c r="A40" s="113"/>
      <c r="B40" s="34">
        <v>7.1790564615064572</v>
      </c>
      <c r="C40" s="43">
        <v>32.020000000000003</v>
      </c>
      <c r="D40" s="34">
        <f t="shared" si="0"/>
        <v>39.199056461506459</v>
      </c>
      <c r="G40" s="33" t="s">
        <v>56</v>
      </c>
      <c r="I40" s="1" t="s">
        <v>67</v>
      </c>
      <c r="J40" s="3">
        <f>SQRT(J36)</f>
        <v>1.1626743902317247</v>
      </c>
    </row>
    <row r="41" spans="1:13" ht="15.75" thickBot="1" x14ac:dyDescent="0.3">
      <c r="A41" s="120"/>
      <c r="B41" s="34">
        <v>7.1417491150328285</v>
      </c>
      <c r="C41" s="43">
        <v>31.64</v>
      </c>
      <c r="D41" s="34">
        <f t="shared" si="0"/>
        <v>38.781749115032831</v>
      </c>
      <c r="G41" s="33"/>
      <c r="I41" s="1" t="s">
        <v>68</v>
      </c>
      <c r="J41" s="3">
        <f>SQRT((J35-J36)/4)</f>
        <v>1.892629376580091</v>
      </c>
    </row>
    <row r="42" spans="1:13" x14ac:dyDescent="0.25">
      <c r="G42" s="33" t="s">
        <v>63</v>
      </c>
      <c r="I42" s="1" t="s">
        <v>66</v>
      </c>
      <c r="J42" s="3">
        <f>SQRT(J40^2+J41^2)</f>
        <v>2.2212288704216538</v>
      </c>
    </row>
    <row r="49" spans="1:13" ht="15.75" thickBot="1" x14ac:dyDescent="0.3"/>
    <row r="50" spans="1:13" ht="18.75" x14ac:dyDescent="0.25">
      <c r="A50" s="114" t="s">
        <v>73</v>
      </c>
      <c r="B50" s="121"/>
      <c r="C50" s="121"/>
      <c r="D50" s="122"/>
    </row>
    <row r="51" spans="1:13" ht="32.25" thickBot="1" x14ac:dyDescent="0.3">
      <c r="A51" s="59" t="s">
        <v>2</v>
      </c>
      <c r="B51" s="60" t="s">
        <v>70</v>
      </c>
      <c r="C51" s="60" t="s">
        <v>71</v>
      </c>
      <c r="D51" s="61" t="s">
        <v>72</v>
      </c>
    </row>
    <row r="52" spans="1:13" ht="18.75" x14ac:dyDescent="0.25">
      <c r="A52" s="123">
        <v>42150</v>
      </c>
      <c r="B52" s="34">
        <v>1</v>
      </c>
      <c r="C52" s="43"/>
      <c r="D52" s="62"/>
      <c r="G52" s="63" t="s">
        <v>73</v>
      </c>
      <c r="H52" s="64"/>
      <c r="I52" s="64"/>
      <c r="J52" s="65"/>
    </row>
    <row r="53" spans="1:13" x14ac:dyDescent="0.25">
      <c r="A53" s="124"/>
      <c r="B53" s="34">
        <v>0.77</v>
      </c>
      <c r="C53" s="43"/>
      <c r="D53" s="62"/>
      <c r="F53" t="s">
        <v>74</v>
      </c>
    </row>
    <row r="54" spans="1:13" x14ac:dyDescent="0.25">
      <c r="A54" s="66">
        <v>42152</v>
      </c>
      <c r="B54" s="34">
        <v>0.76</v>
      </c>
      <c r="C54" s="43"/>
      <c r="D54" s="62"/>
      <c r="F54" s="67">
        <v>42346</v>
      </c>
      <c r="G54" s="67">
        <v>42359</v>
      </c>
      <c r="H54" s="67">
        <v>42381</v>
      </c>
      <c r="I54" s="67">
        <v>42387</v>
      </c>
      <c r="J54" s="67">
        <v>42389</v>
      </c>
      <c r="K54" s="67">
        <v>42402</v>
      </c>
      <c r="L54" s="67">
        <v>42409</v>
      </c>
      <c r="M54" s="68">
        <v>42416</v>
      </c>
    </row>
    <row r="55" spans="1:13" x14ac:dyDescent="0.25">
      <c r="A55" s="66">
        <v>42346</v>
      </c>
      <c r="B55" s="34">
        <v>0.8323185616802814</v>
      </c>
      <c r="C55" s="43">
        <v>41.57</v>
      </c>
      <c r="D55" s="34">
        <v>42.402318561680282</v>
      </c>
      <c r="F55" s="34">
        <v>42.402318561680282</v>
      </c>
      <c r="G55" s="34">
        <v>37.831185285295028</v>
      </c>
      <c r="H55" s="34">
        <v>43.261933854094913</v>
      </c>
      <c r="I55" s="34">
        <v>40.69848319905752</v>
      </c>
      <c r="J55" s="34">
        <v>40.74543658476248</v>
      </c>
      <c r="K55" s="34">
        <v>38.338093967415396</v>
      </c>
      <c r="L55" s="35">
        <v>41.027508181486184</v>
      </c>
      <c r="M55" s="34">
        <v>40.053726460915982</v>
      </c>
    </row>
    <row r="56" spans="1:13" x14ac:dyDescent="0.25">
      <c r="A56" s="66">
        <v>42359</v>
      </c>
      <c r="B56" s="34">
        <v>0.91118528529502429</v>
      </c>
      <c r="C56" s="43">
        <v>36.92</v>
      </c>
      <c r="D56" s="34">
        <f>SUM(B56,C56)</f>
        <v>37.831185285295028</v>
      </c>
      <c r="F56" s="46"/>
      <c r="G56" s="46"/>
      <c r="H56" s="34">
        <v>42.990913570460791</v>
      </c>
      <c r="I56" s="34">
        <v>40.959781107509826</v>
      </c>
      <c r="J56" s="34">
        <v>41.769944010289514</v>
      </c>
      <c r="K56" s="34">
        <v>39.765305065583476</v>
      </c>
      <c r="L56" s="35">
        <v>42.836849680487177</v>
      </c>
      <c r="M56" s="34">
        <v>39.740392330577968</v>
      </c>
    </row>
    <row r="57" spans="1:13" x14ac:dyDescent="0.25">
      <c r="A57" s="66">
        <v>42360</v>
      </c>
      <c r="B57" s="51">
        <v>1.0112731719777628</v>
      </c>
      <c r="C57" s="52">
        <v>31.56</v>
      </c>
      <c r="D57" s="51">
        <f>SUM(B57,C57)</f>
        <v>32.571273171977765</v>
      </c>
    </row>
    <row r="58" spans="1:13" x14ac:dyDescent="0.25">
      <c r="A58" s="69">
        <v>42016</v>
      </c>
      <c r="B58" s="34">
        <v>0.69193385409491026</v>
      </c>
      <c r="C58" s="43">
        <v>42.57</v>
      </c>
      <c r="D58" s="34">
        <f t="shared" ref="D58:D65" si="1">SUM(B58,C58)</f>
        <v>43.261933854094913</v>
      </c>
    </row>
    <row r="59" spans="1:13" x14ac:dyDescent="0.25">
      <c r="A59" s="70"/>
      <c r="B59" s="34">
        <v>0.75091357046078544</v>
      </c>
      <c r="C59" s="43">
        <v>42.24</v>
      </c>
      <c r="D59" s="34">
        <f t="shared" si="1"/>
        <v>42.990913570460791</v>
      </c>
      <c r="F59" t="s">
        <v>40</v>
      </c>
    </row>
    <row r="60" spans="1:13" x14ac:dyDescent="0.25">
      <c r="A60" s="69">
        <v>42022</v>
      </c>
      <c r="B60" s="34">
        <v>0.92848319905751686</v>
      </c>
      <c r="C60" s="43">
        <v>39.770000000000003</v>
      </c>
      <c r="D60" s="34">
        <f t="shared" si="1"/>
        <v>40.69848319905752</v>
      </c>
    </row>
    <row r="61" spans="1:13" ht="15.75" thickBot="1" x14ac:dyDescent="0.3">
      <c r="A61" s="70"/>
      <c r="B61" s="34">
        <v>0.94978110750983158</v>
      </c>
      <c r="C61" s="43">
        <v>40.01</v>
      </c>
      <c r="D61" s="34">
        <f t="shared" si="1"/>
        <v>40.959781107509826</v>
      </c>
      <c r="F61" t="s">
        <v>41</v>
      </c>
      <c r="I61" s="1" t="s">
        <v>65</v>
      </c>
    </row>
    <row r="62" spans="1:13" x14ac:dyDescent="0.25">
      <c r="A62" s="71">
        <v>42024</v>
      </c>
      <c r="B62" s="34">
        <v>0.885436584762479</v>
      </c>
      <c r="C62" s="43">
        <v>39.86</v>
      </c>
      <c r="D62" s="34">
        <f t="shared" si="1"/>
        <v>40.74543658476248</v>
      </c>
      <c r="F62" s="24" t="s">
        <v>42</v>
      </c>
      <c r="G62" s="24" t="s">
        <v>43</v>
      </c>
      <c r="H62" s="24" t="s">
        <v>44</v>
      </c>
      <c r="I62" s="24" t="s">
        <v>45</v>
      </c>
      <c r="J62" s="24" t="s">
        <v>46</v>
      </c>
    </row>
    <row r="63" spans="1:13" x14ac:dyDescent="0.25">
      <c r="A63" s="72"/>
      <c r="B63" s="34">
        <v>0.82994401028951315</v>
      </c>
      <c r="C63" s="43">
        <v>40.94</v>
      </c>
      <c r="D63" s="34">
        <f t="shared" si="1"/>
        <v>41.769944010289514</v>
      </c>
      <c r="F63" s="53">
        <v>42346</v>
      </c>
      <c r="G63" s="54">
        <v>1</v>
      </c>
      <c r="H63" s="55">
        <v>42.402318561680282</v>
      </c>
      <c r="I63" s="55">
        <v>42.402318561680282</v>
      </c>
      <c r="J63" s="55"/>
    </row>
    <row r="64" spans="1:13" x14ac:dyDescent="0.25">
      <c r="A64" s="71">
        <v>42037</v>
      </c>
      <c r="B64" s="34">
        <v>0.79809396741539818</v>
      </c>
      <c r="C64" s="43">
        <v>37.54</v>
      </c>
      <c r="D64" s="34">
        <f t="shared" si="1"/>
        <v>38.338093967415396</v>
      </c>
      <c r="F64" s="53">
        <v>42359</v>
      </c>
      <c r="G64" s="54">
        <v>1</v>
      </c>
      <c r="H64" s="55">
        <v>37.831185285295028</v>
      </c>
      <c r="I64" s="55">
        <v>37.831185285295028</v>
      </c>
      <c r="J64" s="55"/>
    </row>
    <row r="65" spans="1:12" x14ac:dyDescent="0.25">
      <c r="A65" s="72"/>
      <c r="B65" s="34">
        <v>0.71530506558347984</v>
      </c>
      <c r="C65" s="43">
        <v>39.049999999999997</v>
      </c>
      <c r="D65" s="34">
        <f t="shared" si="1"/>
        <v>39.765305065583476</v>
      </c>
      <c r="F65" s="53">
        <v>42381</v>
      </c>
      <c r="G65" s="54">
        <v>2</v>
      </c>
      <c r="H65" s="55">
        <v>86.252847424555711</v>
      </c>
      <c r="I65" s="55">
        <v>43.126423712277855</v>
      </c>
      <c r="J65" s="55">
        <v>3.6725997070560096E-2</v>
      </c>
    </row>
    <row r="66" spans="1:12" x14ac:dyDescent="0.25">
      <c r="A66" s="71">
        <v>42044</v>
      </c>
      <c r="B66" s="35">
        <v>0.76750818148618882</v>
      </c>
      <c r="C66" s="43">
        <v>40.26</v>
      </c>
      <c r="D66" s="35">
        <v>41.027508181486184</v>
      </c>
      <c r="F66" s="53">
        <v>42387</v>
      </c>
      <c r="G66" s="54">
        <v>2</v>
      </c>
      <c r="H66" s="55">
        <v>81.658264306567347</v>
      </c>
      <c r="I66" s="55">
        <v>40.829132153283673</v>
      </c>
      <c r="J66" s="55">
        <v>3.4138298480774883E-2</v>
      </c>
    </row>
    <row r="67" spans="1:12" x14ac:dyDescent="0.25">
      <c r="A67" s="72"/>
      <c r="B67" s="35">
        <v>0.78684968048718018</v>
      </c>
      <c r="C67" s="43">
        <v>42.05</v>
      </c>
      <c r="D67" s="35">
        <v>42.836849680487177</v>
      </c>
      <c r="F67" s="53">
        <v>42389</v>
      </c>
      <c r="G67" s="54">
        <v>2</v>
      </c>
      <c r="H67" s="55">
        <v>82.515380595051994</v>
      </c>
      <c r="I67" s="55">
        <v>41.257690297525997</v>
      </c>
      <c r="J67" s="55">
        <v>0.52480773248001544</v>
      </c>
    </row>
    <row r="68" spans="1:12" x14ac:dyDescent="0.25">
      <c r="A68" s="71">
        <v>42051</v>
      </c>
      <c r="B68" s="34">
        <v>0.45372646091598118</v>
      </c>
      <c r="C68" s="34">
        <v>39.6</v>
      </c>
      <c r="D68" s="34">
        <v>40.053726460915982</v>
      </c>
      <c r="F68" s="53">
        <v>42402</v>
      </c>
      <c r="G68" s="54">
        <v>2</v>
      </c>
      <c r="H68" s="55">
        <v>78.10339903299888</v>
      </c>
      <c r="I68" s="55">
        <v>39.05169951649944</v>
      </c>
      <c r="J68" s="55">
        <v>1.0184657593670678</v>
      </c>
    </row>
    <row r="69" spans="1:12" x14ac:dyDescent="0.25">
      <c r="A69" s="72"/>
      <c r="B69" s="34">
        <v>0.53039233057796775</v>
      </c>
      <c r="C69" s="34">
        <v>39.21</v>
      </c>
      <c r="D69" s="34">
        <v>39.740392330577968</v>
      </c>
      <c r="F69" s="53">
        <v>42409</v>
      </c>
      <c r="G69" s="54">
        <v>2</v>
      </c>
      <c r="H69" s="55">
        <v>83.86435786197336</v>
      </c>
      <c r="I69" s="55">
        <v>41.93217893098668</v>
      </c>
      <c r="J69" s="55">
        <v>1.6368583300035806</v>
      </c>
    </row>
    <row r="70" spans="1:12" ht="15.75" thickBot="1" x14ac:dyDescent="0.3">
      <c r="F70" s="56">
        <v>42416</v>
      </c>
      <c r="G70" s="57">
        <v>2</v>
      </c>
      <c r="H70" s="58">
        <v>79.794118791493958</v>
      </c>
      <c r="I70" s="58">
        <v>39.897059395746979</v>
      </c>
      <c r="J70" s="58">
        <v>4.9089138617339614E-2</v>
      </c>
    </row>
    <row r="73" spans="1:12" ht="15.75" thickBot="1" x14ac:dyDescent="0.3">
      <c r="F73" t="s">
        <v>38</v>
      </c>
    </row>
    <row r="74" spans="1:12" x14ac:dyDescent="0.25">
      <c r="F74" s="24" t="s">
        <v>47</v>
      </c>
      <c r="G74" s="24" t="s">
        <v>48</v>
      </c>
      <c r="H74" s="24" t="s">
        <v>49</v>
      </c>
      <c r="I74" s="24" t="s">
        <v>50</v>
      </c>
      <c r="J74" s="24" t="s">
        <v>39</v>
      </c>
      <c r="K74" s="24" t="s">
        <v>51</v>
      </c>
      <c r="L74" s="24" t="s">
        <v>52</v>
      </c>
    </row>
    <row r="75" spans="1:12" x14ac:dyDescent="0.25">
      <c r="F75" s="54" t="s">
        <v>53</v>
      </c>
      <c r="G75" s="55">
        <v>32.827168463054349</v>
      </c>
      <c r="H75" s="54">
        <v>7</v>
      </c>
      <c r="I75" s="55">
        <v>4.6895954947220497</v>
      </c>
      <c r="J75" s="55">
        <v>8.5263169843898758</v>
      </c>
      <c r="K75" s="54">
        <v>9.2215288754922565E-3</v>
      </c>
      <c r="L75" s="55">
        <v>4.2066584878692064</v>
      </c>
    </row>
    <row r="76" spans="1:12" x14ac:dyDescent="0.25">
      <c r="F76" s="54" t="s">
        <v>54</v>
      </c>
      <c r="G76" s="55">
        <v>3.3000852560193388</v>
      </c>
      <c r="H76" s="54">
        <v>6</v>
      </c>
      <c r="I76" s="55">
        <v>0.55001420933655643</v>
      </c>
      <c r="J76" s="55"/>
      <c r="K76" s="54"/>
      <c r="L76" s="54"/>
    </row>
    <row r="77" spans="1:12" x14ac:dyDescent="0.25">
      <c r="F77" s="54"/>
      <c r="G77" s="55"/>
      <c r="H77" s="54"/>
      <c r="I77" s="54"/>
      <c r="J77" s="54"/>
      <c r="K77" s="54"/>
      <c r="L77" s="54"/>
    </row>
    <row r="78" spans="1:12" ht="15.75" thickBot="1" x14ac:dyDescent="0.3">
      <c r="F78" s="57" t="s">
        <v>55</v>
      </c>
      <c r="G78" s="58">
        <v>36.127253719073686</v>
      </c>
      <c r="H78" s="57">
        <v>13</v>
      </c>
      <c r="I78" s="57"/>
      <c r="J78" s="57"/>
      <c r="K78" s="57"/>
      <c r="L78" s="57"/>
    </row>
    <row r="79" spans="1:12" x14ac:dyDescent="0.25">
      <c r="I79" s="1" t="s">
        <v>65</v>
      </c>
    </row>
    <row r="80" spans="1:12" x14ac:dyDescent="0.25">
      <c r="F80" s="33" t="s">
        <v>56</v>
      </c>
      <c r="H80" s="1" t="s">
        <v>67</v>
      </c>
      <c r="I80" s="3">
        <f>SQRT(I76)</f>
        <v>0.74162942858044434</v>
      </c>
    </row>
    <row r="81" spans="6:9" x14ac:dyDescent="0.25">
      <c r="F81" s="33"/>
      <c r="H81" s="1" t="s">
        <v>68</v>
      </c>
      <c r="I81" s="3">
        <f>SQRT((I75-I76)/4)</f>
        <v>1.017298049416381</v>
      </c>
    </row>
    <row r="82" spans="6:9" x14ac:dyDescent="0.25">
      <c r="F82" s="33" t="s">
        <v>63</v>
      </c>
      <c r="H82" s="1" t="s">
        <v>66</v>
      </c>
      <c r="I82" s="3">
        <f>SQRT(I80^2+I81^2)</f>
        <v>1.2589319007328912</v>
      </c>
    </row>
  </sheetData>
  <mergeCells count="14">
    <mergeCell ref="A50:D50"/>
    <mergeCell ref="A52:A53"/>
    <mergeCell ref="A18:A21"/>
    <mergeCell ref="A22:A25"/>
    <mergeCell ref="A26:A29"/>
    <mergeCell ref="A30:A33"/>
    <mergeCell ref="A34:A37"/>
    <mergeCell ref="A38:A41"/>
    <mergeCell ref="A14:A17"/>
    <mergeCell ref="A1:D1"/>
    <mergeCell ref="A3:A6"/>
    <mergeCell ref="G6:J6"/>
    <mergeCell ref="A7:A9"/>
    <mergeCell ref="A10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Precision &amp; MU</vt:lpstr>
      <vt:lpstr>Repeatability</vt:lpstr>
      <vt:lpstr>ANOVA</vt:lpstr>
      <vt:lpstr>Bias</vt:lpstr>
      <vt:lpstr>Linearity</vt:lpstr>
      <vt:lpstr>LOD-LOR</vt:lpstr>
      <vt:lpstr>Raw Data</vt:lpstr>
      <vt:lpstr>Latest_1922016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2016-03-21T22:27:26Z</dcterms:modified>
</cp:coreProperties>
</file>