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531"/>
  <workbookPr/>
  <mc:AlternateContent xmlns:mc="http://schemas.openxmlformats.org/markup-compatibility/2006">
    <mc:Choice Requires="x15">
      <x15ac:absPath xmlns:x15ac="http://schemas.microsoft.com/office/spreadsheetml/2010/11/ac" url="U:\CBE333\"/>
    </mc:Choice>
  </mc:AlternateContent>
  <bookViews>
    <workbookView xWindow="0" yWindow="0" windowWidth="28800" windowHeight="1249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1048550" i="1" l="1"/>
  <c r="BB6" i="1"/>
  <c r="XFD1048575" i="1"/>
  <c r="XFD1048574" i="1"/>
  <c r="XFD1048573" i="1"/>
  <c r="XFD1048572" i="1"/>
  <c r="XFD1048571" i="1"/>
  <c r="XFD1048570" i="1"/>
  <c r="XFD1048569" i="1"/>
  <c r="XFD1048568" i="1"/>
  <c r="XFD1048567" i="1"/>
  <c r="XFD1048566" i="1"/>
  <c r="XFD1048565" i="1"/>
  <c r="XFD1048564" i="1"/>
  <c r="XFD1048563" i="1"/>
  <c r="XFD1048562" i="1"/>
  <c r="XFD1048561" i="1"/>
  <c r="XFD1048560" i="1"/>
  <c r="XFD1048559" i="1"/>
  <c r="XFD1048558" i="1"/>
  <c r="XFD1048557" i="1"/>
  <c r="XFD1048556" i="1"/>
  <c r="XFD1048555" i="1"/>
  <c r="XFD1048554" i="1"/>
  <c r="XFD1048553" i="1"/>
  <c r="XFD1048552" i="1"/>
  <c r="XFD1048551" i="1"/>
  <c r="AH26" i="1"/>
  <c r="AH16" i="1"/>
  <c r="AH6" i="1"/>
  <c r="BD7" i="1"/>
  <c r="BE7" i="1"/>
  <c r="BD8" i="1"/>
  <c r="BE8" i="1"/>
  <c r="BD9" i="1"/>
  <c r="BE9" i="1"/>
  <c r="BD10" i="1"/>
  <c r="BE10" i="1"/>
  <c r="BD11" i="1"/>
  <c r="BE11" i="1"/>
  <c r="BD6" i="1"/>
  <c r="BE6" i="1"/>
  <c r="AG31" i="1"/>
  <c r="AH31" i="1"/>
  <c r="AG30" i="1"/>
  <c r="AH30" i="1"/>
  <c r="AG29" i="1"/>
  <c r="AH29" i="1"/>
  <c r="AG28" i="1"/>
  <c r="AH28" i="1"/>
  <c r="AG27" i="1"/>
  <c r="AH27" i="1"/>
  <c r="AI26" i="1"/>
  <c r="AG26" i="1"/>
  <c r="AG21" i="1"/>
  <c r="AH21" i="1"/>
  <c r="AG20" i="1"/>
  <c r="AH20" i="1"/>
  <c r="AG19" i="1"/>
  <c r="AH19" i="1"/>
  <c r="AG18" i="1"/>
  <c r="AH18" i="1"/>
  <c r="AG17" i="1"/>
  <c r="AH17" i="1"/>
  <c r="AI16" i="1"/>
  <c r="AG16" i="1"/>
  <c r="AH8" i="1"/>
  <c r="AH9" i="1"/>
  <c r="AH10" i="1"/>
  <c r="AH11" i="1"/>
  <c r="AH7" i="1"/>
  <c r="C6" i="1"/>
  <c r="AG7" i="1"/>
  <c r="AG8" i="1"/>
  <c r="AG9" i="1"/>
  <c r="AG10" i="1"/>
  <c r="AG11" i="1"/>
  <c r="AG6" i="1"/>
  <c r="BA7" i="1"/>
  <c r="AX6" i="1"/>
  <c r="AY6" i="1"/>
  <c r="BC6" i="1"/>
  <c r="AD79" i="1"/>
  <c r="AD78" i="1"/>
  <c r="AD77" i="1"/>
  <c r="AD76" i="1"/>
  <c r="AD75" i="1"/>
  <c r="AD74" i="1"/>
  <c r="AF74" i="1"/>
  <c r="AE74" i="1"/>
  <c r="AD69" i="1"/>
  <c r="AD68" i="1"/>
  <c r="AD67" i="1"/>
  <c r="AD66" i="1"/>
  <c r="AD65" i="1"/>
  <c r="AD64" i="1"/>
  <c r="AF64" i="1"/>
  <c r="AE64" i="1"/>
  <c r="AD60" i="1"/>
  <c r="AD59" i="1"/>
  <c r="AD58" i="1"/>
  <c r="AD57" i="1"/>
  <c r="AD56" i="1"/>
  <c r="AD55" i="1"/>
  <c r="AF55" i="1"/>
  <c r="AE55" i="1"/>
  <c r="AD50" i="1"/>
  <c r="AD49" i="1"/>
  <c r="AD48" i="1"/>
  <c r="AD47" i="1"/>
  <c r="AD46" i="1"/>
  <c r="AD45" i="1"/>
  <c r="AF45" i="1"/>
  <c r="AE45" i="1"/>
  <c r="AD41" i="1"/>
  <c r="AD40" i="1"/>
  <c r="AD39" i="1"/>
  <c r="AD38" i="1"/>
  <c r="AD37" i="1"/>
  <c r="AD36" i="1"/>
  <c r="AF36" i="1"/>
  <c r="AE36" i="1"/>
  <c r="AD31" i="1"/>
  <c r="AD30" i="1"/>
  <c r="AD29" i="1"/>
  <c r="AD28" i="1"/>
  <c r="AD27" i="1"/>
  <c r="AD26" i="1"/>
  <c r="AF26" i="1"/>
  <c r="AE26" i="1"/>
  <c r="AD21" i="1"/>
  <c r="AD20" i="1"/>
  <c r="AD19" i="1"/>
  <c r="AD18" i="1"/>
  <c r="AD17" i="1"/>
  <c r="AD16" i="1"/>
  <c r="AF16" i="1"/>
  <c r="AE16" i="1"/>
  <c r="AF6" i="1"/>
  <c r="AE6" i="1"/>
  <c r="BC45" i="1"/>
  <c r="AX45" i="1"/>
  <c r="AY45" i="1"/>
  <c r="BA46" i="1"/>
  <c r="BB45" i="1"/>
  <c r="AI6" i="1"/>
  <c r="BA47" i="1"/>
  <c r="BA48" i="1"/>
  <c r="BA49" i="1"/>
  <c r="BA50" i="1"/>
  <c r="BA37" i="1"/>
  <c r="AX36" i="1"/>
  <c r="AY36" i="1"/>
  <c r="BC36" i="1"/>
  <c r="BB36" i="1"/>
  <c r="AX27" i="1"/>
  <c r="AY27" i="1"/>
  <c r="B1" i="1"/>
  <c r="AS27" i="1"/>
  <c r="U4" i="1"/>
  <c r="AZ27" i="1"/>
  <c r="BA27" i="1"/>
  <c r="AX26" i="1"/>
  <c r="AY26" i="1"/>
  <c r="AX28" i="1"/>
  <c r="AY28" i="1"/>
  <c r="AS28" i="1"/>
  <c r="AZ28" i="1"/>
  <c r="BA28" i="1"/>
  <c r="AX29" i="1"/>
  <c r="AY29" i="1"/>
  <c r="AS29" i="1"/>
  <c r="AZ29" i="1"/>
  <c r="BA29" i="1"/>
  <c r="AX30" i="1"/>
  <c r="AY30" i="1"/>
  <c r="AS30" i="1"/>
  <c r="AZ30" i="1"/>
  <c r="BA30" i="1"/>
  <c r="AX31" i="1"/>
  <c r="AY31" i="1"/>
  <c r="AS31" i="1"/>
  <c r="AZ31" i="1"/>
  <c r="BA31" i="1"/>
  <c r="BC26" i="1"/>
  <c r="V6" i="1"/>
  <c r="AA6" i="1"/>
  <c r="AB6" i="1"/>
  <c r="AC6" i="1"/>
  <c r="V7" i="1"/>
  <c r="AA7" i="1"/>
  <c r="AB7" i="1"/>
  <c r="AC7" i="1"/>
  <c r="V8" i="1"/>
  <c r="AA8" i="1"/>
  <c r="AB8" i="1"/>
  <c r="AC8" i="1"/>
  <c r="V9" i="1"/>
  <c r="AA9" i="1"/>
  <c r="AB9" i="1"/>
  <c r="AC9" i="1"/>
  <c r="AA10" i="1"/>
  <c r="AB10" i="1"/>
  <c r="AA11" i="1"/>
  <c r="AB11" i="1"/>
  <c r="V10" i="1"/>
  <c r="AC10" i="1"/>
  <c r="V11" i="1"/>
  <c r="AC11" i="1"/>
  <c r="BB26" i="1"/>
  <c r="AX17" i="1"/>
  <c r="AY17" i="1"/>
  <c r="AS17" i="1"/>
  <c r="AZ17" i="1"/>
  <c r="BA17" i="1"/>
  <c r="AX16" i="1"/>
  <c r="AY16" i="1"/>
  <c r="AX18" i="1"/>
  <c r="AY18" i="1"/>
  <c r="AS18" i="1"/>
  <c r="AZ18" i="1"/>
  <c r="BA18" i="1"/>
  <c r="AX19" i="1"/>
  <c r="AY19" i="1"/>
  <c r="AS19" i="1"/>
  <c r="AZ19" i="1"/>
  <c r="BA19" i="1"/>
  <c r="AX20" i="1"/>
  <c r="AY20" i="1"/>
  <c r="AS20" i="1"/>
  <c r="AZ20" i="1"/>
  <c r="BA20" i="1"/>
  <c r="AX21" i="1"/>
  <c r="AY21" i="1"/>
  <c r="AS21" i="1"/>
  <c r="AZ21" i="1"/>
  <c r="BA21" i="1"/>
  <c r="BC16" i="1"/>
  <c r="BB16" i="1"/>
  <c r="AX7" i="1"/>
  <c r="AY7" i="1"/>
  <c r="AS7" i="1"/>
  <c r="AZ7" i="1"/>
  <c r="AX8" i="1"/>
  <c r="AY8" i="1"/>
  <c r="AS8" i="1"/>
  <c r="AZ8" i="1"/>
  <c r="BA8" i="1"/>
  <c r="AX9" i="1"/>
  <c r="AY9" i="1"/>
  <c r="AS9" i="1"/>
  <c r="AZ9" i="1"/>
  <c r="BA9" i="1"/>
  <c r="AX10" i="1"/>
  <c r="AY10" i="1"/>
  <c r="AS10" i="1"/>
  <c r="AZ10" i="1"/>
  <c r="BA10" i="1"/>
  <c r="AX11" i="1"/>
  <c r="AY11" i="1"/>
  <c r="AS11" i="1"/>
  <c r="AZ11" i="1"/>
  <c r="BA11" i="1"/>
  <c r="AX46" i="1"/>
  <c r="AY46" i="1"/>
  <c r="AS46" i="1"/>
  <c r="AZ46" i="1"/>
  <c r="AX38" i="1"/>
  <c r="AY38" i="1"/>
  <c r="AS38" i="1"/>
  <c r="AZ38" i="1"/>
  <c r="BA38" i="1"/>
  <c r="AX39" i="1"/>
  <c r="AY39" i="1"/>
  <c r="AS39" i="1"/>
  <c r="AZ39" i="1"/>
  <c r="BA39" i="1"/>
  <c r="AX40" i="1"/>
  <c r="AY40" i="1"/>
  <c r="AS40" i="1"/>
  <c r="AZ40" i="1"/>
  <c r="BA40" i="1"/>
  <c r="AX41" i="1"/>
  <c r="AY41" i="1"/>
  <c r="AS41" i="1"/>
  <c r="AZ41" i="1"/>
  <c r="BA41" i="1"/>
  <c r="AX37" i="1"/>
  <c r="AY37" i="1"/>
  <c r="AS37" i="1"/>
  <c r="AZ37" i="1"/>
  <c r="AD6" i="1"/>
  <c r="AD7" i="1"/>
  <c r="AD8" i="1"/>
  <c r="AD9" i="1"/>
  <c r="AD10" i="1"/>
  <c r="AD11" i="1"/>
  <c r="AX79" i="1"/>
  <c r="AY79" i="1"/>
  <c r="AA79" i="1"/>
  <c r="AB79" i="1"/>
  <c r="AX78" i="1"/>
  <c r="AY78" i="1"/>
  <c r="AA78" i="1"/>
  <c r="AX77" i="1"/>
  <c r="AY77" i="1"/>
  <c r="AA77" i="1"/>
  <c r="AB77" i="1"/>
  <c r="AX76" i="1"/>
  <c r="AY76" i="1"/>
  <c r="AA76" i="1"/>
  <c r="AB76" i="1"/>
  <c r="AX75" i="1"/>
  <c r="AY75" i="1"/>
  <c r="AA75" i="1"/>
  <c r="AB75" i="1"/>
  <c r="AX74" i="1"/>
  <c r="AY74" i="1"/>
  <c r="AA74" i="1"/>
  <c r="AB74" i="1"/>
  <c r="AR72" i="1"/>
  <c r="U72" i="1"/>
  <c r="AX69" i="1"/>
  <c r="AY69" i="1"/>
  <c r="AA69" i="1"/>
  <c r="AB69" i="1"/>
  <c r="AX68" i="1"/>
  <c r="AY68" i="1"/>
  <c r="AA68" i="1"/>
  <c r="AB68" i="1"/>
  <c r="AX67" i="1"/>
  <c r="AY67" i="1"/>
  <c r="AA67" i="1"/>
  <c r="AB67" i="1"/>
  <c r="AX66" i="1"/>
  <c r="AY66" i="1"/>
  <c r="AA66" i="1"/>
  <c r="AB66" i="1"/>
  <c r="AX65" i="1"/>
  <c r="AY65" i="1"/>
  <c r="AA65" i="1"/>
  <c r="AB65" i="1"/>
  <c r="AX64" i="1"/>
  <c r="AY64" i="1"/>
  <c r="AA64" i="1"/>
  <c r="AB64" i="1"/>
  <c r="AR62" i="1"/>
  <c r="U62" i="1"/>
  <c r="AX58" i="1"/>
  <c r="AY58" i="1"/>
  <c r="AX60" i="1"/>
  <c r="AY60" i="1"/>
  <c r="AA56" i="1"/>
  <c r="AB56" i="1"/>
  <c r="AX48" i="1"/>
  <c r="AY48" i="1"/>
  <c r="AA49" i="1"/>
  <c r="AB49" i="1"/>
  <c r="AA60" i="1"/>
  <c r="AX59" i="1"/>
  <c r="AY59" i="1"/>
  <c r="AA59" i="1"/>
  <c r="AB59" i="1"/>
  <c r="AA58" i="1"/>
  <c r="AB58" i="1"/>
  <c r="AX57" i="1"/>
  <c r="AY57" i="1"/>
  <c r="AA57" i="1"/>
  <c r="AB57" i="1"/>
  <c r="AX56" i="1"/>
  <c r="AY56" i="1"/>
  <c r="AX55" i="1"/>
  <c r="AY55" i="1"/>
  <c r="AA55" i="1"/>
  <c r="AB55" i="1"/>
  <c r="AR53" i="1"/>
  <c r="U53" i="1"/>
  <c r="AX50" i="1"/>
  <c r="AY50" i="1"/>
  <c r="AA50" i="1"/>
  <c r="AB50" i="1"/>
  <c r="AX49" i="1"/>
  <c r="AY49" i="1"/>
  <c r="AA48" i="1"/>
  <c r="AB48" i="1"/>
  <c r="AX47" i="1"/>
  <c r="AY47" i="1"/>
  <c r="AA47" i="1"/>
  <c r="AB47" i="1"/>
  <c r="AA46" i="1"/>
  <c r="AB46" i="1"/>
  <c r="AA45" i="1"/>
  <c r="AR43" i="1"/>
  <c r="U43" i="1"/>
  <c r="AA38" i="1"/>
  <c r="AB38" i="1"/>
  <c r="AA40" i="1"/>
  <c r="AB40" i="1"/>
  <c r="AA36" i="1"/>
  <c r="AB36" i="1"/>
  <c r="AA28" i="1"/>
  <c r="AB28" i="1"/>
  <c r="AA26" i="1"/>
  <c r="AB26" i="1"/>
  <c r="AA41" i="1"/>
  <c r="AB41" i="1"/>
  <c r="AA39" i="1"/>
  <c r="AB39" i="1"/>
  <c r="AA37" i="1"/>
  <c r="AB37" i="1"/>
  <c r="AR34" i="1"/>
  <c r="U34" i="1"/>
  <c r="AA31" i="1"/>
  <c r="AB31" i="1"/>
  <c r="AA30" i="1"/>
  <c r="AB30" i="1"/>
  <c r="AA29" i="1"/>
  <c r="AB29" i="1"/>
  <c r="AA27" i="1"/>
  <c r="AB27" i="1"/>
  <c r="AR24" i="1"/>
  <c r="U24" i="1"/>
  <c r="AR4" i="1"/>
  <c r="AR14" i="1"/>
  <c r="AA21" i="1"/>
  <c r="AB21" i="1"/>
  <c r="AA20" i="1"/>
  <c r="AB20" i="1"/>
  <c r="AA19" i="1"/>
  <c r="AB19" i="1"/>
  <c r="AA18" i="1"/>
  <c r="AB18" i="1"/>
  <c r="V18" i="1"/>
  <c r="AA17" i="1"/>
  <c r="AB17" i="1"/>
  <c r="AA16" i="1"/>
  <c r="AB16" i="1"/>
  <c r="U14" i="1"/>
  <c r="J76" i="1"/>
  <c r="J75" i="1"/>
  <c r="J74" i="1"/>
  <c r="J73" i="1"/>
  <c r="J72" i="1"/>
  <c r="J71" i="1"/>
  <c r="J68" i="1"/>
  <c r="J67" i="1"/>
  <c r="J66" i="1"/>
  <c r="J65" i="1"/>
  <c r="C65" i="1"/>
  <c r="J64" i="1"/>
  <c r="J63" i="1"/>
  <c r="J57" i="1"/>
  <c r="J56" i="1"/>
  <c r="J55" i="1"/>
  <c r="J54" i="1"/>
  <c r="J53" i="1"/>
  <c r="J52" i="1"/>
  <c r="J49" i="1"/>
  <c r="J48" i="1"/>
  <c r="J47" i="1"/>
  <c r="J46" i="1"/>
  <c r="C46" i="1"/>
  <c r="J45" i="1"/>
  <c r="J44" i="1"/>
  <c r="J34" i="1"/>
  <c r="J35" i="1"/>
  <c r="J36" i="1"/>
  <c r="J37" i="1"/>
  <c r="J38" i="1"/>
  <c r="J33" i="1"/>
  <c r="J26" i="1"/>
  <c r="J27" i="1"/>
  <c r="J28" i="1"/>
  <c r="J29" i="1"/>
  <c r="J30" i="1"/>
  <c r="J25" i="1"/>
  <c r="C28" i="1"/>
  <c r="J15" i="1"/>
  <c r="J16" i="1"/>
  <c r="J17" i="1"/>
  <c r="J18" i="1"/>
  <c r="J19" i="1"/>
  <c r="J14" i="1"/>
  <c r="J7" i="1"/>
  <c r="J8" i="1"/>
  <c r="J9" i="1"/>
  <c r="J10" i="1"/>
  <c r="J11" i="1"/>
  <c r="J6" i="1"/>
  <c r="B2" i="1"/>
  <c r="C17" i="1"/>
  <c r="C7" i="1"/>
  <c r="V41" i="1"/>
  <c r="AC41" i="1"/>
  <c r="C56" i="1"/>
  <c r="C29" i="1"/>
  <c r="AS16" i="1"/>
  <c r="V30" i="1"/>
  <c r="AC30" i="1"/>
  <c r="AS48" i="1"/>
  <c r="AS50" i="1"/>
  <c r="V56" i="1"/>
  <c r="AC56" i="1"/>
  <c r="V58" i="1"/>
  <c r="V60" i="1"/>
  <c r="AS64" i="1"/>
  <c r="AZ64" i="1"/>
  <c r="AS66" i="1"/>
  <c r="AZ66" i="1"/>
  <c r="AS68" i="1"/>
  <c r="V74" i="1"/>
  <c r="V76" i="1"/>
  <c r="V78" i="1"/>
  <c r="C30" i="1"/>
  <c r="C47" i="1"/>
  <c r="C57" i="1"/>
  <c r="C66" i="1"/>
  <c r="C72" i="1"/>
  <c r="C76" i="1"/>
  <c r="V19" i="1"/>
  <c r="V28" i="1"/>
  <c r="AC28" i="1"/>
  <c r="AZ48" i="1"/>
  <c r="AB60" i="1"/>
  <c r="AC60" i="1"/>
  <c r="C52" i="1"/>
  <c r="C75" i="1"/>
  <c r="C53" i="1"/>
  <c r="C33" i="1"/>
  <c r="V36" i="1"/>
  <c r="AC36" i="1"/>
  <c r="V45" i="1"/>
  <c r="V47" i="1"/>
  <c r="V49" i="1"/>
  <c r="AC49" i="1"/>
  <c r="AS56" i="1"/>
  <c r="AS58" i="1"/>
  <c r="AS60" i="1"/>
  <c r="V65" i="1"/>
  <c r="AC65" i="1"/>
  <c r="V67" i="1"/>
  <c r="V69" i="1"/>
  <c r="AS74" i="1"/>
  <c r="AS76" i="1"/>
  <c r="AS78" i="1"/>
  <c r="C71" i="1"/>
  <c r="V39" i="1"/>
  <c r="AC39" i="1"/>
  <c r="C34" i="1"/>
  <c r="C44" i="1"/>
  <c r="C48" i="1"/>
  <c r="C54" i="1"/>
  <c r="C63" i="1"/>
  <c r="C67" i="1"/>
  <c r="C73" i="1"/>
  <c r="V16" i="1"/>
  <c r="V20" i="1"/>
  <c r="V26" i="1"/>
  <c r="V38" i="1"/>
  <c r="AC38" i="1"/>
  <c r="V40" i="1"/>
  <c r="AC40" i="1"/>
  <c r="AB45" i="1"/>
  <c r="AC45" i="1"/>
  <c r="AC47" i="1"/>
  <c r="C25" i="1"/>
  <c r="C35" i="1"/>
  <c r="V29" i="1"/>
  <c r="V31" i="1"/>
  <c r="AS36" i="1"/>
  <c r="AZ36" i="1"/>
  <c r="AS45" i="1"/>
  <c r="AS47" i="1"/>
  <c r="AS49" i="1"/>
  <c r="V55" i="1"/>
  <c r="AC55" i="1"/>
  <c r="V57" i="1"/>
  <c r="AC57" i="1"/>
  <c r="V59" i="1"/>
  <c r="AC59" i="1"/>
  <c r="AS65" i="1"/>
  <c r="AS67" i="1"/>
  <c r="AZ67" i="1"/>
  <c r="AS69" i="1"/>
  <c r="V75" i="1"/>
  <c r="V77" i="1"/>
  <c r="AC77" i="1"/>
  <c r="V79" i="1"/>
  <c r="AC79" i="1"/>
  <c r="C26" i="1"/>
  <c r="C36" i="1"/>
  <c r="C45" i="1"/>
  <c r="C49" i="1"/>
  <c r="C55" i="1"/>
  <c r="C64" i="1"/>
  <c r="C68" i="1"/>
  <c r="C74" i="1"/>
  <c r="V17" i="1"/>
  <c r="V21" i="1"/>
  <c r="AC21" i="1"/>
  <c r="AS6" i="1"/>
  <c r="AS26" i="1"/>
  <c r="AZ26" i="1"/>
  <c r="C27" i="1"/>
  <c r="C37" i="1"/>
  <c r="AZ6" i="1"/>
  <c r="V27" i="1"/>
  <c r="V37" i="1"/>
  <c r="AC37" i="1"/>
  <c r="V46" i="1"/>
  <c r="AC46" i="1"/>
  <c r="V48" i="1"/>
  <c r="V50" i="1"/>
  <c r="AS55" i="1"/>
  <c r="AS57" i="1"/>
  <c r="AS59" i="1"/>
  <c r="V64" i="1"/>
  <c r="V66" i="1"/>
  <c r="V68" i="1"/>
  <c r="AC68" i="1"/>
  <c r="AS75" i="1"/>
  <c r="AZ75" i="1"/>
  <c r="AS77" i="1"/>
  <c r="AS79" i="1"/>
  <c r="AZ79" i="1"/>
  <c r="AC17" i="1"/>
  <c r="AC26" i="1"/>
  <c r="AZ68" i="1"/>
  <c r="AC64" i="1"/>
  <c r="AC75" i="1"/>
  <c r="AC74" i="1"/>
  <c r="AB78" i="1"/>
  <c r="AC78" i="1"/>
  <c r="AC76" i="1"/>
  <c r="AC67" i="1"/>
  <c r="AZ76" i="1"/>
  <c r="AZ74" i="1"/>
  <c r="AZ77" i="1"/>
  <c r="AZ78" i="1"/>
  <c r="AZ65" i="1"/>
  <c r="AZ69" i="1"/>
  <c r="AC69" i="1"/>
  <c r="AC66" i="1"/>
  <c r="AZ60" i="1"/>
  <c r="AZ58" i="1"/>
  <c r="AZ56" i="1"/>
  <c r="AC58" i="1"/>
  <c r="AC48" i="1"/>
  <c r="AZ59" i="1"/>
  <c r="AZ55" i="1"/>
  <c r="AZ47" i="1"/>
  <c r="AZ49" i="1"/>
  <c r="AC50" i="1"/>
  <c r="AZ50" i="1"/>
  <c r="AZ57" i="1"/>
  <c r="AZ45" i="1"/>
  <c r="AC27" i="1"/>
  <c r="AC29" i="1"/>
  <c r="AC31" i="1"/>
  <c r="AZ16" i="1"/>
  <c r="AC19" i="1"/>
  <c r="AC16" i="1"/>
  <c r="AC18" i="1"/>
  <c r="AC20" i="1"/>
  <c r="C38" i="1"/>
  <c r="C14" i="1"/>
  <c r="C19" i="1"/>
  <c r="C18" i="1"/>
  <c r="C16" i="1"/>
  <c r="C15" i="1"/>
  <c r="C11" i="1"/>
  <c r="C10" i="1"/>
  <c r="C9" i="1"/>
  <c r="C8" i="1"/>
</calcChain>
</file>

<file path=xl/sharedStrings.xml><?xml version="1.0" encoding="utf-8"?>
<sst xmlns="http://schemas.openxmlformats.org/spreadsheetml/2006/main" count="344" uniqueCount="51">
  <si>
    <t xml:space="preserve">Conc Hb Stock (mg/mL) </t>
  </si>
  <si>
    <t>Conc BSA Stock (mg/mL)</t>
  </si>
  <si>
    <t>L03 T2 - SP Resin</t>
  </si>
  <si>
    <t>Cold - Hb - SP Resin</t>
  </si>
  <si>
    <t>Vresin (mL)</t>
  </si>
  <si>
    <t>Hot - Hb - SP Resin</t>
  </si>
  <si>
    <t>Vol Hb Stock (mL)</t>
  </si>
  <si>
    <t>Vol Buffer (mL)</t>
  </si>
  <si>
    <t>Hb Conc (mg/mL)</t>
  </si>
  <si>
    <t>Abs 1</t>
  </si>
  <si>
    <t>Abs 2</t>
  </si>
  <si>
    <t>Abs 3</t>
  </si>
  <si>
    <t>Avg Abs</t>
  </si>
  <si>
    <t xml:space="preserve">Sample </t>
  </si>
  <si>
    <t xml:space="preserve">Vol Hb Stock (mL) </t>
  </si>
  <si>
    <t xml:space="preserve">Vol Buffer (mL) </t>
  </si>
  <si>
    <t xml:space="preserve">Initial Hb Conc. (mg/mL) </t>
  </si>
  <si>
    <t>Vol Resin (mL)</t>
  </si>
  <si>
    <t xml:space="preserve">Avg Abs </t>
  </si>
  <si>
    <t>C (mg/mL)</t>
  </si>
  <si>
    <t>Q (mg/mL Res)</t>
  </si>
  <si>
    <t>C/Q</t>
  </si>
  <si>
    <t>Qmax</t>
  </si>
  <si>
    <t>k</t>
  </si>
  <si>
    <t>Qcalc</t>
  </si>
  <si>
    <t>Err2</t>
  </si>
  <si>
    <t>Sum Err2</t>
  </si>
  <si>
    <t>K</t>
  </si>
  <si>
    <t>Error</t>
  </si>
  <si>
    <t>Vol BSA Stock (mL)</t>
  </si>
  <si>
    <t>BSA Conc (mg/mL)</t>
  </si>
  <si>
    <t>Cold - BSA - SP Resin</t>
  </si>
  <si>
    <t>Hot - BSA - SP Resin</t>
  </si>
  <si>
    <t>QcalC</t>
  </si>
  <si>
    <t>L03 T1 - CM Resin</t>
  </si>
  <si>
    <t>Cold - Hb - CM Resin</t>
  </si>
  <si>
    <t>Hot - Hb - CM Resin</t>
  </si>
  <si>
    <t>Intercept</t>
  </si>
  <si>
    <t>Slope</t>
  </si>
  <si>
    <t>Cold - BSA - CM Resin</t>
  </si>
  <si>
    <t>Hot - BSA - CM Resin</t>
  </si>
  <si>
    <t>L02 T2 - DEAE Resin</t>
  </si>
  <si>
    <t>Cold - Hb - DEAE Resin</t>
  </si>
  <si>
    <t>Hot - Hb - DEAE Resin</t>
  </si>
  <si>
    <t>Cold - BSA - DEAE Resin</t>
  </si>
  <si>
    <t>Hot - BSA - DEAE Resin</t>
  </si>
  <si>
    <t>L02 T1 - Q Resin</t>
  </si>
  <si>
    <t>Cold - Hb - Q Resin</t>
  </si>
  <si>
    <t>Hot - Hb - Q Resin</t>
  </si>
  <si>
    <t>Cold - BSA - Q Resin</t>
  </si>
  <si>
    <t>Hot - BSA - Q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</si>
</sst>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8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0" borderId="4" xfId="0" applyFont="1" applyBorder="1"/>
    <xf numFmtId="0" fontId="2" fillId="0" borderId="12" xfId="0" applyFont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3" borderId="12" xfId="0" applyFont="1" applyFill="1" applyBorder="1"/>
    <xf numFmtId="0" fontId="2" fillId="2" borderId="12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L03</a:t>
            </a:r>
            <a:r>
              <a:rPr lang="en-US" baseline="0"/>
              <a:t> T2 - Hb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Avg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1184895512222047"/>
                  <c:y val="-7.667729057473084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Sheet1!$J$6:$J$11</c:f>
              <c:numCache>
                <c:formatCode>General</c:formatCode>
                <c:ptCount val="6"/>
                <c:pt idx="0">
                  <c:v>0</c:v>
                </c:pt>
                <c:pt idx="1">
                  <c:v>0.34849999999999998</c:v>
                </c:pt>
                <c:pt idx="2">
                  <c:v>0.71533333333333327</c:v>
                </c:pt>
                <c:pt idx="3">
                  <c:v>1.0893333333333333</c:v>
                </c:pt>
                <c:pt idx="4">
                  <c:v>1.4915000000000003</c:v>
                </c:pt>
                <c:pt idx="5">
                  <c:v>1.8434999999999999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BC3-815E-15737700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6496"/>
        <c:axId val="589939120"/>
      </c:scatterChart>
      <c:valAx>
        <c:axId val="5899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9120"/>
        <c:crosses val="autoZero"/>
        <c:crossBetween val="midCat"/>
      </c:valAx>
      <c:valAx>
        <c:axId val="5899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L03 T2 - 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Avg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123693278155233"/>
                  <c:y val="-8.191123344844859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Sheet1!$J$14:$J$19</c:f>
              <c:numCache>
                <c:formatCode>General</c:formatCode>
                <c:ptCount val="6"/>
                <c:pt idx="0">
                  <c:v>0</c:v>
                </c:pt>
                <c:pt idx="1">
                  <c:v>0.14349999999999999</c:v>
                </c:pt>
                <c:pt idx="2">
                  <c:v>0.29299999999999998</c:v>
                </c:pt>
                <c:pt idx="3">
                  <c:v>0.44766666666666666</c:v>
                </c:pt>
                <c:pt idx="4">
                  <c:v>0.60333333333333328</c:v>
                </c:pt>
                <c:pt idx="5">
                  <c:v>0.73666666666666669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0ED-AE31-E5345DC9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95880"/>
        <c:axId val="568095552"/>
      </c:scatterChart>
      <c:valAx>
        <c:axId val="5680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5552"/>
        <c:crosses val="autoZero"/>
        <c:crossBetween val="midCat"/>
      </c:valAx>
      <c:valAx>
        <c:axId val="568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L03</a:t>
            </a:r>
            <a:r>
              <a:rPr lang="en-US" baseline="0"/>
              <a:t> T1 - Hb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Avg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822346459720293"/>
                  <c:y val="-1.87654254653532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Sheet1!$J$25:$J$30</c:f>
              <c:numCache>
                <c:formatCode>General</c:formatCode>
                <c:ptCount val="6"/>
                <c:pt idx="0">
                  <c:v>0</c:v>
                </c:pt>
                <c:pt idx="1">
                  <c:v>0.32849999999999996</c:v>
                </c:pt>
                <c:pt idx="2">
                  <c:v>0.71599999999999986</c:v>
                </c:pt>
                <c:pt idx="3">
                  <c:v>1.1058333333333332</c:v>
                </c:pt>
                <c:pt idx="4">
                  <c:v>1.2154999999999998</c:v>
                </c:pt>
                <c:pt idx="5">
                  <c:v>1.8376666666666666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5DF-AF3F-A822B416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8464"/>
        <c:axId val="589939448"/>
      </c:scatterChart>
      <c:valAx>
        <c:axId val="5899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9448"/>
        <c:crosses val="autoZero"/>
        <c:crossBetween val="midCat"/>
      </c:valAx>
      <c:valAx>
        <c:axId val="5899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L03</a:t>
            </a:r>
            <a:r>
              <a:rPr lang="en-US" baseline="0"/>
              <a:t> T1 - BSA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Avg 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9973471505476832"/>
                  <c:y val="1.5768828723880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Sheet1!$J$33:$J$38</c:f>
              <c:numCache>
                <c:formatCode>General</c:formatCode>
                <c:ptCount val="6"/>
                <c:pt idx="0">
                  <c:v>0</c:v>
                </c:pt>
                <c:pt idx="1">
                  <c:v>0.17166666666666666</c:v>
                </c:pt>
                <c:pt idx="2">
                  <c:v>0.33066666666666666</c:v>
                </c:pt>
                <c:pt idx="3">
                  <c:v>0.47999999999999993</c:v>
                </c:pt>
                <c:pt idx="4">
                  <c:v>0.65083333333333326</c:v>
                </c:pt>
                <c:pt idx="5">
                  <c:v>0.79649999999999999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0-45F7-8F1C-CF3F691D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1040"/>
        <c:axId val="618685792"/>
      </c:scatterChart>
      <c:valAx>
        <c:axId val="6186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5792"/>
        <c:crosses val="autoZero"/>
        <c:crossBetween val="midCat"/>
      </c:valAx>
      <c:valAx>
        <c:axId val="6186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L02</a:t>
            </a:r>
            <a:r>
              <a:rPr lang="en-US" baseline="0"/>
              <a:t> - T2 Hb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Sheet1!$J$43</c:f>
              <c:strCache>
                <c:ptCount val="1"/>
                <c:pt idx="0">
                  <c:v>Avg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28084946168193"/>
                  <c:y val="2.87664041994750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Sheet1!$J$44:$J$49</c:f>
              <c:numCache>
                <c:formatCode>General</c:formatCode>
                <c:ptCount val="6"/>
                <c:pt idx="0">
                  <c:v>0</c:v>
                </c:pt>
                <c:pt idx="1">
                  <c:v>0.38416666666666671</c:v>
                </c:pt>
                <c:pt idx="2">
                  <c:v>0.77316666666666667</c:v>
                </c:pt>
                <c:pt idx="3">
                  <c:v>1.1858333333333333</c:v>
                </c:pt>
                <c:pt idx="4">
                  <c:v>1.5888333333333333</c:v>
                </c:pt>
                <c:pt idx="5">
                  <c:v>1.9588333333333334</c:v>
                </c:pt>
              </c:numCache>
            </c:numRef>
          </c:xVal>
          <c:yVal>
            <c:numRef>
              <c:f>Sheet1!$C$44:$C$49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1-4C33-8E64-5A62FB80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01456"/>
        <c:axId val="568099160"/>
      </c:scatterChart>
      <c:valAx>
        <c:axId val="568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9160"/>
        <c:crosses val="autoZero"/>
        <c:crossBetween val="midCat"/>
      </c:valAx>
      <c:valAx>
        <c:axId val="5680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L02</a:t>
            </a:r>
            <a:r>
              <a:rPr lang="en-US" baseline="0"/>
              <a:t> - T2 BSA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Sheet1!$J$51</c:f>
              <c:strCache>
                <c:ptCount val="1"/>
                <c:pt idx="0">
                  <c:v>Avg 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8543224894382982"/>
                  <c:y val="2.6575342465753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Sheet1!$J$52:$J$57</c:f>
              <c:numCache>
                <c:formatCode>General</c:formatCode>
                <c:ptCount val="6"/>
                <c:pt idx="0">
                  <c:v>0</c:v>
                </c:pt>
                <c:pt idx="1">
                  <c:v>0.14633333333333334</c:v>
                </c:pt>
                <c:pt idx="2">
                  <c:v>0.29866666666666664</c:v>
                </c:pt>
                <c:pt idx="3">
                  <c:v>0.45250000000000007</c:v>
                </c:pt>
                <c:pt idx="4">
                  <c:v>0.60333333333333328</c:v>
                </c:pt>
                <c:pt idx="5">
                  <c:v>0.73583333333333345</c:v>
                </c:pt>
              </c:numCache>
            </c:numRef>
          </c:xVal>
          <c:yVal>
            <c:numRef>
              <c:f>Sheet1!$C$52:$C$57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9-4352-9C64-5EAF866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56872"/>
        <c:axId val="622857528"/>
      </c:scatterChart>
      <c:valAx>
        <c:axId val="6228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7528"/>
        <c:crosses val="autoZero"/>
        <c:crossBetween val="midCat"/>
      </c:valAx>
      <c:valAx>
        <c:axId val="6228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L02</a:t>
            </a:r>
            <a:r>
              <a:rPr lang="en-US" baseline="0"/>
              <a:t> - T1 Hb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Sheet1!$J$62</c:f>
              <c:strCache>
                <c:ptCount val="1"/>
                <c:pt idx="0">
                  <c:v>Avg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4767244956803398"/>
                  <c:y val="-2.44225200608574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Sheet1!$J$63:$J$68</c:f>
              <c:numCache>
                <c:formatCode>General</c:formatCode>
                <c:ptCount val="6"/>
                <c:pt idx="0">
                  <c:v>0</c:v>
                </c:pt>
                <c:pt idx="1">
                  <c:v>0.35866666666666663</c:v>
                </c:pt>
                <c:pt idx="2">
                  <c:v>0.76949999999999996</c:v>
                </c:pt>
                <c:pt idx="3">
                  <c:v>1.1748333333333332</c:v>
                </c:pt>
                <c:pt idx="4">
                  <c:v>1.5676666666666665</c:v>
                </c:pt>
                <c:pt idx="5">
                  <c:v>1.921</c:v>
                </c:pt>
              </c:numCache>
            </c:numRef>
          </c:xVal>
          <c:yVal>
            <c:numRef>
              <c:f>Sheet1!$C$63:$C$68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8-4D0D-8C51-174E83A8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40432"/>
        <c:axId val="589932560"/>
      </c:scatterChart>
      <c:valAx>
        <c:axId val="5899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2560"/>
        <c:crosses val="autoZero"/>
        <c:crossBetween val="midCat"/>
      </c:valAx>
      <c:valAx>
        <c:axId val="589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L02</a:t>
            </a:r>
            <a:r>
              <a:rPr lang="en-US" baseline="0"/>
              <a:t> - T1 BSA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Avg Abs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3526277490229837"/>
                  <c:y val="-9.9885416426146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Sheet1!$J$71:$J$76</c:f>
              <c:numCache>
                <c:formatCode>General</c:formatCode>
                <c:ptCount val="6"/>
                <c:pt idx="0">
                  <c:v>0</c:v>
                </c:pt>
                <c:pt idx="1">
                  <c:v>0.15833333333333335</c:v>
                </c:pt>
                <c:pt idx="2">
                  <c:v>0.33683333333333332</c:v>
                </c:pt>
                <c:pt idx="3">
                  <c:v>0.51283333333333336</c:v>
                </c:pt>
                <c:pt idx="4">
                  <c:v>0.69266666666666665</c:v>
                </c:pt>
                <c:pt idx="5">
                  <c:v>0.84766666666666657</c:v>
                </c:pt>
              </c:numCache>
            </c:numRef>
          </c:xVal>
          <c:yVal>
            <c:numRef>
              <c:f>Sheet1!$C$71:$C$76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E-4475-83A9-C2A055AB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41744"/>
        <c:axId val="589946992"/>
      </c:scatterChart>
      <c:valAx>
        <c:axId val="589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46992"/>
        <c:crosses val="autoZero"/>
        <c:crossBetween val="midCat"/>
      </c:valAx>
      <c:valAx>
        <c:axId val="5899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3</xdr:row>
      <xdr:rowOff>128586</xdr:rowOff>
    </xdr:from>
    <xdr:to>
      <xdr:col>17</xdr:col>
      <xdr:colOff>276224</xdr:colOff>
      <xdr:row>11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11</xdr:row>
      <xdr:rowOff>185737</xdr:rowOff>
    </xdr:from>
    <xdr:to>
      <xdr:col>17</xdr:col>
      <xdr:colOff>352425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195262</xdr:colOff>
      <xdr:row>22</xdr:row>
      <xdr:rowOff>185737</xdr:rowOff>
    </xdr:from>
    <xdr:to>
      <xdr:col>17</xdr:col>
      <xdr:colOff>495300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166686</xdr:colOff>
      <xdr:row>30</xdr:row>
      <xdr:rowOff>147637</xdr:rowOff>
    </xdr:from>
    <xdr:to>
      <xdr:col>17</xdr:col>
      <xdr:colOff>495299</xdr:colOff>
      <xdr:row>38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161924</xdr:colOff>
      <xdr:row>41</xdr:row>
      <xdr:rowOff>152400</xdr:rowOff>
    </xdr:from>
    <xdr:to>
      <xdr:col>17</xdr:col>
      <xdr:colOff>428624</xdr:colOff>
      <xdr:row>49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49</xdr:row>
      <xdr:rowOff>171450</xdr:rowOff>
    </xdr:from>
    <xdr:to>
      <xdr:col>17</xdr:col>
      <xdr:colOff>457200</xdr:colOff>
      <xdr:row>57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180974</xdr:colOff>
      <xdr:row>60</xdr:row>
      <xdr:rowOff>157163</xdr:rowOff>
    </xdr:from>
    <xdr:to>
      <xdr:col>17</xdr:col>
      <xdr:colOff>440531</xdr:colOff>
      <xdr:row>68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147637</xdr:colOff>
      <xdr:row>68</xdr:row>
      <xdr:rowOff>166687</xdr:rowOff>
    </xdr:from>
    <xdr:to>
      <xdr:col>17</xdr:col>
      <xdr:colOff>345281</xdr:colOff>
      <xdr:row>76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374F9E-2691-4769-8F19-4DF4F48E2C02}">
  <we:reference id="WA104100404" version="2.0.0.0" store="en-US" storeType="omex"/>
  <we:alternateReferences>
    <we:reference id="WA104100404" version="2.0.0.0" store="omex" storeType="omex"/>
  </we:alternateReferences>
  <we:properties>
    <we:property name="UniqueID" value="&quot;20169301477855825283&quot;"/>
    <we:property name="Yx4mERdJbzpWLA==" value="&quot;&quot;"/>
    <we:property name="Yx4mERdJbwZbKjAJKm8IGlc=" value="&quot;dyQE&quot;"/>
    <we:property name="Yx4mERdJbzhVPgsFNg==" value="&quot;AQ==&quot;"/>
    <we:property name="Yx4mERdJbwZbKjAJKm8DEVc=" value="&quot;AQ==&quot;"/>
    <we:property name="Yx4mERdJbwZbKjAJKm8dBlU=" value="&quot;AFhzRFNIfkQ=&quot;"/>
    <we:property name="Yx4mERdJbwZbKjAJKm8eF1w=" value="&quot;AQ==&quot;"/>
    <we:property name="Yx4mERdJbwZbKjAJKm8fGEg=" value="&quot;AA==&quot;"/>
    <we:property name="Yx4mERdJbwZbKjAJKm8ZG1w=" value="&quot;AFhzRQ==&quot;"/>
    <we:property name="Yx4mERdJbwZbKjAJKm8OAlc=" value="&quot;AFhzRFNJ&quot;"/>
    <we:property name="Yx4mERdJbwZbKjAJKm8AB1w=" value="&quot;AA==&quot;"/>
    <we:property name="Yx4mERdJbwZbKjAJKm8eB0o=" value="&quot;AUZz&quot;"/>
    <we:property name="Yx4mERdJbwZbKjAJKm8fB1Q=" value="&quot;AA==&quot;"/>
    <we:property name="Yx4mERdJbwZbKjAJKm8ABkQ=" value="&quot;AFhzQ1Y=&quot;"/>
    <we:property name="Yx4mERdJbwZbKjAJKm8AGlk=" value="&quot;A0Y=&quot;"/>
    <we:property name="Yx4mERdJbwZbKjAJKm8fFkY=" value="&quot;AQ==&quot;"/>
    <we:property name="Yx4mERdJbwZbKjAJKm8DAEI=" value="&quot;Ag==&quot;"/>
    <we:property name="Yx4mERdJbwZbKjAJKm8MF1M=" value="&quot;AFhzRFI=&quot;"/>
    <we:property name="Yx4mERdJbwZbKjAJKm8fEUM=" value="&quot;BQ==&quot;"/>
    <we:property name="Yx4mERdJbwZbKjAJKm8MBkM=" value="&quot;AQ==&quot;"/>
    <we:property name="Yx4mERdJbwZbKjAJKm8eAFE=" value="&quot;AA==&quot;"/>
    <we:property name="Yx4mERdJbwZbKjAJKm8AEUQ=" value="&quot;Ag==&quot;"/>
    <we:property name="Yx4mERdJbwZbKjAJKm8eG1M=" value="&quot;AA==&quot;"/>
    <we:property name="Yx4mERdJbwZbKjAJKm8BBEQ=" value="&quot;AA==&quot;"/>
    <we:property name="Yx4mERdJbwZbKjAJKm8BBEA=" value="&quot;AA==&quot;"/>
    <we:property name="Yx4mERdJbwZbKjAJKm8KFUA=" value="&quot;AFhzRFNIfkQ=&quot;"/>
    <we:property name="Yx4mERdJbwZbKjAJKm8EBEM=" value="&quot;AFh6TQ==&quot;"/>
    <we:property name="Yx4mERdJbwZbKjAJKm8LEVE=" value="&quot;AFhzRFNIfkQ=&quot;"/>
    <we:property name="Yx4mERdJbwZbKjAJKm8EBFk=" value="&quot;AQ==&quot;"/>
    <we:property name="Yx4mERdJbwZbKjAJKm8EBFQ=" value="&quot;Aw==&quot;"/>
  </we:properties>
  <we:bindings>
    <we:binding id="LHS" type="matrix" appref="{677BE70E-A8D2-4A9C-B38E-4DB510F1DCB6}"/>
    <we:binding id="Worker" type="matrix" appref="{D4317574-63E7-4778-9430-549967CF866F}"/>
    <we:binding id="ObjSelect" type="matrix" appref="{34F80754-181D-4D01-88C6-B41EEE7B3415}"/>
    <we:binding id="VarSelect" type="matrix" appref="{3786E6FE-4661-4F02-ABC4-F85799FFBE1C}"/>
    <we:binding id="RHS" type="matrix" appref="{8B05429B-B7BA-432B-BDE3-7CAC747E0994}"/>
    <we:binding id="VarEdit" type="matrix" appref="{CD4F36EE-4441-40DA-A4E7-B81DACC4AA0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tabSelected="1" zoomScale="80" zoomScaleNormal="80" workbookViewId="0" xr3:uid="{AEA406A1-0E4B-5B11-9CD5-51D6E497D94C}">
      <selection activeCell="A5" sqref="A5"/>
    </sheetView>
  </sheetViews>
  <sheetFormatPr defaultRowHeight="15"/>
  <cols>
    <col min="1" max="1" width="26.28515625" bestFit="1" customWidth="1"/>
    <col min="2" max="2" width="16.42578125" bestFit="1" customWidth="1"/>
    <col min="3" max="3" width="20" bestFit="1" customWidth="1"/>
    <col min="4" max="9" width="6.7109375" bestFit="1" customWidth="1"/>
    <col min="10" max="10" width="13" bestFit="1" customWidth="1"/>
    <col min="19" max="19" width="22.85546875" bestFit="1" customWidth="1"/>
    <col min="20" max="20" width="19.5703125" bestFit="1" customWidth="1"/>
    <col min="21" max="21" width="17" bestFit="1" customWidth="1"/>
    <col min="22" max="22" width="25.5703125" bestFit="1" customWidth="1"/>
    <col min="23" max="23" width="15.85546875" bestFit="1" customWidth="1"/>
    <col min="24" max="26" width="6.7109375" bestFit="1" customWidth="1"/>
    <col min="27" max="28" width="13" bestFit="1" customWidth="1"/>
    <col min="29" max="29" width="16" bestFit="1" customWidth="1"/>
    <col min="30" max="40" width="16" customWidth="1"/>
    <col min="42" max="42" width="20.85546875" bestFit="1" customWidth="1"/>
    <col min="43" max="43" width="19.5703125" bestFit="1" customWidth="1"/>
    <col min="44" max="44" width="17" bestFit="1" customWidth="1"/>
    <col min="45" max="45" width="25.5703125" bestFit="1" customWidth="1"/>
    <col min="46" max="46" width="15.85546875" bestFit="1" customWidth="1"/>
    <col min="47" max="49" width="6.7109375" bestFit="1" customWidth="1"/>
    <col min="50" max="51" width="13" bestFit="1" customWidth="1"/>
    <col min="52" max="52" width="16" bestFit="1" customWidth="1"/>
  </cols>
  <sheetData>
    <row r="1" spans="1:57">
      <c r="A1" s="4" t="s">
        <v>0</v>
      </c>
      <c r="B1" s="4">
        <f>2.5</f>
        <v>2.5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57">
      <c r="A2" s="4" t="s">
        <v>1</v>
      </c>
      <c r="B2" s="4">
        <f>2.5</f>
        <v>2.5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5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57">
      <c r="A4" s="3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S4" s="23" t="s">
        <v>3</v>
      </c>
      <c r="T4" s="24" t="s">
        <v>4</v>
      </c>
      <c r="U4" s="24">
        <f>0.4</f>
        <v>0.4</v>
      </c>
      <c r="V4" s="24"/>
      <c r="W4" s="24"/>
      <c r="X4" s="24"/>
      <c r="Y4" s="24"/>
      <c r="Z4" s="24"/>
      <c r="AA4" s="24"/>
      <c r="AB4" s="24"/>
      <c r="AC4" s="24"/>
      <c r="AD4" s="50"/>
      <c r="AE4" s="51"/>
      <c r="AF4" s="51"/>
      <c r="AG4" s="51"/>
      <c r="AH4" s="51"/>
      <c r="AI4" s="52"/>
      <c r="AJ4" s="37"/>
      <c r="AK4" s="37"/>
      <c r="AL4" s="37"/>
      <c r="AM4" s="37"/>
      <c r="AN4" s="37"/>
      <c r="AP4" s="23" t="s">
        <v>5</v>
      </c>
      <c r="AQ4" s="24" t="s">
        <v>4</v>
      </c>
      <c r="AR4" s="24">
        <f>0.4</f>
        <v>0.4</v>
      </c>
      <c r="AS4" s="24"/>
      <c r="AT4" s="24"/>
      <c r="AU4" s="24"/>
      <c r="AV4" s="24"/>
      <c r="AW4" s="24"/>
      <c r="AX4" s="24"/>
      <c r="AY4" s="24"/>
      <c r="AZ4" s="27"/>
      <c r="BA4" s="27"/>
    </row>
    <row r="5" spans="1:57">
      <c r="A5" s="13" t="s">
        <v>6</v>
      </c>
      <c r="B5" s="14" t="s">
        <v>7</v>
      </c>
      <c r="C5" s="14" t="s">
        <v>8</v>
      </c>
      <c r="D5" s="15" t="s">
        <v>9</v>
      </c>
      <c r="E5" s="15" t="s">
        <v>10</v>
      </c>
      <c r="F5" s="15" t="s">
        <v>11</v>
      </c>
      <c r="G5" s="15" t="s">
        <v>9</v>
      </c>
      <c r="H5" s="15" t="s">
        <v>10</v>
      </c>
      <c r="I5" s="15" t="s">
        <v>11</v>
      </c>
      <c r="J5" s="16" t="s">
        <v>12</v>
      </c>
      <c r="S5" s="13" t="s">
        <v>13</v>
      </c>
      <c r="T5" s="14" t="s">
        <v>14</v>
      </c>
      <c r="U5" s="14" t="s">
        <v>15</v>
      </c>
      <c r="V5" s="14" t="s">
        <v>16</v>
      </c>
      <c r="W5" s="14" t="s">
        <v>17</v>
      </c>
      <c r="X5" s="14" t="s">
        <v>9</v>
      </c>
      <c r="Y5" s="14" t="s">
        <v>10</v>
      </c>
      <c r="Z5" s="14" t="s">
        <v>11</v>
      </c>
      <c r="AA5" s="14" t="s">
        <v>18</v>
      </c>
      <c r="AB5" s="14" t="s">
        <v>19</v>
      </c>
      <c r="AC5" s="14" t="s">
        <v>20</v>
      </c>
      <c r="AD5" s="47" t="s">
        <v>21</v>
      </c>
      <c r="AE5" s="48" t="s">
        <v>22</v>
      </c>
      <c r="AF5" s="48" t="s">
        <v>23</v>
      </c>
      <c r="AG5" s="48" t="s">
        <v>24</v>
      </c>
      <c r="AH5" s="48" t="s">
        <v>25</v>
      </c>
      <c r="AI5" s="49" t="s">
        <v>26</v>
      </c>
      <c r="AJ5" s="41"/>
      <c r="AK5" s="41"/>
      <c r="AL5" s="41"/>
      <c r="AM5" s="41"/>
      <c r="AN5" s="41"/>
      <c r="AP5" s="13" t="s">
        <v>13</v>
      </c>
      <c r="AQ5" s="14" t="s">
        <v>14</v>
      </c>
      <c r="AR5" s="14" t="s">
        <v>15</v>
      </c>
      <c r="AS5" s="14" t="s">
        <v>16</v>
      </c>
      <c r="AT5" s="14" t="s">
        <v>17</v>
      </c>
      <c r="AU5" s="14" t="s">
        <v>9</v>
      </c>
      <c r="AV5" s="14" t="s">
        <v>10</v>
      </c>
      <c r="AW5" s="14" t="s">
        <v>11</v>
      </c>
      <c r="AX5" s="14" t="s">
        <v>18</v>
      </c>
      <c r="AY5" s="14" t="s">
        <v>19</v>
      </c>
      <c r="AZ5" s="26" t="s">
        <v>20</v>
      </c>
      <c r="BA5" t="s">
        <v>21</v>
      </c>
      <c r="BB5" t="s">
        <v>27</v>
      </c>
      <c r="BC5" t="s">
        <v>22</v>
      </c>
      <c r="BD5" t="s">
        <v>24</v>
      </c>
      <c r="BE5" t="s">
        <v>28</v>
      </c>
    </row>
    <row r="6" spans="1:57">
      <c r="A6" s="8">
        <v>0</v>
      </c>
      <c r="B6" s="9">
        <v>1</v>
      </c>
      <c r="C6" s="9">
        <f>($B$1*A6)/(A6+B6)</f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7">
        <f>AVERAGE(D6:I6)</f>
        <v>0</v>
      </c>
      <c r="S6" s="5">
        <v>1</v>
      </c>
      <c r="T6" s="6">
        <v>0</v>
      </c>
      <c r="U6" s="6">
        <v>10</v>
      </c>
      <c r="V6" s="6">
        <f>($B$1*T6)/(T6+U6)</f>
        <v>0</v>
      </c>
      <c r="W6" s="6">
        <v>0.4</v>
      </c>
      <c r="X6" s="6">
        <v>0</v>
      </c>
      <c r="Y6" s="6">
        <v>0</v>
      </c>
      <c r="Z6" s="6">
        <v>0</v>
      </c>
      <c r="AA6" s="6">
        <f>AVERAGE(X6:Z6)</f>
        <v>0</v>
      </c>
      <c r="AB6" s="6">
        <f>1.3591*(AA6)</f>
        <v>0</v>
      </c>
      <c r="AC6" s="6">
        <f>((V6-AB6)*(T6+U6))/($U$4)</f>
        <v>0</v>
      </c>
      <c r="AD6" s="42">
        <f>0</f>
        <v>0</v>
      </c>
      <c r="AE6" s="9">
        <f>LINEST(AB6:AB11,AD6:AD11)</f>
        <v>30.677850551762596</v>
      </c>
      <c r="AF6" s="9">
        <f>(INTERCEPT(AB6:AB11,AD6:AD11))*-1</f>
        <v>7.9851972563030171E-2</v>
      </c>
      <c r="AG6" s="9">
        <f>(($AE$6)*AB6)/($AF$6+AB6)</f>
        <v>0</v>
      </c>
      <c r="AH6" s="9">
        <f>0</f>
        <v>0</v>
      </c>
      <c r="AI6" s="43">
        <f>SUM(AH6:AH11)</f>
        <v>31.258692147640609</v>
      </c>
      <c r="AJ6" s="9"/>
      <c r="AK6" s="9"/>
      <c r="AL6" s="9"/>
      <c r="AM6" s="9"/>
      <c r="AN6" s="9"/>
      <c r="AP6" s="8">
        <v>1</v>
      </c>
      <c r="AQ6" s="9">
        <v>0</v>
      </c>
      <c r="AR6" s="9">
        <v>10</v>
      </c>
      <c r="AS6" s="9">
        <f>($B$1*AQ6)/(AQ6+AR6)</f>
        <v>0</v>
      </c>
      <c r="AT6" s="9">
        <v>0.4</v>
      </c>
      <c r="AU6" s="9">
        <v>0</v>
      </c>
      <c r="AV6" s="9">
        <v>0</v>
      </c>
      <c r="AW6" s="9">
        <v>0</v>
      </c>
      <c r="AX6" s="9">
        <f>AVERAGE(AU6:AW6)</f>
        <v>0</v>
      </c>
      <c r="AY6" s="9">
        <f>1.3591*(AX6)</f>
        <v>0</v>
      </c>
      <c r="AZ6" s="17">
        <f>((AS6-AY6)*(AQ6+AR6))/($U$4)</f>
        <v>0</v>
      </c>
      <c r="BA6">
        <v>0</v>
      </c>
      <c r="BB6">
        <f>INTERCEPT(AY6:AY11,BA6:BA11)*-1</f>
        <v>7.7481497253410581E-2</v>
      </c>
      <c r="BC6">
        <f>LINEST(AY6:AY11,BA6:BA11)</f>
        <v>34.681018101207002</v>
      </c>
      <c r="BD6">
        <f>BC6*AY6/(BB6+AY6)</f>
        <v>0</v>
      </c>
      <c r="BE6">
        <f>(AZ6-BD6)^2</f>
        <v>0</v>
      </c>
    </row>
    <row r="7" spans="1:57">
      <c r="A7" s="8">
        <v>0.2</v>
      </c>
      <c r="B7" s="9">
        <v>0.8</v>
      </c>
      <c r="C7" s="9">
        <f t="shared" ref="C7:C11" si="0">($B$1*A7)/(A7+B7)</f>
        <v>0.5</v>
      </c>
      <c r="D7" s="3">
        <v>0.34599999999999997</v>
      </c>
      <c r="E7" s="3">
        <v>0.34599999999999997</v>
      </c>
      <c r="F7" s="3">
        <v>0.34599999999999997</v>
      </c>
      <c r="G7" s="3">
        <v>0.35099999999999998</v>
      </c>
      <c r="H7" s="3">
        <v>0.35099999999999998</v>
      </c>
      <c r="I7" s="3">
        <v>0.35099999999999998</v>
      </c>
      <c r="J7" s="17">
        <f t="shared" ref="J7:J11" si="1">AVERAGE(D7:I7)</f>
        <v>0.34849999999999998</v>
      </c>
      <c r="S7" s="8">
        <v>2</v>
      </c>
      <c r="T7" s="9">
        <v>2</v>
      </c>
      <c r="U7" s="9">
        <v>8</v>
      </c>
      <c r="V7" s="9">
        <f t="shared" ref="V7:V11" si="2">($B$1*T7)/(T7+U7)</f>
        <v>0.5</v>
      </c>
      <c r="W7" s="9">
        <v>0.4</v>
      </c>
      <c r="X7" s="9">
        <v>6.6000000000000003E-2</v>
      </c>
      <c r="Y7" s="9">
        <v>6.0999999999999999E-2</v>
      </c>
      <c r="Z7" s="9">
        <v>6.2E-2</v>
      </c>
      <c r="AA7" s="9">
        <f t="shared" ref="AA7:AA11" si="3">AVERAGE(X7:Z7)</f>
        <v>6.3E-2</v>
      </c>
      <c r="AB7" s="9">
        <f t="shared" ref="AB7:AB11" si="4">1.3591*(AA7)</f>
        <v>8.5623299999999999E-2</v>
      </c>
      <c r="AC7" s="9">
        <f t="shared" ref="AC7:AC11" si="5">((V7-AB7)*(T7+U7))/($U$4)</f>
        <v>10.359417499999998</v>
      </c>
      <c r="AD7" s="42">
        <f t="shared" ref="AD7:AD11" si="6">AB7/AC7</f>
        <v>8.2652620188345544E-3</v>
      </c>
      <c r="AE7" s="9"/>
      <c r="AF7" s="9"/>
      <c r="AG7" s="9">
        <f t="shared" ref="AG7:AG12" si="7">(($AE$6)*AB7)/($AF$6+AB7)</f>
        <v>15.873905269732669</v>
      </c>
      <c r="AH7" s="9">
        <f>(AC7-AG7)^2</f>
        <v>30.409575362531211</v>
      </c>
      <c r="AI7" s="43"/>
      <c r="AJ7" s="9"/>
      <c r="AK7" s="9"/>
      <c r="AL7" s="9"/>
      <c r="AM7" s="9"/>
      <c r="AN7" s="9"/>
      <c r="AP7" s="8">
        <v>2</v>
      </c>
      <c r="AQ7" s="9">
        <v>2</v>
      </c>
      <c r="AR7" s="9">
        <v>8</v>
      </c>
      <c r="AS7" s="9">
        <f t="shared" ref="AS7:AS11" si="8">($B$1*AQ7)/(AQ7+AR7)</f>
        <v>0.5</v>
      </c>
      <c r="AT7" s="9">
        <v>0.4</v>
      </c>
      <c r="AU7" s="9">
        <v>5.1999999999999998E-2</v>
      </c>
      <c r="AV7" s="9">
        <v>5.0999999999999997E-2</v>
      </c>
      <c r="AW7" s="9">
        <v>0.05</v>
      </c>
      <c r="AX7" s="9">
        <f t="shared" ref="AX7:AX11" si="9">AVERAGE(AU7:AW7)</f>
        <v>5.0999999999999997E-2</v>
      </c>
      <c r="AY7" s="9">
        <f t="shared" ref="AY7:AY11" si="10">1.3591*(AX7)</f>
        <v>6.931409999999999E-2</v>
      </c>
      <c r="AZ7" s="17">
        <f t="shared" ref="AZ7:BA11" si="11">((AS7-AY7)*(AQ7+AR7))/($U$4)</f>
        <v>10.7671475</v>
      </c>
      <c r="BA7">
        <f>AY7/AZ7</f>
        <v>6.4375546076618703E-3</v>
      </c>
      <c r="BD7">
        <f>BC6*AY7/(BB6+AY7)</f>
        <v>16.375719720115935</v>
      </c>
      <c r="BE7">
        <f t="shared" ref="BE7:BE11" si="12">(AZ7-BD7)^2</f>
        <v>31.456082348256189</v>
      </c>
    </row>
    <row r="8" spans="1:57">
      <c r="A8" s="8">
        <v>0.4</v>
      </c>
      <c r="B8" s="9">
        <v>0.6</v>
      </c>
      <c r="C8" s="9">
        <f t="shared" si="0"/>
        <v>1</v>
      </c>
      <c r="D8" s="3">
        <v>0.71399999999999997</v>
      </c>
      <c r="E8" s="3">
        <v>0.71399999999999997</v>
      </c>
      <c r="F8" s="3">
        <v>0.71399999999999997</v>
      </c>
      <c r="G8" s="3">
        <v>0.71699999999999997</v>
      </c>
      <c r="H8" s="3">
        <v>0.71599999999999997</v>
      </c>
      <c r="I8" s="3">
        <v>0.71699999999999997</v>
      </c>
      <c r="J8" s="17">
        <f t="shared" si="1"/>
        <v>0.71533333333333327</v>
      </c>
      <c r="S8" s="8">
        <v>3</v>
      </c>
      <c r="T8" s="9">
        <v>4</v>
      </c>
      <c r="U8" s="9">
        <v>6</v>
      </c>
      <c r="V8" s="9">
        <f t="shared" si="2"/>
        <v>1</v>
      </c>
      <c r="W8" s="9">
        <v>0.4</v>
      </c>
      <c r="X8" s="9">
        <v>0.129</v>
      </c>
      <c r="Y8" s="9">
        <v>0.129</v>
      </c>
      <c r="Z8" s="9">
        <v>0.129</v>
      </c>
      <c r="AA8" s="9">
        <f t="shared" si="3"/>
        <v>0.129</v>
      </c>
      <c r="AB8" s="9">
        <f t="shared" si="4"/>
        <v>0.1753239</v>
      </c>
      <c r="AC8" s="9">
        <f t="shared" si="5"/>
        <v>20.616902499999998</v>
      </c>
      <c r="AD8" s="42">
        <f t="shared" si="6"/>
        <v>8.503891406577686E-3</v>
      </c>
      <c r="AE8" s="9"/>
      <c r="AF8" s="9"/>
      <c r="AG8" s="9">
        <f t="shared" si="7"/>
        <v>21.077856414593541</v>
      </c>
      <c r="AH8" s="9">
        <f t="shared" ref="AH8:AH11" si="13">(AC8-AG8)^2</f>
        <v>0.21247851137911059</v>
      </c>
      <c r="AI8" s="43"/>
      <c r="AJ8" s="9"/>
      <c r="AK8" s="9"/>
      <c r="AL8" s="9"/>
      <c r="AM8" s="9"/>
      <c r="AN8" s="9"/>
      <c r="AP8" s="8">
        <v>3</v>
      </c>
      <c r="AQ8" s="9">
        <v>4</v>
      </c>
      <c r="AR8" s="9">
        <v>6</v>
      </c>
      <c r="AS8" s="9">
        <f t="shared" si="8"/>
        <v>1</v>
      </c>
      <c r="AT8" s="9">
        <v>0.4</v>
      </c>
      <c r="AU8" s="9">
        <v>0.111</v>
      </c>
      <c r="AV8" s="9">
        <v>0.111</v>
      </c>
      <c r="AW8" s="9">
        <v>0.112</v>
      </c>
      <c r="AX8" s="9">
        <f t="shared" si="9"/>
        <v>0.11133333333333334</v>
      </c>
      <c r="AY8" s="9">
        <f t="shared" si="10"/>
        <v>0.15131313333333335</v>
      </c>
      <c r="AZ8" s="17">
        <f t="shared" si="11"/>
        <v>21.217171666666665</v>
      </c>
      <c r="BA8">
        <f t="shared" ref="BA8:BA11" si="14">AY8/AZ8</f>
        <v>7.1316354371141061E-3</v>
      </c>
      <c r="BD8">
        <f>BC6*AY8/(BB6+AY8)</f>
        <v>22.93626167111514</v>
      </c>
      <c r="BE8">
        <f t="shared" si="12"/>
        <v>2.9552704433946575</v>
      </c>
    </row>
    <row r="9" spans="1:57">
      <c r="A9" s="8">
        <v>0.6</v>
      </c>
      <c r="B9" s="9">
        <v>0.4</v>
      </c>
      <c r="C9" s="9">
        <f t="shared" si="0"/>
        <v>1.5</v>
      </c>
      <c r="D9" s="3">
        <v>1.0900000000000001</v>
      </c>
      <c r="E9" s="3">
        <v>1.0900000000000001</v>
      </c>
      <c r="F9" s="3">
        <v>1.0900000000000001</v>
      </c>
      <c r="G9" s="3">
        <v>1.089</v>
      </c>
      <c r="H9" s="3">
        <v>1.0880000000000001</v>
      </c>
      <c r="I9" s="3">
        <v>1.089</v>
      </c>
      <c r="J9" s="17">
        <f t="shared" si="1"/>
        <v>1.0893333333333333</v>
      </c>
      <c r="S9" s="8">
        <v>4</v>
      </c>
      <c r="T9" s="9">
        <v>6</v>
      </c>
      <c r="U9" s="9">
        <v>4</v>
      </c>
      <c r="V9" s="9">
        <f t="shared" si="2"/>
        <v>1.5</v>
      </c>
      <c r="W9" s="9">
        <v>0.4</v>
      </c>
      <c r="X9" s="9">
        <v>0.33300000000000002</v>
      </c>
      <c r="Y9" s="9">
        <v>0.33300000000000002</v>
      </c>
      <c r="Z9" s="9">
        <v>0.33300000000000002</v>
      </c>
      <c r="AA9" s="9">
        <f t="shared" si="3"/>
        <v>0.33300000000000002</v>
      </c>
      <c r="AB9" s="9">
        <f t="shared" si="4"/>
        <v>0.45258029999999999</v>
      </c>
      <c r="AC9" s="9">
        <f t="shared" si="5"/>
        <v>26.185492499999999</v>
      </c>
      <c r="AD9" s="42">
        <f t="shared" si="6"/>
        <v>1.7283627565912691E-2</v>
      </c>
      <c r="AE9" s="9"/>
      <c r="AF9" s="9"/>
      <c r="AG9" s="9">
        <f t="shared" si="7"/>
        <v>26.076914419999305</v>
      </c>
      <c r="AH9" s="9">
        <f t="shared" si="13"/>
        <v>1.1789199456637039E-2</v>
      </c>
      <c r="AI9" s="43"/>
      <c r="AJ9" s="9"/>
      <c r="AK9" s="9"/>
      <c r="AL9" s="9"/>
      <c r="AM9" s="9"/>
      <c r="AN9" s="9"/>
      <c r="AP9" s="8">
        <v>4</v>
      </c>
      <c r="AQ9" s="9">
        <v>6</v>
      </c>
      <c r="AR9" s="9">
        <v>4</v>
      </c>
      <c r="AS9" s="9">
        <f t="shared" si="8"/>
        <v>1.5</v>
      </c>
      <c r="AT9" s="9">
        <v>0.4</v>
      </c>
      <c r="AU9" s="9">
        <v>0.25</v>
      </c>
      <c r="AV9" s="9">
        <v>0.25</v>
      </c>
      <c r="AW9" s="9">
        <v>0.251</v>
      </c>
      <c r="AX9" s="9">
        <f t="shared" si="9"/>
        <v>0.25033333333333335</v>
      </c>
      <c r="AY9" s="9">
        <f t="shared" si="10"/>
        <v>0.34022803333333335</v>
      </c>
      <c r="AZ9" s="17">
        <f t="shared" si="11"/>
        <v>28.994299166666664</v>
      </c>
      <c r="BA9">
        <f t="shared" si="14"/>
        <v>1.1734307885064419E-2</v>
      </c>
      <c r="BD9">
        <f>BC6*AY9/(BB6+AY9)</f>
        <v>28.247989855527251</v>
      </c>
      <c r="BE9">
        <f t="shared" si="12"/>
        <v>0.55697758789338514</v>
      </c>
    </row>
    <row r="10" spans="1:57">
      <c r="A10" s="8">
        <v>0.8</v>
      </c>
      <c r="B10" s="9">
        <v>0.2</v>
      </c>
      <c r="C10" s="9">
        <f t="shared" si="0"/>
        <v>2</v>
      </c>
      <c r="D10" s="3">
        <v>1.492</v>
      </c>
      <c r="E10" s="3">
        <v>1.49</v>
      </c>
      <c r="F10" s="3">
        <v>1.4910000000000001</v>
      </c>
      <c r="G10" s="3">
        <v>1.4930000000000001</v>
      </c>
      <c r="H10" s="3">
        <v>1.4910000000000001</v>
      </c>
      <c r="I10" s="3">
        <v>1.492</v>
      </c>
      <c r="J10" s="17">
        <f t="shared" si="1"/>
        <v>1.4915000000000003</v>
      </c>
      <c r="S10" s="8">
        <v>5</v>
      </c>
      <c r="T10" s="9">
        <v>8</v>
      </c>
      <c r="U10" s="9">
        <v>2</v>
      </c>
      <c r="V10" s="9">
        <f t="shared" si="2"/>
        <v>2</v>
      </c>
      <c r="W10" s="9">
        <v>0.4</v>
      </c>
      <c r="X10" s="9">
        <v>0.65700000000000003</v>
      </c>
      <c r="Y10" s="9">
        <v>0.65700000000000003</v>
      </c>
      <c r="Z10" s="9">
        <v>0.65800000000000003</v>
      </c>
      <c r="AA10" s="9">
        <f t="shared" si="3"/>
        <v>0.65733333333333333</v>
      </c>
      <c r="AB10" s="9">
        <f t="shared" si="4"/>
        <v>0.89338173333333326</v>
      </c>
      <c r="AC10" s="9">
        <f t="shared" si="5"/>
        <v>27.665456666666664</v>
      </c>
      <c r="AD10" s="42">
        <f t="shared" si="6"/>
        <v>3.2292318326693083E-2</v>
      </c>
      <c r="AE10" s="9"/>
      <c r="AF10" s="9"/>
      <c r="AG10" s="9">
        <f t="shared" si="7"/>
        <v>28.16079132363415</v>
      </c>
      <c r="AH10" s="9">
        <f t="shared" si="13"/>
        <v>0.24535642239309738</v>
      </c>
      <c r="AI10" s="43"/>
      <c r="AJ10" s="9"/>
      <c r="AK10" s="9"/>
      <c r="AL10" s="9"/>
      <c r="AM10" s="9"/>
      <c r="AN10" s="9"/>
      <c r="AP10" s="8">
        <v>5</v>
      </c>
      <c r="AQ10" s="9">
        <v>8</v>
      </c>
      <c r="AR10" s="9">
        <v>2</v>
      </c>
      <c r="AS10" s="9">
        <f t="shared" si="8"/>
        <v>2</v>
      </c>
      <c r="AT10" s="9">
        <v>0.4</v>
      </c>
      <c r="AU10" s="9">
        <v>0.57399999999999995</v>
      </c>
      <c r="AV10" s="9">
        <v>0.57299999999999995</v>
      </c>
      <c r="AW10" s="9">
        <v>0.57299999999999995</v>
      </c>
      <c r="AX10" s="9">
        <f t="shared" si="9"/>
        <v>0.57333333333333325</v>
      </c>
      <c r="AY10" s="9">
        <f t="shared" si="10"/>
        <v>0.77921733333333321</v>
      </c>
      <c r="AZ10" s="17">
        <f t="shared" si="11"/>
        <v>30.519566666666666</v>
      </c>
      <c r="BA10">
        <f t="shared" si="14"/>
        <v>2.5531729917528313E-2</v>
      </c>
      <c r="BD10">
        <f>BC6*AY10/(BB6+AY10)</f>
        <v>31.544399825547909</v>
      </c>
      <c r="BE10">
        <f t="shared" si="12"/>
        <v>1.0502830035425079</v>
      </c>
    </row>
    <row r="11" spans="1:57">
      <c r="A11" s="10">
        <v>1</v>
      </c>
      <c r="B11" s="11">
        <v>0</v>
      </c>
      <c r="C11" s="11">
        <f t="shared" si="0"/>
        <v>2.5</v>
      </c>
      <c r="D11" s="12">
        <v>1.845</v>
      </c>
      <c r="E11" s="12">
        <v>1.845</v>
      </c>
      <c r="F11" s="12">
        <v>1.845</v>
      </c>
      <c r="G11" s="12">
        <v>1.8420000000000001</v>
      </c>
      <c r="H11" s="12">
        <v>1.843</v>
      </c>
      <c r="I11" s="12">
        <v>1.841</v>
      </c>
      <c r="J11" s="18">
        <f t="shared" si="1"/>
        <v>1.8434999999999999</v>
      </c>
      <c r="S11" s="10">
        <v>6</v>
      </c>
      <c r="T11" s="11">
        <v>10</v>
      </c>
      <c r="U11" s="11">
        <v>0</v>
      </c>
      <c r="V11" s="11">
        <f t="shared" si="2"/>
        <v>2.5</v>
      </c>
      <c r="W11" s="11">
        <v>0.4</v>
      </c>
      <c r="X11" s="11">
        <v>0.97099999999999997</v>
      </c>
      <c r="Y11" s="11">
        <v>0.96899999999999997</v>
      </c>
      <c r="Z11" s="11">
        <v>0.97</v>
      </c>
      <c r="AA11" s="11">
        <f t="shared" si="3"/>
        <v>0.97000000000000008</v>
      </c>
      <c r="AB11" s="11">
        <f t="shared" si="4"/>
        <v>1.318327</v>
      </c>
      <c r="AC11" s="11">
        <f t="shared" si="5"/>
        <v>29.541824999999999</v>
      </c>
      <c r="AD11" s="44">
        <f t="shared" si="6"/>
        <v>4.4625780567043506E-2</v>
      </c>
      <c r="AE11" s="45"/>
      <c r="AF11" s="45"/>
      <c r="AG11" s="9">
        <f t="shared" si="7"/>
        <v>28.925795250815309</v>
      </c>
      <c r="AH11" s="9">
        <f t="shared" si="13"/>
        <v>0.37949265188055264</v>
      </c>
      <c r="AI11" s="46"/>
      <c r="AJ11" s="9"/>
      <c r="AK11" s="9"/>
      <c r="AL11" s="9"/>
      <c r="AM11" s="9"/>
      <c r="AN11" s="9"/>
      <c r="AP11" s="10">
        <v>6</v>
      </c>
      <c r="AQ11" s="11">
        <v>10</v>
      </c>
      <c r="AR11" s="11">
        <v>0</v>
      </c>
      <c r="AS11" s="11">
        <f t="shared" si="8"/>
        <v>2.5</v>
      </c>
      <c r="AT11" s="11">
        <v>0.4</v>
      </c>
      <c r="AU11" s="11">
        <v>0.85399999999999998</v>
      </c>
      <c r="AV11" s="11">
        <v>0.85499999999999998</v>
      </c>
      <c r="AW11" s="11">
        <v>0.85399999999999998</v>
      </c>
      <c r="AX11" s="11">
        <f t="shared" si="9"/>
        <v>0.85433333333333339</v>
      </c>
      <c r="AY11" s="11">
        <f t="shared" si="10"/>
        <v>1.1611244333333335</v>
      </c>
      <c r="AZ11" s="18">
        <f t="shared" si="11"/>
        <v>33.471889166666656</v>
      </c>
      <c r="BA11">
        <f t="shared" si="14"/>
        <v>3.4689539856915273E-2</v>
      </c>
      <c r="BD11">
        <f>BC6*AY11/(BB6+AY11)</f>
        <v>32.511532922429261</v>
      </c>
      <c r="BE11">
        <f t="shared" si="12"/>
        <v>0.92228411584575631</v>
      </c>
    </row>
    <row r="12" spans="1:57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AG12" s="9"/>
    </row>
    <row r="13" spans="1:57">
      <c r="A13" s="13" t="s">
        <v>29</v>
      </c>
      <c r="B13" s="14" t="s">
        <v>7</v>
      </c>
      <c r="C13" s="14" t="s">
        <v>30</v>
      </c>
      <c r="D13" s="15" t="s">
        <v>9</v>
      </c>
      <c r="E13" s="15" t="s">
        <v>10</v>
      </c>
      <c r="F13" s="15" t="s">
        <v>11</v>
      </c>
      <c r="G13" s="15" t="s">
        <v>9</v>
      </c>
      <c r="H13" s="15" t="s">
        <v>10</v>
      </c>
      <c r="I13" s="15" t="s">
        <v>11</v>
      </c>
      <c r="J13" s="16" t="s">
        <v>12</v>
      </c>
    </row>
    <row r="14" spans="1:57">
      <c r="A14" s="8">
        <v>0</v>
      </c>
      <c r="B14" s="9">
        <v>1</v>
      </c>
      <c r="C14" s="9">
        <f>($B$2*A14)/(A14+B14)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7">
        <f>AVERAGE(D14:I14)</f>
        <v>0</v>
      </c>
      <c r="S14" s="23" t="s">
        <v>31</v>
      </c>
      <c r="T14" s="24" t="s">
        <v>4</v>
      </c>
      <c r="U14" s="24">
        <f>0.4</f>
        <v>0.4</v>
      </c>
      <c r="V14" s="24"/>
      <c r="W14" s="24"/>
      <c r="X14" s="24"/>
      <c r="Y14" s="24"/>
      <c r="Z14" s="24"/>
      <c r="AA14" s="24"/>
      <c r="AB14" s="24"/>
      <c r="AC14" s="2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P14" s="23" t="s">
        <v>32</v>
      </c>
      <c r="AQ14" s="24" t="s">
        <v>4</v>
      </c>
      <c r="AR14" s="24">
        <f>0.4</f>
        <v>0.4</v>
      </c>
      <c r="AS14" s="24"/>
      <c r="AT14" s="24"/>
      <c r="AU14" s="24"/>
      <c r="AV14" s="24"/>
      <c r="AW14" s="24"/>
      <c r="AX14" s="24"/>
      <c r="AY14" s="24"/>
      <c r="AZ14" s="27"/>
    </row>
    <row r="15" spans="1:57">
      <c r="A15" s="8">
        <v>0.2</v>
      </c>
      <c r="B15" s="9">
        <v>0.8</v>
      </c>
      <c r="C15" s="9">
        <f t="shared" ref="C15:C19" si="15">($B$2*A15)/(A15+B15)</f>
        <v>0.5</v>
      </c>
      <c r="D15" s="3">
        <v>0.14599999999999999</v>
      </c>
      <c r="E15" s="3">
        <v>0.14599999999999999</v>
      </c>
      <c r="F15" s="3">
        <v>0.14599999999999999</v>
      </c>
      <c r="G15" s="3">
        <v>0.14099999999999999</v>
      </c>
      <c r="H15" s="3">
        <v>0.14099999999999999</v>
      </c>
      <c r="I15" s="3">
        <v>0.14099999999999999</v>
      </c>
      <c r="J15" s="17">
        <f t="shared" ref="J15:J19" si="16">AVERAGE(D15:I15)</f>
        <v>0.14349999999999999</v>
      </c>
      <c r="S15" s="13" t="s">
        <v>13</v>
      </c>
      <c r="T15" s="14" t="s">
        <v>14</v>
      </c>
      <c r="U15" s="14" t="s">
        <v>15</v>
      </c>
      <c r="V15" s="14" t="s">
        <v>16</v>
      </c>
      <c r="W15" s="14" t="s">
        <v>17</v>
      </c>
      <c r="X15" s="14" t="s">
        <v>9</v>
      </c>
      <c r="Y15" s="14" t="s">
        <v>10</v>
      </c>
      <c r="Z15" s="14" t="s">
        <v>11</v>
      </c>
      <c r="AA15" s="14" t="s">
        <v>18</v>
      </c>
      <c r="AB15" s="14" t="s">
        <v>19</v>
      </c>
      <c r="AC15" s="26" t="s">
        <v>20</v>
      </c>
      <c r="AD15" s="41" t="s">
        <v>21</v>
      </c>
      <c r="AE15" s="41" t="s">
        <v>22</v>
      </c>
      <c r="AF15" s="41" t="s">
        <v>23</v>
      </c>
      <c r="AG15" s="48" t="s">
        <v>24</v>
      </c>
      <c r="AH15" s="48" t="s">
        <v>25</v>
      </c>
      <c r="AI15" s="49" t="s">
        <v>26</v>
      </c>
      <c r="AJ15" s="41"/>
      <c r="AK15" s="41"/>
      <c r="AL15" s="41"/>
      <c r="AM15" s="41"/>
      <c r="AN15" s="9"/>
      <c r="AP15" s="13" t="s">
        <v>13</v>
      </c>
      <c r="AQ15" s="14" t="s">
        <v>14</v>
      </c>
      <c r="AR15" s="14" t="s">
        <v>15</v>
      </c>
      <c r="AS15" s="14" t="s">
        <v>16</v>
      </c>
      <c r="AT15" s="14" t="s">
        <v>17</v>
      </c>
      <c r="AU15" s="14" t="s">
        <v>9</v>
      </c>
      <c r="AV15" s="14" t="s">
        <v>10</v>
      </c>
      <c r="AW15" s="14" t="s">
        <v>11</v>
      </c>
      <c r="AX15" s="14" t="s">
        <v>18</v>
      </c>
      <c r="AY15" s="14" t="s">
        <v>19</v>
      </c>
      <c r="AZ15" s="26" t="s">
        <v>20</v>
      </c>
      <c r="BA15" t="s">
        <v>21</v>
      </c>
      <c r="BB15" t="s">
        <v>27</v>
      </c>
      <c r="BC15" t="s">
        <v>22</v>
      </c>
      <c r="BD15" t="s">
        <v>33</v>
      </c>
      <c r="BE15" t="s">
        <v>28</v>
      </c>
    </row>
    <row r="16" spans="1:57">
      <c r="A16" s="8">
        <v>0.4</v>
      </c>
      <c r="B16" s="9">
        <v>0.6</v>
      </c>
      <c r="C16" s="9">
        <f t="shared" si="15"/>
        <v>1</v>
      </c>
      <c r="D16" s="3">
        <v>0.29599999999999999</v>
      </c>
      <c r="E16" s="3">
        <v>0.29599999999999999</v>
      </c>
      <c r="F16" s="3">
        <v>0.29599999999999999</v>
      </c>
      <c r="G16" s="3">
        <v>0.28999999999999998</v>
      </c>
      <c r="H16" s="3">
        <v>0.28999999999999998</v>
      </c>
      <c r="I16" s="3">
        <v>0.28999999999999998</v>
      </c>
      <c r="J16" s="17">
        <f t="shared" si="16"/>
        <v>0.29299999999999998</v>
      </c>
      <c r="S16" s="5">
        <v>1</v>
      </c>
      <c r="T16" s="6">
        <v>0</v>
      </c>
      <c r="U16" s="6">
        <v>10</v>
      </c>
      <c r="V16" s="6">
        <f>($B$1*T16)/(T16+U16)</f>
        <v>0</v>
      </c>
      <c r="W16" s="6">
        <v>0.4</v>
      </c>
      <c r="X16" s="6">
        <v>0</v>
      </c>
      <c r="Y16" s="6">
        <v>0</v>
      </c>
      <c r="Z16" s="6">
        <v>0</v>
      </c>
      <c r="AA16" s="6">
        <f>AVERAGE(X16:Z16)</f>
        <v>0</v>
      </c>
      <c r="AB16" s="6">
        <f>3.3659*(AA16)</f>
        <v>0</v>
      </c>
      <c r="AC16" s="25">
        <f>((V16-AB16)*(T16+U16))/($U$4)</f>
        <v>0</v>
      </c>
      <c r="AD16" s="9">
        <f>0</f>
        <v>0</v>
      </c>
      <c r="AE16" s="9">
        <f>LINEST(AB16:AB21,AD16:AD21)</f>
        <v>32.552844027437935</v>
      </c>
      <c r="AF16" s="9">
        <f>(INTERCEPT(AB16:AB21,AD16:AD21))*-1</f>
        <v>3.3174211518616215E-2</v>
      </c>
      <c r="AG16" s="9">
        <f>(($AE$6)*AB16)/($AF$6+AB16)</f>
        <v>0</v>
      </c>
      <c r="AH16" s="9">
        <f>0</f>
        <v>0</v>
      </c>
      <c r="AI16" s="43">
        <f>SUM(AH16:AH21)</f>
        <v>90.075945515508479</v>
      </c>
      <c r="AJ16" s="9"/>
      <c r="AK16" s="9"/>
      <c r="AL16" s="9"/>
      <c r="AM16" s="9"/>
      <c r="AN16" s="9"/>
      <c r="AP16" s="5">
        <v>1</v>
      </c>
      <c r="AQ16" s="6">
        <v>0</v>
      </c>
      <c r="AR16" s="6">
        <v>10</v>
      </c>
      <c r="AS16" s="6">
        <f>($B$1*AQ16)/(AQ16+AR16)</f>
        <v>0</v>
      </c>
      <c r="AT16" s="6">
        <v>0.4</v>
      </c>
      <c r="AU16" s="6">
        <v>0</v>
      </c>
      <c r="AV16" s="6">
        <v>0</v>
      </c>
      <c r="AW16" s="6">
        <v>0</v>
      </c>
      <c r="AX16" s="6">
        <f>AVERAGE(AU16:AW16)</f>
        <v>0</v>
      </c>
      <c r="AY16" s="6">
        <f>3.3659*(AX16)</f>
        <v>0</v>
      </c>
      <c r="AZ16" s="25">
        <f>((AS16-AY16)*(AQ16+AR16))/($U$4)</f>
        <v>0</v>
      </c>
      <c r="BA16">
        <v>0</v>
      </c>
      <c r="BB16">
        <f>INTERCEPT(AY16:AY21,BA16:BA21)</f>
        <v>-1.0666797568484654E-2</v>
      </c>
      <c r="BC16">
        <f>LINEST(AY16:AY21,BA16:BA21)</f>
        <v>26.664956378015397</v>
      </c>
    </row>
    <row r="17" spans="1:55">
      <c r="A17" s="8">
        <v>0.6</v>
      </c>
      <c r="B17" s="9">
        <v>0.4</v>
      </c>
      <c r="C17" s="9">
        <f t="shared" si="15"/>
        <v>1.5</v>
      </c>
      <c r="D17" s="3">
        <v>0.45200000000000001</v>
      </c>
      <c r="E17" s="3">
        <v>0.45100000000000001</v>
      </c>
      <c r="F17" s="3">
        <v>0.45100000000000001</v>
      </c>
      <c r="G17" s="3">
        <v>0.44400000000000001</v>
      </c>
      <c r="H17" s="3">
        <v>0.44400000000000001</v>
      </c>
      <c r="I17" s="3">
        <v>0.44400000000000001</v>
      </c>
      <c r="J17" s="17">
        <f t="shared" si="16"/>
        <v>0.44766666666666666</v>
      </c>
      <c r="S17" s="8">
        <v>2</v>
      </c>
      <c r="T17" s="9">
        <v>2</v>
      </c>
      <c r="U17" s="9">
        <v>8</v>
      </c>
      <c r="V17" s="9">
        <f t="shared" ref="V17:V21" si="17">($B$1*T17)/(T17+U17)</f>
        <v>0.5</v>
      </c>
      <c r="W17" s="9">
        <v>0.4</v>
      </c>
      <c r="X17" s="9">
        <v>6.0000000000000001E-3</v>
      </c>
      <c r="Y17" s="9">
        <v>6.0000000000000001E-3</v>
      </c>
      <c r="Z17" s="9">
        <v>6.0000000000000001E-3</v>
      </c>
      <c r="AA17" s="9">
        <f t="shared" ref="AA17:AA21" si="18">AVERAGE(X17:Z17)</f>
        <v>6.000000000000001E-3</v>
      </c>
      <c r="AB17" s="9">
        <f t="shared" ref="AB17:AB21" si="19">3.3659*(AA17)</f>
        <v>2.0195400000000002E-2</v>
      </c>
      <c r="AC17" s="17">
        <f t="shared" ref="AC17:AC21" si="20">((V17-AB17)*(T17+U17))/($U$4)</f>
        <v>11.995115</v>
      </c>
      <c r="AD17" s="9">
        <f t="shared" ref="AD17:AD21" si="21">AB17/AC17</f>
        <v>1.6836353799025688E-3</v>
      </c>
      <c r="AE17" s="9"/>
      <c r="AF17" s="9"/>
      <c r="AG17" s="9">
        <f t="shared" ref="AG17:AG21" si="22">(($AE$6)*AB17)/($AF$6+AB17)</f>
        <v>6.1925810459714663</v>
      </c>
      <c r="AH17" s="9">
        <f>(AC17-AG17)^2</f>
        <v>33.669400287654014</v>
      </c>
      <c r="AI17" s="43"/>
      <c r="AJ17" s="9"/>
      <c r="AK17" s="9"/>
      <c r="AL17" s="9"/>
      <c r="AM17" s="9"/>
      <c r="AN17" s="9"/>
      <c r="AP17" s="8">
        <v>2</v>
      </c>
      <c r="AQ17" s="9">
        <v>2</v>
      </c>
      <c r="AR17" s="9">
        <v>8</v>
      </c>
      <c r="AS17" s="9">
        <f t="shared" ref="AS17:AS21" si="23">($B$1*AQ17)/(AQ17+AR17)</f>
        <v>0.5</v>
      </c>
      <c r="AT17" s="9">
        <v>0.4</v>
      </c>
      <c r="AU17" s="9">
        <v>7.0000000000000001E-3</v>
      </c>
      <c r="AV17" s="9">
        <v>8.0000000000000002E-3</v>
      </c>
      <c r="AW17" s="9">
        <v>7.0000000000000001E-3</v>
      </c>
      <c r="AX17" s="9">
        <f t="shared" ref="AX17:AX21" si="24">AVERAGE(AU17:AW17)</f>
        <v>7.3333333333333332E-3</v>
      </c>
      <c r="AY17" s="9">
        <f t="shared" ref="AY17:AY21" si="25">3.3659*(AX17)</f>
        <v>2.4683266666666665E-2</v>
      </c>
      <c r="AZ17" s="17">
        <f t="shared" ref="AZ17:AZ21" si="26">((AS17-AY17)*(AQ17+AR17))/($U$4)</f>
        <v>11.882918333333334</v>
      </c>
      <c r="BA17">
        <f>AY17/AZ17</f>
        <v>2.0772057818007946E-3</v>
      </c>
    </row>
    <row r="18" spans="1:55">
      <c r="A18" s="8">
        <v>0.8</v>
      </c>
      <c r="B18" s="9">
        <v>0.2</v>
      </c>
      <c r="C18" s="9">
        <f t="shared" si="15"/>
        <v>2</v>
      </c>
      <c r="D18" s="3">
        <v>0.60499999999999998</v>
      </c>
      <c r="E18" s="3">
        <v>0.60499999999999998</v>
      </c>
      <c r="F18" s="3">
        <v>0.60499999999999998</v>
      </c>
      <c r="G18" s="3">
        <v>0.60099999999999998</v>
      </c>
      <c r="H18" s="3">
        <v>0.60199999999999998</v>
      </c>
      <c r="I18" s="3">
        <v>0.60199999999999998</v>
      </c>
      <c r="J18" s="17">
        <f t="shared" si="16"/>
        <v>0.60333333333333328</v>
      </c>
      <c r="S18" s="8">
        <v>3</v>
      </c>
      <c r="T18" s="9">
        <v>4</v>
      </c>
      <c r="U18" s="9">
        <v>6</v>
      </c>
      <c r="V18" s="9">
        <f t="shared" si="17"/>
        <v>1</v>
      </c>
      <c r="W18" s="9">
        <v>0.4</v>
      </c>
      <c r="X18" s="9">
        <v>0.03</v>
      </c>
      <c r="Y18" s="9">
        <v>0.03</v>
      </c>
      <c r="Z18" s="9">
        <v>0.03</v>
      </c>
      <c r="AA18" s="9">
        <f t="shared" si="18"/>
        <v>0.03</v>
      </c>
      <c r="AB18" s="9">
        <f t="shared" si="19"/>
        <v>0.100977</v>
      </c>
      <c r="AC18" s="17">
        <f t="shared" si="20"/>
        <v>22.475574999999999</v>
      </c>
      <c r="AD18" s="9">
        <f t="shared" si="21"/>
        <v>4.4927437896472057E-3</v>
      </c>
      <c r="AE18" s="9"/>
      <c r="AF18" s="9"/>
      <c r="AG18" s="9">
        <f t="shared" si="22"/>
        <v>17.13086830754165</v>
      </c>
      <c r="AH18" s="9">
        <f t="shared" ref="AH18:AH21" si="27">(AC18-AG18)^2</f>
        <v>28.565889628409064</v>
      </c>
      <c r="AI18" s="43"/>
      <c r="AJ18" s="9"/>
      <c r="AK18" s="9"/>
      <c r="AL18" s="9"/>
      <c r="AM18" s="9"/>
      <c r="AN18" s="9"/>
      <c r="AP18" s="8">
        <v>3</v>
      </c>
      <c r="AQ18" s="9">
        <v>4</v>
      </c>
      <c r="AR18" s="9">
        <v>6</v>
      </c>
      <c r="AS18" s="9">
        <f t="shared" si="23"/>
        <v>1</v>
      </c>
      <c r="AT18" s="9">
        <v>0.4</v>
      </c>
      <c r="AU18" s="9">
        <v>3.7999999999999999E-2</v>
      </c>
      <c r="AV18" s="9">
        <v>3.7999999999999999E-2</v>
      </c>
      <c r="AW18" s="9">
        <v>3.7999999999999999E-2</v>
      </c>
      <c r="AX18" s="9">
        <f t="shared" si="24"/>
        <v>3.7999999999999999E-2</v>
      </c>
      <c r="AY18" s="9">
        <f t="shared" si="25"/>
        <v>0.1279042</v>
      </c>
      <c r="AZ18" s="17">
        <f t="shared" si="26"/>
        <v>21.802394999999997</v>
      </c>
      <c r="BA18">
        <f t="shared" ref="BA18:BA21" si="28">AY18/AZ18</f>
        <v>5.8665206276649886E-3</v>
      </c>
    </row>
    <row r="19" spans="1:55">
      <c r="A19" s="10">
        <v>1</v>
      </c>
      <c r="B19" s="11">
        <v>0</v>
      </c>
      <c r="C19" s="11">
        <f t="shared" si="15"/>
        <v>2.5</v>
      </c>
      <c r="D19" s="12">
        <v>0.74</v>
      </c>
      <c r="E19" s="12">
        <v>0.73899999999999999</v>
      </c>
      <c r="F19" s="12">
        <v>0.73899999999999999</v>
      </c>
      <c r="G19" s="12">
        <v>0.73399999999999999</v>
      </c>
      <c r="H19" s="12">
        <v>0.73399999999999999</v>
      </c>
      <c r="I19" s="12">
        <v>0.73399999999999999</v>
      </c>
      <c r="J19" s="18">
        <f t="shared" si="16"/>
        <v>0.73666666666666669</v>
      </c>
      <c r="S19" s="8">
        <v>4</v>
      </c>
      <c r="T19" s="9">
        <v>6</v>
      </c>
      <c r="U19" s="9">
        <v>4</v>
      </c>
      <c r="V19" s="9">
        <f t="shared" si="17"/>
        <v>1.5</v>
      </c>
      <c r="W19" s="9">
        <v>0.4</v>
      </c>
      <c r="X19" s="9">
        <v>0.113</v>
      </c>
      <c r="Y19" s="9">
        <v>0.113</v>
      </c>
      <c r="Z19" s="9">
        <v>0.113</v>
      </c>
      <c r="AA19" s="9">
        <f t="shared" si="18"/>
        <v>0.113</v>
      </c>
      <c r="AB19" s="9">
        <f t="shared" si="19"/>
        <v>0.38034669999999998</v>
      </c>
      <c r="AC19" s="17">
        <f t="shared" si="20"/>
        <v>27.991332499999995</v>
      </c>
      <c r="AD19" s="9">
        <f t="shared" si="21"/>
        <v>1.3588016933456099E-2</v>
      </c>
      <c r="AE19" s="9"/>
      <c r="AF19" s="9"/>
      <c r="AG19" s="9">
        <f t="shared" si="22"/>
        <v>25.354743323076338</v>
      </c>
      <c r="AH19" s="9">
        <f t="shared" si="27"/>
        <v>6.951602487870967</v>
      </c>
      <c r="AI19" s="43"/>
      <c r="AJ19" s="9"/>
      <c r="AK19" s="9"/>
      <c r="AL19" s="9"/>
      <c r="AM19" s="9"/>
      <c r="AN19" s="9"/>
      <c r="AP19" s="8">
        <v>4</v>
      </c>
      <c r="AQ19" s="9">
        <v>6</v>
      </c>
      <c r="AR19" s="9">
        <v>4</v>
      </c>
      <c r="AS19" s="9">
        <f t="shared" si="23"/>
        <v>1.5</v>
      </c>
      <c r="AT19" s="9">
        <v>0.4</v>
      </c>
      <c r="AU19" s="9">
        <v>0.125</v>
      </c>
      <c r="AV19" s="9">
        <v>0.125</v>
      </c>
      <c r="AW19" s="9">
        <v>0.125</v>
      </c>
      <c r="AX19" s="9">
        <f t="shared" si="24"/>
        <v>0.125</v>
      </c>
      <c r="AY19" s="9">
        <f t="shared" si="25"/>
        <v>0.42073749999999999</v>
      </c>
      <c r="AZ19" s="17">
        <f t="shared" si="26"/>
        <v>26.981562500000003</v>
      </c>
      <c r="BA19">
        <f t="shared" si="28"/>
        <v>1.5593518722275625E-2</v>
      </c>
    </row>
    <row r="20" spans="1:55">
      <c r="S20" s="8">
        <v>5</v>
      </c>
      <c r="T20" s="9">
        <v>8</v>
      </c>
      <c r="U20" s="9">
        <v>2</v>
      </c>
      <c r="V20" s="9">
        <f t="shared" si="17"/>
        <v>2</v>
      </c>
      <c r="W20" s="9">
        <v>0.4</v>
      </c>
      <c r="X20" s="9">
        <v>0.22700000000000001</v>
      </c>
      <c r="Y20" s="9">
        <v>0.22700000000000001</v>
      </c>
      <c r="Z20" s="9">
        <v>0.22700000000000001</v>
      </c>
      <c r="AA20" s="9">
        <f t="shared" si="18"/>
        <v>0.22700000000000001</v>
      </c>
      <c r="AB20" s="9">
        <f t="shared" si="19"/>
        <v>0.7640593</v>
      </c>
      <c r="AC20" s="17">
        <f t="shared" si="20"/>
        <v>30.898517500000001</v>
      </c>
      <c r="AD20" s="9">
        <f t="shared" si="21"/>
        <v>2.4728024572699969E-2</v>
      </c>
      <c r="AE20" s="9"/>
      <c r="AF20" s="9"/>
      <c r="AG20" s="9">
        <f t="shared" si="22"/>
        <v>27.77507278329864</v>
      </c>
      <c r="AH20" s="9">
        <f t="shared" si="27"/>
        <v>9.7559068982896431</v>
      </c>
      <c r="AI20" s="43"/>
      <c r="AJ20" s="9"/>
      <c r="AK20" s="9"/>
      <c r="AL20" s="9"/>
      <c r="AM20" s="9"/>
      <c r="AN20" s="9"/>
      <c r="AP20" s="8">
        <v>5</v>
      </c>
      <c r="AQ20" s="9">
        <v>8</v>
      </c>
      <c r="AR20" s="9">
        <v>2</v>
      </c>
      <c r="AS20" s="9">
        <f t="shared" si="23"/>
        <v>2</v>
      </c>
      <c r="AT20" s="9">
        <v>0.4</v>
      </c>
      <c r="AU20" s="9">
        <v>0.26900000000000002</v>
      </c>
      <c r="AV20" s="9">
        <v>0.27</v>
      </c>
      <c r="AW20" s="9">
        <v>0.26900000000000002</v>
      </c>
      <c r="AX20" s="9">
        <f t="shared" si="24"/>
        <v>0.26933333333333337</v>
      </c>
      <c r="AY20" s="9">
        <f t="shared" si="25"/>
        <v>0.90654906666666679</v>
      </c>
      <c r="AZ20" s="17">
        <f t="shared" si="26"/>
        <v>27.336273333333327</v>
      </c>
      <c r="BA20">
        <f t="shared" si="28"/>
        <v>3.3162862238476309E-2</v>
      </c>
    </row>
    <row r="21" spans="1:55"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S21" s="10">
        <v>6</v>
      </c>
      <c r="T21" s="11">
        <v>10</v>
      </c>
      <c r="U21" s="11">
        <v>0</v>
      </c>
      <c r="V21" s="11">
        <f t="shared" si="17"/>
        <v>2.5</v>
      </c>
      <c r="W21" s="11">
        <v>0.4</v>
      </c>
      <c r="X21" s="11">
        <v>0.36099999999999999</v>
      </c>
      <c r="Y21" s="11">
        <v>0.36099999999999999</v>
      </c>
      <c r="Z21" s="11">
        <v>0.36099999999999999</v>
      </c>
      <c r="AA21" s="11">
        <f t="shared" si="18"/>
        <v>0.36099999999999999</v>
      </c>
      <c r="AB21" s="11">
        <f t="shared" si="19"/>
        <v>1.2150898999999999</v>
      </c>
      <c r="AC21" s="18">
        <f t="shared" si="20"/>
        <v>32.122752499999997</v>
      </c>
      <c r="AD21" s="9">
        <f t="shared" si="21"/>
        <v>3.7826456496839744E-2</v>
      </c>
      <c r="AE21" s="9"/>
      <c r="AF21" s="9"/>
      <c r="AG21" s="9">
        <f t="shared" si="22"/>
        <v>28.786115538434537</v>
      </c>
      <c r="AH21" s="9">
        <f t="shared" si="27"/>
        <v>11.133146213284789</v>
      </c>
      <c r="AI21" s="46"/>
      <c r="AJ21" s="9"/>
      <c r="AK21" s="9"/>
      <c r="AL21" s="9"/>
      <c r="AM21" s="9"/>
      <c r="AN21" s="9"/>
      <c r="AP21" s="10">
        <v>6</v>
      </c>
      <c r="AQ21" s="11">
        <v>10</v>
      </c>
      <c r="AR21" s="11">
        <v>0</v>
      </c>
      <c r="AS21" s="11">
        <f t="shared" si="23"/>
        <v>2.5</v>
      </c>
      <c r="AT21" s="11">
        <v>0.4</v>
      </c>
      <c r="AU21" s="11">
        <v>0.42899999999999999</v>
      </c>
      <c r="AV21" s="11">
        <v>0.43</v>
      </c>
      <c r="AW21" s="11">
        <v>0.439</v>
      </c>
      <c r="AX21" s="11">
        <f t="shared" si="24"/>
        <v>0.4326666666666667</v>
      </c>
      <c r="AY21" s="11">
        <f t="shared" si="25"/>
        <v>1.4563127333333334</v>
      </c>
      <c r="AZ21" s="18">
        <f t="shared" si="26"/>
        <v>26.092181666666665</v>
      </c>
      <c r="BA21">
        <f t="shared" si="28"/>
        <v>5.581414202683576E-2</v>
      </c>
    </row>
    <row r="23" spans="1:55">
      <c r="A23" s="34" t="s">
        <v>34</v>
      </c>
      <c r="B23" s="4"/>
      <c r="C23" s="4"/>
      <c r="D23" s="4"/>
      <c r="E23" s="4"/>
      <c r="F23" s="4"/>
      <c r="G23" s="4"/>
      <c r="H23" s="4"/>
      <c r="I23" s="4"/>
      <c r="J23" s="4"/>
    </row>
    <row r="24" spans="1:55">
      <c r="A24" s="13" t="s">
        <v>6</v>
      </c>
      <c r="B24" s="14" t="s">
        <v>7</v>
      </c>
      <c r="C24" s="14" t="s">
        <v>8</v>
      </c>
      <c r="D24" s="15" t="s">
        <v>9</v>
      </c>
      <c r="E24" s="15" t="s">
        <v>10</v>
      </c>
      <c r="F24" s="15" t="s">
        <v>11</v>
      </c>
      <c r="G24" s="15" t="s">
        <v>9</v>
      </c>
      <c r="H24" s="15" t="s">
        <v>10</v>
      </c>
      <c r="I24" s="15" t="s">
        <v>11</v>
      </c>
      <c r="J24" s="16" t="s">
        <v>12</v>
      </c>
      <c r="S24" s="28" t="s">
        <v>35</v>
      </c>
      <c r="T24" s="29" t="s">
        <v>4</v>
      </c>
      <c r="U24" s="29">
        <f>0.4</f>
        <v>0.4</v>
      </c>
      <c r="V24" s="29"/>
      <c r="W24" s="29"/>
      <c r="X24" s="29"/>
      <c r="Y24" s="29"/>
      <c r="Z24" s="29"/>
      <c r="AA24" s="29"/>
      <c r="AB24" s="29"/>
      <c r="AC24" s="30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P24" s="28" t="s">
        <v>36</v>
      </c>
      <c r="AQ24" s="29" t="s">
        <v>4</v>
      </c>
      <c r="AR24" s="29">
        <f>0.4</f>
        <v>0.4</v>
      </c>
      <c r="AS24" s="29"/>
      <c r="AT24" s="29"/>
      <c r="AU24" s="29"/>
      <c r="AV24" s="29"/>
      <c r="AW24" s="29"/>
      <c r="AX24" s="29"/>
      <c r="AY24" s="29"/>
      <c r="AZ24" s="30"/>
    </row>
    <row r="25" spans="1:55">
      <c r="A25" s="8">
        <v>0</v>
      </c>
      <c r="B25" s="9">
        <v>1</v>
      </c>
      <c r="C25" s="9">
        <f>($B$1*A25)/(A25+B25)</f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17">
        <f>AVERAGE(D25:I25)</f>
        <v>0</v>
      </c>
      <c r="S25" s="13" t="s">
        <v>13</v>
      </c>
      <c r="T25" s="14" t="s">
        <v>14</v>
      </c>
      <c r="U25" s="14" t="s">
        <v>15</v>
      </c>
      <c r="V25" s="14" t="s">
        <v>16</v>
      </c>
      <c r="W25" s="14" t="s">
        <v>17</v>
      </c>
      <c r="X25" s="14" t="s">
        <v>9</v>
      </c>
      <c r="Y25" s="14" t="s">
        <v>10</v>
      </c>
      <c r="Z25" s="14" t="s">
        <v>11</v>
      </c>
      <c r="AA25" s="14" t="s">
        <v>18</v>
      </c>
      <c r="AB25" s="14" t="s">
        <v>19</v>
      </c>
      <c r="AC25" s="26" t="s">
        <v>20</v>
      </c>
      <c r="AD25" s="41" t="s">
        <v>21</v>
      </c>
      <c r="AE25" s="41" t="s">
        <v>22</v>
      </c>
      <c r="AF25" s="41" t="s">
        <v>23</v>
      </c>
      <c r="AG25" s="48" t="s">
        <v>24</v>
      </c>
      <c r="AH25" s="48" t="s">
        <v>25</v>
      </c>
      <c r="AI25" s="49" t="s">
        <v>26</v>
      </c>
      <c r="AJ25" s="41"/>
      <c r="AK25" s="41"/>
      <c r="AL25" s="41"/>
      <c r="AM25" s="41"/>
      <c r="AN25" s="9"/>
      <c r="AP25" s="5" t="s">
        <v>13</v>
      </c>
      <c r="AQ25" s="6" t="s">
        <v>14</v>
      </c>
      <c r="AR25" s="6" t="s">
        <v>15</v>
      </c>
      <c r="AS25" s="6" t="s">
        <v>16</v>
      </c>
      <c r="AT25" s="6" t="s">
        <v>17</v>
      </c>
      <c r="AU25" s="6" t="s">
        <v>9</v>
      </c>
      <c r="AV25" s="6" t="s">
        <v>10</v>
      </c>
      <c r="AW25" s="6" t="s">
        <v>11</v>
      </c>
      <c r="AX25" s="6" t="s">
        <v>18</v>
      </c>
      <c r="AY25" s="6" t="s">
        <v>19</v>
      </c>
      <c r="AZ25" s="25" t="s">
        <v>20</v>
      </c>
      <c r="BA25" t="s">
        <v>21</v>
      </c>
      <c r="BB25" t="s">
        <v>37</v>
      </c>
      <c r="BC25" t="s">
        <v>38</v>
      </c>
    </row>
    <row r="26" spans="1:55">
      <c r="A26" s="8">
        <v>0.2</v>
      </c>
      <c r="B26" s="9">
        <v>0.8</v>
      </c>
      <c r="C26" s="9">
        <f t="shared" ref="C26:C30" si="29">($B$1*A26)/(A26+B26)</f>
        <v>0.5</v>
      </c>
      <c r="D26" s="3">
        <v>0.33200000000000002</v>
      </c>
      <c r="E26" s="3">
        <v>0.33200000000000002</v>
      </c>
      <c r="F26" s="3">
        <v>0.33200000000000002</v>
      </c>
      <c r="G26" s="3">
        <v>0.32500000000000001</v>
      </c>
      <c r="H26" s="3">
        <v>0.32500000000000001</v>
      </c>
      <c r="I26" s="3">
        <v>0.32500000000000001</v>
      </c>
      <c r="J26" s="17">
        <f t="shared" ref="J26:J30" si="30">AVERAGE(D26:I26)</f>
        <v>0.32849999999999996</v>
      </c>
      <c r="S26" s="5">
        <v>1</v>
      </c>
      <c r="T26" s="6">
        <v>0</v>
      </c>
      <c r="U26" s="6">
        <v>10</v>
      </c>
      <c r="V26" s="6">
        <f>($B$1*T26)/(T26+U26)</f>
        <v>0</v>
      </c>
      <c r="W26" s="6">
        <v>0.4</v>
      </c>
      <c r="X26" s="6">
        <v>0</v>
      </c>
      <c r="Y26" s="6">
        <v>0</v>
      </c>
      <c r="Z26" s="6">
        <v>0</v>
      </c>
      <c r="AA26" s="6">
        <f>AVERAGE(X26:Z26)</f>
        <v>0</v>
      </c>
      <c r="AB26" s="6">
        <f>1.4279*(AA26)</f>
        <v>0</v>
      </c>
      <c r="AC26" s="25">
        <f>((V26-AB26)*(T26+U26))/($U$4)</f>
        <v>0</v>
      </c>
      <c r="AD26" s="9">
        <f>0</f>
        <v>0</v>
      </c>
      <c r="AE26" s="9">
        <f>LINEST(AB26:AB31,AD26:AD31)</f>
        <v>23.208435411145356</v>
      </c>
      <c r="AF26" s="9">
        <f>(INTERCEPT(AB26:AB31,AD26:AD31))*-1</f>
        <v>5.6153614604948054E-2</v>
      </c>
      <c r="AG26" s="9">
        <f>(($AE$6)*AB26)/($AF$6+AB26)</f>
        <v>0</v>
      </c>
      <c r="AH26" s="9">
        <f>0</f>
        <v>0</v>
      </c>
      <c r="AI26" s="43">
        <f>SUM(AH26:AH31)</f>
        <v>230.50828748807521</v>
      </c>
      <c r="AJ26" s="9"/>
      <c r="AK26" s="9"/>
      <c r="AL26" s="9"/>
      <c r="AM26" s="9"/>
      <c r="AN26" s="9"/>
      <c r="AP26" s="5">
        <v>1</v>
      </c>
      <c r="AQ26" s="6">
        <v>0</v>
      </c>
      <c r="AR26" s="6">
        <v>10</v>
      </c>
      <c r="AS26" s="6">
        <f>($B$1*AQ26)/(AQ26+AR26)</f>
        <v>0</v>
      </c>
      <c r="AT26" s="6">
        <v>0.4</v>
      </c>
      <c r="AU26" s="6">
        <v>0</v>
      </c>
      <c r="AV26" s="6">
        <v>0</v>
      </c>
      <c r="AW26" s="6">
        <v>0</v>
      </c>
      <c r="AX26" s="6">
        <f>AVERAGE(AU26:AW26)</f>
        <v>0</v>
      </c>
      <c r="AY26" s="6">
        <f>1.4279*(AX26)</f>
        <v>0</v>
      </c>
      <c r="AZ26" s="25">
        <f>((AS26-AY26)*(AQ26+AR26))/($U$4)</f>
        <v>0</v>
      </c>
      <c r="BA26">
        <v>0</v>
      </c>
      <c r="BB26">
        <f>INTERCEPT(AY26:AY31,BA26:BA31)</f>
        <v>-2.6961694973705153E-2</v>
      </c>
      <c r="BC26">
        <f>LINEST(AY26:AY31,BA26:BA31)</f>
        <v>23.35311947584481</v>
      </c>
    </row>
    <row r="27" spans="1:55">
      <c r="A27" s="8">
        <v>0.4</v>
      </c>
      <c r="B27" s="9">
        <v>0.6</v>
      </c>
      <c r="C27" s="9">
        <f t="shared" si="29"/>
        <v>1</v>
      </c>
      <c r="D27" s="3">
        <v>0.72</v>
      </c>
      <c r="E27" s="3">
        <v>0.72</v>
      </c>
      <c r="F27" s="3">
        <v>0.72</v>
      </c>
      <c r="G27" s="3">
        <v>0.71199999999999997</v>
      </c>
      <c r="H27" s="3">
        <v>0.71199999999999997</v>
      </c>
      <c r="I27" s="3">
        <v>0.71199999999999997</v>
      </c>
      <c r="J27" s="17">
        <f t="shared" si="30"/>
        <v>0.71599999999999986</v>
      </c>
      <c r="S27" s="8">
        <v>2</v>
      </c>
      <c r="T27" s="9">
        <v>2</v>
      </c>
      <c r="U27" s="9">
        <v>8</v>
      </c>
      <c r="V27" s="9">
        <f t="shared" ref="V27:V31" si="31">($B$1*T27)/(T27+U27)</f>
        <v>0.5</v>
      </c>
      <c r="W27" s="9">
        <v>0.4</v>
      </c>
      <c r="X27" s="9">
        <v>4.8000000000000001E-2</v>
      </c>
      <c r="Y27" s="9">
        <v>4.7399999999999998E-2</v>
      </c>
      <c r="Z27" s="9">
        <v>4.8000000000000001E-2</v>
      </c>
      <c r="AA27" s="9">
        <f t="shared" ref="AA27:AA31" si="32">AVERAGE(X27:Z27)</f>
        <v>4.7800000000000002E-2</v>
      </c>
      <c r="AB27" s="9">
        <f t="shared" ref="AB27:AB31" si="33">1.4279*(AA27)</f>
        <v>6.8253620000000001E-2</v>
      </c>
      <c r="AC27" s="17">
        <f t="shared" ref="AC27:AC31" si="34">((V27-AB27)*(T27+U27))/($U$4)</f>
        <v>10.793659499999999</v>
      </c>
      <c r="AD27" s="9">
        <f t="shared" ref="AD27:AD31" si="35">AB27/AC27</f>
        <v>6.3234920464185487E-3</v>
      </c>
      <c r="AE27" s="9"/>
      <c r="AF27" s="9"/>
      <c r="AG27" s="9">
        <f t="shared" ref="AG27:AG31" si="36">(($AE$6)*AB27)/($AF$6+AB27)</f>
        <v>14.137712950209439</v>
      </c>
      <c r="AH27" s="9">
        <f>(AC27-AG27)^2</f>
        <v>11.18269347785766</v>
      </c>
      <c r="AI27" s="43"/>
      <c r="AJ27" s="9"/>
      <c r="AK27" s="9"/>
      <c r="AL27" s="9"/>
      <c r="AM27" s="9"/>
      <c r="AN27" s="9"/>
      <c r="AP27" s="8">
        <v>2</v>
      </c>
      <c r="AQ27" s="9">
        <v>2</v>
      </c>
      <c r="AR27" s="9">
        <v>8</v>
      </c>
      <c r="AS27" s="9">
        <f t="shared" ref="AS27:AS31" si="37">($B$1*AQ27)/(AQ27+AR27)</f>
        <v>0.5</v>
      </c>
      <c r="AT27" s="9">
        <v>0.4</v>
      </c>
      <c r="AU27" s="9">
        <v>3.6999999999999998E-2</v>
      </c>
      <c r="AV27" s="9">
        <v>3.7999999999999999E-2</v>
      </c>
      <c r="AW27" s="9">
        <v>3.7999999999999999E-2</v>
      </c>
      <c r="AX27" s="9">
        <f t="shared" ref="AX27:AX31" si="38">AVERAGE(AU27:AW27)</f>
        <v>3.7666666666666661E-2</v>
      </c>
      <c r="AY27" s="9">
        <f t="shared" ref="AY27:AY31" si="39">1.4279*(AX27)</f>
        <v>5.378423333333332E-2</v>
      </c>
      <c r="AZ27" s="17">
        <f t="shared" ref="AZ27:AZ31" si="40">((AS27-AY27)*(AQ27+AR27))/($U$4)</f>
        <v>11.155394166666667</v>
      </c>
      <c r="BA27">
        <f>AY27/AZ27</f>
        <v>4.821365568062624E-3</v>
      </c>
    </row>
    <row r="28" spans="1:55">
      <c r="A28" s="8">
        <v>0.6</v>
      </c>
      <c r="B28" s="9">
        <v>0.4</v>
      </c>
      <c r="C28" s="9">
        <f t="shared" si="29"/>
        <v>1.5</v>
      </c>
      <c r="D28" s="3">
        <v>1.1080000000000001</v>
      </c>
      <c r="E28" s="3">
        <v>1.107</v>
      </c>
      <c r="F28" s="3">
        <v>1.1080000000000001</v>
      </c>
      <c r="G28" s="3">
        <v>1.1040000000000001</v>
      </c>
      <c r="H28" s="3">
        <v>1.1040000000000001</v>
      </c>
      <c r="I28" s="3">
        <v>1.1040000000000001</v>
      </c>
      <c r="J28" s="17">
        <f t="shared" si="30"/>
        <v>1.1058333333333332</v>
      </c>
      <c r="S28" s="8">
        <v>3</v>
      </c>
      <c r="T28" s="9">
        <v>4</v>
      </c>
      <c r="U28" s="9">
        <v>6</v>
      </c>
      <c r="V28" s="9">
        <f t="shared" si="31"/>
        <v>1</v>
      </c>
      <c r="W28" s="9">
        <v>0.4</v>
      </c>
      <c r="X28" s="9">
        <v>0.255</v>
      </c>
      <c r="Y28" s="9">
        <v>0.255</v>
      </c>
      <c r="Z28" s="9">
        <v>0.255</v>
      </c>
      <c r="AA28" s="9">
        <f t="shared" si="32"/>
        <v>0.255</v>
      </c>
      <c r="AB28" s="9">
        <f t="shared" si="33"/>
        <v>0.36411450000000001</v>
      </c>
      <c r="AC28" s="17">
        <f t="shared" si="34"/>
        <v>15.897137499999999</v>
      </c>
      <c r="AD28" s="9">
        <f t="shared" si="35"/>
        <v>2.2904406532308099E-2</v>
      </c>
      <c r="AE28" s="9"/>
      <c r="AF28" s="9"/>
      <c r="AG28" s="9">
        <f t="shared" si="36"/>
        <v>25.160121101585922</v>
      </c>
      <c r="AH28" s="9">
        <f t="shared" ref="AH28:AH31" si="41">(AC28-AG28)^2</f>
        <v>85.802865203249709</v>
      </c>
      <c r="AI28" s="43"/>
      <c r="AJ28" s="9"/>
      <c r="AK28" s="9"/>
      <c r="AL28" s="9"/>
      <c r="AM28" s="9"/>
      <c r="AN28" s="9"/>
      <c r="AP28" s="8">
        <v>3</v>
      </c>
      <c r="AQ28" s="9">
        <v>4</v>
      </c>
      <c r="AR28" s="9">
        <v>6</v>
      </c>
      <c r="AS28" s="9">
        <f t="shared" si="37"/>
        <v>1</v>
      </c>
      <c r="AT28" s="9">
        <v>0.4</v>
      </c>
      <c r="AU28" s="9">
        <v>0.191</v>
      </c>
      <c r="AV28" s="9">
        <v>0.191</v>
      </c>
      <c r="AW28" s="9">
        <v>0.192</v>
      </c>
      <c r="AX28" s="9">
        <f t="shared" si="38"/>
        <v>0.19133333333333336</v>
      </c>
      <c r="AY28" s="9">
        <f t="shared" si="39"/>
        <v>0.27320486666666671</v>
      </c>
      <c r="AZ28" s="17">
        <f t="shared" si="40"/>
        <v>18.169878333333333</v>
      </c>
      <c r="BA28">
        <f t="shared" ref="BA28:BA31" si="42">AY28/AZ28</f>
        <v>1.503614177566957E-2</v>
      </c>
    </row>
    <row r="29" spans="1:55">
      <c r="A29" s="8">
        <v>0.8</v>
      </c>
      <c r="B29" s="9">
        <v>0.2</v>
      </c>
      <c r="C29" s="9">
        <f t="shared" si="29"/>
        <v>2</v>
      </c>
      <c r="D29" s="3">
        <v>1.2190000000000001</v>
      </c>
      <c r="E29" s="3">
        <v>1.2190000000000001</v>
      </c>
      <c r="F29" s="3">
        <v>1.2190000000000001</v>
      </c>
      <c r="G29" s="3">
        <v>1.212</v>
      </c>
      <c r="H29" s="3">
        <v>1.212</v>
      </c>
      <c r="I29" s="3">
        <v>1.212</v>
      </c>
      <c r="J29" s="17">
        <f t="shared" si="30"/>
        <v>1.2154999999999998</v>
      </c>
      <c r="S29" s="8">
        <v>4</v>
      </c>
      <c r="T29" s="9">
        <v>6</v>
      </c>
      <c r="U29" s="9">
        <v>4</v>
      </c>
      <c r="V29" s="9">
        <f t="shared" si="31"/>
        <v>1.5</v>
      </c>
      <c r="W29" s="9">
        <v>0.4</v>
      </c>
      <c r="X29" s="9">
        <v>0.54600000000000004</v>
      </c>
      <c r="Y29" s="9">
        <v>0.54600000000000004</v>
      </c>
      <c r="Z29" s="9">
        <v>0.54600000000000004</v>
      </c>
      <c r="AA29" s="9">
        <f t="shared" si="32"/>
        <v>0.54600000000000004</v>
      </c>
      <c r="AB29" s="9">
        <f t="shared" si="33"/>
        <v>0.77963340000000003</v>
      </c>
      <c r="AC29" s="17">
        <f t="shared" si="34"/>
        <v>18.009164999999999</v>
      </c>
      <c r="AD29" s="9">
        <f t="shared" si="35"/>
        <v>4.3290924371007768E-2</v>
      </c>
      <c r="AE29" s="9"/>
      <c r="AF29" s="9"/>
      <c r="AG29" s="9">
        <f t="shared" si="36"/>
        <v>27.827671876531632</v>
      </c>
      <c r="AH29" s="9">
        <f t="shared" si="41"/>
        <v>96.403077284498949</v>
      </c>
      <c r="AI29" s="43"/>
      <c r="AJ29" s="9"/>
      <c r="AK29" s="9"/>
      <c r="AL29" s="9"/>
      <c r="AM29" s="9"/>
      <c r="AN29" s="9"/>
      <c r="AP29" s="8">
        <v>4</v>
      </c>
      <c r="AQ29" s="9">
        <v>6</v>
      </c>
      <c r="AR29" s="9">
        <v>4</v>
      </c>
      <c r="AS29" s="9">
        <f t="shared" si="37"/>
        <v>1.5</v>
      </c>
      <c r="AT29" s="9">
        <v>0.4</v>
      </c>
      <c r="AU29" s="9">
        <v>0.49199999999999999</v>
      </c>
      <c r="AV29" s="9">
        <v>0.49199999999999999</v>
      </c>
      <c r="AW29" s="9">
        <v>0.49199999999999999</v>
      </c>
      <c r="AX29" s="9">
        <f t="shared" si="38"/>
        <v>0.49199999999999999</v>
      </c>
      <c r="AY29" s="9">
        <f t="shared" si="39"/>
        <v>0.70252680000000001</v>
      </c>
      <c r="AZ29" s="17">
        <f t="shared" si="40"/>
        <v>19.936829999999997</v>
      </c>
      <c r="BA29">
        <f t="shared" si="42"/>
        <v>3.5237638079875289E-2</v>
      </c>
    </row>
    <row r="30" spans="1:55">
      <c r="A30" s="10">
        <v>1</v>
      </c>
      <c r="B30" s="11">
        <v>0</v>
      </c>
      <c r="C30" s="11">
        <f t="shared" si="29"/>
        <v>2.5</v>
      </c>
      <c r="D30" s="12">
        <v>1.835</v>
      </c>
      <c r="E30" s="12">
        <v>1.835</v>
      </c>
      <c r="F30" s="12">
        <v>1.8360000000000001</v>
      </c>
      <c r="G30" s="12">
        <v>1.839</v>
      </c>
      <c r="H30" s="12">
        <v>1.841</v>
      </c>
      <c r="I30" s="12">
        <v>1.84</v>
      </c>
      <c r="J30" s="18">
        <f t="shared" si="30"/>
        <v>1.8376666666666666</v>
      </c>
      <c r="S30" s="8">
        <v>5</v>
      </c>
      <c r="T30" s="9">
        <v>8</v>
      </c>
      <c r="U30" s="9">
        <v>2</v>
      </c>
      <c r="V30" s="9">
        <f t="shared" si="31"/>
        <v>2</v>
      </c>
      <c r="W30" s="9">
        <v>0.4</v>
      </c>
      <c r="X30" s="9">
        <v>0.63400000000000001</v>
      </c>
      <c r="Y30" s="9">
        <v>0.63500000000000001</v>
      </c>
      <c r="Z30" s="9">
        <v>0.63400000000000001</v>
      </c>
      <c r="AA30" s="9">
        <f t="shared" si="32"/>
        <v>0.6343333333333333</v>
      </c>
      <c r="AB30" s="9">
        <f t="shared" si="33"/>
        <v>0.9057645666666666</v>
      </c>
      <c r="AC30" s="17">
        <f t="shared" si="34"/>
        <v>27.355885833333335</v>
      </c>
      <c r="AD30" s="9">
        <f t="shared" si="35"/>
        <v>3.3110408933019683E-2</v>
      </c>
      <c r="AE30" s="9"/>
      <c r="AF30" s="9"/>
      <c r="AG30" s="9">
        <f t="shared" si="36"/>
        <v>28.192414499252131</v>
      </c>
      <c r="AH30" s="9">
        <f t="shared" si="41"/>
        <v>0.69978020890387915</v>
      </c>
      <c r="AI30" s="43"/>
      <c r="AJ30" s="9"/>
      <c r="AK30" s="9"/>
      <c r="AL30" s="9"/>
      <c r="AM30" s="9"/>
      <c r="AN30" s="9"/>
      <c r="AP30" s="8">
        <v>5</v>
      </c>
      <c r="AQ30" s="9">
        <v>8</v>
      </c>
      <c r="AR30" s="9">
        <v>2</v>
      </c>
      <c r="AS30" s="9">
        <f t="shared" si="37"/>
        <v>2</v>
      </c>
      <c r="AT30" s="9">
        <v>0.4</v>
      </c>
      <c r="AU30" s="9">
        <v>0.627</v>
      </c>
      <c r="AV30" s="9">
        <v>0.626</v>
      </c>
      <c r="AW30" s="9">
        <v>0.626</v>
      </c>
      <c r="AX30" s="9">
        <f t="shared" si="38"/>
        <v>0.6263333333333333</v>
      </c>
      <c r="AY30" s="9">
        <f t="shared" si="39"/>
        <v>0.89434136666666664</v>
      </c>
      <c r="AZ30" s="17">
        <f t="shared" si="40"/>
        <v>27.641465833333331</v>
      </c>
      <c r="BA30">
        <f t="shared" si="42"/>
        <v>3.2355062935488919E-2</v>
      </c>
    </row>
    <row r="31" spans="1:55">
      <c r="D31" s="1"/>
      <c r="E31" s="1"/>
      <c r="F31" s="1"/>
      <c r="G31" s="1"/>
      <c r="H31" s="1"/>
      <c r="I31" s="1"/>
      <c r="J31" s="1"/>
      <c r="S31" s="10">
        <v>6</v>
      </c>
      <c r="T31" s="11">
        <v>10</v>
      </c>
      <c r="U31" s="11">
        <v>0</v>
      </c>
      <c r="V31" s="11">
        <f t="shared" si="31"/>
        <v>2.5</v>
      </c>
      <c r="W31" s="11">
        <v>0.4</v>
      </c>
      <c r="X31" s="11">
        <v>1.1020000000000001</v>
      </c>
      <c r="Y31" s="11">
        <v>1.1020000000000001</v>
      </c>
      <c r="Z31" s="11">
        <v>1.1020000000000001</v>
      </c>
      <c r="AA31" s="11">
        <f t="shared" si="32"/>
        <v>1.1020000000000001</v>
      </c>
      <c r="AB31" s="11">
        <f t="shared" si="33"/>
        <v>1.5735458</v>
      </c>
      <c r="AC31" s="18">
        <f t="shared" si="34"/>
        <v>23.161355</v>
      </c>
      <c r="AD31" s="9">
        <f t="shared" si="35"/>
        <v>6.793841724717746E-2</v>
      </c>
      <c r="AE31" s="9"/>
      <c r="AF31" s="9"/>
      <c r="AG31" s="9">
        <f t="shared" si="36"/>
        <v>29.196242845980652</v>
      </c>
      <c r="AH31" s="9">
        <f t="shared" si="41"/>
        <v>36.419871313564997</v>
      </c>
      <c r="AI31" s="46"/>
      <c r="AJ31" s="9"/>
      <c r="AK31" s="9"/>
      <c r="AL31" s="9"/>
      <c r="AM31" s="9"/>
      <c r="AN31" s="9"/>
      <c r="AP31" s="10">
        <v>6</v>
      </c>
      <c r="AQ31" s="11">
        <v>10</v>
      </c>
      <c r="AR31" s="11">
        <v>0</v>
      </c>
      <c r="AS31" s="11">
        <f t="shared" si="37"/>
        <v>2.5</v>
      </c>
      <c r="AT31" s="11">
        <v>0.4</v>
      </c>
      <c r="AU31" s="11">
        <v>1.1140000000000001</v>
      </c>
      <c r="AV31" s="11">
        <v>1.115</v>
      </c>
      <c r="AW31" s="11">
        <v>1.113</v>
      </c>
      <c r="AX31" s="11">
        <f t="shared" si="38"/>
        <v>1.1140000000000001</v>
      </c>
      <c r="AY31" s="11">
        <f t="shared" si="39"/>
        <v>1.5906806</v>
      </c>
      <c r="AZ31" s="18">
        <f t="shared" si="40"/>
        <v>22.732984999999999</v>
      </c>
      <c r="BA31">
        <f t="shared" si="42"/>
        <v>6.9972359547151419E-2</v>
      </c>
    </row>
    <row r="32" spans="1:55">
      <c r="A32" s="13" t="s">
        <v>29</v>
      </c>
      <c r="B32" s="14" t="s">
        <v>7</v>
      </c>
      <c r="C32" s="14" t="s">
        <v>30</v>
      </c>
      <c r="D32" s="15" t="s">
        <v>9</v>
      </c>
      <c r="E32" s="15" t="s">
        <v>10</v>
      </c>
      <c r="F32" s="15" t="s">
        <v>11</v>
      </c>
      <c r="G32" s="15" t="s">
        <v>9</v>
      </c>
      <c r="H32" s="15" t="s">
        <v>10</v>
      </c>
      <c r="I32" s="15" t="s">
        <v>11</v>
      </c>
      <c r="J32" s="16" t="s">
        <v>18</v>
      </c>
    </row>
    <row r="33" spans="1:55">
      <c r="A33" s="8">
        <v>0</v>
      </c>
      <c r="B33" s="9">
        <v>1</v>
      </c>
      <c r="C33" s="9">
        <f>($B$2*A33)/(A33+B33)</f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17">
        <f>AVERAGE(D33:I33)</f>
        <v>0</v>
      </c>
    </row>
    <row r="34" spans="1:55">
      <c r="A34" s="8">
        <v>0.2</v>
      </c>
      <c r="B34" s="9">
        <v>0.8</v>
      </c>
      <c r="C34" s="9">
        <f t="shared" ref="C34:C38" si="43">($B$2*A34)/(A34+B34)</f>
        <v>0.5</v>
      </c>
      <c r="D34" s="3">
        <v>0.189</v>
      </c>
      <c r="E34" s="3">
        <v>0.189</v>
      </c>
      <c r="F34" s="3">
        <v>0.19</v>
      </c>
      <c r="G34" s="3">
        <v>0.154</v>
      </c>
      <c r="H34" s="3">
        <v>0.154</v>
      </c>
      <c r="I34" s="3">
        <v>0.154</v>
      </c>
      <c r="J34" s="17">
        <f t="shared" ref="J34:J38" si="44">AVERAGE(D34:I34)</f>
        <v>0.17166666666666666</v>
      </c>
      <c r="S34" s="28" t="s">
        <v>39</v>
      </c>
      <c r="T34" s="29" t="s">
        <v>4</v>
      </c>
      <c r="U34" s="29">
        <f>0.4</f>
        <v>0.4</v>
      </c>
      <c r="V34" s="29"/>
      <c r="W34" s="29"/>
      <c r="X34" s="29"/>
      <c r="Y34" s="29"/>
      <c r="Z34" s="29"/>
      <c r="AA34" s="29"/>
      <c r="AB34" s="29"/>
      <c r="AC34" s="30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P34" s="28" t="s">
        <v>40</v>
      </c>
      <c r="AQ34" s="29" t="s">
        <v>4</v>
      </c>
      <c r="AR34" s="29">
        <f>0.4</f>
        <v>0.4</v>
      </c>
      <c r="AS34" s="29"/>
      <c r="AT34" s="29"/>
      <c r="AU34" s="29"/>
      <c r="AV34" s="29"/>
      <c r="AW34" s="29"/>
      <c r="AX34" s="29"/>
      <c r="AY34" s="29"/>
      <c r="AZ34" s="30"/>
    </row>
    <row r="35" spans="1:55">
      <c r="A35" s="8">
        <v>0.4</v>
      </c>
      <c r="B35" s="9">
        <v>0.6</v>
      </c>
      <c r="C35" s="9">
        <f t="shared" si="43"/>
        <v>1</v>
      </c>
      <c r="D35" s="3">
        <v>0.36299999999999999</v>
      </c>
      <c r="E35" s="3">
        <v>0.36299999999999999</v>
      </c>
      <c r="F35" s="3">
        <v>0.36299999999999999</v>
      </c>
      <c r="G35" s="3">
        <v>0.29799999999999999</v>
      </c>
      <c r="H35" s="3">
        <v>0.29799999999999999</v>
      </c>
      <c r="I35" s="3">
        <v>0.29899999999999999</v>
      </c>
      <c r="J35" s="17">
        <f t="shared" si="44"/>
        <v>0.33066666666666666</v>
      </c>
      <c r="S35" s="5" t="s">
        <v>13</v>
      </c>
      <c r="T35" s="6" t="s">
        <v>14</v>
      </c>
      <c r="U35" s="6" t="s">
        <v>15</v>
      </c>
      <c r="V35" s="6" t="s">
        <v>16</v>
      </c>
      <c r="W35" s="6" t="s">
        <v>17</v>
      </c>
      <c r="X35" s="6" t="s">
        <v>9</v>
      </c>
      <c r="Y35" s="6" t="s">
        <v>10</v>
      </c>
      <c r="Z35" s="6" t="s">
        <v>11</v>
      </c>
      <c r="AA35" s="6" t="s">
        <v>18</v>
      </c>
      <c r="AB35" s="6" t="s">
        <v>19</v>
      </c>
      <c r="AC35" s="25" t="s">
        <v>20</v>
      </c>
      <c r="AD35" s="41" t="s">
        <v>21</v>
      </c>
      <c r="AE35" s="41" t="s">
        <v>22</v>
      </c>
      <c r="AF35" s="41" t="s">
        <v>23</v>
      </c>
      <c r="AG35" s="9"/>
      <c r="AH35" s="9"/>
      <c r="AI35" s="9"/>
      <c r="AJ35" s="9"/>
      <c r="AK35" s="9"/>
      <c r="AL35" s="9"/>
      <c r="AM35" s="9"/>
      <c r="AN35" s="9"/>
      <c r="AP35" s="5" t="s">
        <v>13</v>
      </c>
      <c r="AQ35" s="6" t="s">
        <v>14</v>
      </c>
      <c r="AR35" s="6" t="s">
        <v>15</v>
      </c>
      <c r="AS35" s="6" t="s">
        <v>16</v>
      </c>
      <c r="AT35" s="6" t="s">
        <v>17</v>
      </c>
      <c r="AU35" s="6" t="s">
        <v>9</v>
      </c>
      <c r="AV35" s="6" t="s">
        <v>10</v>
      </c>
      <c r="AW35" s="6" t="s">
        <v>11</v>
      </c>
      <c r="AX35" s="6" t="s">
        <v>18</v>
      </c>
      <c r="AY35" s="6" t="s">
        <v>37</v>
      </c>
      <c r="AZ35" s="25" t="s">
        <v>20</v>
      </c>
      <c r="BB35" t="s">
        <v>37</v>
      </c>
      <c r="BC35" t="s">
        <v>38</v>
      </c>
    </row>
    <row r="36" spans="1:55">
      <c r="A36" s="8">
        <v>0.6</v>
      </c>
      <c r="B36" s="9">
        <v>0.4</v>
      </c>
      <c r="C36" s="9">
        <f t="shared" si="43"/>
        <v>1.5</v>
      </c>
      <c r="D36" s="3">
        <v>0.52700000000000002</v>
      </c>
      <c r="E36" s="3">
        <v>0.52700000000000002</v>
      </c>
      <c r="F36" s="3">
        <v>0.52700000000000002</v>
      </c>
      <c r="G36" s="3">
        <v>0.433</v>
      </c>
      <c r="H36" s="3">
        <v>0.433</v>
      </c>
      <c r="I36" s="3">
        <v>0.433</v>
      </c>
      <c r="J36" s="17">
        <f t="shared" si="44"/>
        <v>0.47999999999999993</v>
      </c>
      <c r="S36" s="5">
        <v>1</v>
      </c>
      <c r="T36" s="6">
        <v>0</v>
      </c>
      <c r="U36" s="6">
        <v>10</v>
      </c>
      <c r="V36" s="6">
        <f>($B$1*T36)/(T36+U36)</f>
        <v>0</v>
      </c>
      <c r="W36" s="6">
        <v>0.4</v>
      </c>
      <c r="X36" s="6">
        <v>0</v>
      </c>
      <c r="Y36" s="6">
        <v>0</v>
      </c>
      <c r="Z36" s="6">
        <v>0</v>
      </c>
      <c r="AA36" s="6">
        <f>AVERAGE(X36:Z36)</f>
        <v>0</v>
      </c>
      <c r="AB36" s="6">
        <f>3.1036*(AA36)</f>
        <v>0</v>
      </c>
      <c r="AC36" s="25">
        <f>((V36-AB36)*(T36+U36))/($U$4)</f>
        <v>0</v>
      </c>
      <c r="AD36" s="9">
        <f>0</f>
        <v>0</v>
      </c>
      <c r="AE36" s="9">
        <f>LINEST(AB36:AB41,AD36:AD41)</f>
        <v>34.837920082380329</v>
      </c>
      <c r="AF36" s="9">
        <f>(INTERCEPT(AB36:AB41,AD36:AD41))*-1</f>
        <v>3.7397582571216059E-2</v>
      </c>
      <c r="AG36" s="9"/>
      <c r="AH36" s="9"/>
      <c r="AI36" s="9"/>
      <c r="AJ36" s="9"/>
      <c r="AK36" s="9"/>
      <c r="AL36" s="9"/>
      <c r="AM36" s="9"/>
      <c r="AN36" s="9"/>
      <c r="AP36" s="5">
        <v>1</v>
      </c>
      <c r="AQ36" s="6">
        <v>0</v>
      </c>
      <c r="AR36" s="6">
        <v>10</v>
      </c>
      <c r="AS36" s="6">
        <f>($B$1*AQ36)/(AQ36+AR36)</f>
        <v>0</v>
      </c>
      <c r="AT36" s="6">
        <v>0.4</v>
      </c>
      <c r="AU36" s="6">
        <v>0</v>
      </c>
      <c r="AV36" s="6">
        <v>0</v>
      </c>
      <c r="AW36" s="6">
        <v>0</v>
      </c>
      <c r="AX36" s="6">
        <f>AVERAGE(AU36:AW36)</f>
        <v>0</v>
      </c>
      <c r="AY36" s="6">
        <f>3.1036*(AX36)</f>
        <v>0</v>
      </c>
      <c r="AZ36" s="25">
        <f>((AS36-AY36)*(AQ36+AR36))/($U$4)</f>
        <v>0</v>
      </c>
      <c r="BA36">
        <v>0</v>
      </c>
      <c r="BB36">
        <f>INTERCEPT(AY36:AY41,BA36:BA41)</f>
        <v>-2.2513625764207179E-2</v>
      </c>
      <c r="BC36">
        <f>LINEST(AY36:AY41,BA36:BA41)</f>
        <v>29.501251891177159</v>
      </c>
    </row>
    <row r="37" spans="1:55">
      <c r="A37" s="8">
        <v>0.8</v>
      </c>
      <c r="B37" s="9">
        <v>0.2</v>
      </c>
      <c r="C37" s="9">
        <f t="shared" si="43"/>
        <v>2</v>
      </c>
      <c r="D37" s="3">
        <v>0.71299999999999997</v>
      </c>
      <c r="E37" s="3">
        <v>0.71299999999999997</v>
      </c>
      <c r="F37" s="3">
        <v>0.71399999999999997</v>
      </c>
      <c r="G37" s="3">
        <v>0.58699999999999997</v>
      </c>
      <c r="H37" s="3">
        <v>0.58899999999999997</v>
      </c>
      <c r="I37" s="3">
        <v>0.58899999999999997</v>
      </c>
      <c r="J37" s="17">
        <f t="shared" si="44"/>
        <v>0.65083333333333326</v>
      </c>
      <c r="S37" s="8">
        <v>2</v>
      </c>
      <c r="T37" s="9">
        <v>2</v>
      </c>
      <c r="U37" s="9">
        <v>8</v>
      </c>
      <c r="V37" s="9">
        <f t="shared" ref="V37:V41" si="45">($B$1*T37)/(T37+U37)</f>
        <v>0.5</v>
      </c>
      <c r="W37" s="9">
        <v>0.4</v>
      </c>
      <c r="X37" s="9">
        <v>6.0000000000000001E-3</v>
      </c>
      <c r="Y37" s="9">
        <v>6.0000000000000001E-3</v>
      </c>
      <c r="Z37" s="9">
        <v>6.0000000000000001E-3</v>
      </c>
      <c r="AA37" s="9">
        <f t="shared" ref="AA37:AA41" si="46">AVERAGE(X37:Z37)</f>
        <v>6.000000000000001E-3</v>
      </c>
      <c r="AB37" s="9">
        <f t="shared" ref="AB37:AB41" si="47">3.1036*(AA37)</f>
        <v>1.8621600000000006E-2</v>
      </c>
      <c r="AC37" s="17">
        <f t="shared" ref="AC37:AC41" si="48">((V37-AB37)*(T37+U37))/($U$4)</f>
        <v>12.034459999999999</v>
      </c>
      <c r="AD37" s="9">
        <f t="shared" ref="AD37:AD41" si="49">AB37/AC37</f>
        <v>1.5473565078948292E-3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8">
        <v>2</v>
      </c>
      <c r="AQ37" s="9">
        <v>2</v>
      </c>
      <c r="AR37" s="9">
        <v>8</v>
      </c>
      <c r="AS37" s="9">
        <f t="shared" ref="AS37:AS41" si="50">($B$1*AQ37)/(AQ37+AR37)</f>
        <v>0.5</v>
      </c>
      <c r="AT37" s="9">
        <v>0.4</v>
      </c>
      <c r="AU37" s="9">
        <v>7.0000000000000001E-3</v>
      </c>
      <c r="AV37" s="9">
        <v>8.0000000000000002E-3</v>
      </c>
      <c r="AW37" s="9">
        <v>7.0000000000000001E-3</v>
      </c>
      <c r="AX37" s="9">
        <f t="shared" ref="AX37:AX41" si="51">AVERAGE(AU37:AW37)</f>
        <v>7.3333333333333332E-3</v>
      </c>
      <c r="AY37" s="9">
        <f t="shared" ref="AY37:AY41" si="52">3.1036*(AX37)</f>
        <v>2.2759733333333334E-2</v>
      </c>
      <c r="AZ37" s="17">
        <f t="shared" ref="AZ37:AZ41" si="53">((AS37-AY37)*(AQ37+AR37))/($U$4)</f>
        <v>11.931006666666667</v>
      </c>
      <c r="BA37">
        <f>AY37/AZ37</f>
        <v>1.9076121545485685E-3</v>
      </c>
    </row>
    <row r="38" spans="1:55">
      <c r="A38" s="10">
        <v>1</v>
      </c>
      <c r="B38" s="11">
        <v>0</v>
      </c>
      <c r="C38" s="11">
        <f t="shared" si="43"/>
        <v>2.5</v>
      </c>
      <c r="D38" s="12">
        <v>0.871</v>
      </c>
      <c r="E38" s="12">
        <v>0.872</v>
      </c>
      <c r="F38" s="12">
        <v>0.873</v>
      </c>
      <c r="G38" s="12">
        <v>0.72099999999999997</v>
      </c>
      <c r="H38" s="12">
        <v>0.72099999999999997</v>
      </c>
      <c r="I38" s="12">
        <v>0.72099999999999997</v>
      </c>
      <c r="J38" s="18">
        <f t="shared" si="44"/>
        <v>0.79649999999999999</v>
      </c>
      <c r="S38" s="8">
        <v>3</v>
      </c>
      <c r="T38" s="9">
        <v>4</v>
      </c>
      <c r="U38" s="9">
        <v>6</v>
      </c>
      <c r="V38" s="9">
        <f t="shared" si="45"/>
        <v>1</v>
      </c>
      <c r="W38" s="9">
        <v>0.4</v>
      </c>
      <c r="X38" s="9">
        <v>0.03</v>
      </c>
      <c r="Y38" s="9">
        <v>0.03</v>
      </c>
      <c r="Z38" s="9">
        <v>0.03</v>
      </c>
      <c r="AA38" s="9">
        <f t="shared" si="46"/>
        <v>0.03</v>
      </c>
      <c r="AB38" s="9">
        <f t="shared" si="47"/>
        <v>9.3107999999999996E-2</v>
      </c>
      <c r="AC38" s="17">
        <f t="shared" si="48"/>
        <v>22.6723</v>
      </c>
      <c r="AD38" s="9">
        <f t="shared" si="49"/>
        <v>4.1066852502833857E-3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P38" s="8">
        <v>3</v>
      </c>
      <c r="AQ38" s="9">
        <v>4</v>
      </c>
      <c r="AR38" s="9">
        <v>6</v>
      </c>
      <c r="AS38" s="9">
        <f t="shared" si="50"/>
        <v>1</v>
      </c>
      <c r="AT38" s="9">
        <v>0.4</v>
      </c>
      <c r="AU38" s="9">
        <v>3.7999999999999999E-2</v>
      </c>
      <c r="AV38" s="9">
        <v>3.7999999999999999E-2</v>
      </c>
      <c r="AW38" s="9">
        <v>3.7999999999999999E-2</v>
      </c>
      <c r="AX38" s="9">
        <f t="shared" si="51"/>
        <v>3.7999999999999999E-2</v>
      </c>
      <c r="AY38" s="9">
        <f t="shared" si="52"/>
        <v>0.11793680000000001</v>
      </c>
      <c r="AZ38" s="17">
        <f t="shared" si="53"/>
        <v>22.051579999999998</v>
      </c>
      <c r="BA38">
        <f t="shared" ref="BA38:BA41" si="54">AY38/AZ38</f>
        <v>5.3482244809668978E-3</v>
      </c>
    </row>
    <row r="39" spans="1:55">
      <c r="S39" s="8">
        <v>4</v>
      </c>
      <c r="T39" s="9">
        <v>6</v>
      </c>
      <c r="U39" s="9">
        <v>4</v>
      </c>
      <c r="V39" s="9">
        <f t="shared" si="45"/>
        <v>1.5</v>
      </c>
      <c r="W39" s="9">
        <v>0.4</v>
      </c>
      <c r="X39" s="9">
        <v>0.113</v>
      </c>
      <c r="Y39" s="9">
        <v>0.113</v>
      </c>
      <c r="Z39" s="9">
        <v>0.113</v>
      </c>
      <c r="AA39" s="9">
        <f t="shared" si="46"/>
        <v>0.113</v>
      </c>
      <c r="AB39" s="9">
        <f t="shared" si="47"/>
        <v>0.35070680000000004</v>
      </c>
      <c r="AC39" s="17">
        <f t="shared" si="48"/>
        <v>28.732329999999997</v>
      </c>
      <c r="AD39" s="9">
        <f t="shared" si="49"/>
        <v>1.2205999304616091E-2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P39" s="8">
        <v>4</v>
      </c>
      <c r="AQ39" s="9">
        <v>6</v>
      </c>
      <c r="AR39" s="9">
        <v>4</v>
      </c>
      <c r="AS39" s="9">
        <f t="shared" si="50"/>
        <v>1.5</v>
      </c>
      <c r="AT39" s="9">
        <v>0.4</v>
      </c>
      <c r="AU39" s="9">
        <v>0.125</v>
      </c>
      <c r="AV39" s="9">
        <v>0.125</v>
      </c>
      <c r="AW39" s="9">
        <v>0.125</v>
      </c>
      <c r="AX39" s="9">
        <f t="shared" si="51"/>
        <v>0.125</v>
      </c>
      <c r="AY39" s="9">
        <f t="shared" si="52"/>
        <v>0.38795000000000002</v>
      </c>
      <c r="AZ39" s="17">
        <f t="shared" si="53"/>
        <v>27.80125</v>
      </c>
      <c r="BA39">
        <f t="shared" si="54"/>
        <v>1.3954408524796548E-2</v>
      </c>
    </row>
    <row r="40" spans="1:55">
      <c r="S40" s="8">
        <v>5</v>
      </c>
      <c r="T40" s="9">
        <v>8</v>
      </c>
      <c r="U40" s="9">
        <v>2</v>
      </c>
      <c r="V40" s="9">
        <f t="shared" si="45"/>
        <v>2</v>
      </c>
      <c r="W40" s="9">
        <v>0.4</v>
      </c>
      <c r="X40" s="9">
        <v>0.22700000000000001</v>
      </c>
      <c r="Y40" s="9">
        <v>0.22700000000000001</v>
      </c>
      <c r="Z40" s="9">
        <v>0.22700000000000001</v>
      </c>
      <c r="AA40" s="9">
        <f t="shared" si="46"/>
        <v>0.22700000000000001</v>
      </c>
      <c r="AB40" s="9">
        <f t="shared" si="47"/>
        <v>0.70451720000000007</v>
      </c>
      <c r="AC40" s="17">
        <f t="shared" si="48"/>
        <v>32.387069999999994</v>
      </c>
      <c r="AD40" s="9">
        <f t="shared" si="49"/>
        <v>2.1753039098627944E-2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P40" s="8">
        <v>5</v>
      </c>
      <c r="AQ40" s="9">
        <v>8</v>
      </c>
      <c r="AR40" s="9">
        <v>2</v>
      </c>
      <c r="AS40" s="9">
        <f t="shared" si="50"/>
        <v>2</v>
      </c>
      <c r="AT40" s="9">
        <v>0.4</v>
      </c>
      <c r="AU40" s="9">
        <v>0.26900000000000002</v>
      </c>
      <c r="AV40" s="9">
        <v>0.27</v>
      </c>
      <c r="AW40" s="9">
        <v>0.26900000000000002</v>
      </c>
      <c r="AX40" s="9">
        <f t="shared" si="51"/>
        <v>0.26933333333333337</v>
      </c>
      <c r="AY40" s="9">
        <f t="shared" si="52"/>
        <v>0.83590293333333343</v>
      </c>
      <c r="AZ40" s="17">
        <f t="shared" si="53"/>
        <v>29.102426666666663</v>
      </c>
      <c r="BA40">
        <f t="shared" si="54"/>
        <v>2.8722791501464718E-2</v>
      </c>
    </row>
    <row r="41" spans="1:55">
      <c r="S41" s="10">
        <v>6</v>
      </c>
      <c r="T41" s="11">
        <v>10</v>
      </c>
      <c r="U41" s="11">
        <v>0</v>
      </c>
      <c r="V41" s="11">
        <f t="shared" si="45"/>
        <v>2.5</v>
      </c>
      <c r="W41" s="11">
        <v>0.4</v>
      </c>
      <c r="X41" s="11">
        <v>0.36099999999999999</v>
      </c>
      <c r="Y41" s="11">
        <v>0.36099999999999999</v>
      </c>
      <c r="Z41" s="11">
        <v>0.36099999999999999</v>
      </c>
      <c r="AA41" s="11">
        <f t="shared" si="46"/>
        <v>0.36099999999999999</v>
      </c>
      <c r="AB41" s="11">
        <f t="shared" si="47"/>
        <v>1.1203996000000001</v>
      </c>
      <c r="AC41" s="18">
        <f t="shared" si="48"/>
        <v>34.490009999999998</v>
      </c>
      <c r="AD41" s="9">
        <f t="shared" si="49"/>
        <v>3.2484757180412535E-2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P41" s="10">
        <v>6</v>
      </c>
      <c r="AQ41" s="11">
        <v>10</v>
      </c>
      <c r="AR41" s="11">
        <v>0</v>
      </c>
      <c r="AS41" s="11">
        <f t="shared" si="50"/>
        <v>2.5</v>
      </c>
      <c r="AT41" s="11">
        <v>0.4</v>
      </c>
      <c r="AU41" s="11">
        <v>0.42899999999999999</v>
      </c>
      <c r="AV41" s="11">
        <v>0.43</v>
      </c>
      <c r="AW41" s="11">
        <v>0.439</v>
      </c>
      <c r="AX41" s="11">
        <f t="shared" si="51"/>
        <v>0.4326666666666667</v>
      </c>
      <c r="AY41" s="11">
        <f t="shared" si="52"/>
        <v>1.3428242666666668</v>
      </c>
      <c r="AZ41" s="18">
        <f t="shared" si="53"/>
        <v>28.92939333333333</v>
      </c>
      <c r="BA41">
        <f t="shared" si="54"/>
        <v>4.6417297839406249E-2</v>
      </c>
    </row>
    <row r="42" spans="1:55">
      <c r="A42" s="35" t="s">
        <v>41</v>
      </c>
    </row>
    <row r="43" spans="1:55">
      <c r="A43" s="13" t="s">
        <v>6</v>
      </c>
      <c r="B43" s="14" t="s">
        <v>7</v>
      </c>
      <c r="C43" s="14" t="s">
        <v>8</v>
      </c>
      <c r="D43" s="15" t="s">
        <v>9</v>
      </c>
      <c r="E43" s="15" t="s">
        <v>10</v>
      </c>
      <c r="F43" s="15" t="s">
        <v>11</v>
      </c>
      <c r="G43" s="15" t="s">
        <v>9</v>
      </c>
      <c r="H43" s="15" t="s">
        <v>10</v>
      </c>
      <c r="I43" s="15" t="s">
        <v>11</v>
      </c>
      <c r="J43" s="16" t="s">
        <v>12</v>
      </c>
      <c r="S43" s="21" t="s">
        <v>42</v>
      </c>
      <c r="T43" s="22" t="s">
        <v>4</v>
      </c>
      <c r="U43" s="22">
        <f>0.4</f>
        <v>0.4</v>
      </c>
      <c r="V43" s="22"/>
      <c r="W43" s="22"/>
      <c r="X43" s="22"/>
      <c r="Y43" s="22"/>
      <c r="Z43" s="22"/>
      <c r="AA43" s="22"/>
      <c r="AB43" s="22"/>
      <c r="AC43" s="31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P43" s="21" t="s">
        <v>43</v>
      </c>
      <c r="AQ43" s="22" t="s">
        <v>4</v>
      </c>
      <c r="AR43" s="22">
        <f>0.4</f>
        <v>0.4</v>
      </c>
      <c r="AS43" s="22"/>
      <c r="AT43" s="22"/>
      <c r="AU43" s="22"/>
      <c r="AV43" s="22"/>
      <c r="AW43" s="22"/>
      <c r="AX43" s="22"/>
      <c r="AY43" s="22"/>
      <c r="AZ43" s="31"/>
    </row>
    <row r="44" spans="1:55">
      <c r="A44" s="8">
        <v>0</v>
      </c>
      <c r="B44" s="9">
        <v>1</v>
      </c>
      <c r="C44" s="9">
        <f>($B$1*A44)/(A44+B44)</f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17">
        <f>AVERAGE(D44:I44)</f>
        <v>0</v>
      </c>
      <c r="S44" s="5" t="s">
        <v>13</v>
      </c>
      <c r="T44" s="6" t="s">
        <v>14</v>
      </c>
      <c r="U44" s="6" t="s">
        <v>15</v>
      </c>
      <c r="V44" s="6" t="s">
        <v>16</v>
      </c>
      <c r="W44" s="6" t="s">
        <v>17</v>
      </c>
      <c r="X44" s="6" t="s">
        <v>9</v>
      </c>
      <c r="Y44" s="6" t="s">
        <v>10</v>
      </c>
      <c r="Z44" s="6" t="s">
        <v>11</v>
      </c>
      <c r="AA44" s="6" t="s">
        <v>18</v>
      </c>
      <c r="AB44" s="6" t="s">
        <v>19</v>
      </c>
      <c r="AC44" s="25" t="s">
        <v>20</v>
      </c>
      <c r="AD44" s="41" t="s">
        <v>21</v>
      </c>
      <c r="AE44" s="41" t="s">
        <v>22</v>
      </c>
      <c r="AF44" s="41" t="s">
        <v>23</v>
      </c>
      <c r="AG44" s="9"/>
      <c r="AH44" s="9"/>
      <c r="AI44" s="9"/>
      <c r="AJ44" s="9"/>
      <c r="AK44" s="9"/>
      <c r="AL44" s="9"/>
      <c r="AM44" s="9"/>
      <c r="AN44" s="9"/>
      <c r="AP44" s="5" t="s">
        <v>13</v>
      </c>
      <c r="AQ44" s="6" t="s">
        <v>14</v>
      </c>
      <c r="AR44" s="6" t="s">
        <v>15</v>
      </c>
      <c r="AS44" s="6" t="s">
        <v>16</v>
      </c>
      <c r="AT44" s="6" t="s">
        <v>17</v>
      </c>
      <c r="AU44" s="6" t="s">
        <v>9</v>
      </c>
      <c r="AV44" s="6" t="s">
        <v>10</v>
      </c>
      <c r="AW44" s="6" t="s">
        <v>11</v>
      </c>
      <c r="AX44" s="6" t="s">
        <v>18</v>
      </c>
      <c r="AY44" s="6" t="s">
        <v>19</v>
      </c>
      <c r="AZ44" s="25" t="s">
        <v>20</v>
      </c>
      <c r="BB44" t="s">
        <v>37</v>
      </c>
      <c r="BC44" t="s">
        <v>38</v>
      </c>
    </row>
    <row r="45" spans="1:55">
      <c r="A45" s="8">
        <v>0.2</v>
      </c>
      <c r="B45" s="9">
        <v>0.8</v>
      </c>
      <c r="C45" s="9">
        <f t="shared" ref="C45:C49" si="55">($B$1*A45)/(A45+B45)</f>
        <v>0.5</v>
      </c>
      <c r="D45" s="3">
        <v>0.38400000000000001</v>
      </c>
      <c r="E45" s="3">
        <v>0.38400000000000001</v>
      </c>
      <c r="F45" s="3">
        <v>0.38400000000000001</v>
      </c>
      <c r="G45" s="3">
        <v>0.38500000000000001</v>
      </c>
      <c r="H45" s="3">
        <v>0.38400000000000001</v>
      </c>
      <c r="I45" s="3">
        <v>0.38400000000000001</v>
      </c>
      <c r="J45" s="17">
        <f t="shared" ref="J45:J49" si="56">AVERAGE(D45:I45)</f>
        <v>0.38416666666666671</v>
      </c>
      <c r="S45" s="5">
        <v>1</v>
      </c>
      <c r="T45" s="6">
        <v>0</v>
      </c>
      <c r="U45" s="6">
        <v>10</v>
      </c>
      <c r="V45" s="6">
        <f>($B$1*T45)/(T45+U45)</f>
        <v>0</v>
      </c>
      <c r="W45" s="6">
        <v>0.4</v>
      </c>
      <c r="X45" s="6">
        <v>0</v>
      </c>
      <c r="Y45" s="6">
        <v>0</v>
      </c>
      <c r="Z45" s="6">
        <v>0</v>
      </c>
      <c r="AA45" s="6">
        <f>AVERAGE(X45:Z45)</f>
        <v>0</v>
      </c>
      <c r="AB45" s="6">
        <f>1.2709*(AA45)</f>
        <v>0</v>
      </c>
      <c r="AC45" s="25">
        <f>((V45-AB45)*(T45+U45))/($U$4)</f>
        <v>0</v>
      </c>
      <c r="AD45" s="9">
        <f>0</f>
        <v>0</v>
      </c>
      <c r="AE45" s="9">
        <f>LINEST(AB45:AB50,AD45:AD50)</f>
        <v>8.2481755753589052</v>
      </c>
      <c r="AF45" s="9">
        <f>(INTERCEPT(AB45:AB50,AD45:AD50))*-1</f>
        <v>0.18075706429754534</v>
      </c>
      <c r="AG45" s="9"/>
      <c r="AH45" s="9"/>
      <c r="AI45" s="9"/>
      <c r="AJ45" s="9"/>
      <c r="AK45" s="9"/>
      <c r="AL45" s="9"/>
      <c r="AM45" s="9"/>
      <c r="AN45" s="9"/>
      <c r="AP45" s="5">
        <v>1</v>
      </c>
      <c r="AQ45" s="6">
        <v>0</v>
      </c>
      <c r="AR45" s="6">
        <v>10</v>
      </c>
      <c r="AS45" s="6">
        <f>($B$1*AQ45)/(AQ45+AR45)</f>
        <v>0</v>
      </c>
      <c r="AT45" s="6">
        <v>0.4</v>
      </c>
      <c r="AU45" s="6">
        <v>0</v>
      </c>
      <c r="AV45" s="6">
        <v>0</v>
      </c>
      <c r="AW45" s="6">
        <v>0</v>
      </c>
      <c r="AX45" s="6">
        <f>AVERAGE(AU45:AW45)</f>
        <v>0</v>
      </c>
      <c r="AY45" s="6">
        <f>1.2709*(AX45)</f>
        <v>0</v>
      </c>
      <c r="AZ45" s="25">
        <f>((AS45-AY45)*(AQ45+AR45))/($U$4)</f>
        <v>0</v>
      </c>
      <c r="BA45">
        <v>0</v>
      </c>
      <c r="BB45">
        <f>INTERCEPT(AY45:AY50,BA45:BA50)</f>
        <v>-0.20498127590858628</v>
      </c>
      <c r="BC45" t="e">
        <f ca="1">_xludf.linest</f>
        <v>#NAME?</v>
      </c>
    </row>
    <row r="46" spans="1:55">
      <c r="A46" s="8">
        <v>0.4</v>
      </c>
      <c r="B46" s="9">
        <v>0.6</v>
      </c>
      <c r="C46" s="9">
        <f t="shared" si="55"/>
        <v>1</v>
      </c>
      <c r="D46" s="3">
        <v>0.77200000000000002</v>
      </c>
      <c r="E46" s="3">
        <v>0.77200000000000002</v>
      </c>
      <c r="F46" s="3">
        <v>0.77300000000000002</v>
      </c>
      <c r="G46" s="3">
        <v>0.77400000000000002</v>
      </c>
      <c r="H46" s="3">
        <v>0.77400000000000002</v>
      </c>
      <c r="I46" s="3">
        <v>0.77400000000000002</v>
      </c>
      <c r="J46" s="17">
        <f t="shared" si="56"/>
        <v>0.77316666666666667</v>
      </c>
      <c r="S46" s="8">
        <v>2</v>
      </c>
      <c r="T46" s="9">
        <v>2</v>
      </c>
      <c r="U46" s="9">
        <v>8</v>
      </c>
      <c r="V46" s="9">
        <f t="shared" ref="V46:V50" si="57">($B$1*T46)/(T46+U46)</f>
        <v>0.5</v>
      </c>
      <c r="W46" s="9">
        <v>0.4</v>
      </c>
      <c r="X46" s="9">
        <v>0.30199999999999999</v>
      </c>
      <c r="Y46" s="9">
        <v>0.30499999999999999</v>
      </c>
      <c r="Z46" s="9">
        <v>0.30399999999999999</v>
      </c>
      <c r="AA46" s="9">
        <f t="shared" ref="AA46:AA50" si="58">AVERAGE(X46:Z46)</f>
        <v>0.3036666666666667</v>
      </c>
      <c r="AB46" s="9">
        <f t="shared" ref="AB46:AB50" si="59">1.2709*(AA46)</f>
        <v>0.38592996666666668</v>
      </c>
      <c r="AC46" s="17">
        <f t="shared" ref="AC46:AC50" si="60">((V46-AB46)*(T46+U46))/($U$4)</f>
        <v>2.851750833333333</v>
      </c>
      <c r="AD46" s="9">
        <f t="shared" ref="AD46:AD50" si="61">AB46/AC46</f>
        <v>0.13533088590897815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P46" s="8">
        <v>2</v>
      </c>
      <c r="AQ46" s="9">
        <v>2</v>
      </c>
      <c r="AR46" s="9">
        <v>8</v>
      </c>
      <c r="AS46" s="9">
        <f t="shared" ref="AS46:AS50" si="62">($B$1*AQ46)/(AQ46+AR46)</f>
        <v>0.5</v>
      </c>
      <c r="AT46" s="9">
        <v>0.4</v>
      </c>
      <c r="AU46" s="9">
        <v>0.28799999999999998</v>
      </c>
      <c r="AV46" s="9">
        <v>0.28499999999999998</v>
      </c>
      <c r="AW46" s="9">
        <v>0.28499999999999998</v>
      </c>
      <c r="AX46" s="9">
        <f t="shared" ref="AX46:AX50" si="63">AVERAGE(AU46:AW46)</f>
        <v>0.28599999999999998</v>
      </c>
      <c r="AY46" s="9">
        <f t="shared" ref="AY46:AY50" si="64">1.2709*(AX46)</f>
        <v>0.36347739999999995</v>
      </c>
      <c r="AZ46" s="17">
        <f t="shared" ref="AZ46:AZ50" si="65">((AS46-AY46)*(AQ46+AR46))/($U$4)</f>
        <v>3.4130650000000009</v>
      </c>
      <c r="BA46">
        <f>AY46/AZ46</f>
        <v>0.10649589152272221</v>
      </c>
    </row>
    <row r="47" spans="1:55">
      <c r="A47" s="8">
        <v>0.6</v>
      </c>
      <c r="B47" s="9">
        <v>0.4</v>
      </c>
      <c r="C47" s="9">
        <f t="shared" si="55"/>
        <v>1.5</v>
      </c>
      <c r="D47" s="3">
        <v>1.1850000000000001</v>
      </c>
      <c r="E47" s="3">
        <v>1.1839999999999999</v>
      </c>
      <c r="F47" s="3">
        <v>1.1839999999999999</v>
      </c>
      <c r="G47" s="3">
        <v>1.1870000000000001</v>
      </c>
      <c r="H47" s="3">
        <v>1.1879999999999999</v>
      </c>
      <c r="I47" s="3">
        <v>1.1870000000000001</v>
      </c>
      <c r="J47" s="17">
        <f t="shared" si="56"/>
        <v>1.1858333333333333</v>
      </c>
      <c r="S47" s="8">
        <v>3</v>
      </c>
      <c r="T47" s="9">
        <v>4</v>
      </c>
      <c r="U47" s="9">
        <v>6</v>
      </c>
      <c r="V47" s="9">
        <f t="shared" si="57"/>
        <v>1</v>
      </c>
      <c r="W47" s="9">
        <v>0.4</v>
      </c>
      <c r="X47" s="9">
        <v>0.63</v>
      </c>
      <c r="Y47" s="9">
        <v>0.63100000000000001</v>
      </c>
      <c r="Z47" s="9">
        <v>0.63</v>
      </c>
      <c r="AA47" s="9">
        <f t="shared" si="58"/>
        <v>0.6303333333333333</v>
      </c>
      <c r="AB47" s="9">
        <f t="shared" si="59"/>
        <v>0.80109063333333319</v>
      </c>
      <c r="AC47" s="17">
        <f t="shared" si="60"/>
        <v>4.9727341666666698</v>
      </c>
      <c r="AD47" s="9">
        <f t="shared" si="61"/>
        <v>0.16109661334869252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P47" s="8">
        <v>3</v>
      </c>
      <c r="AQ47" s="9">
        <v>4</v>
      </c>
      <c r="AR47" s="9">
        <v>6</v>
      </c>
      <c r="AS47" s="9">
        <f t="shared" si="62"/>
        <v>1</v>
      </c>
      <c r="AT47" s="9">
        <v>0.4</v>
      </c>
      <c r="AU47" s="9">
        <v>0.56200000000000006</v>
      </c>
      <c r="AV47" s="9">
        <v>0.56100000000000005</v>
      </c>
      <c r="AW47" s="9">
        <v>0.56000000000000005</v>
      </c>
      <c r="AX47" s="9">
        <f t="shared" si="63"/>
        <v>0.56100000000000005</v>
      </c>
      <c r="AY47" s="9">
        <f t="shared" si="64"/>
        <v>0.71297490000000008</v>
      </c>
      <c r="AZ47" s="17">
        <f t="shared" si="65"/>
        <v>7.1756274999999974</v>
      </c>
      <c r="BA47">
        <f t="shared" ref="BA47:BA50" si="66">AY47/AZ47</f>
        <v>9.9360634313863189E-2</v>
      </c>
    </row>
    <row r="48" spans="1:55">
      <c r="A48" s="8">
        <v>0.8</v>
      </c>
      <c r="B48" s="9">
        <v>0.2</v>
      </c>
      <c r="C48" s="9">
        <f t="shared" si="55"/>
        <v>2</v>
      </c>
      <c r="D48" s="3">
        <v>1.589</v>
      </c>
      <c r="E48" s="3">
        <v>1.589</v>
      </c>
      <c r="F48" s="3">
        <v>1.59</v>
      </c>
      <c r="G48" s="3">
        <v>1.589</v>
      </c>
      <c r="H48" s="3">
        <v>1.5880000000000001</v>
      </c>
      <c r="I48" s="3">
        <v>1.5880000000000001</v>
      </c>
      <c r="J48" s="17">
        <f t="shared" si="56"/>
        <v>1.5888333333333333</v>
      </c>
      <c r="S48" s="8">
        <v>4</v>
      </c>
      <c r="T48" s="9">
        <v>6</v>
      </c>
      <c r="U48" s="9">
        <v>4</v>
      </c>
      <c r="V48" s="9">
        <f t="shared" si="57"/>
        <v>1.5</v>
      </c>
      <c r="W48" s="9">
        <v>0.4</v>
      </c>
      <c r="X48" s="9">
        <v>0.98299999999999998</v>
      </c>
      <c r="Y48" s="9">
        <v>0.97899999999999998</v>
      </c>
      <c r="Z48" s="9">
        <v>0.98</v>
      </c>
      <c r="AA48" s="9">
        <f t="shared" si="58"/>
        <v>0.98066666666666669</v>
      </c>
      <c r="AB48" s="9">
        <f t="shared" si="59"/>
        <v>1.2463292666666665</v>
      </c>
      <c r="AC48" s="17">
        <f t="shared" si="60"/>
        <v>6.3417683333333361</v>
      </c>
      <c r="AD48" s="9">
        <f t="shared" si="61"/>
        <v>0.19652708852762141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P48" s="8">
        <v>4</v>
      </c>
      <c r="AQ48" s="9">
        <v>6</v>
      </c>
      <c r="AR48" s="9">
        <v>4</v>
      </c>
      <c r="AS48" s="9">
        <f t="shared" si="62"/>
        <v>1.5</v>
      </c>
      <c r="AT48" s="9">
        <v>0.4</v>
      </c>
      <c r="AU48" s="9">
        <v>0.89500000000000002</v>
      </c>
      <c r="AV48" s="9">
        <v>0.89400000000000002</v>
      </c>
      <c r="AW48" s="9">
        <v>0.89300000000000002</v>
      </c>
      <c r="AX48" s="9">
        <f t="shared" si="63"/>
        <v>0.89400000000000013</v>
      </c>
      <c r="AY48" s="9">
        <f t="shared" si="64"/>
        <v>1.1361846</v>
      </c>
      <c r="AZ48" s="17">
        <f t="shared" si="65"/>
        <v>9.0953850000000003</v>
      </c>
      <c r="BA48">
        <f t="shared" si="66"/>
        <v>0.12491880222772317</v>
      </c>
    </row>
    <row r="49" spans="1:53">
      <c r="A49" s="10">
        <v>1</v>
      </c>
      <c r="B49" s="11">
        <v>0</v>
      </c>
      <c r="C49" s="11">
        <f t="shared" si="55"/>
        <v>2.5</v>
      </c>
      <c r="D49" s="12">
        <v>1.9590000000000001</v>
      </c>
      <c r="E49" s="12">
        <v>1.9590000000000001</v>
      </c>
      <c r="F49" s="12">
        <v>1.958</v>
      </c>
      <c r="G49" s="12">
        <v>1.96</v>
      </c>
      <c r="H49" s="12">
        <v>1.9590000000000001</v>
      </c>
      <c r="I49" s="12">
        <v>1.958</v>
      </c>
      <c r="J49" s="18">
        <f t="shared" si="56"/>
        <v>1.9588333333333334</v>
      </c>
      <c r="S49" s="8">
        <v>5</v>
      </c>
      <c r="T49" s="9">
        <v>8</v>
      </c>
      <c r="U49" s="9">
        <v>2</v>
      </c>
      <c r="V49" s="9">
        <f t="shared" si="57"/>
        <v>2</v>
      </c>
      <c r="W49" s="9">
        <v>0.4</v>
      </c>
      <c r="X49" s="9">
        <v>1.3180000000000001</v>
      </c>
      <c r="Y49" s="9">
        <v>1.3140000000000001</v>
      </c>
      <c r="Z49" s="9">
        <v>1.3140000000000001</v>
      </c>
      <c r="AA49" s="9">
        <f t="shared" si="58"/>
        <v>1.3153333333333335</v>
      </c>
      <c r="AB49" s="9">
        <f t="shared" si="59"/>
        <v>1.6716571333333334</v>
      </c>
      <c r="AC49" s="17">
        <f t="shared" si="60"/>
        <v>8.2085716666666642</v>
      </c>
      <c r="AD49" s="9">
        <f t="shared" si="61"/>
        <v>0.20364774789280238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P49" s="8">
        <v>5</v>
      </c>
      <c r="AQ49" s="9">
        <v>8</v>
      </c>
      <c r="AR49" s="9">
        <v>2</v>
      </c>
      <c r="AS49" s="9">
        <f t="shared" si="62"/>
        <v>2</v>
      </c>
      <c r="AT49" s="9">
        <v>0.4</v>
      </c>
      <c r="AU49" s="9">
        <v>1.206</v>
      </c>
      <c r="AV49" s="9">
        <v>1.2070000000000001</v>
      </c>
      <c r="AW49" s="9">
        <v>1.208</v>
      </c>
      <c r="AX49" s="9">
        <f t="shared" si="63"/>
        <v>1.2070000000000001</v>
      </c>
      <c r="AY49" s="9">
        <f t="shared" si="64"/>
        <v>1.5339763</v>
      </c>
      <c r="AZ49" s="17">
        <f t="shared" si="65"/>
        <v>11.6505925</v>
      </c>
      <c r="BA49">
        <f t="shared" si="66"/>
        <v>0.13166508913602462</v>
      </c>
    </row>
    <row r="50" spans="1:53">
      <c r="D50" s="1"/>
      <c r="E50" s="1"/>
      <c r="F50" s="1"/>
      <c r="G50" s="1"/>
      <c r="H50" s="1"/>
      <c r="I50" s="1"/>
      <c r="J50" s="1"/>
      <c r="S50" s="10">
        <v>6</v>
      </c>
      <c r="T50" s="11">
        <v>10</v>
      </c>
      <c r="U50" s="11">
        <v>0</v>
      </c>
      <c r="V50" s="11">
        <f t="shared" si="57"/>
        <v>2.5</v>
      </c>
      <c r="W50" s="11">
        <v>0.4</v>
      </c>
      <c r="X50" s="11">
        <v>1.611</v>
      </c>
      <c r="Y50" s="11">
        <v>1.6120000000000001</v>
      </c>
      <c r="Z50" s="11">
        <v>1.609</v>
      </c>
      <c r="AA50" s="11">
        <f t="shared" si="58"/>
        <v>1.6106666666666667</v>
      </c>
      <c r="AB50" s="11">
        <f t="shared" si="59"/>
        <v>2.0469962666666666</v>
      </c>
      <c r="AC50" s="18">
        <f t="shared" si="60"/>
        <v>11.325093333333335</v>
      </c>
      <c r="AD50" s="9">
        <f t="shared" si="61"/>
        <v>0.18074873260794316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P50" s="10">
        <v>6</v>
      </c>
      <c r="AQ50" s="11">
        <v>10</v>
      </c>
      <c r="AR50" s="11">
        <v>0</v>
      </c>
      <c r="AS50" s="11">
        <f t="shared" si="62"/>
        <v>2.5</v>
      </c>
      <c r="AT50" s="11">
        <v>0.4</v>
      </c>
      <c r="AU50" s="11">
        <v>1.5189999999999999</v>
      </c>
      <c r="AV50" s="11">
        <v>1.5189999999999999</v>
      </c>
      <c r="AW50" s="11">
        <v>1.5189999999999999</v>
      </c>
      <c r="AX50" s="11">
        <f t="shared" si="63"/>
        <v>1.5189999999999999</v>
      </c>
      <c r="AY50" s="11">
        <f t="shared" si="64"/>
        <v>1.9304970999999997</v>
      </c>
      <c r="AZ50" s="18">
        <f t="shared" si="65"/>
        <v>14.237572500000006</v>
      </c>
      <c r="BA50">
        <f t="shared" si="66"/>
        <v>0.13559173096396868</v>
      </c>
    </row>
    <row r="51" spans="1:53">
      <c r="A51" s="13" t="s">
        <v>29</v>
      </c>
      <c r="B51" s="14" t="s">
        <v>7</v>
      </c>
      <c r="C51" s="14" t="s">
        <v>30</v>
      </c>
      <c r="D51" s="15" t="s">
        <v>9</v>
      </c>
      <c r="E51" s="15" t="s">
        <v>10</v>
      </c>
      <c r="F51" s="15" t="s">
        <v>11</v>
      </c>
      <c r="G51" s="15" t="s">
        <v>9</v>
      </c>
      <c r="H51" s="15" t="s">
        <v>10</v>
      </c>
      <c r="I51" s="15" t="s">
        <v>11</v>
      </c>
      <c r="J51" s="16" t="s">
        <v>18</v>
      </c>
    </row>
    <row r="52" spans="1:53">
      <c r="A52" s="8">
        <v>0</v>
      </c>
      <c r="B52" s="9">
        <v>1</v>
      </c>
      <c r="C52" s="9">
        <f>($B$2*A52)/(A52+B52)</f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17">
        <f>AVERAGE(D52:I52)</f>
        <v>0</v>
      </c>
    </row>
    <row r="53" spans="1:53">
      <c r="A53" s="8">
        <v>0.2</v>
      </c>
      <c r="B53" s="9">
        <v>0.8</v>
      </c>
      <c r="C53" s="9">
        <f t="shared" ref="C53:C57" si="67">($B$2*A53)/(A53+B53)</f>
        <v>0.5</v>
      </c>
      <c r="D53" s="3">
        <v>0.152</v>
      </c>
      <c r="E53" s="3">
        <v>0.152</v>
      </c>
      <c r="F53" s="3">
        <v>0.152</v>
      </c>
      <c r="G53" s="3">
        <v>0.14099999999999999</v>
      </c>
      <c r="H53" s="3">
        <v>0.14000000000000001</v>
      </c>
      <c r="I53" s="3">
        <v>0.14099999999999999</v>
      </c>
      <c r="J53" s="17">
        <f t="shared" ref="J53:J57" si="68">AVERAGE(D53:I53)</f>
        <v>0.14633333333333334</v>
      </c>
      <c r="S53" s="21" t="s">
        <v>44</v>
      </c>
      <c r="T53" s="22" t="s">
        <v>4</v>
      </c>
      <c r="U53" s="22">
        <f>0.4</f>
        <v>0.4</v>
      </c>
      <c r="V53" s="22"/>
      <c r="W53" s="22"/>
      <c r="X53" s="22"/>
      <c r="Y53" s="22"/>
      <c r="Z53" s="22"/>
      <c r="AA53" s="22"/>
      <c r="AB53" s="22"/>
      <c r="AC53" s="31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P53" s="21" t="s">
        <v>45</v>
      </c>
      <c r="AQ53" s="22" t="s">
        <v>4</v>
      </c>
      <c r="AR53" s="22">
        <f>0.4</f>
        <v>0.4</v>
      </c>
      <c r="AS53" s="22"/>
      <c r="AT53" s="22"/>
      <c r="AU53" s="22"/>
      <c r="AV53" s="22"/>
      <c r="AW53" s="22"/>
      <c r="AX53" s="22"/>
      <c r="AY53" s="22"/>
      <c r="AZ53" s="31"/>
    </row>
    <row r="54" spans="1:53">
      <c r="A54" s="8">
        <v>0.4</v>
      </c>
      <c r="B54" s="9">
        <v>0.6</v>
      </c>
      <c r="C54" s="9">
        <f t="shared" si="67"/>
        <v>1</v>
      </c>
      <c r="D54" s="3">
        <v>0.3</v>
      </c>
      <c r="E54" s="3">
        <v>0.3</v>
      </c>
      <c r="F54" s="3">
        <v>0.30099999999999999</v>
      </c>
      <c r="G54" s="3">
        <v>0.29699999999999999</v>
      </c>
      <c r="H54" s="3">
        <v>0.29699999999999999</v>
      </c>
      <c r="I54" s="3">
        <v>0.29699999999999999</v>
      </c>
      <c r="J54" s="17">
        <f t="shared" si="68"/>
        <v>0.29866666666666664</v>
      </c>
      <c r="S54" s="5" t="s">
        <v>13</v>
      </c>
      <c r="T54" s="6" t="s">
        <v>14</v>
      </c>
      <c r="U54" s="6" t="s">
        <v>15</v>
      </c>
      <c r="V54" s="6" t="s">
        <v>16</v>
      </c>
      <c r="W54" s="6" t="s">
        <v>17</v>
      </c>
      <c r="X54" s="6" t="s">
        <v>9</v>
      </c>
      <c r="Y54" s="6" t="s">
        <v>10</v>
      </c>
      <c r="Z54" s="6" t="s">
        <v>11</v>
      </c>
      <c r="AA54" s="6" t="s">
        <v>18</v>
      </c>
      <c r="AB54" s="6" t="s">
        <v>19</v>
      </c>
      <c r="AC54" s="25" t="s">
        <v>20</v>
      </c>
      <c r="AD54" s="41" t="s">
        <v>21</v>
      </c>
      <c r="AE54" s="41" t="s">
        <v>22</v>
      </c>
      <c r="AF54" s="41" t="s">
        <v>23</v>
      </c>
      <c r="AG54" s="9"/>
      <c r="AH54" s="9"/>
      <c r="AI54" s="9"/>
      <c r="AJ54" s="9"/>
      <c r="AK54" s="9"/>
      <c r="AL54" s="9"/>
      <c r="AM54" s="9"/>
      <c r="AN54" s="9"/>
      <c r="AP54" s="5" t="s">
        <v>13</v>
      </c>
      <c r="AQ54" s="6" t="s">
        <v>14</v>
      </c>
      <c r="AR54" s="6" t="s">
        <v>15</v>
      </c>
      <c r="AS54" s="6" t="s">
        <v>16</v>
      </c>
      <c r="AT54" s="6" t="s">
        <v>17</v>
      </c>
      <c r="AU54" s="6" t="s">
        <v>9</v>
      </c>
      <c r="AV54" s="6" t="s">
        <v>10</v>
      </c>
      <c r="AW54" s="6" t="s">
        <v>11</v>
      </c>
      <c r="AX54" s="6" t="s">
        <v>18</v>
      </c>
      <c r="AY54" s="6" t="s">
        <v>19</v>
      </c>
      <c r="AZ54" s="25" t="s">
        <v>20</v>
      </c>
    </row>
    <row r="55" spans="1:53">
      <c r="A55" s="8">
        <v>0.6</v>
      </c>
      <c r="B55" s="9">
        <v>0.4</v>
      </c>
      <c r="C55" s="9">
        <f t="shared" si="67"/>
        <v>1.5</v>
      </c>
      <c r="D55" s="3">
        <v>0.45400000000000001</v>
      </c>
      <c r="E55" s="3">
        <v>0.45400000000000001</v>
      </c>
      <c r="F55" s="3">
        <v>0.45400000000000001</v>
      </c>
      <c r="G55" s="3">
        <v>0.45100000000000001</v>
      </c>
      <c r="H55" s="3">
        <v>0.45100000000000001</v>
      </c>
      <c r="I55" s="3">
        <v>0.45100000000000001</v>
      </c>
      <c r="J55" s="17">
        <f t="shared" si="68"/>
        <v>0.45250000000000007</v>
      </c>
      <c r="S55" s="5">
        <v>1</v>
      </c>
      <c r="T55" s="6">
        <v>0</v>
      </c>
      <c r="U55" s="6">
        <v>10</v>
      </c>
      <c r="V55" s="6">
        <f>($B$1*T55)/(T55+U55)</f>
        <v>0</v>
      </c>
      <c r="W55" s="6">
        <v>0.4</v>
      </c>
      <c r="X55" s="6">
        <v>0</v>
      </c>
      <c r="Y55" s="6">
        <v>0</v>
      </c>
      <c r="Z55" s="6">
        <v>0</v>
      </c>
      <c r="AA55" s="6">
        <f>AVERAGE(X55:Z55)</f>
        <v>0</v>
      </c>
      <c r="AB55" s="6">
        <f>3.3558*(AA55)</f>
        <v>0</v>
      </c>
      <c r="AC55" s="25">
        <f>((V55-AB55)*(T55+U55))/($U$4)</f>
        <v>0</v>
      </c>
      <c r="AD55" s="9">
        <f>0</f>
        <v>0</v>
      </c>
      <c r="AE55" s="9">
        <f>LINEST(AB55:AB60,AD55:AD60)</f>
        <v>16.271508455026744</v>
      </c>
      <c r="AF55" s="9">
        <f>(INTERCEPT(AB55:AB60,AD55:AD60))*-1</f>
        <v>6.1430274730009948E-2</v>
      </c>
      <c r="AG55" s="9"/>
      <c r="AH55" s="9"/>
      <c r="AI55" s="9"/>
      <c r="AJ55" s="9"/>
      <c r="AK55" s="9"/>
      <c r="AL55" s="9"/>
      <c r="AM55" s="9"/>
      <c r="AN55" s="9"/>
      <c r="AP55" s="5">
        <v>1</v>
      </c>
      <c r="AQ55" s="6">
        <v>0</v>
      </c>
      <c r="AR55" s="6">
        <v>10</v>
      </c>
      <c r="AS55" s="6">
        <f>($B$1*AQ55)/(AQ55+AR55)</f>
        <v>0</v>
      </c>
      <c r="AT55" s="6">
        <v>0.4</v>
      </c>
      <c r="AU55" s="7">
        <v>0</v>
      </c>
      <c r="AV55" s="7">
        <v>0</v>
      </c>
      <c r="AW55" s="7">
        <v>0</v>
      </c>
      <c r="AX55" s="6">
        <f>AVERAGE(AU55:AW55)</f>
        <v>0</v>
      </c>
      <c r="AY55" s="6">
        <f>3.3558*(AX55)</f>
        <v>0</v>
      </c>
      <c r="AZ55" s="25">
        <f>((AS55-AY55)*(AQ55+AR55))/($U$4)</f>
        <v>0</v>
      </c>
    </row>
    <row r="56" spans="1:53">
      <c r="A56" s="8">
        <v>0.8</v>
      </c>
      <c r="B56" s="9">
        <v>0.2</v>
      </c>
      <c r="C56" s="9">
        <f t="shared" si="67"/>
        <v>2</v>
      </c>
      <c r="D56" s="3">
        <v>0.60499999999999998</v>
      </c>
      <c r="E56" s="3">
        <v>0.60399999999999998</v>
      </c>
      <c r="F56" s="3">
        <v>0.60499999999999998</v>
      </c>
      <c r="G56" s="3">
        <v>0.60199999999999998</v>
      </c>
      <c r="H56" s="3">
        <v>0.60199999999999998</v>
      </c>
      <c r="I56" s="3">
        <v>0.60199999999999998</v>
      </c>
      <c r="J56" s="17">
        <f t="shared" si="68"/>
        <v>0.60333333333333328</v>
      </c>
      <c r="S56" s="8">
        <v>2</v>
      </c>
      <c r="T56" s="9">
        <v>2</v>
      </c>
      <c r="U56" s="9">
        <v>8</v>
      </c>
      <c r="V56" s="9">
        <f t="shared" ref="V56:V60" si="69">($B$1*T56)/(T56+U56)</f>
        <v>0.5</v>
      </c>
      <c r="W56" s="9">
        <v>0.4</v>
      </c>
      <c r="X56" s="9">
        <v>2.4E-2</v>
      </c>
      <c r="Y56" s="9">
        <v>2.4E-2</v>
      </c>
      <c r="Z56" s="9">
        <v>2.4E-2</v>
      </c>
      <c r="AA56" s="9">
        <f t="shared" ref="AA56:AA60" si="70">AVERAGE(X56:Z56)</f>
        <v>2.4000000000000004E-2</v>
      </c>
      <c r="AB56" s="9">
        <f t="shared" ref="AB56:AB60" si="71">3.3558*(AA56)</f>
        <v>8.0539200000000005E-2</v>
      </c>
      <c r="AC56" s="17">
        <f t="shared" ref="AC56:AC60" si="72">((V56-AB56)*(T56+U56))/($U$4)</f>
        <v>10.486519999999999</v>
      </c>
      <c r="AD56" s="9">
        <f t="shared" ref="AD56:AD60" si="73">AB56/AC56</f>
        <v>7.6802599909216798E-3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P56" s="8">
        <v>2</v>
      </c>
      <c r="AQ56" s="9">
        <v>2</v>
      </c>
      <c r="AR56" s="9">
        <v>8</v>
      </c>
      <c r="AS56" s="9">
        <f t="shared" ref="AS56:AS60" si="74">($B$1*AQ56)/(AQ56+AR56)</f>
        <v>0.5</v>
      </c>
      <c r="AT56" s="9">
        <v>0.4</v>
      </c>
      <c r="AU56" s="3">
        <v>1.9E-2</v>
      </c>
      <c r="AV56" s="3">
        <v>0.02</v>
      </c>
      <c r="AW56" s="3">
        <v>2.1000000000000001E-2</v>
      </c>
      <c r="AX56" s="9">
        <f t="shared" ref="AX56:AX60" si="75">AVERAGE(AU56:AW56)</f>
        <v>0.02</v>
      </c>
      <c r="AY56" s="9">
        <f t="shared" ref="AY56:AY60" si="76">3.3558*(AX56)</f>
        <v>6.7115999999999995E-2</v>
      </c>
      <c r="AZ56" s="17">
        <f t="shared" ref="AZ56:AZ60" si="77">((AS56-AY56)*(AQ56+AR56))/($U$4)</f>
        <v>10.822099999999999</v>
      </c>
    </row>
    <row r="57" spans="1:53">
      <c r="A57" s="10">
        <v>1</v>
      </c>
      <c r="B57" s="11">
        <v>0</v>
      </c>
      <c r="C57" s="11">
        <f t="shared" si="67"/>
        <v>2.5</v>
      </c>
      <c r="D57" s="12">
        <v>0.73899999999999999</v>
      </c>
      <c r="E57" s="12">
        <v>0.73899999999999999</v>
      </c>
      <c r="F57" s="12">
        <v>0.73799999999999999</v>
      </c>
      <c r="G57" s="12">
        <v>0.73199999999999998</v>
      </c>
      <c r="H57" s="12">
        <v>0.73299999999999998</v>
      </c>
      <c r="I57" s="12">
        <v>0.73399999999999999</v>
      </c>
      <c r="J57" s="18">
        <f t="shared" si="68"/>
        <v>0.73583333333333345</v>
      </c>
      <c r="S57" s="8">
        <v>3</v>
      </c>
      <c r="T57" s="9">
        <v>4</v>
      </c>
      <c r="U57" s="9">
        <v>6</v>
      </c>
      <c r="V57" s="9">
        <f t="shared" si="69"/>
        <v>1</v>
      </c>
      <c r="W57" s="9">
        <v>0.4</v>
      </c>
      <c r="X57" s="9">
        <v>0.14299999999999999</v>
      </c>
      <c r="Y57" s="9">
        <v>0.14299999999999999</v>
      </c>
      <c r="Z57" s="9">
        <v>0.14299999999999999</v>
      </c>
      <c r="AA57" s="9">
        <f t="shared" si="70"/>
        <v>0.14299999999999999</v>
      </c>
      <c r="AB57" s="9">
        <f t="shared" si="71"/>
        <v>0.47987939999999996</v>
      </c>
      <c r="AC57" s="17">
        <f t="shared" si="72"/>
        <v>13.003015000000001</v>
      </c>
      <c r="AD57" s="9">
        <f t="shared" si="73"/>
        <v>3.6905240822993735E-2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P57" s="8">
        <v>3</v>
      </c>
      <c r="AQ57" s="9">
        <v>4</v>
      </c>
      <c r="AR57" s="9">
        <v>6</v>
      </c>
      <c r="AS57" s="9">
        <f t="shared" si="74"/>
        <v>1</v>
      </c>
      <c r="AT57" s="9">
        <v>0.4</v>
      </c>
      <c r="AU57" s="3">
        <v>0.14399999999999999</v>
      </c>
      <c r="AV57" s="3">
        <v>0.14499999999999999</v>
      </c>
      <c r="AW57" s="3">
        <v>0.14599999999999999</v>
      </c>
      <c r="AX57" s="9">
        <f t="shared" si="75"/>
        <v>0.14499999999999999</v>
      </c>
      <c r="AY57" s="9">
        <f t="shared" si="76"/>
        <v>0.48659099999999994</v>
      </c>
      <c r="AZ57" s="17">
        <f t="shared" si="77"/>
        <v>12.835225000000001</v>
      </c>
    </row>
    <row r="58" spans="1:53">
      <c r="S58" s="8">
        <v>4</v>
      </c>
      <c r="T58" s="9">
        <v>6</v>
      </c>
      <c r="U58" s="9">
        <v>4</v>
      </c>
      <c r="V58" s="9">
        <f t="shared" si="69"/>
        <v>1.5</v>
      </c>
      <c r="W58" s="9">
        <v>0.4</v>
      </c>
      <c r="X58" s="9">
        <v>0.27900000000000003</v>
      </c>
      <c r="Y58" s="9">
        <v>0.27800000000000002</v>
      </c>
      <c r="Z58" s="9">
        <v>0.27900000000000003</v>
      </c>
      <c r="AA58" s="9">
        <f t="shared" si="70"/>
        <v>0.27866666666666667</v>
      </c>
      <c r="AB58" s="9">
        <f t="shared" si="71"/>
        <v>0.93514960000000003</v>
      </c>
      <c r="AC58" s="17">
        <f t="shared" si="72"/>
        <v>14.121259999999999</v>
      </c>
      <c r="AD58" s="9">
        <f t="shared" si="73"/>
        <v>6.6222815811053687E-2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P58" s="8">
        <v>4</v>
      </c>
      <c r="AQ58" s="9">
        <v>6</v>
      </c>
      <c r="AR58" s="9">
        <v>4</v>
      </c>
      <c r="AS58" s="9">
        <f t="shared" si="74"/>
        <v>1.5</v>
      </c>
      <c r="AT58" s="9">
        <v>0.4</v>
      </c>
      <c r="AU58" s="3">
        <v>0.27800000000000002</v>
      </c>
      <c r="AV58" s="3">
        <v>0.27900000000000003</v>
      </c>
      <c r="AW58" s="3">
        <v>0.27900000000000003</v>
      </c>
      <c r="AX58" s="9">
        <f t="shared" si="75"/>
        <v>0.27866666666666667</v>
      </c>
      <c r="AY58" s="9">
        <f t="shared" si="76"/>
        <v>0.93514960000000003</v>
      </c>
      <c r="AZ58" s="17">
        <f t="shared" si="77"/>
        <v>14.121259999999999</v>
      </c>
    </row>
    <row r="59" spans="1:53">
      <c r="S59" s="8">
        <v>5</v>
      </c>
      <c r="T59" s="9">
        <v>8</v>
      </c>
      <c r="U59" s="9">
        <v>2</v>
      </c>
      <c r="V59" s="9">
        <f t="shared" si="69"/>
        <v>2</v>
      </c>
      <c r="W59" s="9">
        <v>0.4</v>
      </c>
      <c r="X59" s="9">
        <v>0.42099999999999999</v>
      </c>
      <c r="Y59" s="9">
        <v>0.42099999999999999</v>
      </c>
      <c r="Z59" s="9">
        <v>0.42099999999999999</v>
      </c>
      <c r="AA59" s="9">
        <f t="shared" si="70"/>
        <v>0.42099999999999999</v>
      </c>
      <c r="AB59" s="9">
        <f t="shared" si="71"/>
        <v>1.4127917999999999</v>
      </c>
      <c r="AC59" s="17">
        <f t="shared" si="72"/>
        <v>14.680205000000001</v>
      </c>
      <c r="AD59" s="9">
        <f t="shared" si="73"/>
        <v>9.6237879511900534E-2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P59" s="8">
        <v>5</v>
      </c>
      <c r="AQ59" s="9">
        <v>8</v>
      </c>
      <c r="AR59" s="9">
        <v>2</v>
      </c>
      <c r="AS59" s="9">
        <f t="shared" si="74"/>
        <v>2</v>
      </c>
      <c r="AT59" s="9">
        <v>0.4</v>
      </c>
      <c r="AU59" s="3">
        <v>0.42199999999999999</v>
      </c>
      <c r="AV59" s="3">
        <v>0.42399999999999999</v>
      </c>
      <c r="AW59" s="3">
        <v>0.42399999999999999</v>
      </c>
      <c r="AX59" s="9">
        <f t="shared" si="75"/>
        <v>0.42333333333333334</v>
      </c>
      <c r="AY59" s="9">
        <f t="shared" si="76"/>
        <v>1.4206220000000001</v>
      </c>
      <c r="AZ59" s="17">
        <f t="shared" si="77"/>
        <v>14.484449999999999</v>
      </c>
    </row>
    <row r="60" spans="1:53">
      <c r="S60" s="10">
        <v>6</v>
      </c>
      <c r="T60" s="11">
        <v>10</v>
      </c>
      <c r="U60" s="11">
        <v>0</v>
      </c>
      <c r="V60" s="11">
        <f t="shared" si="69"/>
        <v>2.5</v>
      </c>
      <c r="W60" s="11">
        <v>0.4</v>
      </c>
      <c r="X60" s="11">
        <v>0.54</v>
      </c>
      <c r="Y60" s="11">
        <v>0.54100000000000004</v>
      </c>
      <c r="Z60" s="11">
        <v>0.54100000000000004</v>
      </c>
      <c r="AA60" s="11">
        <f t="shared" si="70"/>
        <v>0.54066666666666663</v>
      </c>
      <c r="AB60" s="11">
        <f t="shared" si="71"/>
        <v>1.8143691999999998</v>
      </c>
      <c r="AC60" s="18">
        <f t="shared" si="72"/>
        <v>17.140770000000003</v>
      </c>
      <c r="AD60" s="9">
        <f t="shared" si="73"/>
        <v>0.10585109070362647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P60" s="10">
        <v>6</v>
      </c>
      <c r="AQ60" s="11">
        <v>10</v>
      </c>
      <c r="AR60" s="11">
        <v>0</v>
      </c>
      <c r="AS60" s="11">
        <f t="shared" si="74"/>
        <v>2.5</v>
      </c>
      <c r="AT60" s="11">
        <v>0.4</v>
      </c>
      <c r="AU60" s="12">
        <v>0.53900000000000003</v>
      </c>
      <c r="AV60" s="12">
        <v>0.54100000000000004</v>
      </c>
      <c r="AW60" s="12">
        <v>0.54100000000000004</v>
      </c>
      <c r="AX60" s="11">
        <f t="shared" si="75"/>
        <v>0.54033333333333333</v>
      </c>
      <c r="AY60" s="11">
        <f t="shared" si="76"/>
        <v>1.8132505999999999</v>
      </c>
      <c r="AZ60" s="18">
        <f t="shared" si="77"/>
        <v>17.168735000000002</v>
      </c>
    </row>
    <row r="61" spans="1:53">
      <c r="A61" s="36" t="s">
        <v>46</v>
      </c>
    </row>
    <row r="62" spans="1:53">
      <c r="A62" s="13" t="s">
        <v>6</v>
      </c>
      <c r="B62" s="14" t="s">
        <v>7</v>
      </c>
      <c r="C62" s="14" t="s">
        <v>8</v>
      </c>
      <c r="D62" s="15" t="s">
        <v>9</v>
      </c>
      <c r="E62" s="15" t="s">
        <v>10</v>
      </c>
      <c r="F62" s="15" t="s">
        <v>11</v>
      </c>
      <c r="G62" s="15" t="s">
        <v>9</v>
      </c>
      <c r="H62" s="15" t="s">
        <v>10</v>
      </c>
      <c r="I62" s="15" t="s">
        <v>11</v>
      </c>
      <c r="J62" s="16" t="s">
        <v>12</v>
      </c>
      <c r="S62" s="19" t="s">
        <v>47</v>
      </c>
      <c r="T62" s="20" t="s">
        <v>4</v>
      </c>
      <c r="U62" s="20">
        <f>0.4</f>
        <v>0.4</v>
      </c>
      <c r="V62" s="20"/>
      <c r="W62" s="20"/>
      <c r="X62" s="20"/>
      <c r="Y62" s="20"/>
      <c r="Z62" s="20"/>
      <c r="AA62" s="20"/>
      <c r="AB62" s="20"/>
      <c r="AC62" s="32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P62" s="19" t="s">
        <v>48</v>
      </c>
      <c r="AQ62" s="20" t="s">
        <v>4</v>
      </c>
      <c r="AR62" s="20">
        <f>0.4</f>
        <v>0.4</v>
      </c>
      <c r="AS62" s="20"/>
      <c r="AT62" s="20"/>
      <c r="AU62" s="20"/>
      <c r="AV62" s="20"/>
      <c r="AW62" s="20"/>
      <c r="AX62" s="20"/>
      <c r="AY62" s="20"/>
      <c r="AZ62" s="32"/>
    </row>
    <row r="63" spans="1:53">
      <c r="A63" s="8">
        <v>0</v>
      </c>
      <c r="B63" s="9">
        <v>1</v>
      </c>
      <c r="C63" s="9">
        <f>($B$1*A63)/(A63+B63)</f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17">
        <f>AVERAGE(D63:I63)</f>
        <v>0</v>
      </c>
      <c r="S63" s="5" t="s">
        <v>13</v>
      </c>
      <c r="T63" s="6" t="s">
        <v>14</v>
      </c>
      <c r="U63" s="6" t="s">
        <v>15</v>
      </c>
      <c r="V63" s="6" t="s">
        <v>16</v>
      </c>
      <c r="W63" s="6" t="s">
        <v>17</v>
      </c>
      <c r="X63" s="6" t="s">
        <v>9</v>
      </c>
      <c r="Y63" s="6" t="s">
        <v>10</v>
      </c>
      <c r="Z63" s="6" t="s">
        <v>11</v>
      </c>
      <c r="AA63" s="6" t="s">
        <v>18</v>
      </c>
      <c r="AB63" s="6" t="s">
        <v>19</v>
      </c>
      <c r="AC63" s="25" t="s">
        <v>20</v>
      </c>
      <c r="AD63" s="41" t="s">
        <v>21</v>
      </c>
      <c r="AE63" s="41" t="s">
        <v>22</v>
      </c>
      <c r="AF63" s="41" t="s">
        <v>23</v>
      </c>
      <c r="AG63" s="9"/>
      <c r="AH63" s="9"/>
      <c r="AI63" s="9"/>
      <c r="AJ63" s="9"/>
      <c r="AK63" s="9"/>
      <c r="AL63" s="9"/>
      <c r="AM63" s="9"/>
      <c r="AN63" s="9"/>
      <c r="AP63" s="5" t="s">
        <v>13</v>
      </c>
      <c r="AQ63" s="6" t="s">
        <v>14</v>
      </c>
      <c r="AR63" s="6" t="s">
        <v>15</v>
      </c>
      <c r="AS63" s="6" t="s">
        <v>16</v>
      </c>
      <c r="AT63" s="6" t="s">
        <v>17</v>
      </c>
      <c r="AU63" s="6" t="s">
        <v>9</v>
      </c>
      <c r="AV63" s="6" t="s">
        <v>10</v>
      </c>
      <c r="AW63" s="6" t="s">
        <v>11</v>
      </c>
      <c r="AX63" s="6" t="s">
        <v>18</v>
      </c>
      <c r="AY63" s="6" t="s">
        <v>19</v>
      </c>
      <c r="AZ63" s="25" t="s">
        <v>20</v>
      </c>
    </row>
    <row r="64" spans="1:53">
      <c r="A64" s="8">
        <v>0.2</v>
      </c>
      <c r="B64" s="9">
        <v>0.8</v>
      </c>
      <c r="C64" s="9">
        <f t="shared" ref="C64:C68" si="78">($B$1*A64)/(A64+B64)</f>
        <v>0.5</v>
      </c>
      <c r="D64" s="3">
        <v>0.35699999999999998</v>
      </c>
      <c r="E64" s="3">
        <v>0.35799999999999998</v>
      </c>
      <c r="F64" s="3">
        <v>0.35699999999999998</v>
      </c>
      <c r="G64" s="3">
        <v>0.36</v>
      </c>
      <c r="H64" s="3">
        <v>0.36</v>
      </c>
      <c r="I64" s="3">
        <v>0.36</v>
      </c>
      <c r="J64" s="17">
        <f t="shared" ref="J64:J68" si="79">AVERAGE(D64:I64)</f>
        <v>0.35866666666666663</v>
      </c>
      <c r="S64" s="5">
        <v>1</v>
      </c>
      <c r="T64" s="6">
        <v>0</v>
      </c>
      <c r="U64" s="6">
        <v>10</v>
      </c>
      <c r="V64" s="6">
        <f>($B$1*T64)/(T64+U64)</f>
        <v>0</v>
      </c>
      <c r="W64" s="6">
        <v>0.4</v>
      </c>
      <c r="X64" s="6">
        <v>0</v>
      </c>
      <c r="Y64" s="6">
        <v>0</v>
      </c>
      <c r="Z64" s="6">
        <v>0</v>
      </c>
      <c r="AA64" s="6">
        <f>AVERAGE(X64:Z64)</f>
        <v>0</v>
      </c>
      <c r="AB64" s="6">
        <f>1.291*(AA64)</f>
        <v>0</v>
      </c>
      <c r="AC64" s="25">
        <f>((V64-AB64)*(T64+U64))/($U$4)</f>
        <v>0</v>
      </c>
      <c r="AD64" s="9">
        <f>0</f>
        <v>0</v>
      </c>
      <c r="AE64" s="9">
        <f>LINEST(AB64:AB69,AD64:AD69)</f>
        <v>6.8363707350761986</v>
      </c>
      <c r="AF64" s="9">
        <f>(INTERCEPT(AB64:AB69,AD64:AD69))*-1</f>
        <v>-0.17667746717978983</v>
      </c>
      <c r="AG64" s="9"/>
      <c r="AH64" s="9"/>
      <c r="AI64" s="9"/>
      <c r="AJ64" s="9"/>
      <c r="AK64" s="9"/>
      <c r="AL64" s="9"/>
      <c r="AM64" s="9"/>
      <c r="AN64" s="9"/>
      <c r="AP64" s="5">
        <v>1</v>
      </c>
      <c r="AQ64" s="6">
        <v>0</v>
      </c>
      <c r="AR64" s="6">
        <v>10</v>
      </c>
      <c r="AS64" s="6">
        <f>($B$1*AQ64)/(AQ64+AR64)</f>
        <v>0</v>
      </c>
      <c r="AT64" s="6">
        <v>0.4</v>
      </c>
      <c r="AU64" s="6">
        <v>0</v>
      </c>
      <c r="AV64" s="6">
        <v>0</v>
      </c>
      <c r="AW64" s="6">
        <v>0</v>
      </c>
      <c r="AX64" s="6">
        <f>AVERAGE(AU64:AW64)</f>
        <v>0</v>
      </c>
      <c r="AY64" s="6">
        <f>1.291*(AX64)</f>
        <v>0</v>
      </c>
      <c r="AZ64" s="25">
        <f>((AS64-AY64)*(AQ64+AR64))/($U$4)</f>
        <v>0</v>
      </c>
    </row>
    <row r="65" spans="1:52">
      <c r="A65" s="8">
        <v>0.4</v>
      </c>
      <c r="B65" s="9">
        <v>0.6</v>
      </c>
      <c r="C65" s="9">
        <f t="shared" si="78"/>
        <v>1</v>
      </c>
      <c r="D65" s="3">
        <v>0.76800000000000002</v>
      </c>
      <c r="E65" s="3">
        <v>0.76800000000000002</v>
      </c>
      <c r="F65" s="3">
        <v>0.76800000000000002</v>
      </c>
      <c r="G65" s="3">
        <v>0.77100000000000002</v>
      </c>
      <c r="H65" s="3">
        <v>0.77100000000000002</v>
      </c>
      <c r="I65" s="3">
        <v>0.77100000000000002</v>
      </c>
      <c r="J65" s="17">
        <f t="shared" si="79"/>
        <v>0.76949999999999996</v>
      </c>
      <c r="S65" s="8">
        <v>2</v>
      </c>
      <c r="T65" s="9">
        <v>2</v>
      </c>
      <c r="U65" s="9">
        <v>8</v>
      </c>
      <c r="V65" s="9">
        <f t="shared" ref="V65:V69" si="80">($B$1*T65)/(T65+U65)</f>
        <v>0.5</v>
      </c>
      <c r="W65" s="9">
        <v>0.4</v>
      </c>
      <c r="X65" s="9">
        <v>0.30399999999999999</v>
      </c>
      <c r="Y65" s="9">
        <v>0.29899999999999999</v>
      </c>
      <c r="Z65" s="9">
        <v>0.29899999999999999</v>
      </c>
      <c r="AA65" s="9">
        <f t="shared" ref="AA65:AA69" si="81">AVERAGE(X65:Z65)</f>
        <v>0.30066666666666664</v>
      </c>
      <c r="AB65" s="9">
        <f t="shared" ref="AB65:AB69" si="82">1.291*(AA65)</f>
        <v>0.3881606666666666</v>
      </c>
      <c r="AC65" s="17">
        <f t="shared" ref="AC65:AC69" si="83">((V65-AB65)*(T65+U65))/($U$4)</f>
        <v>2.7959833333333348</v>
      </c>
      <c r="AD65" s="9">
        <f t="shared" ref="AD65:AD69" si="84">AB65/AC65</f>
        <v>0.1388279615400663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P65" s="8">
        <v>2</v>
      </c>
      <c r="AQ65" s="9">
        <v>2</v>
      </c>
      <c r="AR65" s="9">
        <v>8</v>
      </c>
      <c r="AS65" s="9">
        <f t="shared" ref="AS65:AS69" si="85">($B$1*AQ65)/(AQ65+AR65)</f>
        <v>0.5</v>
      </c>
      <c r="AT65" s="9">
        <v>0.4</v>
      </c>
      <c r="AU65" s="9">
        <v>0.30399999999999999</v>
      </c>
      <c r="AV65" s="9">
        <v>0.29899999999999999</v>
      </c>
      <c r="AW65" s="9">
        <v>0.29499999999999998</v>
      </c>
      <c r="AX65" s="9">
        <f t="shared" ref="AX65:AX69" si="86">AVERAGE(AU65:AW65)</f>
        <v>0.29933333333333328</v>
      </c>
      <c r="AY65" s="9">
        <f t="shared" ref="AY65:AY69" si="87">1.291*(AX65)</f>
        <v>0.38643933333333325</v>
      </c>
      <c r="AZ65" s="17">
        <f t="shared" ref="AZ65:AZ69" si="88">((AS65-AY65)*(AQ65+AR65))/($U$4)</f>
        <v>2.8390166666666685</v>
      </c>
    </row>
    <row r="66" spans="1:52">
      <c r="A66" s="8">
        <v>0.6</v>
      </c>
      <c r="B66" s="9">
        <v>0.4</v>
      </c>
      <c r="C66" s="9">
        <f t="shared" si="78"/>
        <v>1.5</v>
      </c>
      <c r="D66" s="3">
        <v>1.1739999999999999</v>
      </c>
      <c r="E66" s="3">
        <v>1.1739999999999999</v>
      </c>
      <c r="F66" s="3">
        <v>1.1739999999999999</v>
      </c>
      <c r="G66" s="3">
        <v>1.177</v>
      </c>
      <c r="H66" s="3">
        <v>1.175</v>
      </c>
      <c r="I66" s="3">
        <v>1.175</v>
      </c>
      <c r="J66" s="17">
        <f t="shared" si="79"/>
        <v>1.1748333333333332</v>
      </c>
      <c r="S66" s="8">
        <v>3</v>
      </c>
      <c r="T66" s="9">
        <v>4</v>
      </c>
      <c r="U66" s="9">
        <v>6</v>
      </c>
      <c r="V66" s="9">
        <f t="shared" si="80"/>
        <v>1</v>
      </c>
      <c r="W66" s="9">
        <v>0.4</v>
      </c>
      <c r="X66" s="9">
        <v>0.61399999999999999</v>
      </c>
      <c r="Y66" s="9">
        <v>0.61599999999999999</v>
      </c>
      <c r="Z66" s="9">
        <v>0.61399999999999999</v>
      </c>
      <c r="AA66" s="9">
        <f t="shared" si="81"/>
        <v>0.61466666666666658</v>
      </c>
      <c r="AB66" s="9">
        <f t="shared" si="82"/>
        <v>0.7935346666666665</v>
      </c>
      <c r="AC66" s="17">
        <f t="shared" si="83"/>
        <v>5.1616333333333371</v>
      </c>
      <c r="AD66" s="9">
        <f t="shared" si="84"/>
        <v>0.15373712455359723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P66" s="8">
        <v>3</v>
      </c>
      <c r="AQ66" s="9">
        <v>4</v>
      </c>
      <c r="AR66" s="9">
        <v>6</v>
      </c>
      <c r="AS66" s="9">
        <f t="shared" si="85"/>
        <v>1</v>
      </c>
      <c r="AT66" s="9">
        <v>0.4</v>
      </c>
      <c r="AU66" s="9">
        <v>0.60899999999999999</v>
      </c>
      <c r="AV66" s="9">
        <v>0.61</v>
      </c>
      <c r="AW66" s="9">
        <v>0.61299999999999999</v>
      </c>
      <c r="AX66" s="9">
        <f t="shared" si="86"/>
        <v>0.61066666666666658</v>
      </c>
      <c r="AY66" s="9">
        <f t="shared" si="87"/>
        <v>0.78837066666666655</v>
      </c>
      <c r="AZ66" s="17">
        <f t="shared" si="88"/>
        <v>5.2907333333333355</v>
      </c>
    </row>
    <row r="67" spans="1:52">
      <c r="A67" s="8">
        <v>0.8</v>
      </c>
      <c r="B67" s="9">
        <v>0.2</v>
      </c>
      <c r="C67" s="9">
        <f t="shared" si="78"/>
        <v>2</v>
      </c>
      <c r="D67" s="3">
        <v>1.5649999999999999</v>
      </c>
      <c r="E67" s="3">
        <v>1.5660000000000001</v>
      </c>
      <c r="F67" s="3">
        <v>1.5649999999999999</v>
      </c>
      <c r="G67" s="3">
        <v>1.571</v>
      </c>
      <c r="H67" s="3">
        <v>1.569</v>
      </c>
      <c r="I67" s="3">
        <v>1.57</v>
      </c>
      <c r="J67" s="17">
        <f t="shared" si="79"/>
        <v>1.5676666666666665</v>
      </c>
      <c r="S67" s="8">
        <v>4</v>
      </c>
      <c r="T67" s="9">
        <v>6</v>
      </c>
      <c r="U67" s="9">
        <v>4</v>
      </c>
      <c r="V67" s="9">
        <f t="shared" si="80"/>
        <v>1.5</v>
      </c>
      <c r="W67" s="9">
        <v>0.4</v>
      </c>
      <c r="X67" s="9">
        <v>0.90700000000000003</v>
      </c>
      <c r="Y67" s="9">
        <v>0.90800000000000003</v>
      </c>
      <c r="Z67" s="9">
        <v>0.90800000000000003</v>
      </c>
      <c r="AA67" s="9">
        <f t="shared" si="81"/>
        <v>0.90766666666666662</v>
      </c>
      <c r="AB67" s="9">
        <f t="shared" si="82"/>
        <v>1.1717976666666665</v>
      </c>
      <c r="AC67" s="17">
        <f t="shared" si="83"/>
        <v>8.2050583333333371</v>
      </c>
      <c r="AD67" s="9">
        <f t="shared" si="84"/>
        <v>0.14281405677595216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P67" s="8">
        <v>4</v>
      </c>
      <c r="AQ67" s="9">
        <v>6</v>
      </c>
      <c r="AR67" s="9">
        <v>4</v>
      </c>
      <c r="AS67" s="9">
        <f t="shared" si="85"/>
        <v>1.5</v>
      </c>
      <c r="AT67" s="9">
        <v>0.4</v>
      </c>
      <c r="AU67" s="9">
        <v>0.88100000000000001</v>
      </c>
      <c r="AV67" s="9">
        <v>0.88100000000000001</v>
      </c>
      <c r="AW67" s="9">
        <v>0.88200000000000001</v>
      </c>
      <c r="AX67" s="9">
        <f t="shared" si="86"/>
        <v>0.88133333333333341</v>
      </c>
      <c r="AY67" s="9">
        <f t="shared" si="87"/>
        <v>1.1378013333333334</v>
      </c>
      <c r="AZ67" s="17">
        <f t="shared" si="88"/>
        <v>9.0549666666666635</v>
      </c>
    </row>
    <row r="68" spans="1:52">
      <c r="A68" s="10">
        <v>1</v>
      </c>
      <c r="B68" s="11">
        <v>0</v>
      </c>
      <c r="C68" s="11">
        <f t="shared" si="78"/>
        <v>2.5</v>
      </c>
      <c r="D68" s="12">
        <v>1.9219999999999999</v>
      </c>
      <c r="E68" s="12">
        <v>1.9219999999999999</v>
      </c>
      <c r="F68" s="12">
        <v>1.9219999999999999</v>
      </c>
      <c r="G68" s="12">
        <v>1.92</v>
      </c>
      <c r="H68" s="12">
        <v>1.92</v>
      </c>
      <c r="I68" s="12">
        <v>1.92</v>
      </c>
      <c r="J68" s="18">
        <f t="shared" si="79"/>
        <v>1.921</v>
      </c>
      <c r="S68" s="8">
        <v>5</v>
      </c>
      <c r="T68" s="9">
        <v>8</v>
      </c>
      <c r="U68" s="9">
        <v>2</v>
      </c>
      <c r="V68" s="9">
        <f t="shared" si="80"/>
        <v>2</v>
      </c>
      <c r="W68" s="9">
        <v>0.4</v>
      </c>
      <c r="X68" s="9">
        <v>1.19</v>
      </c>
      <c r="Y68" s="9">
        <v>1.1870000000000001</v>
      </c>
      <c r="Z68" s="9">
        <v>1.1879999999999999</v>
      </c>
      <c r="AA68" s="9">
        <f t="shared" si="81"/>
        <v>1.1883333333333332</v>
      </c>
      <c r="AB68" s="9">
        <f t="shared" si="82"/>
        <v>1.5341383333333332</v>
      </c>
      <c r="AC68" s="17">
        <f t="shared" si="83"/>
        <v>11.646541666666671</v>
      </c>
      <c r="AD68" s="9">
        <f t="shared" si="84"/>
        <v>0.13172479670288384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P68" s="8">
        <v>5</v>
      </c>
      <c r="AQ68" s="9">
        <v>8</v>
      </c>
      <c r="AR68" s="9">
        <v>2</v>
      </c>
      <c r="AS68" s="9">
        <f t="shared" si="85"/>
        <v>2</v>
      </c>
      <c r="AT68" s="9">
        <v>0.4</v>
      </c>
      <c r="AU68" s="9">
        <v>1.1499999999999999</v>
      </c>
      <c r="AV68" s="9">
        <v>1.151</v>
      </c>
      <c r="AW68" s="9">
        <v>1.1499999999999999</v>
      </c>
      <c r="AX68" s="9">
        <f t="shared" si="86"/>
        <v>1.1503333333333334</v>
      </c>
      <c r="AY68" s="9">
        <f t="shared" si="87"/>
        <v>1.4850803333333333</v>
      </c>
      <c r="AZ68" s="17">
        <f t="shared" si="88"/>
        <v>12.872991666666666</v>
      </c>
    </row>
    <row r="69" spans="1:52">
      <c r="D69" s="1"/>
      <c r="E69" s="1"/>
      <c r="F69" s="1"/>
      <c r="G69" s="1"/>
      <c r="H69" s="1"/>
      <c r="I69" s="1"/>
      <c r="J69" s="1"/>
      <c r="S69" s="10">
        <v>6</v>
      </c>
      <c r="T69" s="11">
        <v>10</v>
      </c>
      <c r="U69" s="11">
        <v>0</v>
      </c>
      <c r="V69" s="11">
        <f t="shared" si="80"/>
        <v>2.5</v>
      </c>
      <c r="W69" s="11">
        <v>0.4</v>
      </c>
      <c r="X69" s="11">
        <v>1.4590000000000001</v>
      </c>
      <c r="Y69" s="11">
        <v>1.4570000000000001</v>
      </c>
      <c r="Z69" s="11">
        <v>1.4570000000000001</v>
      </c>
      <c r="AA69" s="11">
        <f t="shared" si="81"/>
        <v>1.4576666666666667</v>
      </c>
      <c r="AB69" s="11">
        <f t="shared" si="82"/>
        <v>1.8818476666666666</v>
      </c>
      <c r="AC69" s="18">
        <f t="shared" si="83"/>
        <v>15.453808333333336</v>
      </c>
      <c r="AD69" s="9">
        <f t="shared" si="84"/>
        <v>0.12177242179247076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P69" s="10">
        <v>6</v>
      </c>
      <c r="AQ69" s="11">
        <v>10</v>
      </c>
      <c r="AR69" s="11">
        <v>0</v>
      </c>
      <c r="AS69" s="11">
        <f t="shared" si="85"/>
        <v>2.5</v>
      </c>
      <c r="AT69" s="11">
        <v>0.4</v>
      </c>
      <c r="AU69" s="11">
        <v>1.4019999999999999</v>
      </c>
      <c r="AV69" s="11">
        <v>1.4019999999999999</v>
      </c>
      <c r="AW69" s="11">
        <v>1.399</v>
      </c>
      <c r="AX69" s="11">
        <f t="shared" si="86"/>
        <v>1.4009999999999998</v>
      </c>
      <c r="AY69" s="11">
        <f t="shared" si="87"/>
        <v>1.8086909999999996</v>
      </c>
      <c r="AZ69" s="18">
        <f t="shared" si="88"/>
        <v>17.28272500000001</v>
      </c>
    </row>
    <row r="70" spans="1:52">
      <c r="A70" s="13" t="s">
        <v>29</v>
      </c>
      <c r="B70" s="14" t="s">
        <v>7</v>
      </c>
      <c r="C70" s="14" t="s">
        <v>30</v>
      </c>
      <c r="D70" s="15" t="s">
        <v>9</v>
      </c>
      <c r="E70" s="15" t="s">
        <v>10</v>
      </c>
      <c r="F70" s="15" t="s">
        <v>11</v>
      </c>
      <c r="G70" s="15" t="s">
        <v>9</v>
      </c>
      <c r="H70" s="15" t="s">
        <v>10</v>
      </c>
      <c r="I70" s="15" t="s">
        <v>11</v>
      </c>
      <c r="J70" s="16" t="s">
        <v>18</v>
      </c>
    </row>
    <row r="71" spans="1:52">
      <c r="A71" s="8">
        <v>0</v>
      </c>
      <c r="B71" s="9">
        <v>1</v>
      </c>
      <c r="C71" s="9">
        <f>($B$2*A71)/(A71+B71)</f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17">
        <f>AVERAGE(D71:I71)</f>
        <v>0</v>
      </c>
    </row>
    <row r="72" spans="1:52">
      <c r="A72" s="8">
        <v>0.2</v>
      </c>
      <c r="B72" s="9">
        <v>0.8</v>
      </c>
      <c r="C72" s="9">
        <f t="shared" ref="C72:C76" si="89">($B$2*A72)/(A72+B72)</f>
        <v>0.5</v>
      </c>
      <c r="D72" s="3">
        <v>0.159</v>
      </c>
      <c r="E72" s="3">
        <v>0.159</v>
      </c>
      <c r="F72" s="3">
        <v>0.159</v>
      </c>
      <c r="G72" s="3">
        <v>0.157</v>
      </c>
      <c r="H72" s="3">
        <v>0.158</v>
      </c>
      <c r="I72" s="3">
        <v>0.158</v>
      </c>
      <c r="J72" s="17">
        <f t="shared" ref="J72:J76" si="90">AVERAGE(D72:I72)</f>
        <v>0.15833333333333335</v>
      </c>
      <c r="S72" s="19" t="s">
        <v>49</v>
      </c>
      <c r="T72" s="20" t="s">
        <v>4</v>
      </c>
      <c r="U72" s="20">
        <f>0.4</f>
        <v>0.4</v>
      </c>
      <c r="V72" s="20"/>
      <c r="W72" s="20"/>
      <c r="X72" s="20"/>
      <c r="Y72" s="20"/>
      <c r="Z72" s="20"/>
      <c r="AA72" s="20"/>
      <c r="AB72" s="20"/>
      <c r="AC72" s="32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P72" s="19" t="s">
        <v>50</v>
      </c>
      <c r="AQ72" s="20" t="s">
        <v>4</v>
      </c>
      <c r="AR72" s="20">
        <f>0.4</f>
        <v>0.4</v>
      </c>
      <c r="AS72" s="20"/>
      <c r="AT72" s="20"/>
      <c r="AU72" s="20"/>
      <c r="AV72" s="20"/>
      <c r="AW72" s="20"/>
      <c r="AX72" s="20"/>
      <c r="AY72" s="20"/>
      <c r="AZ72" s="32"/>
    </row>
    <row r="73" spans="1:52">
      <c r="A73" s="8">
        <v>0.4</v>
      </c>
      <c r="B73" s="9">
        <v>0.6</v>
      </c>
      <c r="C73" s="9">
        <f t="shared" si="89"/>
        <v>1</v>
      </c>
      <c r="D73" s="3">
        <v>0.33800000000000002</v>
      </c>
      <c r="E73" s="3">
        <v>0.33800000000000002</v>
      </c>
      <c r="F73" s="3">
        <v>0.33800000000000002</v>
      </c>
      <c r="G73" s="3">
        <v>0.33500000000000002</v>
      </c>
      <c r="H73" s="3">
        <v>0.33600000000000002</v>
      </c>
      <c r="I73" s="3">
        <v>0.33600000000000002</v>
      </c>
      <c r="J73" s="17">
        <f t="shared" si="90"/>
        <v>0.33683333333333332</v>
      </c>
      <c r="S73" s="5" t="s">
        <v>13</v>
      </c>
      <c r="T73" s="6" t="s">
        <v>14</v>
      </c>
      <c r="U73" s="6" t="s">
        <v>15</v>
      </c>
      <c r="V73" s="6" t="s">
        <v>16</v>
      </c>
      <c r="W73" s="6" t="s">
        <v>17</v>
      </c>
      <c r="X73" s="6" t="s">
        <v>9</v>
      </c>
      <c r="Y73" s="6" t="s">
        <v>10</v>
      </c>
      <c r="Z73" s="6" t="s">
        <v>11</v>
      </c>
      <c r="AA73" s="6" t="s">
        <v>18</v>
      </c>
      <c r="AB73" s="6" t="s">
        <v>19</v>
      </c>
      <c r="AC73" s="25" t="s">
        <v>20</v>
      </c>
      <c r="AD73" s="41" t="s">
        <v>21</v>
      </c>
      <c r="AE73" s="41" t="s">
        <v>22</v>
      </c>
      <c r="AF73" s="41" t="s">
        <v>23</v>
      </c>
      <c r="AG73" s="9"/>
      <c r="AH73" s="9"/>
      <c r="AI73" s="9"/>
      <c r="AJ73" s="9"/>
      <c r="AK73" s="9"/>
      <c r="AL73" s="9"/>
      <c r="AM73" s="9"/>
      <c r="AN73" s="9"/>
      <c r="AP73" s="5" t="s">
        <v>13</v>
      </c>
      <c r="AQ73" s="6" t="s">
        <v>14</v>
      </c>
      <c r="AR73" s="6" t="s">
        <v>15</v>
      </c>
      <c r="AS73" s="6" t="s">
        <v>16</v>
      </c>
      <c r="AT73" s="6" t="s">
        <v>17</v>
      </c>
      <c r="AU73" s="6" t="s">
        <v>9</v>
      </c>
      <c r="AV73" s="6" t="s">
        <v>10</v>
      </c>
      <c r="AW73" s="6" t="s">
        <v>11</v>
      </c>
      <c r="AX73" s="6" t="s">
        <v>18</v>
      </c>
      <c r="AY73" s="6" t="s">
        <v>19</v>
      </c>
      <c r="AZ73" s="25" t="s">
        <v>20</v>
      </c>
    </row>
    <row r="74" spans="1:52">
      <c r="A74" s="8">
        <v>0.6</v>
      </c>
      <c r="B74" s="9">
        <v>0.4</v>
      </c>
      <c r="C74" s="9">
        <f t="shared" si="89"/>
        <v>1.5</v>
      </c>
      <c r="D74" s="3">
        <v>0.51300000000000001</v>
      </c>
      <c r="E74" s="3">
        <v>0.51400000000000001</v>
      </c>
      <c r="F74" s="3">
        <v>0.51400000000000001</v>
      </c>
      <c r="G74" s="3">
        <v>0.51200000000000001</v>
      </c>
      <c r="H74" s="3">
        <v>0.51200000000000001</v>
      </c>
      <c r="I74" s="3">
        <v>0.51200000000000001</v>
      </c>
      <c r="J74" s="17">
        <f t="shared" si="90"/>
        <v>0.51283333333333336</v>
      </c>
      <c r="S74" s="5">
        <v>1</v>
      </c>
      <c r="T74" s="6">
        <v>0</v>
      </c>
      <c r="U74" s="6">
        <v>10</v>
      </c>
      <c r="V74" s="6">
        <f>($B$1*T74)/(T74+U74)</f>
        <v>0</v>
      </c>
      <c r="W74" s="6">
        <v>0.4</v>
      </c>
      <c r="X74" s="6">
        <v>0</v>
      </c>
      <c r="Y74" s="6">
        <v>0</v>
      </c>
      <c r="Z74" s="6">
        <v>0</v>
      </c>
      <c r="AA74" s="6">
        <f>AVERAGE(X74:Z74)</f>
        <v>0</v>
      </c>
      <c r="AB74" s="6">
        <f>2.9314*(AA74)</f>
        <v>0</v>
      </c>
      <c r="AC74" s="25">
        <f>((V74-AB74)*(T74+U74))/($U$4)</f>
        <v>0</v>
      </c>
      <c r="AD74" s="9">
        <f>0</f>
        <v>0</v>
      </c>
      <c r="AE74" s="9">
        <f>LINEST(AB74:AB79,AD74:AD79)</f>
        <v>6.118183642298004E-3</v>
      </c>
      <c r="AF74" s="9">
        <f>(INTERCEPT(AB74:AB79,AD74:AD79))*-1</f>
        <v>-1.2487560184670403</v>
      </c>
      <c r="AG74" s="9"/>
      <c r="AH74" s="9"/>
      <c r="AI74" s="9"/>
      <c r="AJ74" s="9"/>
      <c r="AK74" s="9"/>
      <c r="AL74" s="9"/>
      <c r="AM74" s="9"/>
      <c r="AN74" s="9"/>
      <c r="AP74" s="5">
        <v>1</v>
      </c>
      <c r="AQ74" s="6">
        <v>0</v>
      </c>
      <c r="AR74" s="6">
        <v>10</v>
      </c>
      <c r="AS74" s="6">
        <f>($B$1*AQ74)/(AQ74+AR74)</f>
        <v>0</v>
      </c>
      <c r="AT74" s="6">
        <v>0.4</v>
      </c>
      <c r="AU74" s="7">
        <v>0</v>
      </c>
      <c r="AV74" s="7">
        <v>0</v>
      </c>
      <c r="AW74" s="7">
        <v>0</v>
      </c>
      <c r="AX74" s="6">
        <f>AVERAGE(AU74:AW74)</f>
        <v>0</v>
      </c>
      <c r="AY74" s="6">
        <f>2.9314*(AX74)</f>
        <v>0</v>
      </c>
      <c r="AZ74" s="25">
        <f>((AS74-AY74)*(AQ74+AR74))/($U$4)</f>
        <v>0</v>
      </c>
    </row>
    <row r="75" spans="1:52">
      <c r="A75" s="8">
        <v>0.8</v>
      </c>
      <c r="B75" s="9">
        <v>0.2</v>
      </c>
      <c r="C75" s="9">
        <f t="shared" si="89"/>
        <v>2</v>
      </c>
      <c r="D75" s="3">
        <v>0.69299999999999995</v>
      </c>
      <c r="E75" s="3">
        <v>0.69399999999999995</v>
      </c>
      <c r="F75" s="3">
        <v>0.69399999999999995</v>
      </c>
      <c r="G75" s="3">
        <v>0.69099999999999995</v>
      </c>
      <c r="H75" s="3">
        <v>0.69199999999999995</v>
      </c>
      <c r="I75" s="3">
        <v>0.69199999999999995</v>
      </c>
      <c r="J75" s="17">
        <f t="shared" si="90"/>
        <v>0.69266666666666665</v>
      </c>
      <c r="S75" s="8">
        <v>2</v>
      </c>
      <c r="T75" s="9">
        <v>2</v>
      </c>
      <c r="U75" s="9">
        <v>8</v>
      </c>
      <c r="V75" s="9">
        <f t="shared" ref="V75:V79" si="91">($B$1*T75)/(T75+U75)</f>
        <v>0.5</v>
      </c>
      <c r="W75" s="9">
        <v>0.4</v>
      </c>
      <c r="X75" s="9">
        <v>0.159</v>
      </c>
      <c r="Y75" s="9">
        <v>0.159</v>
      </c>
      <c r="Z75" s="9">
        <v>0.159</v>
      </c>
      <c r="AA75" s="9">
        <f t="shared" ref="AA75:AA79" si="92">AVERAGE(X75:Z75)</f>
        <v>0.159</v>
      </c>
      <c r="AB75" s="9">
        <f t="shared" ref="AB75:AB79" si="93">2.9314*(AA75)</f>
        <v>0.46609260000000002</v>
      </c>
      <c r="AC75" s="17">
        <f t="shared" ref="AC75:AC79" si="94">((V75-AB75)*(T75+U75))/($U$4)</f>
        <v>0.84768499999999936</v>
      </c>
      <c r="AD75" s="9">
        <f t="shared" ref="AD75:AD79" si="95">AB75/AC75</f>
        <v>0.54984174545969366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P75" s="8">
        <v>2</v>
      </c>
      <c r="AQ75" s="9">
        <v>2</v>
      </c>
      <c r="AR75" s="9">
        <v>8</v>
      </c>
      <c r="AS75" s="9">
        <f t="shared" ref="AS75:AS79" si="96">($B$1*AQ75)/(AQ75+AR75)</f>
        <v>0.5</v>
      </c>
      <c r="AT75" s="9">
        <v>0.4</v>
      </c>
      <c r="AU75" s="3">
        <v>0.157</v>
      </c>
      <c r="AV75" s="3">
        <v>0.158</v>
      </c>
      <c r="AW75" s="3">
        <v>0.158</v>
      </c>
      <c r="AX75" s="9">
        <f t="shared" ref="AX75:AX79" si="97">AVERAGE(AU75:AW75)</f>
        <v>0.15766666666666665</v>
      </c>
      <c r="AY75" s="9">
        <f t="shared" ref="AY75:AY79" si="98">2.9314*(AX75)</f>
        <v>0.46218406666666662</v>
      </c>
      <c r="AZ75" s="17">
        <f t="shared" ref="AZ75:AZ79" si="99">((AS75-AY75)*(AQ75+AR75))/($U$4)</f>
        <v>0.94539833333333456</v>
      </c>
    </row>
    <row r="76" spans="1:52">
      <c r="A76" s="10">
        <v>1</v>
      </c>
      <c r="B76" s="11">
        <v>0</v>
      </c>
      <c r="C76" s="11">
        <f t="shared" si="89"/>
        <v>2.5</v>
      </c>
      <c r="D76" s="12">
        <v>0.84599999999999997</v>
      </c>
      <c r="E76" s="12">
        <v>0.84699999999999998</v>
      </c>
      <c r="F76" s="12">
        <v>0.84799999999999998</v>
      </c>
      <c r="G76" s="12">
        <v>0.84899999999999998</v>
      </c>
      <c r="H76" s="12">
        <v>0.84799999999999998</v>
      </c>
      <c r="I76" s="12">
        <v>0.84799999999999998</v>
      </c>
      <c r="J76" s="18">
        <f t="shared" si="90"/>
        <v>0.84766666666666657</v>
      </c>
      <c r="S76" s="8">
        <v>3</v>
      </c>
      <c r="T76" s="9">
        <v>4</v>
      </c>
      <c r="U76" s="9">
        <v>6</v>
      </c>
      <c r="V76" s="9">
        <f t="shared" si="91"/>
        <v>1</v>
      </c>
      <c r="W76" s="9">
        <v>0.4</v>
      </c>
      <c r="X76" s="9">
        <v>0.33800000000000002</v>
      </c>
      <c r="Y76" s="9">
        <v>0.33800000000000002</v>
      </c>
      <c r="Z76" s="9">
        <v>0.33800000000000002</v>
      </c>
      <c r="AA76" s="9">
        <f t="shared" si="92"/>
        <v>0.33800000000000002</v>
      </c>
      <c r="AB76" s="9">
        <f t="shared" si="93"/>
        <v>0.99081320000000006</v>
      </c>
      <c r="AC76" s="17">
        <f t="shared" si="94"/>
        <v>0.22966999999999849</v>
      </c>
      <c r="AD76" s="9">
        <f t="shared" si="95"/>
        <v>4.3140732355118496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P76" s="8">
        <v>3</v>
      </c>
      <c r="AQ76" s="9">
        <v>4</v>
      </c>
      <c r="AR76" s="9">
        <v>6</v>
      </c>
      <c r="AS76" s="9">
        <f t="shared" si="96"/>
        <v>1</v>
      </c>
      <c r="AT76" s="9">
        <v>0.4</v>
      </c>
      <c r="AU76" s="3">
        <v>0.33500000000000002</v>
      </c>
      <c r="AV76" s="3">
        <v>0.33600000000000002</v>
      </c>
      <c r="AW76" s="3">
        <v>0.33600000000000002</v>
      </c>
      <c r="AX76" s="9">
        <f t="shared" si="97"/>
        <v>0.33566666666666672</v>
      </c>
      <c r="AY76" s="9">
        <f t="shared" si="98"/>
        <v>0.98397326666666685</v>
      </c>
      <c r="AZ76" s="17">
        <f t="shared" si="99"/>
        <v>0.40066833333332885</v>
      </c>
    </row>
    <row r="77" spans="1:52">
      <c r="S77" s="8">
        <v>4</v>
      </c>
      <c r="T77" s="9">
        <v>6</v>
      </c>
      <c r="U77" s="9">
        <v>4</v>
      </c>
      <c r="V77" s="9">
        <f t="shared" si="91"/>
        <v>1.5</v>
      </c>
      <c r="W77" s="9">
        <v>0.4</v>
      </c>
      <c r="X77" s="9">
        <v>0.51300000000000001</v>
      </c>
      <c r="Y77" s="9">
        <v>0.51400000000000001</v>
      </c>
      <c r="Z77" s="9">
        <v>0.51400000000000001</v>
      </c>
      <c r="AA77" s="9">
        <f t="shared" si="92"/>
        <v>0.51366666666666672</v>
      </c>
      <c r="AB77" s="9">
        <f t="shared" si="93"/>
        <v>1.5057624666666669</v>
      </c>
      <c r="AC77" s="17">
        <f t="shared" si="94"/>
        <v>-0.14406166666667275</v>
      </c>
      <c r="AD77" s="9">
        <f t="shared" si="95"/>
        <v>-10.452207735112996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P77" s="8">
        <v>4</v>
      </c>
      <c r="AQ77" s="9">
        <v>6</v>
      </c>
      <c r="AR77" s="9">
        <v>4</v>
      </c>
      <c r="AS77" s="9">
        <f t="shared" si="96"/>
        <v>1.5</v>
      </c>
      <c r="AT77" s="9">
        <v>0.4</v>
      </c>
      <c r="AU77" s="3">
        <v>0.51200000000000001</v>
      </c>
      <c r="AV77" s="3">
        <v>0.51200000000000001</v>
      </c>
      <c r="AW77" s="3">
        <v>0.51200000000000001</v>
      </c>
      <c r="AX77" s="9">
        <f t="shared" si="97"/>
        <v>0.51200000000000001</v>
      </c>
      <c r="AY77" s="9">
        <f t="shared" si="98"/>
        <v>1.5008768000000001</v>
      </c>
      <c r="AZ77" s="17">
        <f t="shared" si="99"/>
        <v>-2.1920000000003048E-2</v>
      </c>
    </row>
    <row r="78" spans="1:52">
      <c r="S78" s="8">
        <v>5</v>
      </c>
      <c r="T78" s="9">
        <v>8</v>
      </c>
      <c r="U78" s="9">
        <v>2</v>
      </c>
      <c r="V78" s="9">
        <f t="shared" si="91"/>
        <v>2</v>
      </c>
      <c r="W78" s="9">
        <v>0.4</v>
      </c>
      <c r="X78" s="9">
        <v>0.69299999999999995</v>
      </c>
      <c r="Y78" s="9">
        <v>0.69399999999999995</v>
      </c>
      <c r="Z78" s="9">
        <v>0.69399999999999995</v>
      </c>
      <c r="AA78" s="9">
        <f t="shared" si="92"/>
        <v>0.69366666666666665</v>
      </c>
      <c r="AB78" s="9">
        <f t="shared" si="93"/>
        <v>2.0334144666666667</v>
      </c>
      <c r="AC78" s="17">
        <f t="shared" si="94"/>
        <v>-0.83536166666666745</v>
      </c>
      <c r="AD78" s="9">
        <f t="shared" si="95"/>
        <v>-2.4341725839307102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P78" s="8">
        <v>5</v>
      </c>
      <c r="AQ78" s="9">
        <v>8</v>
      </c>
      <c r="AR78" s="9">
        <v>2</v>
      </c>
      <c r="AS78" s="9">
        <f t="shared" si="96"/>
        <v>2</v>
      </c>
      <c r="AT78" s="9">
        <v>0.4</v>
      </c>
      <c r="AU78" s="3">
        <v>0.69099999999999995</v>
      </c>
      <c r="AV78" s="3">
        <v>0.69199999999999995</v>
      </c>
      <c r="AW78" s="3">
        <v>0.69199999999999995</v>
      </c>
      <c r="AX78" s="9">
        <f t="shared" si="97"/>
        <v>0.69166666666666676</v>
      </c>
      <c r="AY78" s="9">
        <f t="shared" si="98"/>
        <v>2.0275516666666671</v>
      </c>
      <c r="AZ78" s="17">
        <f t="shared" si="99"/>
        <v>-0.68879166666667713</v>
      </c>
    </row>
    <row r="79" spans="1:52">
      <c r="S79" s="10">
        <v>6</v>
      </c>
      <c r="T79" s="11">
        <v>10</v>
      </c>
      <c r="U79" s="11">
        <v>0</v>
      </c>
      <c r="V79" s="11">
        <f t="shared" si="91"/>
        <v>2.5</v>
      </c>
      <c r="W79" s="11">
        <v>0.4</v>
      </c>
      <c r="X79" s="11">
        <v>0.84599999999999997</v>
      </c>
      <c r="Y79" s="11">
        <v>0.84699999999999998</v>
      </c>
      <c r="Z79" s="11">
        <v>0.84799999999999998</v>
      </c>
      <c r="AA79" s="11">
        <f t="shared" si="92"/>
        <v>0.84699999999999998</v>
      </c>
      <c r="AB79" s="11">
        <f t="shared" si="93"/>
        <v>2.4828958000000001</v>
      </c>
      <c r="AC79" s="18">
        <f t="shared" si="94"/>
        <v>0.42760499999999757</v>
      </c>
      <c r="AD79" s="9">
        <f t="shared" si="95"/>
        <v>5.8065172296863095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P79" s="10">
        <v>6</v>
      </c>
      <c r="AQ79" s="11">
        <v>10</v>
      </c>
      <c r="AR79" s="11">
        <v>0</v>
      </c>
      <c r="AS79" s="11">
        <f t="shared" si="96"/>
        <v>2.5</v>
      </c>
      <c r="AT79" s="11">
        <v>0.4</v>
      </c>
      <c r="AU79" s="12">
        <v>0.84899999999999998</v>
      </c>
      <c r="AV79" s="12">
        <v>0.84799999999999998</v>
      </c>
      <c r="AW79" s="12">
        <v>0.84799999999999998</v>
      </c>
      <c r="AX79" s="11">
        <f t="shared" si="97"/>
        <v>0.84833333333333327</v>
      </c>
      <c r="AY79" s="11">
        <f t="shared" si="98"/>
        <v>2.4868043333333332</v>
      </c>
      <c r="AZ79" s="18">
        <f t="shared" si="99"/>
        <v>0.32989166666667069</v>
      </c>
    </row>
    <row r="1048550" spans="16384:16384">
      <c r="XFD1048550" t="e">
        <f ca="1">solver_userid</f>
        <v>#NAME?</v>
      </c>
    </row>
    <row r="1048551" spans="16384:16384">
      <c r="XFD1048551" t="e">
        <f ca="1">solver_scl</f>
        <v>#NAME?</v>
      </c>
    </row>
    <row r="1048552" spans="16384:16384">
      <c r="XFD1048552" t="e">
        <f ca="1">solver_rlx</f>
        <v>#NAME?</v>
      </c>
    </row>
    <row r="1048553" spans="16384:16384">
      <c r="XFD1048553" t="e">
        <f ca="1">solver_tol</f>
        <v>#NAME?</v>
      </c>
    </row>
    <row r="1048554" spans="16384:16384">
      <c r="XFD1048554" t="e">
        <f ca="1">solver_cvg</f>
        <v>#NAME?</v>
      </c>
    </row>
    <row r="1048555" spans="16384:16384">
      <c r="XFD1048555" t="e">
        <f ca="1">AREAS(solver_adj1)</f>
        <v>#NAME?</v>
      </c>
    </row>
    <row r="1048556" spans="16384:16384">
      <c r="XFD1048556" t="e">
        <f ca="1">solver_ssz</f>
        <v>#NAME?</v>
      </c>
    </row>
    <row r="1048557" spans="16384:16384">
      <c r="XFD1048557" t="e">
        <f ca="1">solver_rsd</f>
        <v>#NAME?</v>
      </c>
    </row>
    <row r="1048558" spans="16384:16384">
      <c r="XFD1048558" t="e">
        <f ca="1">solver_mrt</f>
        <v>#NAME?</v>
      </c>
    </row>
    <row r="1048559" spans="16384:16384">
      <c r="XFD1048559" t="e">
        <f ca="1">solver_mni</f>
        <v>#NAME?</v>
      </c>
    </row>
    <row r="1048560" spans="16384:16384">
      <c r="XFD1048560" t="e">
        <f ca="1">solver_rbv</f>
        <v>#NAME?</v>
      </c>
    </row>
    <row r="1048561" spans="16384:16384">
      <c r="XFD1048561" t="e">
        <f ca="1">solver_neg</f>
        <v>#NAME?</v>
      </c>
    </row>
    <row r="1048562" spans="16384:16384">
      <c r="XFD1048562" t="e">
        <f ca="1">solver_ntr</f>
        <v>#NAME?</v>
      </c>
    </row>
    <row r="1048563" spans="16384:16384">
      <c r="XFD1048563" t="e">
        <f ca="1">solver_acc</f>
        <v>#NAME?</v>
      </c>
    </row>
    <row r="1048564" spans="16384:16384">
      <c r="XFD1048564" t="e">
        <f ca="1">solver_res</f>
        <v>#NAME?</v>
      </c>
    </row>
    <row r="1048565" spans="16384:16384">
      <c r="XFD1048565" t="e">
        <f ca="1">solver_ars</f>
        <v>#NAME?</v>
      </c>
    </row>
    <row r="1048566" spans="16384:16384">
      <c r="XFD1048566" t="e">
        <f ca="1">solver_sta</f>
        <v>#NAME?</v>
      </c>
    </row>
    <row r="1048567" spans="16384:16384">
      <c r="XFD1048567" t="e">
        <f ca="1">solver_met</f>
        <v>#NAME?</v>
      </c>
    </row>
    <row r="1048568" spans="16384:16384">
      <c r="XFD1048568" t="e">
        <f ca="1">solver_soc</f>
        <v>#NAME?</v>
      </c>
    </row>
    <row r="1048569" spans="16384:16384">
      <c r="XFD1048569" t="e">
        <f ca="1">solver_lpt</f>
        <v>#NAME?</v>
      </c>
    </row>
    <row r="1048570" spans="16384:16384">
      <c r="XFD1048570" t="e">
        <f ca="1">solver_lpp</f>
        <v>#NAME?</v>
      </c>
    </row>
    <row r="1048571" spans="16384:16384">
      <c r="XFD1048571" t="e">
        <f ca="1">solver_gap</f>
        <v>#NAME?</v>
      </c>
    </row>
    <row r="1048572" spans="16384:16384">
      <c r="XFD1048572" t="e">
        <f ca="1">solver_ips</f>
        <v>#NAME?</v>
      </c>
    </row>
    <row r="1048573" spans="16384:16384">
      <c r="XFD1048573" t="e">
        <f ca="1">solver_fea</f>
        <v>#NAME?</v>
      </c>
    </row>
    <row r="1048574" spans="16384:16384">
      <c r="XFD1048574" t="e">
        <f ca="1">solver_ipi</f>
        <v>#NAME?</v>
      </c>
    </row>
    <row r="1048575" spans="16384:16384">
      <c r="XFD1048575" t="e">
        <f ca="1">solver_ipd</f>
        <v>#NAME?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677BE70E-A8D2-4A9C-B38E-4DB510F1DCB6}">
          <xm:f>Sheet1!1:1048576</xm:f>
        </x15:webExtension>
        <x15:webExtension appRef="{D4317574-63E7-4778-9430-549967CF866F}">
          <xm:f>Sheet1!XFD1048550:XFD1048575</xm:f>
        </x15:webExtension>
        <x15:webExtension appRef="{34F80754-181D-4D01-88C6-B41EEE7B3415}">
          <xm:f>Sheet1!1:1048576</xm:f>
        </x15:webExtension>
        <x15:webExtension appRef="{3786E6FE-4661-4F02-ABC4-F85799FFBE1C}">
          <xm:f>Sheet1!1:1048576</xm:f>
        </x15:webExtension>
        <x15:webExtension appRef="{8B05429B-B7BA-432B-BDE3-7CAC747E0994}">
          <xm:f>Sheet1!1:1048576</xm:f>
        </x15:webExtension>
        <x15:webExtension appRef="{CD4F36EE-4441-40DA-A4E7-B81DACC4AA0F}">
          <xm:f>Sheet1!1:1048576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Colorado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installer</dc:creator>
  <cp:keywords/>
  <dc:description/>
  <cp:lastModifiedBy>Lee Runyon</cp:lastModifiedBy>
  <cp:revision/>
  <dcterms:created xsi:type="dcterms:W3CDTF">2016-10-27T00:30:17Z</dcterms:created>
  <dcterms:modified xsi:type="dcterms:W3CDTF">2016-11-02T11:14:28Z</dcterms:modified>
  <cp:category/>
  <cp:contentStatus/>
</cp:coreProperties>
</file>