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tcars" sheetId="1" r:id="rId4"/>
    <sheet state="visible" name="importcsv" sheetId="2" r:id="rId5"/>
    <sheet state="visible" name="importhtml" sheetId="3" r:id="rId6"/>
  </sheets>
  <definedNames/>
  <calcPr/>
</workbook>
</file>

<file path=xl/sharedStrings.xml><?xml version="1.0" encoding="utf-8"?>
<sst xmlns="http://schemas.openxmlformats.org/spreadsheetml/2006/main" count="44" uniqueCount="44">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</sst>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21.0</v>
      </c>
      <c r="C2" s="1">
        <v>6.0</v>
      </c>
      <c r="D2" s="1">
        <v>160.0</v>
      </c>
      <c r="E2" s="1">
        <v>110.0</v>
      </c>
      <c r="F2" s="1">
        <v>3.9</v>
      </c>
      <c r="G2" s="1">
        <v>2.62</v>
      </c>
      <c r="H2" s="1">
        <v>16.46</v>
      </c>
      <c r="I2" s="1">
        <v>0.0</v>
      </c>
      <c r="J2" s="1">
        <v>1.0</v>
      </c>
      <c r="K2" s="1">
        <v>4.0</v>
      </c>
      <c r="L2" s="1">
        <v>4.0</v>
      </c>
    </row>
    <row r="3">
      <c r="A3" s="1" t="s">
        <v>13</v>
      </c>
      <c r="B3" s="1">
        <v>21.0</v>
      </c>
      <c r="C3" s="1">
        <v>6.0</v>
      </c>
      <c r="D3" s="1">
        <v>160.0</v>
      </c>
      <c r="E3" s="1">
        <v>110.0</v>
      </c>
      <c r="F3" s="1">
        <v>3.9</v>
      </c>
      <c r="G3" s="1">
        <v>2.875</v>
      </c>
      <c r="H3" s="1">
        <v>17.02</v>
      </c>
      <c r="I3" s="1">
        <v>0.0</v>
      </c>
      <c r="J3" s="1">
        <v>1.0</v>
      </c>
      <c r="K3" s="1">
        <v>4.0</v>
      </c>
      <c r="L3" s="1">
        <v>4.0</v>
      </c>
    </row>
    <row r="4">
      <c r="A4" s="1" t="s">
        <v>14</v>
      </c>
      <c r="B4" s="1">
        <v>22.8</v>
      </c>
      <c r="C4" s="1">
        <v>4.0</v>
      </c>
      <c r="D4" s="1">
        <v>108.0</v>
      </c>
      <c r="E4" s="1">
        <v>93.0</v>
      </c>
      <c r="F4" s="1">
        <v>3.85</v>
      </c>
      <c r="G4" s="1">
        <v>2.32</v>
      </c>
      <c r="H4" s="1">
        <v>18.61</v>
      </c>
      <c r="I4" s="1">
        <v>1.0</v>
      </c>
      <c r="J4" s="1">
        <v>1.0</v>
      </c>
      <c r="K4" s="1">
        <v>4.0</v>
      </c>
      <c r="L4" s="1">
        <v>1.0</v>
      </c>
    </row>
    <row r="5">
      <c r="A5" s="1" t="s">
        <v>15</v>
      </c>
      <c r="B5" s="1">
        <v>21.4</v>
      </c>
      <c r="C5" s="1">
        <v>6.0</v>
      </c>
      <c r="D5" s="1">
        <v>258.0</v>
      </c>
      <c r="E5" s="1">
        <v>110.0</v>
      </c>
      <c r="F5" s="1">
        <v>3.08</v>
      </c>
      <c r="G5" s="1">
        <v>3.215</v>
      </c>
      <c r="H5" s="1">
        <v>19.44</v>
      </c>
      <c r="I5" s="1">
        <v>1.0</v>
      </c>
      <c r="J5" s="1">
        <v>0.0</v>
      </c>
      <c r="K5" s="1">
        <v>3.0</v>
      </c>
      <c r="L5" s="1">
        <v>1.0</v>
      </c>
    </row>
    <row r="6">
      <c r="A6" s="1" t="s">
        <v>16</v>
      </c>
      <c r="B6" s="1">
        <v>18.7</v>
      </c>
      <c r="C6" s="1">
        <v>8.0</v>
      </c>
      <c r="D6" s="1">
        <v>360.0</v>
      </c>
      <c r="E6" s="1">
        <v>175.0</v>
      </c>
      <c r="F6" s="1">
        <v>3.15</v>
      </c>
      <c r="G6" s="1">
        <v>3.44</v>
      </c>
      <c r="H6" s="1">
        <v>17.02</v>
      </c>
      <c r="I6" s="1">
        <v>0.0</v>
      </c>
      <c r="J6" s="1">
        <v>0.0</v>
      </c>
      <c r="K6" s="1">
        <v>3.0</v>
      </c>
      <c r="L6" s="1">
        <v>2.0</v>
      </c>
    </row>
    <row r="7">
      <c r="A7" s="1" t="s">
        <v>17</v>
      </c>
      <c r="B7" s="1">
        <v>18.1</v>
      </c>
      <c r="C7" s="1">
        <v>6.0</v>
      </c>
      <c r="D7" s="1">
        <v>225.0</v>
      </c>
      <c r="E7" s="1">
        <v>105.0</v>
      </c>
      <c r="F7" s="1">
        <v>2.76</v>
      </c>
      <c r="G7" s="1">
        <v>3.46</v>
      </c>
      <c r="H7" s="1">
        <v>20.22</v>
      </c>
      <c r="I7" s="1">
        <v>1.0</v>
      </c>
      <c r="J7" s="1">
        <v>0.0</v>
      </c>
      <c r="K7" s="1">
        <v>3.0</v>
      </c>
      <c r="L7" s="1">
        <v>1.0</v>
      </c>
    </row>
    <row r="8">
      <c r="A8" s="1" t="s">
        <v>18</v>
      </c>
      <c r="B8" s="1">
        <v>14.3</v>
      </c>
      <c r="C8" s="1">
        <v>8.0</v>
      </c>
      <c r="D8" s="1">
        <v>360.0</v>
      </c>
      <c r="E8" s="1">
        <v>245.0</v>
      </c>
      <c r="F8" s="1">
        <v>3.21</v>
      </c>
      <c r="G8" s="1">
        <v>3.57</v>
      </c>
      <c r="H8" s="1">
        <v>15.84</v>
      </c>
      <c r="I8" s="1">
        <v>0.0</v>
      </c>
      <c r="J8" s="1">
        <v>0.0</v>
      </c>
      <c r="K8" s="1">
        <v>3.0</v>
      </c>
      <c r="L8" s="1">
        <v>4.0</v>
      </c>
    </row>
    <row r="9">
      <c r="A9" s="1" t="s">
        <v>19</v>
      </c>
      <c r="B9" s="1">
        <v>24.4</v>
      </c>
      <c r="C9" s="1">
        <v>4.0</v>
      </c>
      <c r="D9" s="1">
        <v>146.7</v>
      </c>
      <c r="E9" s="1">
        <v>62.0</v>
      </c>
      <c r="F9" s="1">
        <v>3.69</v>
      </c>
      <c r="G9" s="1">
        <v>3.19</v>
      </c>
      <c r="H9" s="1">
        <v>20.0</v>
      </c>
      <c r="I9" s="1">
        <v>1.0</v>
      </c>
      <c r="J9" s="1">
        <v>0.0</v>
      </c>
      <c r="K9" s="1">
        <v>4.0</v>
      </c>
      <c r="L9" s="1">
        <v>2.0</v>
      </c>
    </row>
    <row r="10">
      <c r="A10" s="1" t="s">
        <v>20</v>
      </c>
      <c r="B10" s="1">
        <v>22.8</v>
      </c>
      <c r="C10" s="1">
        <v>4.0</v>
      </c>
      <c r="D10" s="1">
        <v>140.8</v>
      </c>
      <c r="E10" s="1">
        <v>95.0</v>
      </c>
      <c r="F10" s="1">
        <v>3.92</v>
      </c>
      <c r="G10" s="1">
        <v>3.15</v>
      </c>
      <c r="H10" s="1">
        <v>22.9</v>
      </c>
      <c r="I10" s="1">
        <v>1.0</v>
      </c>
      <c r="J10" s="1">
        <v>0.0</v>
      </c>
      <c r="K10" s="1">
        <v>4.0</v>
      </c>
      <c r="L10" s="1">
        <v>2.0</v>
      </c>
    </row>
    <row r="11">
      <c r="A11" s="1" t="s">
        <v>21</v>
      </c>
      <c r="B11" s="1">
        <v>19.2</v>
      </c>
      <c r="C11" s="1">
        <v>6.0</v>
      </c>
      <c r="D11" s="1">
        <v>167.6</v>
      </c>
      <c r="E11" s="1">
        <v>123.0</v>
      </c>
      <c r="F11" s="1">
        <v>3.92</v>
      </c>
      <c r="G11" s="1">
        <v>3.44</v>
      </c>
      <c r="H11" s="1">
        <v>18.3</v>
      </c>
      <c r="I11" s="1">
        <v>1.0</v>
      </c>
      <c r="J11" s="1">
        <v>0.0</v>
      </c>
      <c r="K11" s="1">
        <v>4.0</v>
      </c>
      <c r="L11" s="1">
        <v>4.0</v>
      </c>
    </row>
    <row r="12">
      <c r="A12" s="1" t="s">
        <v>22</v>
      </c>
      <c r="B12" s="1">
        <v>17.8</v>
      </c>
      <c r="C12" s="1">
        <v>6.0</v>
      </c>
      <c r="D12" s="1">
        <v>167.6</v>
      </c>
      <c r="E12" s="1">
        <v>123.0</v>
      </c>
      <c r="F12" s="1">
        <v>3.92</v>
      </c>
      <c r="G12" s="1">
        <v>3.44</v>
      </c>
      <c r="H12" s="1">
        <v>18.9</v>
      </c>
      <c r="I12" s="1">
        <v>1.0</v>
      </c>
      <c r="J12" s="1">
        <v>0.0</v>
      </c>
      <c r="K12" s="1">
        <v>4.0</v>
      </c>
      <c r="L12" s="1">
        <v>4.0</v>
      </c>
    </row>
    <row r="13">
      <c r="A13" s="1" t="s">
        <v>23</v>
      </c>
      <c r="B13" s="1">
        <v>16.4</v>
      </c>
      <c r="C13" s="1">
        <v>8.0</v>
      </c>
      <c r="D13" s="1">
        <v>275.8</v>
      </c>
      <c r="E13" s="1">
        <v>180.0</v>
      </c>
      <c r="F13" s="1">
        <v>3.07</v>
      </c>
      <c r="G13" s="1">
        <v>4.07</v>
      </c>
      <c r="H13" s="1">
        <v>17.4</v>
      </c>
      <c r="I13" s="1">
        <v>0.0</v>
      </c>
      <c r="J13" s="1">
        <v>0.0</v>
      </c>
      <c r="K13" s="1">
        <v>3.0</v>
      </c>
      <c r="L13" s="1">
        <v>3.0</v>
      </c>
    </row>
    <row r="14">
      <c r="A14" s="1" t="s">
        <v>24</v>
      </c>
      <c r="B14" s="1">
        <v>17.3</v>
      </c>
      <c r="C14" s="1">
        <v>8.0</v>
      </c>
      <c r="D14" s="1">
        <v>275.8</v>
      </c>
      <c r="E14" s="1">
        <v>180.0</v>
      </c>
      <c r="F14" s="1">
        <v>3.07</v>
      </c>
      <c r="G14" s="1">
        <v>3.73</v>
      </c>
      <c r="H14" s="1">
        <v>17.6</v>
      </c>
      <c r="I14" s="1">
        <v>0.0</v>
      </c>
      <c r="J14" s="1">
        <v>0.0</v>
      </c>
      <c r="K14" s="1">
        <v>3.0</v>
      </c>
      <c r="L14" s="1">
        <v>3.0</v>
      </c>
    </row>
    <row r="15">
      <c r="A15" s="1" t="s">
        <v>25</v>
      </c>
      <c r="B15" s="1">
        <v>15.2</v>
      </c>
      <c r="C15" s="1">
        <v>8.0</v>
      </c>
      <c r="D15" s="1">
        <v>275.8</v>
      </c>
      <c r="E15" s="1">
        <v>180.0</v>
      </c>
      <c r="F15" s="1">
        <v>3.07</v>
      </c>
      <c r="G15" s="1">
        <v>3.78</v>
      </c>
      <c r="H15" s="1">
        <v>18.0</v>
      </c>
      <c r="I15" s="1">
        <v>0.0</v>
      </c>
      <c r="J15" s="1">
        <v>0.0</v>
      </c>
      <c r="K15" s="1">
        <v>3.0</v>
      </c>
      <c r="L15" s="1">
        <v>3.0</v>
      </c>
    </row>
    <row r="16">
      <c r="A16" s="1" t="s">
        <v>26</v>
      </c>
      <c r="B16" s="1">
        <v>10.4</v>
      </c>
      <c r="C16" s="1">
        <v>8.0</v>
      </c>
      <c r="D16" s="1">
        <v>472.0</v>
      </c>
      <c r="E16" s="1">
        <v>205.0</v>
      </c>
      <c r="F16" s="1">
        <v>2.93</v>
      </c>
      <c r="G16" s="1">
        <v>5.25</v>
      </c>
      <c r="H16" s="1">
        <v>17.98</v>
      </c>
      <c r="I16" s="1">
        <v>0.0</v>
      </c>
      <c r="J16" s="1">
        <v>0.0</v>
      </c>
      <c r="K16" s="1">
        <v>3.0</v>
      </c>
      <c r="L16" s="1">
        <v>4.0</v>
      </c>
    </row>
    <row r="17">
      <c r="A17" s="1" t="s">
        <v>27</v>
      </c>
      <c r="B17" s="1">
        <v>10.4</v>
      </c>
      <c r="C17" s="1">
        <v>8.0</v>
      </c>
      <c r="D17" s="1">
        <v>460.0</v>
      </c>
      <c r="E17" s="1">
        <v>215.0</v>
      </c>
      <c r="F17" s="1">
        <v>3.0</v>
      </c>
      <c r="G17" s="1">
        <v>5.424</v>
      </c>
      <c r="H17" s="1">
        <v>17.82</v>
      </c>
      <c r="I17" s="1">
        <v>0.0</v>
      </c>
      <c r="J17" s="1">
        <v>0.0</v>
      </c>
      <c r="K17" s="1">
        <v>3.0</v>
      </c>
      <c r="L17" s="1">
        <v>4.0</v>
      </c>
    </row>
    <row r="18">
      <c r="A18" s="1" t="s">
        <v>28</v>
      </c>
      <c r="B18" s="1">
        <v>14.7</v>
      </c>
      <c r="C18" s="1">
        <v>8.0</v>
      </c>
      <c r="D18" s="1">
        <v>440.0</v>
      </c>
      <c r="E18" s="1">
        <v>230.0</v>
      </c>
      <c r="F18" s="1">
        <v>3.23</v>
      </c>
      <c r="G18" s="1">
        <v>5.345</v>
      </c>
      <c r="H18" s="1">
        <v>17.42</v>
      </c>
      <c r="I18" s="1">
        <v>0.0</v>
      </c>
      <c r="J18" s="1">
        <v>0.0</v>
      </c>
      <c r="K18" s="1">
        <v>3.0</v>
      </c>
      <c r="L18" s="1">
        <v>4.0</v>
      </c>
    </row>
    <row r="19">
      <c r="A19" s="1" t="s">
        <v>29</v>
      </c>
      <c r="B19" s="1">
        <v>32.4</v>
      </c>
      <c r="C19" s="1">
        <v>4.0</v>
      </c>
      <c r="D19" s="1">
        <v>78.7</v>
      </c>
      <c r="E19" s="1">
        <v>66.0</v>
      </c>
      <c r="F19" s="1">
        <v>4.08</v>
      </c>
      <c r="G19" s="1">
        <v>2.2</v>
      </c>
      <c r="H19" s="1">
        <v>19.47</v>
      </c>
      <c r="I19" s="1">
        <v>1.0</v>
      </c>
      <c r="J19" s="1">
        <v>1.0</v>
      </c>
      <c r="K19" s="1">
        <v>4.0</v>
      </c>
      <c r="L19" s="1">
        <v>1.0</v>
      </c>
    </row>
    <row r="20">
      <c r="A20" s="1" t="s">
        <v>30</v>
      </c>
      <c r="B20" s="1">
        <v>30.4</v>
      </c>
      <c r="C20" s="1">
        <v>4.0</v>
      </c>
      <c r="D20" s="1">
        <v>75.7</v>
      </c>
      <c r="E20" s="1">
        <v>52.0</v>
      </c>
      <c r="F20" s="1">
        <v>4.93</v>
      </c>
      <c r="G20" s="1">
        <v>1.615</v>
      </c>
      <c r="H20" s="1">
        <v>18.52</v>
      </c>
      <c r="I20" s="1">
        <v>1.0</v>
      </c>
      <c r="J20" s="1">
        <v>1.0</v>
      </c>
      <c r="K20" s="1">
        <v>4.0</v>
      </c>
      <c r="L20" s="1">
        <v>2.0</v>
      </c>
    </row>
    <row r="21">
      <c r="A21" s="1" t="s">
        <v>31</v>
      </c>
      <c r="B21" s="1">
        <v>33.9</v>
      </c>
      <c r="C21" s="1">
        <v>4.0</v>
      </c>
      <c r="D21" s="1">
        <v>71.1</v>
      </c>
      <c r="E21" s="1">
        <v>65.0</v>
      </c>
      <c r="F21" s="1">
        <v>4.22</v>
      </c>
      <c r="G21" s="1">
        <v>1.835</v>
      </c>
      <c r="H21" s="1">
        <v>19.9</v>
      </c>
      <c r="I21" s="1">
        <v>1.0</v>
      </c>
      <c r="J21" s="1">
        <v>1.0</v>
      </c>
      <c r="K21" s="1">
        <v>4.0</v>
      </c>
      <c r="L21" s="1">
        <v>1.0</v>
      </c>
    </row>
    <row r="22">
      <c r="A22" s="1" t="s">
        <v>32</v>
      </c>
      <c r="B22" s="1">
        <v>21.5</v>
      </c>
      <c r="C22" s="1">
        <v>4.0</v>
      </c>
      <c r="D22" s="1">
        <v>120.1</v>
      </c>
      <c r="E22" s="1">
        <v>97.0</v>
      </c>
      <c r="F22" s="1">
        <v>3.7</v>
      </c>
      <c r="G22" s="1">
        <v>2.465</v>
      </c>
      <c r="H22" s="1">
        <v>20.01</v>
      </c>
      <c r="I22" s="1">
        <v>1.0</v>
      </c>
      <c r="J22" s="1">
        <v>0.0</v>
      </c>
      <c r="K22" s="1">
        <v>3.0</v>
      </c>
      <c r="L22" s="1">
        <v>1.0</v>
      </c>
    </row>
    <row r="23">
      <c r="A23" s="1" t="s">
        <v>33</v>
      </c>
      <c r="B23" s="1">
        <v>15.5</v>
      </c>
      <c r="C23" s="1">
        <v>8.0</v>
      </c>
      <c r="D23" s="1">
        <v>318.0</v>
      </c>
      <c r="E23" s="1">
        <v>150.0</v>
      </c>
      <c r="F23" s="1">
        <v>2.76</v>
      </c>
      <c r="G23" s="1">
        <v>3.52</v>
      </c>
      <c r="H23" s="1">
        <v>16.87</v>
      </c>
      <c r="I23" s="1">
        <v>0.0</v>
      </c>
      <c r="J23" s="1">
        <v>0.0</v>
      </c>
      <c r="K23" s="1">
        <v>3.0</v>
      </c>
      <c r="L23" s="1">
        <v>2.0</v>
      </c>
    </row>
    <row r="24">
      <c r="A24" s="1" t="s">
        <v>34</v>
      </c>
      <c r="B24" s="1">
        <v>15.2</v>
      </c>
      <c r="C24" s="1">
        <v>8.0</v>
      </c>
      <c r="D24" s="1">
        <v>304.0</v>
      </c>
      <c r="E24" s="1">
        <v>150.0</v>
      </c>
      <c r="F24" s="1">
        <v>3.15</v>
      </c>
      <c r="G24" s="1">
        <v>3.435</v>
      </c>
      <c r="H24" s="1">
        <v>17.3</v>
      </c>
      <c r="I24" s="1">
        <v>0.0</v>
      </c>
      <c r="J24" s="1">
        <v>0.0</v>
      </c>
      <c r="K24" s="1">
        <v>3.0</v>
      </c>
      <c r="L24" s="1">
        <v>2.0</v>
      </c>
    </row>
    <row r="25">
      <c r="A25" s="1" t="s">
        <v>35</v>
      </c>
      <c r="B25" s="1">
        <v>13.3</v>
      </c>
      <c r="C25" s="1">
        <v>8.0</v>
      </c>
      <c r="D25" s="1">
        <v>350.0</v>
      </c>
      <c r="E25" s="1">
        <v>245.0</v>
      </c>
      <c r="F25" s="1">
        <v>3.73</v>
      </c>
      <c r="G25" s="1">
        <v>3.84</v>
      </c>
      <c r="H25" s="1">
        <v>15.41</v>
      </c>
      <c r="I25" s="1">
        <v>0.0</v>
      </c>
      <c r="J25" s="1">
        <v>0.0</v>
      </c>
      <c r="K25" s="1">
        <v>3.0</v>
      </c>
      <c r="L25" s="1">
        <v>4.0</v>
      </c>
    </row>
    <row r="26">
      <c r="A26" s="1" t="s">
        <v>36</v>
      </c>
      <c r="B26" s="1">
        <v>19.2</v>
      </c>
      <c r="C26" s="1">
        <v>8.0</v>
      </c>
      <c r="D26" s="1">
        <v>400.0</v>
      </c>
      <c r="E26" s="1">
        <v>175.0</v>
      </c>
      <c r="F26" s="1">
        <v>3.08</v>
      </c>
      <c r="G26" s="1">
        <v>3.845</v>
      </c>
      <c r="H26" s="1">
        <v>17.05</v>
      </c>
      <c r="I26" s="1">
        <v>0.0</v>
      </c>
      <c r="J26" s="1">
        <v>0.0</v>
      </c>
      <c r="K26" s="1">
        <v>3.0</v>
      </c>
      <c r="L26" s="1">
        <v>2.0</v>
      </c>
    </row>
    <row r="27">
      <c r="A27" s="1" t="s">
        <v>37</v>
      </c>
      <c r="B27" s="1">
        <v>27.3</v>
      </c>
      <c r="C27" s="1">
        <v>4.0</v>
      </c>
      <c r="D27" s="1">
        <v>79.0</v>
      </c>
      <c r="E27" s="1">
        <v>66.0</v>
      </c>
      <c r="F27" s="1">
        <v>4.08</v>
      </c>
      <c r="G27" s="1">
        <v>1.935</v>
      </c>
      <c r="H27" s="1">
        <v>18.9</v>
      </c>
      <c r="I27" s="1">
        <v>1.0</v>
      </c>
      <c r="J27" s="1">
        <v>1.0</v>
      </c>
      <c r="K27" s="1">
        <v>4.0</v>
      </c>
      <c r="L27" s="1">
        <v>1.0</v>
      </c>
    </row>
    <row r="28">
      <c r="A28" s="1" t="s">
        <v>38</v>
      </c>
      <c r="B28" s="1">
        <v>26.0</v>
      </c>
      <c r="C28" s="1">
        <v>4.0</v>
      </c>
      <c r="D28" s="1">
        <v>120.3</v>
      </c>
      <c r="E28" s="1">
        <v>91.0</v>
      </c>
      <c r="F28" s="1">
        <v>4.43</v>
      </c>
      <c r="G28" s="1">
        <v>2.14</v>
      </c>
      <c r="H28" s="1">
        <v>16.7</v>
      </c>
      <c r="I28" s="1">
        <v>0.0</v>
      </c>
      <c r="J28" s="1">
        <v>1.0</v>
      </c>
      <c r="K28" s="1">
        <v>5.0</v>
      </c>
      <c r="L28" s="1">
        <v>2.0</v>
      </c>
    </row>
    <row r="29">
      <c r="A29" s="1" t="s">
        <v>39</v>
      </c>
      <c r="B29" s="1">
        <v>30.4</v>
      </c>
      <c r="C29" s="1">
        <v>4.0</v>
      </c>
      <c r="D29" s="1">
        <v>95.1</v>
      </c>
      <c r="E29" s="1">
        <v>113.0</v>
      </c>
      <c r="F29" s="1">
        <v>3.77</v>
      </c>
      <c r="G29" s="1">
        <v>1.513</v>
      </c>
      <c r="H29" s="1">
        <v>16.9</v>
      </c>
      <c r="I29" s="1">
        <v>1.0</v>
      </c>
      <c r="J29" s="1">
        <v>1.0</v>
      </c>
      <c r="K29" s="1">
        <v>5.0</v>
      </c>
      <c r="L29" s="1">
        <v>2.0</v>
      </c>
    </row>
    <row r="30">
      <c r="A30" s="1" t="s">
        <v>40</v>
      </c>
      <c r="B30" s="1">
        <v>15.8</v>
      </c>
      <c r="C30" s="1">
        <v>8.0</v>
      </c>
      <c r="D30" s="1">
        <v>351.0</v>
      </c>
      <c r="E30" s="1">
        <v>264.0</v>
      </c>
      <c r="F30" s="1">
        <v>4.22</v>
      </c>
      <c r="G30" s="1">
        <v>3.17</v>
      </c>
      <c r="H30" s="1">
        <v>14.5</v>
      </c>
      <c r="I30" s="1">
        <v>0.0</v>
      </c>
      <c r="J30" s="1">
        <v>1.0</v>
      </c>
      <c r="K30" s="1">
        <v>5.0</v>
      </c>
      <c r="L30" s="1">
        <v>4.0</v>
      </c>
    </row>
    <row r="31">
      <c r="A31" s="1" t="s">
        <v>41</v>
      </c>
      <c r="B31" s="1">
        <v>19.7</v>
      </c>
      <c r="C31" s="1">
        <v>6.0</v>
      </c>
      <c r="D31" s="1">
        <v>145.0</v>
      </c>
      <c r="E31" s="1">
        <v>175.0</v>
      </c>
      <c r="F31" s="1">
        <v>3.62</v>
      </c>
      <c r="G31" s="1">
        <v>2.77</v>
      </c>
      <c r="H31" s="1">
        <v>15.5</v>
      </c>
      <c r="I31" s="1">
        <v>0.0</v>
      </c>
      <c r="J31" s="1">
        <v>1.0</v>
      </c>
      <c r="K31" s="1">
        <v>5.0</v>
      </c>
      <c r="L31" s="1">
        <v>6.0</v>
      </c>
    </row>
    <row r="32">
      <c r="A32" s="1" t="s">
        <v>42</v>
      </c>
      <c r="B32" s="1">
        <v>15.0</v>
      </c>
      <c r="C32" s="1">
        <v>8.0</v>
      </c>
      <c r="D32" s="1">
        <v>301.0</v>
      </c>
      <c r="E32" s="1">
        <v>335.0</v>
      </c>
      <c r="F32" s="1">
        <v>3.54</v>
      </c>
      <c r="G32" s="1">
        <v>3.57</v>
      </c>
      <c r="H32" s="1">
        <v>14.6</v>
      </c>
      <c r="I32" s="1">
        <v>0.0</v>
      </c>
      <c r="J32" s="1">
        <v>1.0</v>
      </c>
      <c r="K32" s="1">
        <v>5.0</v>
      </c>
      <c r="L32" s="1">
        <v>8.0</v>
      </c>
    </row>
    <row r="33">
      <c r="A33" s="1" t="s">
        <v>43</v>
      </c>
      <c r="B33" s="1">
        <v>21.4</v>
      </c>
      <c r="C33" s="1">
        <v>4.0</v>
      </c>
      <c r="D33" s="1">
        <v>121.0</v>
      </c>
      <c r="E33" s="1">
        <v>109.0</v>
      </c>
      <c r="F33" s="1">
        <v>4.11</v>
      </c>
      <c r="G33" s="1">
        <v>2.78</v>
      </c>
      <c r="H33" s="1">
        <v>18.6</v>
      </c>
      <c r="I33" s="1">
        <v>1.0</v>
      </c>
      <c r="J33" s="1">
        <v>1.0</v>
      </c>
      <c r="K33" s="1">
        <v>4.0</v>
      </c>
      <c r="L33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tr">
        <f>IFERROR(__xludf.DUMMYFUNCTION("IMPORTDATA(""https://raw.githubusercontent.com/sinanuozdemir/principles_of_data_science/master/data/chapter_2/drinks.csv"")"),"country")</f>
        <v>country</v>
      </c>
      <c r="B1" s="2" t="str">
        <f>IFERROR(__xludf.DUMMYFUNCTION("""COMPUTED_VALUE"""),"beer_servings")</f>
        <v>beer_servings</v>
      </c>
      <c r="C1" s="2" t="str">
        <f>IFERROR(__xludf.DUMMYFUNCTION("""COMPUTED_VALUE"""),"spirit_servings")</f>
        <v>spirit_servings</v>
      </c>
      <c r="D1" s="2" t="str">
        <f>IFERROR(__xludf.DUMMYFUNCTION("""COMPUTED_VALUE"""),"wine_servings")</f>
        <v>wine_servings</v>
      </c>
      <c r="E1" s="2" t="str">
        <f>IFERROR(__xludf.DUMMYFUNCTION("""COMPUTED_VALUE"""),"total_litres_of_pure_alcohol")</f>
        <v>total_litres_of_pure_alcohol</v>
      </c>
      <c r="F1" s="2" t="str">
        <f>IFERROR(__xludf.DUMMYFUNCTION("""COMPUTED_VALUE"""),"continent")</f>
        <v>continent</v>
      </c>
    </row>
    <row r="2">
      <c r="A2" s="2" t="str">
        <f>IFERROR(__xludf.DUMMYFUNCTION("""COMPUTED_VALUE"""),"Afghanistan")</f>
        <v>Afghanistan</v>
      </c>
      <c r="B2" s="2">
        <f>IFERROR(__xludf.DUMMYFUNCTION("""COMPUTED_VALUE"""),0.0)</f>
        <v>0</v>
      </c>
      <c r="C2" s="2">
        <f>IFERROR(__xludf.DUMMYFUNCTION("""COMPUTED_VALUE"""),0.0)</f>
        <v>0</v>
      </c>
      <c r="D2" s="2">
        <f>IFERROR(__xludf.DUMMYFUNCTION("""COMPUTED_VALUE"""),0.0)</f>
        <v>0</v>
      </c>
      <c r="E2" s="2">
        <f>IFERROR(__xludf.DUMMYFUNCTION("""COMPUTED_VALUE"""),0.0)</f>
        <v>0</v>
      </c>
      <c r="F2" s="2" t="str">
        <f>IFERROR(__xludf.DUMMYFUNCTION("""COMPUTED_VALUE"""),"AS")</f>
        <v>AS</v>
      </c>
    </row>
    <row r="3">
      <c r="A3" s="2" t="str">
        <f>IFERROR(__xludf.DUMMYFUNCTION("""COMPUTED_VALUE"""),"Albania")</f>
        <v>Albania</v>
      </c>
      <c r="B3" s="2">
        <f>IFERROR(__xludf.DUMMYFUNCTION("""COMPUTED_VALUE"""),89.0)</f>
        <v>89</v>
      </c>
      <c r="C3" s="2">
        <f>IFERROR(__xludf.DUMMYFUNCTION("""COMPUTED_VALUE"""),132.0)</f>
        <v>132</v>
      </c>
      <c r="D3" s="2">
        <f>IFERROR(__xludf.DUMMYFUNCTION("""COMPUTED_VALUE"""),54.0)</f>
        <v>54</v>
      </c>
      <c r="E3" s="2">
        <f>IFERROR(__xludf.DUMMYFUNCTION("""COMPUTED_VALUE"""),4.9)</f>
        <v>4.9</v>
      </c>
      <c r="F3" s="2" t="str">
        <f>IFERROR(__xludf.DUMMYFUNCTION("""COMPUTED_VALUE"""),"EU")</f>
        <v>EU</v>
      </c>
    </row>
    <row r="4">
      <c r="A4" s="2" t="str">
        <f>IFERROR(__xludf.DUMMYFUNCTION("""COMPUTED_VALUE"""),"Algeria")</f>
        <v>Algeria</v>
      </c>
      <c r="B4" s="2">
        <f>IFERROR(__xludf.DUMMYFUNCTION("""COMPUTED_VALUE"""),25.0)</f>
        <v>25</v>
      </c>
      <c r="C4" s="2">
        <f>IFERROR(__xludf.DUMMYFUNCTION("""COMPUTED_VALUE"""),0.0)</f>
        <v>0</v>
      </c>
      <c r="D4" s="2">
        <f>IFERROR(__xludf.DUMMYFUNCTION("""COMPUTED_VALUE"""),14.0)</f>
        <v>14</v>
      </c>
      <c r="E4" s="2">
        <f>IFERROR(__xludf.DUMMYFUNCTION("""COMPUTED_VALUE"""),0.7)</f>
        <v>0.7</v>
      </c>
      <c r="F4" s="2" t="str">
        <f>IFERROR(__xludf.DUMMYFUNCTION("""COMPUTED_VALUE"""),"AF")</f>
        <v>AF</v>
      </c>
    </row>
    <row r="5">
      <c r="A5" s="2" t="str">
        <f>IFERROR(__xludf.DUMMYFUNCTION("""COMPUTED_VALUE"""),"Andorra")</f>
        <v>Andorra</v>
      </c>
      <c r="B5" s="2">
        <f>IFERROR(__xludf.DUMMYFUNCTION("""COMPUTED_VALUE"""),245.0)</f>
        <v>245</v>
      </c>
      <c r="C5" s="2">
        <f>IFERROR(__xludf.DUMMYFUNCTION("""COMPUTED_VALUE"""),138.0)</f>
        <v>138</v>
      </c>
      <c r="D5" s="2">
        <f>IFERROR(__xludf.DUMMYFUNCTION("""COMPUTED_VALUE"""),312.0)</f>
        <v>312</v>
      </c>
      <c r="E5" s="2">
        <f>IFERROR(__xludf.DUMMYFUNCTION("""COMPUTED_VALUE"""),12.4)</f>
        <v>12.4</v>
      </c>
      <c r="F5" s="2" t="str">
        <f>IFERROR(__xludf.DUMMYFUNCTION("""COMPUTED_VALUE"""),"EU")</f>
        <v>EU</v>
      </c>
    </row>
    <row r="6">
      <c r="A6" s="2" t="str">
        <f>IFERROR(__xludf.DUMMYFUNCTION("""COMPUTED_VALUE"""),"Angola")</f>
        <v>Angola</v>
      </c>
      <c r="B6" s="2">
        <f>IFERROR(__xludf.DUMMYFUNCTION("""COMPUTED_VALUE"""),217.0)</f>
        <v>217</v>
      </c>
      <c r="C6" s="2">
        <f>IFERROR(__xludf.DUMMYFUNCTION("""COMPUTED_VALUE"""),57.0)</f>
        <v>57</v>
      </c>
      <c r="D6" s="2">
        <f>IFERROR(__xludf.DUMMYFUNCTION("""COMPUTED_VALUE"""),45.0)</f>
        <v>45</v>
      </c>
      <c r="E6" s="2">
        <f>IFERROR(__xludf.DUMMYFUNCTION("""COMPUTED_VALUE"""),5.9)</f>
        <v>5.9</v>
      </c>
      <c r="F6" s="2" t="str">
        <f>IFERROR(__xludf.DUMMYFUNCTION("""COMPUTED_VALUE"""),"AF")</f>
        <v>AF</v>
      </c>
    </row>
    <row r="7">
      <c r="A7" s="2" t="str">
        <f>IFERROR(__xludf.DUMMYFUNCTION("""COMPUTED_VALUE"""),"Antigua &amp; Barbuda")</f>
        <v>Antigua &amp; Barbuda</v>
      </c>
      <c r="B7" s="2">
        <f>IFERROR(__xludf.DUMMYFUNCTION("""COMPUTED_VALUE"""),102.0)</f>
        <v>102</v>
      </c>
      <c r="C7" s="2">
        <f>IFERROR(__xludf.DUMMYFUNCTION("""COMPUTED_VALUE"""),128.0)</f>
        <v>128</v>
      </c>
      <c r="D7" s="2">
        <f>IFERROR(__xludf.DUMMYFUNCTION("""COMPUTED_VALUE"""),45.0)</f>
        <v>45</v>
      </c>
      <c r="E7" s="2">
        <f>IFERROR(__xludf.DUMMYFUNCTION("""COMPUTED_VALUE"""),4.9)</f>
        <v>4.9</v>
      </c>
      <c r="F7" s="2" t="str">
        <f>IFERROR(__xludf.DUMMYFUNCTION("""COMPUTED_VALUE"""),"NA")</f>
        <v>NA</v>
      </c>
    </row>
    <row r="8">
      <c r="A8" s="2" t="str">
        <f>IFERROR(__xludf.DUMMYFUNCTION("""COMPUTED_VALUE"""),"Argentina")</f>
        <v>Argentina</v>
      </c>
      <c r="B8" s="2">
        <f>IFERROR(__xludf.DUMMYFUNCTION("""COMPUTED_VALUE"""),193.0)</f>
        <v>193</v>
      </c>
      <c r="C8" s="2">
        <f>IFERROR(__xludf.DUMMYFUNCTION("""COMPUTED_VALUE"""),25.0)</f>
        <v>25</v>
      </c>
      <c r="D8" s="2">
        <f>IFERROR(__xludf.DUMMYFUNCTION("""COMPUTED_VALUE"""),221.0)</f>
        <v>221</v>
      </c>
      <c r="E8" s="2">
        <f>IFERROR(__xludf.DUMMYFUNCTION("""COMPUTED_VALUE"""),8.3)</f>
        <v>8.3</v>
      </c>
      <c r="F8" s="2" t="str">
        <f>IFERROR(__xludf.DUMMYFUNCTION("""COMPUTED_VALUE"""),"SA")</f>
        <v>SA</v>
      </c>
    </row>
    <row r="9">
      <c r="A9" s="2" t="str">
        <f>IFERROR(__xludf.DUMMYFUNCTION("""COMPUTED_VALUE"""),"Armenia")</f>
        <v>Armenia</v>
      </c>
      <c r="B9" s="2">
        <f>IFERROR(__xludf.DUMMYFUNCTION("""COMPUTED_VALUE"""),21.0)</f>
        <v>21</v>
      </c>
      <c r="C9" s="2">
        <f>IFERROR(__xludf.DUMMYFUNCTION("""COMPUTED_VALUE"""),179.0)</f>
        <v>179</v>
      </c>
      <c r="D9" s="2">
        <f>IFERROR(__xludf.DUMMYFUNCTION("""COMPUTED_VALUE"""),11.0)</f>
        <v>11</v>
      </c>
      <c r="E9" s="2">
        <f>IFERROR(__xludf.DUMMYFUNCTION("""COMPUTED_VALUE"""),3.8)</f>
        <v>3.8</v>
      </c>
      <c r="F9" s="2" t="str">
        <f>IFERROR(__xludf.DUMMYFUNCTION("""COMPUTED_VALUE"""),"EU")</f>
        <v>EU</v>
      </c>
    </row>
    <row r="10">
      <c r="A10" s="2" t="str">
        <f>IFERROR(__xludf.DUMMYFUNCTION("""COMPUTED_VALUE"""),"Australia")</f>
        <v>Australia</v>
      </c>
      <c r="B10" s="2">
        <f>IFERROR(__xludf.DUMMYFUNCTION("""COMPUTED_VALUE"""),261.0)</f>
        <v>261</v>
      </c>
      <c r="C10" s="2">
        <f>IFERROR(__xludf.DUMMYFUNCTION("""COMPUTED_VALUE"""),72.0)</f>
        <v>72</v>
      </c>
      <c r="D10" s="2">
        <f>IFERROR(__xludf.DUMMYFUNCTION("""COMPUTED_VALUE"""),212.0)</f>
        <v>212</v>
      </c>
      <c r="E10" s="2">
        <f>IFERROR(__xludf.DUMMYFUNCTION("""COMPUTED_VALUE"""),10.4)</f>
        <v>10.4</v>
      </c>
      <c r="F10" s="2" t="str">
        <f>IFERROR(__xludf.DUMMYFUNCTION("""COMPUTED_VALUE"""),"OC")</f>
        <v>OC</v>
      </c>
    </row>
    <row r="11">
      <c r="A11" s="2" t="str">
        <f>IFERROR(__xludf.DUMMYFUNCTION("""COMPUTED_VALUE"""),"Austria")</f>
        <v>Austria</v>
      </c>
      <c r="B11" s="2">
        <f>IFERROR(__xludf.DUMMYFUNCTION("""COMPUTED_VALUE"""),279.0)</f>
        <v>279</v>
      </c>
      <c r="C11" s="2">
        <f>IFERROR(__xludf.DUMMYFUNCTION("""COMPUTED_VALUE"""),75.0)</f>
        <v>75</v>
      </c>
      <c r="D11" s="2">
        <f>IFERROR(__xludf.DUMMYFUNCTION("""COMPUTED_VALUE"""),191.0)</f>
        <v>191</v>
      </c>
      <c r="E11" s="2">
        <f>IFERROR(__xludf.DUMMYFUNCTION("""COMPUTED_VALUE"""),9.7)</f>
        <v>9.7</v>
      </c>
      <c r="F11" s="2" t="str">
        <f>IFERROR(__xludf.DUMMYFUNCTION("""COMPUTED_VALUE"""),"EU")</f>
        <v>EU</v>
      </c>
    </row>
    <row r="12">
      <c r="A12" s="2" t="str">
        <f>IFERROR(__xludf.DUMMYFUNCTION("""COMPUTED_VALUE"""),"Azerbaijan")</f>
        <v>Azerbaijan</v>
      </c>
      <c r="B12" s="2">
        <f>IFERROR(__xludf.DUMMYFUNCTION("""COMPUTED_VALUE"""),21.0)</f>
        <v>21</v>
      </c>
      <c r="C12" s="2">
        <f>IFERROR(__xludf.DUMMYFUNCTION("""COMPUTED_VALUE"""),46.0)</f>
        <v>46</v>
      </c>
      <c r="D12" s="2">
        <f>IFERROR(__xludf.DUMMYFUNCTION("""COMPUTED_VALUE"""),5.0)</f>
        <v>5</v>
      </c>
      <c r="E12" s="2">
        <f>IFERROR(__xludf.DUMMYFUNCTION("""COMPUTED_VALUE"""),1.3)</f>
        <v>1.3</v>
      </c>
      <c r="F12" s="2" t="str">
        <f>IFERROR(__xludf.DUMMYFUNCTION("""COMPUTED_VALUE"""),"EU")</f>
        <v>EU</v>
      </c>
    </row>
    <row r="13">
      <c r="A13" s="2" t="str">
        <f>IFERROR(__xludf.DUMMYFUNCTION("""COMPUTED_VALUE"""),"Bahamas")</f>
        <v>Bahamas</v>
      </c>
      <c r="B13" s="2">
        <f>IFERROR(__xludf.DUMMYFUNCTION("""COMPUTED_VALUE"""),122.0)</f>
        <v>122</v>
      </c>
      <c r="C13" s="2">
        <f>IFERROR(__xludf.DUMMYFUNCTION("""COMPUTED_VALUE"""),176.0)</f>
        <v>176</v>
      </c>
      <c r="D13" s="2">
        <f>IFERROR(__xludf.DUMMYFUNCTION("""COMPUTED_VALUE"""),51.0)</f>
        <v>51</v>
      </c>
      <c r="E13" s="2">
        <f>IFERROR(__xludf.DUMMYFUNCTION("""COMPUTED_VALUE"""),6.3)</f>
        <v>6.3</v>
      </c>
      <c r="F13" s="2" t="str">
        <f>IFERROR(__xludf.DUMMYFUNCTION("""COMPUTED_VALUE"""),"NA")</f>
        <v>NA</v>
      </c>
    </row>
    <row r="14">
      <c r="A14" s="2" t="str">
        <f>IFERROR(__xludf.DUMMYFUNCTION("""COMPUTED_VALUE"""),"Bahrain")</f>
        <v>Bahrain</v>
      </c>
      <c r="B14" s="2">
        <f>IFERROR(__xludf.DUMMYFUNCTION("""COMPUTED_VALUE"""),42.0)</f>
        <v>42</v>
      </c>
      <c r="C14" s="2">
        <f>IFERROR(__xludf.DUMMYFUNCTION("""COMPUTED_VALUE"""),63.0)</f>
        <v>63</v>
      </c>
      <c r="D14" s="2">
        <f>IFERROR(__xludf.DUMMYFUNCTION("""COMPUTED_VALUE"""),7.0)</f>
        <v>7</v>
      </c>
      <c r="E14" s="2">
        <f>IFERROR(__xludf.DUMMYFUNCTION("""COMPUTED_VALUE"""),2.0)</f>
        <v>2</v>
      </c>
      <c r="F14" s="2" t="str">
        <f>IFERROR(__xludf.DUMMYFUNCTION("""COMPUTED_VALUE"""),"AS")</f>
        <v>AS</v>
      </c>
    </row>
    <row r="15">
      <c r="A15" s="2" t="str">
        <f>IFERROR(__xludf.DUMMYFUNCTION("""COMPUTED_VALUE"""),"Bangladesh")</f>
        <v>Bangladesh</v>
      </c>
      <c r="B15" s="2">
        <f>IFERROR(__xludf.DUMMYFUNCTION("""COMPUTED_VALUE"""),0.0)</f>
        <v>0</v>
      </c>
      <c r="C15" s="2">
        <f>IFERROR(__xludf.DUMMYFUNCTION("""COMPUTED_VALUE"""),0.0)</f>
        <v>0</v>
      </c>
      <c r="D15" s="2">
        <f>IFERROR(__xludf.DUMMYFUNCTION("""COMPUTED_VALUE"""),0.0)</f>
        <v>0</v>
      </c>
      <c r="E15" s="2">
        <f>IFERROR(__xludf.DUMMYFUNCTION("""COMPUTED_VALUE"""),0.0)</f>
        <v>0</v>
      </c>
      <c r="F15" s="2" t="str">
        <f>IFERROR(__xludf.DUMMYFUNCTION("""COMPUTED_VALUE"""),"AS")</f>
        <v>AS</v>
      </c>
    </row>
    <row r="16">
      <c r="A16" s="2" t="str">
        <f>IFERROR(__xludf.DUMMYFUNCTION("""COMPUTED_VALUE"""),"Barbados")</f>
        <v>Barbados</v>
      </c>
      <c r="B16" s="2">
        <f>IFERROR(__xludf.DUMMYFUNCTION("""COMPUTED_VALUE"""),143.0)</f>
        <v>143</v>
      </c>
      <c r="C16" s="2">
        <f>IFERROR(__xludf.DUMMYFUNCTION("""COMPUTED_VALUE"""),173.0)</f>
        <v>173</v>
      </c>
      <c r="D16" s="2">
        <f>IFERROR(__xludf.DUMMYFUNCTION("""COMPUTED_VALUE"""),36.0)</f>
        <v>36</v>
      </c>
      <c r="E16" s="2">
        <f>IFERROR(__xludf.DUMMYFUNCTION("""COMPUTED_VALUE"""),6.3)</f>
        <v>6.3</v>
      </c>
      <c r="F16" s="2" t="str">
        <f>IFERROR(__xludf.DUMMYFUNCTION("""COMPUTED_VALUE"""),"NA")</f>
        <v>NA</v>
      </c>
    </row>
    <row r="17">
      <c r="A17" s="2" t="str">
        <f>IFERROR(__xludf.DUMMYFUNCTION("""COMPUTED_VALUE"""),"Belarus")</f>
        <v>Belarus</v>
      </c>
      <c r="B17" s="2">
        <f>IFERROR(__xludf.DUMMYFUNCTION("""COMPUTED_VALUE"""),142.0)</f>
        <v>142</v>
      </c>
      <c r="C17" s="2">
        <f>IFERROR(__xludf.DUMMYFUNCTION("""COMPUTED_VALUE"""),373.0)</f>
        <v>373</v>
      </c>
      <c r="D17" s="2">
        <f>IFERROR(__xludf.DUMMYFUNCTION("""COMPUTED_VALUE"""),42.0)</f>
        <v>42</v>
      </c>
      <c r="E17" s="2">
        <f>IFERROR(__xludf.DUMMYFUNCTION("""COMPUTED_VALUE"""),14.4)</f>
        <v>14.4</v>
      </c>
      <c r="F17" s="2" t="str">
        <f>IFERROR(__xludf.DUMMYFUNCTION("""COMPUTED_VALUE"""),"EU")</f>
        <v>EU</v>
      </c>
    </row>
    <row r="18">
      <c r="A18" s="2" t="str">
        <f>IFERROR(__xludf.DUMMYFUNCTION("""COMPUTED_VALUE"""),"Belgium")</f>
        <v>Belgium</v>
      </c>
      <c r="B18" s="2">
        <f>IFERROR(__xludf.DUMMYFUNCTION("""COMPUTED_VALUE"""),295.0)</f>
        <v>295</v>
      </c>
      <c r="C18" s="2">
        <f>IFERROR(__xludf.DUMMYFUNCTION("""COMPUTED_VALUE"""),84.0)</f>
        <v>84</v>
      </c>
      <c r="D18" s="2">
        <f>IFERROR(__xludf.DUMMYFUNCTION("""COMPUTED_VALUE"""),212.0)</f>
        <v>212</v>
      </c>
      <c r="E18" s="2">
        <f>IFERROR(__xludf.DUMMYFUNCTION("""COMPUTED_VALUE"""),10.5)</f>
        <v>10.5</v>
      </c>
      <c r="F18" s="2" t="str">
        <f>IFERROR(__xludf.DUMMYFUNCTION("""COMPUTED_VALUE"""),"EU")</f>
        <v>EU</v>
      </c>
    </row>
    <row r="19">
      <c r="A19" s="2" t="str">
        <f>IFERROR(__xludf.DUMMYFUNCTION("""COMPUTED_VALUE"""),"Belize")</f>
        <v>Belize</v>
      </c>
      <c r="B19" s="2">
        <f>IFERROR(__xludf.DUMMYFUNCTION("""COMPUTED_VALUE"""),263.0)</f>
        <v>263</v>
      </c>
      <c r="C19" s="2">
        <f>IFERROR(__xludf.DUMMYFUNCTION("""COMPUTED_VALUE"""),114.0)</f>
        <v>114</v>
      </c>
      <c r="D19" s="2">
        <f>IFERROR(__xludf.DUMMYFUNCTION("""COMPUTED_VALUE"""),8.0)</f>
        <v>8</v>
      </c>
      <c r="E19" s="2">
        <f>IFERROR(__xludf.DUMMYFUNCTION("""COMPUTED_VALUE"""),6.8)</f>
        <v>6.8</v>
      </c>
      <c r="F19" s="2" t="str">
        <f>IFERROR(__xludf.DUMMYFUNCTION("""COMPUTED_VALUE"""),"NA")</f>
        <v>NA</v>
      </c>
    </row>
    <row r="20">
      <c r="A20" s="2" t="str">
        <f>IFERROR(__xludf.DUMMYFUNCTION("""COMPUTED_VALUE"""),"Benin")</f>
        <v>Benin</v>
      </c>
      <c r="B20" s="2">
        <f>IFERROR(__xludf.DUMMYFUNCTION("""COMPUTED_VALUE"""),34.0)</f>
        <v>34</v>
      </c>
      <c r="C20" s="2">
        <f>IFERROR(__xludf.DUMMYFUNCTION("""COMPUTED_VALUE"""),4.0)</f>
        <v>4</v>
      </c>
      <c r="D20" s="2">
        <f>IFERROR(__xludf.DUMMYFUNCTION("""COMPUTED_VALUE"""),13.0)</f>
        <v>13</v>
      </c>
      <c r="E20" s="2">
        <f>IFERROR(__xludf.DUMMYFUNCTION("""COMPUTED_VALUE"""),1.1)</f>
        <v>1.1</v>
      </c>
      <c r="F20" s="2" t="str">
        <f>IFERROR(__xludf.DUMMYFUNCTION("""COMPUTED_VALUE"""),"AF")</f>
        <v>AF</v>
      </c>
    </row>
    <row r="21">
      <c r="A21" s="2" t="str">
        <f>IFERROR(__xludf.DUMMYFUNCTION("""COMPUTED_VALUE"""),"Bhutan")</f>
        <v>Bhutan</v>
      </c>
      <c r="B21" s="2">
        <f>IFERROR(__xludf.DUMMYFUNCTION("""COMPUTED_VALUE"""),23.0)</f>
        <v>23</v>
      </c>
      <c r="C21" s="2">
        <f>IFERROR(__xludf.DUMMYFUNCTION("""COMPUTED_VALUE"""),0.0)</f>
        <v>0</v>
      </c>
      <c r="D21" s="2">
        <f>IFERROR(__xludf.DUMMYFUNCTION("""COMPUTED_VALUE"""),0.0)</f>
        <v>0</v>
      </c>
      <c r="E21" s="2">
        <f>IFERROR(__xludf.DUMMYFUNCTION("""COMPUTED_VALUE"""),0.4)</f>
        <v>0.4</v>
      </c>
      <c r="F21" s="2" t="str">
        <f>IFERROR(__xludf.DUMMYFUNCTION("""COMPUTED_VALUE"""),"AS")</f>
        <v>AS</v>
      </c>
    </row>
    <row r="22">
      <c r="A22" s="2" t="str">
        <f>IFERROR(__xludf.DUMMYFUNCTION("""COMPUTED_VALUE"""),"Bolivia")</f>
        <v>Bolivia</v>
      </c>
      <c r="B22" s="2">
        <f>IFERROR(__xludf.DUMMYFUNCTION("""COMPUTED_VALUE"""),167.0)</f>
        <v>167</v>
      </c>
      <c r="C22" s="2">
        <f>IFERROR(__xludf.DUMMYFUNCTION("""COMPUTED_VALUE"""),41.0)</f>
        <v>41</v>
      </c>
      <c r="D22" s="2">
        <f>IFERROR(__xludf.DUMMYFUNCTION("""COMPUTED_VALUE"""),8.0)</f>
        <v>8</v>
      </c>
      <c r="E22" s="2">
        <f>IFERROR(__xludf.DUMMYFUNCTION("""COMPUTED_VALUE"""),3.8)</f>
        <v>3.8</v>
      </c>
      <c r="F22" s="2" t="str">
        <f>IFERROR(__xludf.DUMMYFUNCTION("""COMPUTED_VALUE"""),"SA")</f>
        <v>SA</v>
      </c>
    </row>
    <row r="23">
      <c r="A23" s="2" t="str">
        <f>IFERROR(__xludf.DUMMYFUNCTION("""COMPUTED_VALUE"""),"Bosnia-Herzegovina")</f>
        <v>Bosnia-Herzegovina</v>
      </c>
      <c r="B23" s="2">
        <f>IFERROR(__xludf.DUMMYFUNCTION("""COMPUTED_VALUE"""),76.0)</f>
        <v>76</v>
      </c>
      <c r="C23" s="2">
        <f>IFERROR(__xludf.DUMMYFUNCTION("""COMPUTED_VALUE"""),173.0)</f>
        <v>173</v>
      </c>
      <c r="D23" s="2">
        <f>IFERROR(__xludf.DUMMYFUNCTION("""COMPUTED_VALUE"""),8.0)</f>
        <v>8</v>
      </c>
      <c r="E23" s="2">
        <f>IFERROR(__xludf.DUMMYFUNCTION("""COMPUTED_VALUE"""),4.6)</f>
        <v>4.6</v>
      </c>
      <c r="F23" s="2" t="str">
        <f>IFERROR(__xludf.DUMMYFUNCTION("""COMPUTED_VALUE"""),"EU")</f>
        <v>EU</v>
      </c>
    </row>
    <row r="24">
      <c r="A24" s="2" t="str">
        <f>IFERROR(__xludf.DUMMYFUNCTION("""COMPUTED_VALUE"""),"Botswana")</f>
        <v>Botswana</v>
      </c>
      <c r="B24" s="2">
        <f>IFERROR(__xludf.DUMMYFUNCTION("""COMPUTED_VALUE"""),173.0)</f>
        <v>173</v>
      </c>
      <c r="C24" s="2">
        <f>IFERROR(__xludf.DUMMYFUNCTION("""COMPUTED_VALUE"""),35.0)</f>
        <v>35</v>
      </c>
      <c r="D24" s="2">
        <f>IFERROR(__xludf.DUMMYFUNCTION("""COMPUTED_VALUE"""),35.0)</f>
        <v>35</v>
      </c>
      <c r="E24" s="2">
        <f>IFERROR(__xludf.DUMMYFUNCTION("""COMPUTED_VALUE"""),5.4)</f>
        <v>5.4</v>
      </c>
      <c r="F24" s="2" t="str">
        <f>IFERROR(__xludf.DUMMYFUNCTION("""COMPUTED_VALUE"""),"AF")</f>
        <v>AF</v>
      </c>
    </row>
    <row r="25">
      <c r="A25" s="2" t="str">
        <f>IFERROR(__xludf.DUMMYFUNCTION("""COMPUTED_VALUE"""),"Brazil")</f>
        <v>Brazil</v>
      </c>
      <c r="B25" s="2">
        <f>IFERROR(__xludf.DUMMYFUNCTION("""COMPUTED_VALUE"""),245.0)</f>
        <v>245</v>
      </c>
      <c r="C25" s="2">
        <f>IFERROR(__xludf.DUMMYFUNCTION("""COMPUTED_VALUE"""),145.0)</f>
        <v>145</v>
      </c>
      <c r="D25" s="2">
        <f>IFERROR(__xludf.DUMMYFUNCTION("""COMPUTED_VALUE"""),16.0)</f>
        <v>16</v>
      </c>
      <c r="E25" s="2">
        <f>IFERROR(__xludf.DUMMYFUNCTION("""COMPUTED_VALUE"""),7.2)</f>
        <v>7.2</v>
      </c>
      <c r="F25" s="2" t="str">
        <f>IFERROR(__xludf.DUMMYFUNCTION("""COMPUTED_VALUE"""),"SA")</f>
        <v>SA</v>
      </c>
    </row>
    <row r="26">
      <c r="A26" s="2" t="str">
        <f>IFERROR(__xludf.DUMMYFUNCTION("""COMPUTED_VALUE"""),"Brunei")</f>
        <v>Brunei</v>
      </c>
      <c r="B26" s="2">
        <f>IFERROR(__xludf.DUMMYFUNCTION("""COMPUTED_VALUE"""),31.0)</f>
        <v>31</v>
      </c>
      <c r="C26" s="2">
        <f>IFERROR(__xludf.DUMMYFUNCTION("""COMPUTED_VALUE"""),2.0)</f>
        <v>2</v>
      </c>
      <c r="D26" s="2">
        <f>IFERROR(__xludf.DUMMYFUNCTION("""COMPUTED_VALUE"""),1.0)</f>
        <v>1</v>
      </c>
      <c r="E26" s="2">
        <f>IFERROR(__xludf.DUMMYFUNCTION("""COMPUTED_VALUE"""),0.6)</f>
        <v>0.6</v>
      </c>
      <c r="F26" s="2" t="str">
        <f>IFERROR(__xludf.DUMMYFUNCTION("""COMPUTED_VALUE"""),"AS")</f>
        <v>AS</v>
      </c>
    </row>
    <row r="27">
      <c r="A27" s="2" t="str">
        <f>IFERROR(__xludf.DUMMYFUNCTION("""COMPUTED_VALUE"""),"Bulgaria")</f>
        <v>Bulgaria</v>
      </c>
      <c r="B27" s="2">
        <f>IFERROR(__xludf.DUMMYFUNCTION("""COMPUTED_VALUE"""),231.0)</f>
        <v>231</v>
      </c>
      <c r="C27" s="2">
        <f>IFERROR(__xludf.DUMMYFUNCTION("""COMPUTED_VALUE"""),252.0)</f>
        <v>252</v>
      </c>
      <c r="D27" s="2">
        <f>IFERROR(__xludf.DUMMYFUNCTION("""COMPUTED_VALUE"""),94.0)</f>
        <v>94</v>
      </c>
      <c r="E27" s="2">
        <f>IFERROR(__xludf.DUMMYFUNCTION("""COMPUTED_VALUE"""),10.3)</f>
        <v>10.3</v>
      </c>
      <c r="F27" s="2" t="str">
        <f>IFERROR(__xludf.DUMMYFUNCTION("""COMPUTED_VALUE"""),"EU")</f>
        <v>EU</v>
      </c>
    </row>
    <row r="28">
      <c r="A28" s="2" t="str">
        <f>IFERROR(__xludf.DUMMYFUNCTION("""COMPUTED_VALUE"""),"Burkina Faso")</f>
        <v>Burkina Faso</v>
      </c>
      <c r="B28" s="2">
        <f>IFERROR(__xludf.DUMMYFUNCTION("""COMPUTED_VALUE"""),25.0)</f>
        <v>25</v>
      </c>
      <c r="C28" s="2">
        <f>IFERROR(__xludf.DUMMYFUNCTION("""COMPUTED_VALUE"""),7.0)</f>
        <v>7</v>
      </c>
      <c r="D28" s="2">
        <f>IFERROR(__xludf.DUMMYFUNCTION("""COMPUTED_VALUE"""),7.0)</f>
        <v>7</v>
      </c>
      <c r="E28" s="2">
        <f>IFERROR(__xludf.DUMMYFUNCTION("""COMPUTED_VALUE"""),4.3)</f>
        <v>4.3</v>
      </c>
      <c r="F28" s="2" t="str">
        <f>IFERROR(__xludf.DUMMYFUNCTION("""COMPUTED_VALUE"""),"AF")</f>
        <v>AF</v>
      </c>
    </row>
    <row r="29">
      <c r="A29" s="2" t="str">
        <f>IFERROR(__xludf.DUMMYFUNCTION("""COMPUTED_VALUE"""),"Burundi")</f>
        <v>Burundi</v>
      </c>
      <c r="B29" s="2">
        <f>IFERROR(__xludf.DUMMYFUNCTION("""COMPUTED_VALUE"""),88.0)</f>
        <v>88</v>
      </c>
      <c r="C29" s="2">
        <f>IFERROR(__xludf.DUMMYFUNCTION("""COMPUTED_VALUE"""),0.0)</f>
        <v>0</v>
      </c>
      <c r="D29" s="2">
        <f>IFERROR(__xludf.DUMMYFUNCTION("""COMPUTED_VALUE"""),0.0)</f>
        <v>0</v>
      </c>
      <c r="E29" s="2">
        <f>IFERROR(__xludf.DUMMYFUNCTION("""COMPUTED_VALUE"""),6.3)</f>
        <v>6.3</v>
      </c>
      <c r="F29" s="2" t="str">
        <f>IFERROR(__xludf.DUMMYFUNCTION("""COMPUTED_VALUE"""),"AF")</f>
        <v>AF</v>
      </c>
    </row>
    <row r="30">
      <c r="A30" s="2" t="str">
        <f>IFERROR(__xludf.DUMMYFUNCTION("""COMPUTED_VALUE"""),"Cote d'Ivoire")</f>
        <v>Cote d'Ivoire</v>
      </c>
      <c r="B30" s="2">
        <f>IFERROR(__xludf.DUMMYFUNCTION("""COMPUTED_VALUE"""),37.0)</f>
        <v>37</v>
      </c>
      <c r="C30" s="2">
        <f>IFERROR(__xludf.DUMMYFUNCTION("""COMPUTED_VALUE"""),1.0)</f>
        <v>1</v>
      </c>
      <c r="D30" s="2">
        <f>IFERROR(__xludf.DUMMYFUNCTION("""COMPUTED_VALUE"""),7.0)</f>
        <v>7</v>
      </c>
      <c r="E30" s="2">
        <f>IFERROR(__xludf.DUMMYFUNCTION("""COMPUTED_VALUE"""),4.0)</f>
        <v>4</v>
      </c>
      <c r="F30" s="2" t="str">
        <f>IFERROR(__xludf.DUMMYFUNCTION("""COMPUTED_VALUE"""),"AF")</f>
        <v>AF</v>
      </c>
    </row>
    <row r="31">
      <c r="A31" s="2" t="str">
        <f>IFERROR(__xludf.DUMMYFUNCTION("""COMPUTED_VALUE"""),"Cabo Verde")</f>
        <v>Cabo Verde</v>
      </c>
      <c r="B31" s="2">
        <f>IFERROR(__xludf.DUMMYFUNCTION("""COMPUTED_VALUE"""),144.0)</f>
        <v>144</v>
      </c>
      <c r="C31" s="2">
        <f>IFERROR(__xludf.DUMMYFUNCTION("""COMPUTED_VALUE"""),56.0)</f>
        <v>56</v>
      </c>
      <c r="D31" s="2">
        <f>IFERROR(__xludf.DUMMYFUNCTION("""COMPUTED_VALUE"""),16.0)</f>
        <v>16</v>
      </c>
      <c r="E31" s="2">
        <f>IFERROR(__xludf.DUMMYFUNCTION("""COMPUTED_VALUE"""),4.0)</f>
        <v>4</v>
      </c>
      <c r="F31" s="2" t="str">
        <f>IFERROR(__xludf.DUMMYFUNCTION("""COMPUTED_VALUE"""),"AF")</f>
        <v>AF</v>
      </c>
    </row>
    <row r="32">
      <c r="A32" s="2" t="str">
        <f>IFERROR(__xludf.DUMMYFUNCTION("""COMPUTED_VALUE"""),"Cambodia")</f>
        <v>Cambodia</v>
      </c>
      <c r="B32" s="2">
        <f>IFERROR(__xludf.DUMMYFUNCTION("""COMPUTED_VALUE"""),57.0)</f>
        <v>57</v>
      </c>
      <c r="C32" s="2">
        <f>IFERROR(__xludf.DUMMYFUNCTION("""COMPUTED_VALUE"""),65.0)</f>
        <v>65</v>
      </c>
      <c r="D32" s="2">
        <f>IFERROR(__xludf.DUMMYFUNCTION("""COMPUTED_VALUE"""),1.0)</f>
        <v>1</v>
      </c>
      <c r="E32" s="2">
        <f>IFERROR(__xludf.DUMMYFUNCTION("""COMPUTED_VALUE"""),2.2)</f>
        <v>2.2</v>
      </c>
      <c r="F32" s="2" t="str">
        <f>IFERROR(__xludf.DUMMYFUNCTION("""COMPUTED_VALUE"""),"AS")</f>
        <v>AS</v>
      </c>
    </row>
    <row r="33">
      <c r="A33" s="2" t="str">
        <f>IFERROR(__xludf.DUMMYFUNCTION("""COMPUTED_VALUE"""),"Cameroon")</f>
        <v>Cameroon</v>
      </c>
      <c r="B33" s="2">
        <f>IFERROR(__xludf.DUMMYFUNCTION("""COMPUTED_VALUE"""),147.0)</f>
        <v>147</v>
      </c>
      <c r="C33" s="2">
        <f>IFERROR(__xludf.DUMMYFUNCTION("""COMPUTED_VALUE"""),1.0)</f>
        <v>1</v>
      </c>
      <c r="D33" s="2">
        <f>IFERROR(__xludf.DUMMYFUNCTION("""COMPUTED_VALUE"""),4.0)</f>
        <v>4</v>
      </c>
      <c r="E33" s="2">
        <f>IFERROR(__xludf.DUMMYFUNCTION("""COMPUTED_VALUE"""),5.8)</f>
        <v>5.8</v>
      </c>
      <c r="F33" s="2" t="str">
        <f>IFERROR(__xludf.DUMMYFUNCTION("""COMPUTED_VALUE"""),"AF")</f>
        <v>AF</v>
      </c>
    </row>
    <row r="34">
      <c r="A34" s="2" t="str">
        <f>IFERROR(__xludf.DUMMYFUNCTION("""COMPUTED_VALUE"""),"Canada")</f>
        <v>Canada</v>
      </c>
      <c r="B34" s="2">
        <f>IFERROR(__xludf.DUMMYFUNCTION("""COMPUTED_VALUE"""),240.0)</f>
        <v>240</v>
      </c>
      <c r="C34" s="2">
        <f>IFERROR(__xludf.DUMMYFUNCTION("""COMPUTED_VALUE"""),122.0)</f>
        <v>122</v>
      </c>
      <c r="D34" s="2">
        <f>IFERROR(__xludf.DUMMYFUNCTION("""COMPUTED_VALUE"""),100.0)</f>
        <v>100</v>
      </c>
      <c r="E34" s="2">
        <f>IFERROR(__xludf.DUMMYFUNCTION("""COMPUTED_VALUE"""),8.2)</f>
        <v>8.2</v>
      </c>
      <c r="F34" s="2" t="str">
        <f>IFERROR(__xludf.DUMMYFUNCTION("""COMPUTED_VALUE"""),"NA")</f>
        <v>NA</v>
      </c>
    </row>
    <row r="35">
      <c r="A35" s="2" t="str">
        <f>IFERROR(__xludf.DUMMYFUNCTION("""COMPUTED_VALUE"""),"Central African Republic")</f>
        <v>Central African Republic</v>
      </c>
      <c r="B35" s="2">
        <f>IFERROR(__xludf.DUMMYFUNCTION("""COMPUTED_VALUE"""),17.0)</f>
        <v>17</v>
      </c>
      <c r="C35" s="2">
        <f>IFERROR(__xludf.DUMMYFUNCTION("""COMPUTED_VALUE"""),2.0)</f>
        <v>2</v>
      </c>
      <c r="D35" s="2">
        <f>IFERROR(__xludf.DUMMYFUNCTION("""COMPUTED_VALUE"""),1.0)</f>
        <v>1</v>
      </c>
      <c r="E35" s="2">
        <f>IFERROR(__xludf.DUMMYFUNCTION("""COMPUTED_VALUE"""),1.8)</f>
        <v>1.8</v>
      </c>
      <c r="F35" s="2" t="str">
        <f>IFERROR(__xludf.DUMMYFUNCTION("""COMPUTED_VALUE"""),"AF")</f>
        <v>AF</v>
      </c>
    </row>
    <row r="36">
      <c r="A36" s="2" t="str">
        <f>IFERROR(__xludf.DUMMYFUNCTION("""COMPUTED_VALUE"""),"Chad")</f>
        <v>Chad</v>
      </c>
      <c r="B36" s="2">
        <f>IFERROR(__xludf.DUMMYFUNCTION("""COMPUTED_VALUE"""),15.0)</f>
        <v>15</v>
      </c>
      <c r="C36" s="2">
        <f>IFERROR(__xludf.DUMMYFUNCTION("""COMPUTED_VALUE"""),1.0)</f>
        <v>1</v>
      </c>
      <c r="D36" s="2">
        <f>IFERROR(__xludf.DUMMYFUNCTION("""COMPUTED_VALUE"""),1.0)</f>
        <v>1</v>
      </c>
      <c r="E36" s="2">
        <f>IFERROR(__xludf.DUMMYFUNCTION("""COMPUTED_VALUE"""),0.4)</f>
        <v>0.4</v>
      </c>
      <c r="F36" s="2" t="str">
        <f>IFERROR(__xludf.DUMMYFUNCTION("""COMPUTED_VALUE"""),"AF")</f>
        <v>AF</v>
      </c>
    </row>
    <row r="37">
      <c r="A37" s="2" t="str">
        <f>IFERROR(__xludf.DUMMYFUNCTION("""COMPUTED_VALUE"""),"Chile")</f>
        <v>Chile</v>
      </c>
      <c r="B37" s="2">
        <f>IFERROR(__xludf.DUMMYFUNCTION("""COMPUTED_VALUE"""),130.0)</f>
        <v>130</v>
      </c>
      <c r="C37" s="2">
        <f>IFERROR(__xludf.DUMMYFUNCTION("""COMPUTED_VALUE"""),124.0)</f>
        <v>124</v>
      </c>
      <c r="D37" s="2">
        <f>IFERROR(__xludf.DUMMYFUNCTION("""COMPUTED_VALUE"""),172.0)</f>
        <v>172</v>
      </c>
      <c r="E37" s="2">
        <f>IFERROR(__xludf.DUMMYFUNCTION("""COMPUTED_VALUE"""),7.6)</f>
        <v>7.6</v>
      </c>
      <c r="F37" s="2" t="str">
        <f>IFERROR(__xludf.DUMMYFUNCTION("""COMPUTED_VALUE"""),"SA")</f>
        <v>SA</v>
      </c>
    </row>
    <row r="38">
      <c r="A38" s="2" t="str">
        <f>IFERROR(__xludf.DUMMYFUNCTION("""COMPUTED_VALUE"""),"China")</f>
        <v>China</v>
      </c>
      <c r="B38" s="2">
        <f>IFERROR(__xludf.DUMMYFUNCTION("""COMPUTED_VALUE"""),79.0)</f>
        <v>79</v>
      </c>
      <c r="C38" s="2">
        <f>IFERROR(__xludf.DUMMYFUNCTION("""COMPUTED_VALUE"""),192.0)</f>
        <v>192</v>
      </c>
      <c r="D38" s="2">
        <f>IFERROR(__xludf.DUMMYFUNCTION("""COMPUTED_VALUE"""),8.0)</f>
        <v>8</v>
      </c>
      <c r="E38" s="2">
        <f>IFERROR(__xludf.DUMMYFUNCTION("""COMPUTED_VALUE"""),5.0)</f>
        <v>5</v>
      </c>
      <c r="F38" s="2" t="str">
        <f>IFERROR(__xludf.DUMMYFUNCTION("""COMPUTED_VALUE"""),"AS")</f>
        <v>AS</v>
      </c>
    </row>
    <row r="39">
      <c r="A39" s="2" t="str">
        <f>IFERROR(__xludf.DUMMYFUNCTION("""COMPUTED_VALUE"""),"Colombia")</f>
        <v>Colombia</v>
      </c>
      <c r="B39" s="2">
        <f>IFERROR(__xludf.DUMMYFUNCTION("""COMPUTED_VALUE"""),159.0)</f>
        <v>159</v>
      </c>
      <c r="C39" s="2">
        <f>IFERROR(__xludf.DUMMYFUNCTION("""COMPUTED_VALUE"""),76.0)</f>
        <v>76</v>
      </c>
      <c r="D39" s="2">
        <f>IFERROR(__xludf.DUMMYFUNCTION("""COMPUTED_VALUE"""),3.0)</f>
        <v>3</v>
      </c>
      <c r="E39" s="2">
        <f>IFERROR(__xludf.DUMMYFUNCTION("""COMPUTED_VALUE"""),4.2)</f>
        <v>4.2</v>
      </c>
      <c r="F39" s="2" t="str">
        <f>IFERROR(__xludf.DUMMYFUNCTION("""COMPUTED_VALUE"""),"SA")</f>
        <v>SA</v>
      </c>
    </row>
    <row r="40">
      <c r="A40" s="2" t="str">
        <f>IFERROR(__xludf.DUMMYFUNCTION("""COMPUTED_VALUE"""),"Comoros")</f>
        <v>Comoros</v>
      </c>
      <c r="B40" s="2">
        <f>IFERROR(__xludf.DUMMYFUNCTION("""COMPUTED_VALUE"""),1.0)</f>
        <v>1</v>
      </c>
      <c r="C40" s="2">
        <f>IFERROR(__xludf.DUMMYFUNCTION("""COMPUTED_VALUE"""),3.0)</f>
        <v>3</v>
      </c>
      <c r="D40" s="2">
        <f>IFERROR(__xludf.DUMMYFUNCTION("""COMPUTED_VALUE"""),1.0)</f>
        <v>1</v>
      </c>
      <c r="E40" s="2">
        <f>IFERROR(__xludf.DUMMYFUNCTION("""COMPUTED_VALUE"""),0.1)</f>
        <v>0.1</v>
      </c>
      <c r="F40" s="2" t="str">
        <f>IFERROR(__xludf.DUMMYFUNCTION("""COMPUTED_VALUE"""),"AF")</f>
        <v>AF</v>
      </c>
    </row>
    <row r="41">
      <c r="A41" s="2" t="str">
        <f>IFERROR(__xludf.DUMMYFUNCTION("""COMPUTED_VALUE"""),"Congo")</f>
        <v>Congo</v>
      </c>
      <c r="B41" s="2">
        <f>IFERROR(__xludf.DUMMYFUNCTION("""COMPUTED_VALUE"""),76.0)</f>
        <v>76</v>
      </c>
      <c r="C41" s="2">
        <f>IFERROR(__xludf.DUMMYFUNCTION("""COMPUTED_VALUE"""),1.0)</f>
        <v>1</v>
      </c>
      <c r="D41" s="2">
        <f>IFERROR(__xludf.DUMMYFUNCTION("""COMPUTED_VALUE"""),9.0)</f>
        <v>9</v>
      </c>
      <c r="E41" s="2">
        <f>IFERROR(__xludf.DUMMYFUNCTION("""COMPUTED_VALUE"""),1.7)</f>
        <v>1.7</v>
      </c>
      <c r="F41" s="2" t="str">
        <f>IFERROR(__xludf.DUMMYFUNCTION("""COMPUTED_VALUE"""),"AF")</f>
        <v>AF</v>
      </c>
    </row>
    <row r="42">
      <c r="A42" s="2" t="str">
        <f>IFERROR(__xludf.DUMMYFUNCTION("""COMPUTED_VALUE"""),"Cook Islands")</f>
        <v>Cook Islands</v>
      </c>
      <c r="B42" s="2">
        <f>IFERROR(__xludf.DUMMYFUNCTION("""COMPUTED_VALUE"""),0.0)</f>
        <v>0</v>
      </c>
      <c r="C42" s="2">
        <f>IFERROR(__xludf.DUMMYFUNCTION("""COMPUTED_VALUE"""),254.0)</f>
        <v>254</v>
      </c>
      <c r="D42" s="2">
        <f>IFERROR(__xludf.DUMMYFUNCTION("""COMPUTED_VALUE"""),74.0)</f>
        <v>74</v>
      </c>
      <c r="E42" s="2">
        <f>IFERROR(__xludf.DUMMYFUNCTION("""COMPUTED_VALUE"""),5.9)</f>
        <v>5.9</v>
      </c>
      <c r="F42" s="2" t="str">
        <f>IFERROR(__xludf.DUMMYFUNCTION("""COMPUTED_VALUE"""),"OC")</f>
        <v>OC</v>
      </c>
    </row>
    <row r="43">
      <c r="A43" s="2" t="str">
        <f>IFERROR(__xludf.DUMMYFUNCTION("""COMPUTED_VALUE"""),"Costa Rica")</f>
        <v>Costa Rica</v>
      </c>
      <c r="B43" s="2">
        <f>IFERROR(__xludf.DUMMYFUNCTION("""COMPUTED_VALUE"""),149.0)</f>
        <v>149</v>
      </c>
      <c r="C43" s="2">
        <f>IFERROR(__xludf.DUMMYFUNCTION("""COMPUTED_VALUE"""),87.0)</f>
        <v>87</v>
      </c>
      <c r="D43" s="2">
        <f>IFERROR(__xludf.DUMMYFUNCTION("""COMPUTED_VALUE"""),11.0)</f>
        <v>11</v>
      </c>
      <c r="E43" s="2">
        <f>IFERROR(__xludf.DUMMYFUNCTION("""COMPUTED_VALUE"""),4.4)</f>
        <v>4.4</v>
      </c>
      <c r="F43" s="2" t="str">
        <f>IFERROR(__xludf.DUMMYFUNCTION("""COMPUTED_VALUE"""),"NA")</f>
        <v>NA</v>
      </c>
    </row>
    <row r="44">
      <c r="A44" s="2" t="str">
        <f>IFERROR(__xludf.DUMMYFUNCTION("""COMPUTED_VALUE"""),"Croatia")</f>
        <v>Croatia</v>
      </c>
      <c r="B44" s="2">
        <f>IFERROR(__xludf.DUMMYFUNCTION("""COMPUTED_VALUE"""),230.0)</f>
        <v>230</v>
      </c>
      <c r="C44" s="2">
        <f>IFERROR(__xludf.DUMMYFUNCTION("""COMPUTED_VALUE"""),87.0)</f>
        <v>87</v>
      </c>
      <c r="D44" s="2">
        <f>IFERROR(__xludf.DUMMYFUNCTION("""COMPUTED_VALUE"""),254.0)</f>
        <v>254</v>
      </c>
      <c r="E44" s="2">
        <f>IFERROR(__xludf.DUMMYFUNCTION("""COMPUTED_VALUE"""),10.2)</f>
        <v>10.2</v>
      </c>
      <c r="F44" s="2" t="str">
        <f>IFERROR(__xludf.DUMMYFUNCTION("""COMPUTED_VALUE"""),"EU")</f>
        <v>EU</v>
      </c>
    </row>
    <row r="45">
      <c r="A45" s="2" t="str">
        <f>IFERROR(__xludf.DUMMYFUNCTION("""COMPUTED_VALUE"""),"Cuba")</f>
        <v>Cuba</v>
      </c>
      <c r="B45" s="2">
        <f>IFERROR(__xludf.DUMMYFUNCTION("""COMPUTED_VALUE"""),93.0)</f>
        <v>93</v>
      </c>
      <c r="C45" s="2">
        <f>IFERROR(__xludf.DUMMYFUNCTION("""COMPUTED_VALUE"""),137.0)</f>
        <v>137</v>
      </c>
      <c r="D45" s="2">
        <f>IFERROR(__xludf.DUMMYFUNCTION("""COMPUTED_VALUE"""),5.0)</f>
        <v>5</v>
      </c>
      <c r="E45" s="2">
        <f>IFERROR(__xludf.DUMMYFUNCTION("""COMPUTED_VALUE"""),4.2)</f>
        <v>4.2</v>
      </c>
      <c r="F45" s="2" t="str">
        <f>IFERROR(__xludf.DUMMYFUNCTION("""COMPUTED_VALUE"""),"NA")</f>
        <v>NA</v>
      </c>
    </row>
    <row r="46">
      <c r="A46" s="2" t="str">
        <f>IFERROR(__xludf.DUMMYFUNCTION("""COMPUTED_VALUE"""),"Cyprus")</f>
        <v>Cyprus</v>
      </c>
      <c r="B46" s="2">
        <f>IFERROR(__xludf.DUMMYFUNCTION("""COMPUTED_VALUE"""),192.0)</f>
        <v>192</v>
      </c>
      <c r="C46" s="2">
        <f>IFERROR(__xludf.DUMMYFUNCTION("""COMPUTED_VALUE"""),154.0)</f>
        <v>154</v>
      </c>
      <c r="D46" s="2">
        <f>IFERROR(__xludf.DUMMYFUNCTION("""COMPUTED_VALUE"""),113.0)</f>
        <v>113</v>
      </c>
      <c r="E46" s="2">
        <f>IFERROR(__xludf.DUMMYFUNCTION("""COMPUTED_VALUE"""),8.2)</f>
        <v>8.2</v>
      </c>
      <c r="F46" s="2" t="str">
        <f>IFERROR(__xludf.DUMMYFUNCTION("""COMPUTED_VALUE"""),"EU")</f>
        <v>EU</v>
      </c>
    </row>
    <row r="47">
      <c r="A47" s="2" t="str">
        <f>IFERROR(__xludf.DUMMYFUNCTION("""COMPUTED_VALUE"""),"Czech Republic")</f>
        <v>Czech Republic</v>
      </c>
      <c r="B47" s="2">
        <f>IFERROR(__xludf.DUMMYFUNCTION("""COMPUTED_VALUE"""),361.0)</f>
        <v>361</v>
      </c>
      <c r="C47" s="2">
        <f>IFERROR(__xludf.DUMMYFUNCTION("""COMPUTED_VALUE"""),170.0)</f>
        <v>170</v>
      </c>
      <c r="D47" s="2">
        <f>IFERROR(__xludf.DUMMYFUNCTION("""COMPUTED_VALUE"""),134.0)</f>
        <v>134</v>
      </c>
      <c r="E47" s="2">
        <f>IFERROR(__xludf.DUMMYFUNCTION("""COMPUTED_VALUE"""),11.8)</f>
        <v>11.8</v>
      </c>
      <c r="F47" s="2" t="str">
        <f>IFERROR(__xludf.DUMMYFUNCTION("""COMPUTED_VALUE"""),"EU")</f>
        <v>EU</v>
      </c>
    </row>
    <row r="48">
      <c r="A48" s="2" t="str">
        <f>IFERROR(__xludf.DUMMYFUNCTION("""COMPUTED_VALUE"""),"North Korea")</f>
        <v>North Korea</v>
      </c>
      <c r="B48" s="2">
        <f>IFERROR(__xludf.DUMMYFUNCTION("""COMPUTED_VALUE"""),0.0)</f>
        <v>0</v>
      </c>
      <c r="C48" s="2">
        <f>IFERROR(__xludf.DUMMYFUNCTION("""COMPUTED_VALUE"""),0.0)</f>
        <v>0</v>
      </c>
      <c r="D48" s="2">
        <f>IFERROR(__xludf.DUMMYFUNCTION("""COMPUTED_VALUE"""),0.0)</f>
        <v>0</v>
      </c>
      <c r="E48" s="2">
        <f>IFERROR(__xludf.DUMMYFUNCTION("""COMPUTED_VALUE"""),0.0)</f>
        <v>0</v>
      </c>
      <c r="F48" s="2" t="str">
        <f>IFERROR(__xludf.DUMMYFUNCTION("""COMPUTED_VALUE"""),"AS")</f>
        <v>AS</v>
      </c>
    </row>
    <row r="49">
      <c r="A49" s="2" t="str">
        <f>IFERROR(__xludf.DUMMYFUNCTION("""COMPUTED_VALUE"""),"DR Congo")</f>
        <v>DR Congo</v>
      </c>
      <c r="B49" s="2">
        <f>IFERROR(__xludf.DUMMYFUNCTION("""COMPUTED_VALUE"""),32.0)</f>
        <v>32</v>
      </c>
      <c r="C49" s="2">
        <f>IFERROR(__xludf.DUMMYFUNCTION("""COMPUTED_VALUE"""),3.0)</f>
        <v>3</v>
      </c>
      <c r="D49" s="2">
        <f>IFERROR(__xludf.DUMMYFUNCTION("""COMPUTED_VALUE"""),1.0)</f>
        <v>1</v>
      </c>
      <c r="E49" s="2">
        <f>IFERROR(__xludf.DUMMYFUNCTION("""COMPUTED_VALUE"""),2.3)</f>
        <v>2.3</v>
      </c>
      <c r="F49" s="2" t="str">
        <f>IFERROR(__xludf.DUMMYFUNCTION("""COMPUTED_VALUE"""),"AF")</f>
        <v>AF</v>
      </c>
    </row>
    <row r="50">
      <c r="A50" s="2" t="str">
        <f>IFERROR(__xludf.DUMMYFUNCTION("""COMPUTED_VALUE"""),"Denmark")</f>
        <v>Denmark</v>
      </c>
      <c r="B50" s="2">
        <f>IFERROR(__xludf.DUMMYFUNCTION("""COMPUTED_VALUE"""),224.0)</f>
        <v>224</v>
      </c>
      <c r="C50" s="2">
        <f>IFERROR(__xludf.DUMMYFUNCTION("""COMPUTED_VALUE"""),81.0)</f>
        <v>81</v>
      </c>
      <c r="D50" s="2">
        <f>IFERROR(__xludf.DUMMYFUNCTION("""COMPUTED_VALUE"""),278.0)</f>
        <v>278</v>
      </c>
      <c r="E50" s="2">
        <f>IFERROR(__xludf.DUMMYFUNCTION("""COMPUTED_VALUE"""),10.4)</f>
        <v>10.4</v>
      </c>
      <c r="F50" s="2" t="str">
        <f>IFERROR(__xludf.DUMMYFUNCTION("""COMPUTED_VALUE"""),"EU")</f>
        <v>EU</v>
      </c>
    </row>
    <row r="51">
      <c r="A51" s="2" t="str">
        <f>IFERROR(__xludf.DUMMYFUNCTION("""COMPUTED_VALUE"""),"Djibouti")</f>
        <v>Djibouti</v>
      </c>
      <c r="B51" s="2">
        <f>IFERROR(__xludf.DUMMYFUNCTION("""COMPUTED_VALUE"""),15.0)</f>
        <v>15</v>
      </c>
      <c r="C51" s="2">
        <f>IFERROR(__xludf.DUMMYFUNCTION("""COMPUTED_VALUE"""),44.0)</f>
        <v>44</v>
      </c>
      <c r="D51" s="2">
        <f>IFERROR(__xludf.DUMMYFUNCTION("""COMPUTED_VALUE"""),3.0)</f>
        <v>3</v>
      </c>
      <c r="E51" s="2">
        <f>IFERROR(__xludf.DUMMYFUNCTION("""COMPUTED_VALUE"""),1.1)</f>
        <v>1.1</v>
      </c>
      <c r="F51" s="2" t="str">
        <f>IFERROR(__xludf.DUMMYFUNCTION("""COMPUTED_VALUE"""),"AF")</f>
        <v>AF</v>
      </c>
    </row>
    <row r="52">
      <c r="A52" s="2" t="str">
        <f>IFERROR(__xludf.DUMMYFUNCTION("""COMPUTED_VALUE"""),"Dominica")</f>
        <v>Dominica</v>
      </c>
      <c r="B52" s="2">
        <f>IFERROR(__xludf.DUMMYFUNCTION("""COMPUTED_VALUE"""),52.0)</f>
        <v>52</v>
      </c>
      <c r="C52" s="2">
        <f>IFERROR(__xludf.DUMMYFUNCTION("""COMPUTED_VALUE"""),286.0)</f>
        <v>286</v>
      </c>
      <c r="D52" s="2">
        <f>IFERROR(__xludf.DUMMYFUNCTION("""COMPUTED_VALUE"""),26.0)</f>
        <v>26</v>
      </c>
      <c r="E52" s="2">
        <f>IFERROR(__xludf.DUMMYFUNCTION("""COMPUTED_VALUE"""),6.6)</f>
        <v>6.6</v>
      </c>
      <c r="F52" s="2" t="str">
        <f>IFERROR(__xludf.DUMMYFUNCTION("""COMPUTED_VALUE"""),"NA")</f>
        <v>NA</v>
      </c>
    </row>
    <row r="53">
      <c r="A53" s="2" t="str">
        <f>IFERROR(__xludf.DUMMYFUNCTION("""COMPUTED_VALUE"""),"Dominican Republic")</f>
        <v>Dominican Republic</v>
      </c>
      <c r="B53" s="2">
        <f>IFERROR(__xludf.DUMMYFUNCTION("""COMPUTED_VALUE"""),193.0)</f>
        <v>193</v>
      </c>
      <c r="C53" s="2">
        <f>IFERROR(__xludf.DUMMYFUNCTION("""COMPUTED_VALUE"""),147.0)</f>
        <v>147</v>
      </c>
      <c r="D53" s="2">
        <f>IFERROR(__xludf.DUMMYFUNCTION("""COMPUTED_VALUE"""),9.0)</f>
        <v>9</v>
      </c>
      <c r="E53" s="2">
        <f>IFERROR(__xludf.DUMMYFUNCTION("""COMPUTED_VALUE"""),6.2)</f>
        <v>6.2</v>
      </c>
      <c r="F53" s="2" t="str">
        <f>IFERROR(__xludf.DUMMYFUNCTION("""COMPUTED_VALUE"""),"NA")</f>
        <v>NA</v>
      </c>
    </row>
    <row r="54">
      <c r="A54" s="2" t="str">
        <f>IFERROR(__xludf.DUMMYFUNCTION("""COMPUTED_VALUE"""),"Ecuador")</f>
        <v>Ecuador</v>
      </c>
      <c r="B54" s="2">
        <f>IFERROR(__xludf.DUMMYFUNCTION("""COMPUTED_VALUE"""),162.0)</f>
        <v>162</v>
      </c>
      <c r="C54" s="2">
        <f>IFERROR(__xludf.DUMMYFUNCTION("""COMPUTED_VALUE"""),74.0)</f>
        <v>74</v>
      </c>
      <c r="D54" s="2">
        <f>IFERROR(__xludf.DUMMYFUNCTION("""COMPUTED_VALUE"""),3.0)</f>
        <v>3</v>
      </c>
      <c r="E54" s="2">
        <f>IFERROR(__xludf.DUMMYFUNCTION("""COMPUTED_VALUE"""),4.2)</f>
        <v>4.2</v>
      </c>
      <c r="F54" s="2" t="str">
        <f>IFERROR(__xludf.DUMMYFUNCTION("""COMPUTED_VALUE"""),"SA")</f>
        <v>SA</v>
      </c>
    </row>
    <row r="55">
      <c r="A55" s="2" t="str">
        <f>IFERROR(__xludf.DUMMYFUNCTION("""COMPUTED_VALUE"""),"Egypt")</f>
        <v>Egypt</v>
      </c>
      <c r="B55" s="2">
        <f>IFERROR(__xludf.DUMMYFUNCTION("""COMPUTED_VALUE"""),6.0)</f>
        <v>6</v>
      </c>
      <c r="C55" s="2">
        <f>IFERROR(__xludf.DUMMYFUNCTION("""COMPUTED_VALUE"""),4.0)</f>
        <v>4</v>
      </c>
      <c r="D55" s="2">
        <f>IFERROR(__xludf.DUMMYFUNCTION("""COMPUTED_VALUE"""),1.0)</f>
        <v>1</v>
      </c>
      <c r="E55" s="2">
        <f>IFERROR(__xludf.DUMMYFUNCTION("""COMPUTED_VALUE"""),0.2)</f>
        <v>0.2</v>
      </c>
      <c r="F55" s="2" t="str">
        <f>IFERROR(__xludf.DUMMYFUNCTION("""COMPUTED_VALUE"""),"AF")</f>
        <v>AF</v>
      </c>
    </row>
    <row r="56">
      <c r="A56" s="2" t="str">
        <f>IFERROR(__xludf.DUMMYFUNCTION("""COMPUTED_VALUE"""),"El Salvador")</f>
        <v>El Salvador</v>
      </c>
      <c r="B56" s="2">
        <f>IFERROR(__xludf.DUMMYFUNCTION("""COMPUTED_VALUE"""),52.0)</f>
        <v>52</v>
      </c>
      <c r="C56" s="2">
        <f>IFERROR(__xludf.DUMMYFUNCTION("""COMPUTED_VALUE"""),69.0)</f>
        <v>69</v>
      </c>
      <c r="D56" s="2">
        <f>IFERROR(__xludf.DUMMYFUNCTION("""COMPUTED_VALUE"""),2.0)</f>
        <v>2</v>
      </c>
      <c r="E56" s="2">
        <f>IFERROR(__xludf.DUMMYFUNCTION("""COMPUTED_VALUE"""),2.2)</f>
        <v>2.2</v>
      </c>
      <c r="F56" s="2" t="str">
        <f>IFERROR(__xludf.DUMMYFUNCTION("""COMPUTED_VALUE"""),"NA")</f>
        <v>NA</v>
      </c>
    </row>
    <row r="57">
      <c r="A57" s="2" t="str">
        <f>IFERROR(__xludf.DUMMYFUNCTION("""COMPUTED_VALUE"""),"Equatorial Guinea")</f>
        <v>Equatorial Guinea</v>
      </c>
      <c r="B57" s="2">
        <f>IFERROR(__xludf.DUMMYFUNCTION("""COMPUTED_VALUE"""),92.0)</f>
        <v>92</v>
      </c>
      <c r="C57" s="2">
        <f>IFERROR(__xludf.DUMMYFUNCTION("""COMPUTED_VALUE"""),0.0)</f>
        <v>0</v>
      </c>
      <c r="D57" s="2">
        <f>IFERROR(__xludf.DUMMYFUNCTION("""COMPUTED_VALUE"""),233.0)</f>
        <v>233</v>
      </c>
      <c r="E57" s="2">
        <f>IFERROR(__xludf.DUMMYFUNCTION("""COMPUTED_VALUE"""),5.8)</f>
        <v>5.8</v>
      </c>
      <c r="F57" s="2" t="str">
        <f>IFERROR(__xludf.DUMMYFUNCTION("""COMPUTED_VALUE"""),"AF")</f>
        <v>AF</v>
      </c>
    </row>
    <row r="58">
      <c r="A58" s="2" t="str">
        <f>IFERROR(__xludf.DUMMYFUNCTION("""COMPUTED_VALUE"""),"Eritrea")</f>
        <v>Eritrea</v>
      </c>
      <c r="B58" s="2">
        <f>IFERROR(__xludf.DUMMYFUNCTION("""COMPUTED_VALUE"""),18.0)</f>
        <v>18</v>
      </c>
      <c r="C58" s="2">
        <f>IFERROR(__xludf.DUMMYFUNCTION("""COMPUTED_VALUE"""),0.0)</f>
        <v>0</v>
      </c>
      <c r="D58" s="2">
        <f>IFERROR(__xludf.DUMMYFUNCTION("""COMPUTED_VALUE"""),0.0)</f>
        <v>0</v>
      </c>
      <c r="E58" s="2">
        <f>IFERROR(__xludf.DUMMYFUNCTION("""COMPUTED_VALUE"""),0.5)</f>
        <v>0.5</v>
      </c>
      <c r="F58" s="2" t="str">
        <f>IFERROR(__xludf.DUMMYFUNCTION("""COMPUTED_VALUE"""),"AF")</f>
        <v>AF</v>
      </c>
    </row>
    <row r="59">
      <c r="A59" s="2" t="str">
        <f>IFERROR(__xludf.DUMMYFUNCTION("""COMPUTED_VALUE"""),"Estonia")</f>
        <v>Estonia</v>
      </c>
      <c r="B59" s="2">
        <f>IFERROR(__xludf.DUMMYFUNCTION("""COMPUTED_VALUE"""),224.0)</f>
        <v>224</v>
      </c>
      <c r="C59" s="2">
        <f>IFERROR(__xludf.DUMMYFUNCTION("""COMPUTED_VALUE"""),194.0)</f>
        <v>194</v>
      </c>
      <c r="D59" s="2">
        <f>IFERROR(__xludf.DUMMYFUNCTION("""COMPUTED_VALUE"""),59.0)</f>
        <v>59</v>
      </c>
      <c r="E59" s="2">
        <f>IFERROR(__xludf.DUMMYFUNCTION("""COMPUTED_VALUE"""),9.5)</f>
        <v>9.5</v>
      </c>
      <c r="F59" s="2" t="str">
        <f>IFERROR(__xludf.DUMMYFUNCTION("""COMPUTED_VALUE"""),"EU")</f>
        <v>EU</v>
      </c>
    </row>
    <row r="60">
      <c r="A60" s="2" t="str">
        <f>IFERROR(__xludf.DUMMYFUNCTION("""COMPUTED_VALUE"""),"Ethiopia")</f>
        <v>Ethiopia</v>
      </c>
      <c r="B60" s="2">
        <f>IFERROR(__xludf.DUMMYFUNCTION("""COMPUTED_VALUE"""),20.0)</f>
        <v>20</v>
      </c>
      <c r="C60" s="2">
        <f>IFERROR(__xludf.DUMMYFUNCTION("""COMPUTED_VALUE"""),3.0)</f>
        <v>3</v>
      </c>
      <c r="D60" s="2">
        <f>IFERROR(__xludf.DUMMYFUNCTION("""COMPUTED_VALUE"""),0.0)</f>
        <v>0</v>
      </c>
      <c r="E60" s="2">
        <f>IFERROR(__xludf.DUMMYFUNCTION("""COMPUTED_VALUE"""),0.7)</f>
        <v>0.7</v>
      </c>
      <c r="F60" s="2" t="str">
        <f>IFERROR(__xludf.DUMMYFUNCTION("""COMPUTED_VALUE"""),"AF")</f>
        <v>AF</v>
      </c>
    </row>
    <row r="61">
      <c r="A61" s="2" t="str">
        <f>IFERROR(__xludf.DUMMYFUNCTION("""COMPUTED_VALUE"""),"Fiji")</f>
        <v>Fiji</v>
      </c>
      <c r="B61" s="2">
        <f>IFERROR(__xludf.DUMMYFUNCTION("""COMPUTED_VALUE"""),77.0)</f>
        <v>77</v>
      </c>
      <c r="C61" s="2">
        <f>IFERROR(__xludf.DUMMYFUNCTION("""COMPUTED_VALUE"""),35.0)</f>
        <v>35</v>
      </c>
      <c r="D61" s="2">
        <f>IFERROR(__xludf.DUMMYFUNCTION("""COMPUTED_VALUE"""),1.0)</f>
        <v>1</v>
      </c>
      <c r="E61" s="2">
        <f>IFERROR(__xludf.DUMMYFUNCTION("""COMPUTED_VALUE"""),2.0)</f>
        <v>2</v>
      </c>
      <c r="F61" s="2" t="str">
        <f>IFERROR(__xludf.DUMMYFUNCTION("""COMPUTED_VALUE"""),"OC")</f>
        <v>OC</v>
      </c>
    </row>
    <row r="62">
      <c r="A62" s="2" t="str">
        <f>IFERROR(__xludf.DUMMYFUNCTION("""COMPUTED_VALUE"""),"Finland")</f>
        <v>Finland</v>
      </c>
      <c r="B62" s="2">
        <f>IFERROR(__xludf.DUMMYFUNCTION("""COMPUTED_VALUE"""),263.0)</f>
        <v>263</v>
      </c>
      <c r="C62" s="2">
        <f>IFERROR(__xludf.DUMMYFUNCTION("""COMPUTED_VALUE"""),133.0)</f>
        <v>133</v>
      </c>
      <c r="D62" s="2">
        <f>IFERROR(__xludf.DUMMYFUNCTION("""COMPUTED_VALUE"""),97.0)</f>
        <v>97</v>
      </c>
      <c r="E62" s="2">
        <f>IFERROR(__xludf.DUMMYFUNCTION("""COMPUTED_VALUE"""),10.0)</f>
        <v>10</v>
      </c>
      <c r="F62" s="2" t="str">
        <f>IFERROR(__xludf.DUMMYFUNCTION("""COMPUTED_VALUE"""),"EU")</f>
        <v>EU</v>
      </c>
    </row>
    <row r="63">
      <c r="A63" s="2" t="str">
        <f>IFERROR(__xludf.DUMMYFUNCTION("""COMPUTED_VALUE"""),"France")</f>
        <v>France</v>
      </c>
      <c r="B63" s="2">
        <f>IFERROR(__xludf.DUMMYFUNCTION("""COMPUTED_VALUE"""),127.0)</f>
        <v>127</v>
      </c>
      <c r="C63" s="2">
        <f>IFERROR(__xludf.DUMMYFUNCTION("""COMPUTED_VALUE"""),151.0)</f>
        <v>151</v>
      </c>
      <c r="D63" s="2">
        <f>IFERROR(__xludf.DUMMYFUNCTION("""COMPUTED_VALUE"""),370.0)</f>
        <v>370</v>
      </c>
      <c r="E63" s="2">
        <f>IFERROR(__xludf.DUMMYFUNCTION("""COMPUTED_VALUE"""),11.8)</f>
        <v>11.8</v>
      </c>
      <c r="F63" s="2" t="str">
        <f>IFERROR(__xludf.DUMMYFUNCTION("""COMPUTED_VALUE"""),"EU")</f>
        <v>EU</v>
      </c>
    </row>
    <row r="64">
      <c r="A64" s="2" t="str">
        <f>IFERROR(__xludf.DUMMYFUNCTION("""COMPUTED_VALUE"""),"Gabon")</f>
        <v>Gabon</v>
      </c>
      <c r="B64" s="2">
        <f>IFERROR(__xludf.DUMMYFUNCTION("""COMPUTED_VALUE"""),347.0)</f>
        <v>347</v>
      </c>
      <c r="C64" s="2">
        <f>IFERROR(__xludf.DUMMYFUNCTION("""COMPUTED_VALUE"""),98.0)</f>
        <v>98</v>
      </c>
      <c r="D64" s="2">
        <f>IFERROR(__xludf.DUMMYFUNCTION("""COMPUTED_VALUE"""),59.0)</f>
        <v>59</v>
      </c>
      <c r="E64" s="2">
        <f>IFERROR(__xludf.DUMMYFUNCTION("""COMPUTED_VALUE"""),8.9)</f>
        <v>8.9</v>
      </c>
      <c r="F64" s="2" t="str">
        <f>IFERROR(__xludf.DUMMYFUNCTION("""COMPUTED_VALUE"""),"AF")</f>
        <v>AF</v>
      </c>
    </row>
    <row r="65">
      <c r="A65" s="2" t="str">
        <f>IFERROR(__xludf.DUMMYFUNCTION("""COMPUTED_VALUE"""),"Gambia")</f>
        <v>Gambia</v>
      </c>
      <c r="B65" s="2">
        <f>IFERROR(__xludf.DUMMYFUNCTION("""COMPUTED_VALUE"""),8.0)</f>
        <v>8</v>
      </c>
      <c r="C65" s="2">
        <f>IFERROR(__xludf.DUMMYFUNCTION("""COMPUTED_VALUE"""),0.0)</f>
        <v>0</v>
      </c>
      <c r="D65" s="2">
        <f>IFERROR(__xludf.DUMMYFUNCTION("""COMPUTED_VALUE"""),1.0)</f>
        <v>1</v>
      </c>
      <c r="E65" s="2">
        <f>IFERROR(__xludf.DUMMYFUNCTION("""COMPUTED_VALUE"""),2.4)</f>
        <v>2.4</v>
      </c>
      <c r="F65" s="2" t="str">
        <f>IFERROR(__xludf.DUMMYFUNCTION("""COMPUTED_VALUE"""),"AF")</f>
        <v>AF</v>
      </c>
    </row>
    <row r="66">
      <c r="A66" s="2" t="str">
        <f>IFERROR(__xludf.DUMMYFUNCTION("""COMPUTED_VALUE"""),"Georgia")</f>
        <v>Georgia</v>
      </c>
      <c r="B66" s="2">
        <f>IFERROR(__xludf.DUMMYFUNCTION("""COMPUTED_VALUE"""),52.0)</f>
        <v>52</v>
      </c>
      <c r="C66" s="2">
        <f>IFERROR(__xludf.DUMMYFUNCTION("""COMPUTED_VALUE"""),100.0)</f>
        <v>100</v>
      </c>
      <c r="D66" s="2">
        <f>IFERROR(__xludf.DUMMYFUNCTION("""COMPUTED_VALUE"""),149.0)</f>
        <v>149</v>
      </c>
      <c r="E66" s="2">
        <f>IFERROR(__xludf.DUMMYFUNCTION("""COMPUTED_VALUE"""),5.4)</f>
        <v>5.4</v>
      </c>
      <c r="F66" s="2" t="str">
        <f>IFERROR(__xludf.DUMMYFUNCTION("""COMPUTED_VALUE"""),"EU")</f>
        <v>EU</v>
      </c>
    </row>
    <row r="67">
      <c r="A67" s="2" t="str">
        <f>IFERROR(__xludf.DUMMYFUNCTION("""COMPUTED_VALUE"""),"Germany")</f>
        <v>Germany</v>
      </c>
      <c r="B67" s="2">
        <f>IFERROR(__xludf.DUMMYFUNCTION("""COMPUTED_VALUE"""),346.0)</f>
        <v>346</v>
      </c>
      <c r="C67" s="2">
        <f>IFERROR(__xludf.DUMMYFUNCTION("""COMPUTED_VALUE"""),117.0)</f>
        <v>117</v>
      </c>
      <c r="D67" s="2">
        <f>IFERROR(__xludf.DUMMYFUNCTION("""COMPUTED_VALUE"""),175.0)</f>
        <v>175</v>
      </c>
      <c r="E67" s="2">
        <f>IFERROR(__xludf.DUMMYFUNCTION("""COMPUTED_VALUE"""),11.3)</f>
        <v>11.3</v>
      </c>
      <c r="F67" s="2" t="str">
        <f>IFERROR(__xludf.DUMMYFUNCTION("""COMPUTED_VALUE"""),"EU")</f>
        <v>EU</v>
      </c>
    </row>
    <row r="68">
      <c r="A68" s="2" t="str">
        <f>IFERROR(__xludf.DUMMYFUNCTION("""COMPUTED_VALUE"""),"Ghana")</f>
        <v>Ghana</v>
      </c>
      <c r="B68" s="2">
        <f>IFERROR(__xludf.DUMMYFUNCTION("""COMPUTED_VALUE"""),31.0)</f>
        <v>31</v>
      </c>
      <c r="C68" s="2">
        <f>IFERROR(__xludf.DUMMYFUNCTION("""COMPUTED_VALUE"""),3.0)</f>
        <v>3</v>
      </c>
      <c r="D68" s="2">
        <f>IFERROR(__xludf.DUMMYFUNCTION("""COMPUTED_VALUE"""),10.0)</f>
        <v>10</v>
      </c>
      <c r="E68" s="2">
        <f>IFERROR(__xludf.DUMMYFUNCTION("""COMPUTED_VALUE"""),1.8)</f>
        <v>1.8</v>
      </c>
      <c r="F68" s="2" t="str">
        <f>IFERROR(__xludf.DUMMYFUNCTION("""COMPUTED_VALUE"""),"AF")</f>
        <v>AF</v>
      </c>
    </row>
    <row r="69">
      <c r="A69" s="2" t="str">
        <f>IFERROR(__xludf.DUMMYFUNCTION("""COMPUTED_VALUE"""),"Greece")</f>
        <v>Greece</v>
      </c>
      <c r="B69" s="2">
        <f>IFERROR(__xludf.DUMMYFUNCTION("""COMPUTED_VALUE"""),133.0)</f>
        <v>133</v>
      </c>
      <c r="C69" s="2">
        <f>IFERROR(__xludf.DUMMYFUNCTION("""COMPUTED_VALUE"""),112.0)</f>
        <v>112</v>
      </c>
      <c r="D69" s="2">
        <f>IFERROR(__xludf.DUMMYFUNCTION("""COMPUTED_VALUE"""),218.0)</f>
        <v>218</v>
      </c>
      <c r="E69" s="2">
        <f>IFERROR(__xludf.DUMMYFUNCTION("""COMPUTED_VALUE"""),8.3)</f>
        <v>8.3</v>
      </c>
      <c r="F69" s="2" t="str">
        <f>IFERROR(__xludf.DUMMYFUNCTION("""COMPUTED_VALUE"""),"EU")</f>
        <v>EU</v>
      </c>
    </row>
    <row r="70">
      <c r="A70" s="2" t="str">
        <f>IFERROR(__xludf.DUMMYFUNCTION("""COMPUTED_VALUE"""),"Grenada")</f>
        <v>Grenada</v>
      </c>
      <c r="B70" s="2">
        <f>IFERROR(__xludf.DUMMYFUNCTION("""COMPUTED_VALUE"""),199.0)</f>
        <v>199</v>
      </c>
      <c r="C70" s="2">
        <f>IFERROR(__xludf.DUMMYFUNCTION("""COMPUTED_VALUE"""),438.0)</f>
        <v>438</v>
      </c>
      <c r="D70" s="2">
        <f>IFERROR(__xludf.DUMMYFUNCTION("""COMPUTED_VALUE"""),28.0)</f>
        <v>28</v>
      </c>
      <c r="E70" s="2">
        <f>IFERROR(__xludf.DUMMYFUNCTION("""COMPUTED_VALUE"""),11.9)</f>
        <v>11.9</v>
      </c>
      <c r="F70" s="2" t="str">
        <f>IFERROR(__xludf.DUMMYFUNCTION("""COMPUTED_VALUE"""),"NA")</f>
        <v>NA</v>
      </c>
    </row>
    <row r="71">
      <c r="A71" s="2" t="str">
        <f>IFERROR(__xludf.DUMMYFUNCTION("""COMPUTED_VALUE"""),"Guatemala")</f>
        <v>Guatemala</v>
      </c>
      <c r="B71" s="2">
        <f>IFERROR(__xludf.DUMMYFUNCTION("""COMPUTED_VALUE"""),53.0)</f>
        <v>53</v>
      </c>
      <c r="C71" s="2">
        <f>IFERROR(__xludf.DUMMYFUNCTION("""COMPUTED_VALUE"""),69.0)</f>
        <v>69</v>
      </c>
      <c r="D71" s="2">
        <f>IFERROR(__xludf.DUMMYFUNCTION("""COMPUTED_VALUE"""),2.0)</f>
        <v>2</v>
      </c>
      <c r="E71" s="2">
        <f>IFERROR(__xludf.DUMMYFUNCTION("""COMPUTED_VALUE"""),2.2)</f>
        <v>2.2</v>
      </c>
      <c r="F71" s="2" t="str">
        <f>IFERROR(__xludf.DUMMYFUNCTION("""COMPUTED_VALUE"""),"NA")</f>
        <v>NA</v>
      </c>
    </row>
    <row r="72">
      <c r="A72" s="2" t="str">
        <f>IFERROR(__xludf.DUMMYFUNCTION("""COMPUTED_VALUE"""),"Guinea")</f>
        <v>Guinea</v>
      </c>
      <c r="B72" s="2">
        <f>IFERROR(__xludf.DUMMYFUNCTION("""COMPUTED_VALUE"""),9.0)</f>
        <v>9</v>
      </c>
      <c r="C72" s="2">
        <f>IFERROR(__xludf.DUMMYFUNCTION("""COMPUTED_VALUE"""),0.0)</f>
        <v>0</v>
      </c>
      <c r="D72" s="2">
        <f>IFERROR(__xludf.DUMMYFUNCTION("""COMPUTED_VALUE"""),2.0)</f>
        <v>2</v>
      </c>
      <c r="E72" s="2">
        <f>IFERROR(__xludf.DUMMYFUNCTION("""COMPUTED_VALUE"""),0.2)</f>
        <v>0.2</v>
      </c>
      <c r="F72" s="2" t="str">
        <f>IFERROR(__xludf.DUMMYFUNCTION("""COMPUTED_VALUE"""),"AF")</f>
        <v>AF</v>
      </c>
    </row>
    <row r="73">
      <c r="A73" s="2" t="str">
        <f>IFERROR(__xludf.DUMMYFUNCTION("""COMPUTED_VALUE"""),"Guinea-Bissau")</f>
        <v>Guinea-Bissau</v>
      </c>
      <c r="B73" s="2">
        <f>IFERROR(__xludf.DUMMYFUNCTION("""COMPUTED_VALUE"""),28.0)</f>
        <v>28</v>
      </c>
      <c r="C73" s="2">
        <f>IFERROR(__xludf.DUMMYFUNCTION("""COMPUTED_VALUE"""),31.0)</f>
        <v>31</v>
      </c>
      <c r="D73" s="2">
        <f>IFERROR(__xludf.DUMMYFUNCTION("""COMPUTED_VALUE"""),21.0)</f>
        <v>21</v>
      </c>
      <c r="E73" s="2">
        <f>IFERROR(__xludf.DUMMYFUNCTION("""COMPUTED_VALUE"""),2.5)</f>
        <v>2.5</v>
      </c>
      <c r="F73" s="2" t="str">
        <f>IFERROR(__xludf.DUMMYFUNCTION("""COMPUTED_VALUE"""),"AF")</f>
        <v>AF</v>
      </c>
    </row>
    <row r="74">
      <c r="A74" s="2" t="str">
        <f>IFERROR(__xludf.DUMMYFUNCTION("""COMPUTED_VALUE"""),"Guyana")</f>
        <v>Guyana</v>
      </c>
      <c r="B74" s="2">
        <f>IFERROR(__xludf.DUMMYFUNCTION("""COMPUTED_VALUE"""),93.0)</f>
        <v>93</v>
      </c>
      <c r="C74" s="2">
        <f>IFERROR(__xludf.DUMMYFUNCTION("""COMPUTED_VALUE"""),302.0)</f>
        <v>302</v>
      </c>
      <c r="D74" s="2">
        <f>IFERROR(__xludf.DUMMYFUNCTION("""COMPUTED_VALUE"""),1.0)</f>
        <v>1</v>
      </c>
      <c r="E74" s="2">
        <f>IFERROR(__xludf.DUMMYFUNCTION("""COMPUTED_VALUE"""),7.1)</f>
        <v>7.1</v>
      </c>
      <c r="F74" s="2" t="str">
        <f>IFERROR(__xludf.DUMMYFUNCTION("""COMPUTED_VALUE"""),"SA")</f>
        <v>SA</v>
      </c>
    </row>
    <row r="75">
      <c r="A75" s="2" t="str">
        <f>IFERROR(__xludf.DUMMYFUNCTION("""COMPUTED_VALUE"""),"Haiti")</f>
        <v>Haiti</v>
      </c>
      <c r="B75" s="2">
        <f>IFERROR(__xludf.DUMMYFUNCTION("""COMPUTED_VALUE"""),1.0)</f>
        <v>1</v>
      </c>
      <c r="C75" s="2">
        <f>IFERROR(__xludf.DUMMYFUNCTION("""COMPUTED_VALUE"""),326.0)</f>
        <v>326</v>
      </c>
      <c r="D75" s="2">
        <f>IFERROR(__xludf.DUMMYFUNCTION("""COMPUTED_VALUE"""),1.0)</f>
        <v>1</v>
      </c>
      <c r="E75" s="2">
        <f>IFERROR(__xludf.DUMMYFUNCTION("""COMPUTED_VALUE"""),5.9)</f>
        <v>5.9</v>
      </c>
      <c r="F75" s="2" t="str">
        <f>IFERROR(__xludf.DUMMYFUNCTION("""COMPUTED_VALUE"""),"NA")</f>
        <v>NA</v>
      </c>
    </row>
    <row r="76">
      <c r="A76" s="2" t="str">
        <f>IFERROR(__xludf.DUMMYFUNCTION("""COMPUTED_VALUE"""),"Honduras")</f>
        <v>Honduras</v>
      </c>
      <c r="B76" s="2">
        <f>IFERROR(__xludf.DUMMYFUNCTION("""COMPUTED_VALUE"""),69.0)</f>
        <v>69</v>
      </c>
      <c r="C76" s="2">
        <f>IFERROR(__xludf.DUMMYFUNCTION("""COMPUTED_VALUE"""),98.0)</f>
        <v>98</v>
      </c>
      <c r="D76" s="2">
        <f>IFERROR(__xludf.DUMMYFUNCTION("""COMPUTED_VALUE"""),2.0)</f>
        <v>2</v>
      </c>
      <c r="E76" s="2">
        <f>IFERROR(__xludf.DUMMYFUNCTION("""COMPUTED_VALUE"""),3.0)</f>
        <v>3</v>
      </c>
      <c r="F76" s="2" t="str">
        <f>IFERROR(__xludf.DUMMYFUNCTION("""COMPUTED_VALUE"""),"NA")</f>
        <v>NA</v>
      </c>
    </row>
    <row r="77">
      <c r="A77" s="2" t="str">
        <f>IFERROR(__xludf.DUMMYFUNCTION("""COMPUTED_VALUE"""),"Hungary")</f>
        <v>Hungary</v>
      </c>
      <c r="B77" s="2">
        <f>IFERROR(__xludf.DUMMYFUNCTION("""COMPUTED_VALUE"""),234.0)</f>
        <v>234</v>
      </c>
      <c r="C77" s="2">
        <f>IFERROR(__xludf.DUMMYFUNCTION("""COMPUTED_VALUE"""),215.0)</f>
        <v>215</v>
      </c>
      <c r="D77" s="2">
        <f>IFERROR(__xludf.DUMMYFUNCTION("""COMPUTED_VALUE"""),185.0)</f>
        <v>185</v>
      </c>
      <c r="E77" s="2">
        <f>IFERROR(__xludf.DUMMYFUNCTION("""COMPUTED_VALUE"""),11.3)</f>
        <v>11.3</v>
      </c>
      <c r="F77" s="2" t="str">
        <f>IFERROR(__xludf.DUMMYFUNCTION("""COMPUTED_VALUE"""),"EU")</f>
        <v>EU</v>
      </c>
    </row>
    <row r="78">
      <c r="A78" s="2" t="str">
        <f>IFERROR(__xludf.DUMMYFUNCTION("""COMPUTED_VALUE"""),"Iceland")</f>
        <v>Iceland</v>
      </c>
      <c r="B78" s="2">
        <f>IFERROR(__xludf.DUMMYFUNCTION("""COMPUTED_VALUE"""),233.0)</f>
        <v>233</v>
      </c>
      <c r="C78" s="2">
        <f>IFERROR(__xludf.DUMMYFUNCTION("""COMPUTED_VALUE"""),61.0)</f>
        <v>61</v>
      </c>
      <c r="D78" s="2">
        <f>IFERROR(__xludf.DUMMYFUNCTION("""COMPUTED_VALUE"""),78.0)</f>
        <v>78</v>
      </c>
      <c r="E78" s="2">
        <f>IFERROR(__xludf.DUMMYFUNCTION("""COMPUTED_VALUE"""),6.6)</f>
        <v>6.6</v>
      </c>
      <c r="F78" s="2" t="str">
        <f>IFERROR(__xludf.DUMMYFUNCTION("""COMPUTED_VALUE"""),"EU")</f>
        <v>EU</v>
      </c>
    </row>
    <row r="79">
      <c r="A79" s="2" t="str">
        <f>IFERROR(__xludf.DUMMYFUNCTION("""COMPUTED_VALUE"""),"India")</f>
        <v>India</v>
      </c>
      <c r="B79" s="2">
        <f>IFERROR(__xludf.DUMMYFUNCTION("""COMPUTED_VALUE"""),9.0)</f>
        <v>9</v>
      </c>
      <c r="C79" s="2">
        <f>IFERROR(__xludf.DUMMYFUNCTION("""COMPUTED_VALUE"""),114.0)</f>
        <v>114</v>
      </c>
      <c r="D79" s="2">
        <f>IFERROR(__xludf.DUMMYFUNCTION("""COMPUTED_VALUE"""),0.0)</f>
        <v>0</v>
      </c>
      <c r="E79" s="2">
        <f>IFERROR(__xludf.DUMMYFUNCTION("""COMPUTED_VALUE"""),2.2)</f>
        <v>2.2</v>
      </c>
      <c r="F79" s="2" t="str">
        <f>IFERROR(__xludf.DUMMYFUNCTION("""COMPUTED_VALUE"""),"AS")</f>
        <v>AS</v>
      </c>
    </row>
    <row r="80">
      <c r="A80" s="2" t="str">
        <f>IFERROR(__xludf.DUMMYFUNCTION("""COMPUTED_VALUE"""),"Indonesia")</f>
        <v>Indonesia</v>
      </c>
      <c r="B80" s="2">
        <f>IFERROR(__xludf.DUMMYFUNCTION("""COMPUTED_VALUE"""),5.0)</f>
        <v>5</v>
      </c>
      <c r="C80" s="2">
        <f>IFERROR(__xludf.DUMMYFUNCTION("""COMPUTED_VALUE"""),1.0)</f>
        <v>1</v>
      </c>
      <c r="D80" s="2">
        <f>IFERROR(__xludf.DUMMYFUNCTION("""COMPUTED_VALUE"""),0.0)</f>
        <v>0</v>
      </c>
      <c r="E80" s="2">
        <f>IFERROR(__xludf.DUMMYFUNCTION("""COMPUTED_VALUE"""),0.1)</f>
        <v>0.1</v>
      </c>
      <c r="F80" s="2" t="str">
        <f>IFERROR(__xludf.DUMMYFUNCTION("""COMPUTED_VALUE"""),"AS")</f>
        <v>AS</v>
      </c>
    </row>
    <row r="81">
      <c r="A81" s="2" t="str">
        <f>IFERROR(__xludf.DUMMYFUNCTION("""COMPUTED_VALUE"""),"Iran")</f>
        <v>Iran</v>
      </c>
      <c r="B81" s="2">
        <f>IFERROR(__xludf.DUMMYFUNCTION("""COMPUTED_VALUE"""),0.0)</f>
        <v>0</v>
      </c>
      <c r="C81" s="2">
        <f>IFERROR(__xludf.DUMMYFUNCTION("""COMPUTED_VALUE"""),0.0)</f>
        <v>0</v>
      </c>
      <c r="D81" s="2">
        <f>IFERROR(__xludf.DUMMYFUNCTION("""COMPUTED_VALUE"""),0.0)</f>
        <v>0</v>
      </c>
      <c r="E81" s="2">
        <f>IFERROR(__xludf.DUMMYFUNCTION("""COMPUTED_VALUE"""),0.0)</f>
        <v>0</v>
      </c>
      <c r="F81" s="2" t="str">
        <f>IFERROR(__xludf.DUMMYFUNCTION("""COMPUTED_VALUE"""),"AS")</f>
        <v>AS</v>
      </c>
    </row>
    <row r="82">
      <c r="A82" s="2" t="str">
        <f>IFERROR(__xludf.DUMMYFUNCTION("""COMPUTED_VALUE"""),"Iraq")</f>
        <v>Iraq</v>
      </c>
      <c r="B82" s="2">
        <f>IFERROR(__xludf.DUMMYFUNCTION("""COMPUTED_VALUE"""),9.0)</f>
        <v>9</v>
      </c>
      <c r="C82" s="2">
        <f>IFERROR(__xludf.DUMMYFUNCTION("""COMPUTED_VALUE"""),3.0)</f>
        <v>3</v>
      </c>
      <c r="D82" s="2">
        <f>IFERROR(__xludf.DUMMYFUNCTION("""COMPUTED_VALUE"""),0.0)</f>
        <v>0</v>
      </c>
      <c r="E82" s="2">
        <f>IFERROR(__xludf.DUMMYFUNCTION("""COMPUTED_VALUE"""),0.2)</f>
        <v>0.2</v>
      </c>
      <c r="F82" s="2" t="str">
        <f>IFERROR(__xludf.DUMMYFUNCTION("""COMPUTED_VALUE"""),"AS")</f>
        <v>AS</v>
      </c>
    </row>
    <row r="83">
      <c r="A83" s="2" t="str">
        <f>IFERROR(__xludf.DUMMYFUNCTION("""COMPUTED_VALUE"""),"Ireland")</f>
        <v>Ireland</v>
      </c>
      <c r="B83" s="2">
        <f>IFERROR(__xludf.DUMMYFUNCTION("""COMPUTED_VALUE"""),313.0)</f>
        <v>313</v>
      </c>
      <c r="C83" s="2">
        <f>IFERROR(__xludf.DUMMYFUNCTION("""COMPUTED_VALUE"""),118.0)</f>
        <v>118</v>
      </c>
      <c r="D83" s="2">
        <f>IFERROR(__xludf.DUMMYFUNCTION("""COMPUTED_VALUE"""),165.0)</f>
        <v>165</v>
      </c>
      <c r="E83" s="2">
        <f>IFERROR(__xludf.DUMMYFUNCTION("""COMPUTED_VALUE"""),11.4)</f>
        <v>11.4</v>
      </c>
      <c r="F83" s="2" t="str">
        <f>IFERROR(__xludf.DUMMYFUNCTION("""COMPUTED_VALUE"""),"EU")</f>
        <v>EU</v>
      </c>
    </row>
    <row r="84">
      <c r="A84" s="2" t="str">
        <f>IFERROR(__xludf.DUMMYFUNCTION("""COMPUTED_VALUE"""),"Israel")</f>
        <v>Israel</v>
      </c>
      <c r="B84" s="2">
        <f>IFERROR(__xludf.DUMMYFUNCTION("""COMPUTED_VALUE"""),63.0)</f>
        <v>63</v>
      </c>
      <c r="C84" s="2">
        <f>IFERROR(__xludf.DUMMYFUNCTION("""COMPUTED_VALUE"""),69.0)</f>
        <v>69</v>
      </c>
      <c r="D84" s="2">
        <f>IFERROR(__xludf.DUMMYFUNCTION("""COMPUTED_VALUE"""),9.0)</f>
        <v>9</v>
      </c>
      <c r="E84" s="2">
        <f>IFERROR(__xludf.DUMMYFUNCTION("""COMPUTED_VALUE"""),2.5)</f>
        <v>2.5</v>
      </c>
      <c r="F84" s="2" t="str">
        <f>IFERROR(__xludf.DUMMYFUNCTION("""COMPUTED_VALUE"""),"AS")</f>
        <v>AS</v>
      </c>
    </row>
    <row r="85">
      <c r="A85" s="2" t="str">
        <f>IFERROR(__xludf.DUMMYFUNCTION("""COMPUTED_VALUE"""),"Italy")</f>
        <v>Italy</v>
      </c>
      <c r="B85" s="2">
        <f>IFERROR(__xludf.DUMMYFUNCTION("""COMPUTED_VALUE"""),85.0)</f>
        <v>85</v>
      </c>
      <c r="C85" s="2">
        <f>IFERROR(__xludf.DUMMYFUNCTION("""COMPUTED_VALUE"""),42.0)</f>
        <v>42</v>
      </c>
      <c r="D85" s="2">
        <f>IFERROR(__xludf.DUMMYFUNCTION("""COMPUTED_VALUE"""),237.0)</f>
        <v>237</v>
      </c>
      <c r="E85" s="2">
        <f>IFERROR(__xludf.DUMMYFUNCTION("""COMPUTED_VALUE"""),6.5)</f>
        <v>6.5</v>
      </c>
      <c r="F85" s="2" t="str">
        <f>IFERROR(__xludf.DUMMYFUNCTION("""COMPUTED_VALUE"""),"EU")</f>
        <v>EU</v>
      </c>
    </row>
    <row r="86">
      <c r="A86" s="2" t="str">
        <f>IFERROR(__xludf.DUMMYFUNCTION("""COMPUTED_VALUE"""),"Jamaica")</f>
        <v>Jamaica</v>
      </c>
      <c r="B86" s="2">
        <f>IFERROR(__xludf.DUMMYFUNCTION("""COMPUTED_VALUE"""),82.0)</f>
        <v>82</v>
      </c>
      <c r="C86" s="2">
        <f>IFERROR(__xludf.DUMMYFUNCTION("""COMPUTED_VALUE"""),97.0)</f>
        <v>97</v>
      </c>
      <c r="D86" s="2">
        <f>IFERROR(__xludf.DUMMYFUNCTION("""COMPUTED_VALUE"""),9.0)</f>
        <v>9</v>
      </c>
      <c r="E86" s="2">
        <f>IFERROR(__xludf.DUMMYFUNCTION("""COMPUTED_VALUE"""),3.4)</f>
        <v>3.4</v>
      </c>
      <c r="F86" s="2" t="str">
        <f>IFERROR(__xludf.DUMMYFUNCTION("""COMPUTED_VALUE"""),"NA")</f>
        <v>NA</v>
      </c>
    </row>
    <row r="87">
      <c r="A87" s="2" t="str">
        <f>IFERROR(__xludf.DUMMYFUNCTION("""COMPUTED_VALUE"""),"Japan")</f>
        <v>Japan</v>
      </c>
      <c r="B87" s="2">
        <f>IFERROR(__xludf.DUMMYFUNCTION("""COMPUTED_VALUE"""),77.0)</f>
        <v>77</v>
      </c>
      <c r="C87" s="2">
        <f>IFERROR(__xludf.DUMMYFUNCTION("""COMPUTED_VALUE"""),202.0)</f>
        <v>202</v>
      </c>
      <c r="D87" s="2">
        <f>IFERROR(__xludf.DUMMYFUNCTION("""COMPUTED_VALUE"""),16.0)</f>
        <v>16</v>
      </c>
      <c r="E87" s="2">
        <f>IFERROR(__xludf.DUMMYFUNCTION("""COMPUTED_VALUE"""),7.0)</f>
        <v>7</v>
      </c>
      <c r="F87" s="2" t="str">
        <f>IFERROR(__xludf.DUMMYFUNCTION("""COMPUTED_VALUE"""),"AS")</f>
        <v>AS</v>
      </c>
    </row>
    <row r="88">
      <c r="A88" s="2" t="str">
        <f>IFERROR(__xludf.DUMMYFUNCTION("""COMPUTED_VALUE"""),"Jordan")</f>
        <v>Jordan</v>
      </c>
      <c r="B88" s="2">
        <f>IFERROR(__xludf.DUMMYFUNCTION("""COMPUTED_VALUE"""),6.0)</f>
        <v>6</v>
      </c>
      <c r="C88" s="2">
        <f>IFERROR(__xludf.DUMMYFUNCTION("""COMPUTED_VALUE"""),21.0)</f>
        <v>21</v>
      </c>
      <c r="D88" s="2">
        <f>IFERROR(__xludf.DUMMYFUNCTION("""COMPUTED_VALUE"""),1.0)</f>
        <v>1</v>
      </c>
      <c r="E88" s="2">
        <f>IFERROR(__xludf.DUMMYFUNCTION("""COMPUTED_VALUE"""),0.5)</f>
        <v>0.5</v>
      </c>
      <c r="F88" s="2" t="str">
        <f>IFERROR(__xludf.DUMMYFUNCTION("""COMPUTED_VALUE"""),"AS")</f>
        <v>AS</v>
      </c>
    </row>
    <row r="89">
      <c r="A89" s="2" t="str">
        <f>IFERROR(__xludf.DUMMYFUNCTION("""COMPUTED_VALUE"""),"Kazakhstan")</f>
        <v>Kazakhstan</v>
      </c>
      <c r="B89" s="2">
        <f>IFERROR(__xludf.DUMMYFUNCTION("""COMPUTED_VALUE"""),124.0)</f>
        <v>124</v>
      </c>
      <c r="C89" s="2">
        <f>IFERROR(__xludf.DUMMYFUNCTION("""COMPUTED_VALUE"""),246.0)</f>
        <v>246</v>
      </c>
      <c r="D89" s="2">
        <f>IFERROR(__xludf.DUMMYFUNCTION("""COMPUTED_VALUE"""),12.0)</f>
        <v>12</v>
      </c>
      <c r="E89" s="2">
        <f>IFERROR(__xludf.DUMMYFUNCTION("""COMPUTED_VALUE"""),6.8)</f>
        <v>6.8</v>
      </c>
      <c r="F89" s="2" t="str">
        <f>IFERROR(__xludf.DUMMYFUNCTION("""COMPUTED_VALUE"""),"AS")</f>
        <v>AS</v>
      </c>
    </row>
    <row r="90">
      <c r="A90" s="2" t="str">
        <f>IFERROR(__xludf.DUMMYFUNCTION("""COMPUTED_VALUE"""),"Kenya")</f>
        <v>Kenya</v>
      </c>
      <c r="B90" s="2">
        <f>IFERROR(__xludf.DUMMYFUNCTION("""COMPUTED_VALUE"""),58.0)</f>
        <v>58</v>
      </c>
      <c r="C90" s="2">
        <f>IFERROR(__xludf.DUMMYFUNCTION("""COMPUTED_VALUE"""),22.0)</f>
        <v>22</v>
      </c>
      <c r="D90" s="2">
        <f>IFERROR(__xludf.DUMMYFUNCTION("""COMPUTED_VALUE"""),2.0)</f>
        <v>2</v>
      </c>
      <c r="E90" s="2">
        <f>IFERROR(__xludf.DUMMYFUNCTION("""COMPUTED_VALUE"""),1.8)</f>
        <v>1.8</v>
      </c>
      <c r="F90" s="2" t="str">
        <f>IFERROR(__xludf.DUMMYFUNCTION("""COMPUTED_VALUE"""),"AF")</f>
        <v>AF</v>
      </c>
    </row>
    <row r="91">
      <c r="A91" s="2" t="str">
        <f>IFERROR(__xludf.DUMMYFUNCTION("""COMPUTED_VALUE"""),"Kiribati")</f>
        <v>Kiribati</v>
      </c>
      <c r="B91" s="2">
        <f>IFERROR(__xludf.DUMMYFUNCTION("""COMPUTED_VALUE"""),21.0)</f>
        <v>21</v>
      </c>
      <c r="C91" s="2">
        <f>IFERROR(__xludf.DUMMYFUNCTION("""COMPUTED_VALUE"""),34.0)</f>
        <v>34</v>
      </c>
      <c r="D91" s="2">
        <f>IFERROR(__xludf.DUMMYFUNCTION("""COMPUTED_VALUE"""),1.0)</f>
        <v>1</v>
      </c>
      <c r="E91" s="2">
        <f>IFERROR(__xludf.DUMMYFUNCTION("""COMPUTED_VALUE"""),1.0)</f>
        <v>1</v>
      </c>
      <c r="F91" s="2" t="str">
        <f>IFERROR(__xludf.DUMMYFUNCTION("""COMPUTED_VALUE"""),"OC")</f>
        <v>OC</v>
      </c>
    </row>
    <row r="92">
      <c r="A92" s="2" t="str">
        <f>IFERROR(__xludf.DUMMYFUNCTION("""COMPUTED_VALUE"""),"Kuwait")</f>
        <v>Kuwait</v>
      </c>
      <c r="B92" s="2">
        <f>IFERROR(__xludf.DUMMYFUNCTION("""COMPUTED_VALUE"""),0.0)</f>
        <v>0</v>
      </c>
      <c r="C92" s="2">
        <f>IFERROR(__xludf.DUMMYFUNCTION("""COMPUTED_VALUE"""),0.0)</f>
        <v>0</v>
      </c>
      <c r="D92" s="2">
        <f>IFERROR(__xludf.DUMMYFUNCTION("""COMPUTED_VALUE"""),0.0)</f>
        <v>0</v>
      </c>
      <c r="E92" s="2">
        <f>IFERROR(__xludf.DUMMYFUNCTION("""COMPUTED_VALUE"""),0.0)</f>
        <v>0</v>
      </c>
      <c r="F92" s="2" t="str">
        <f>IFERROR(__xludf.DUMMYFUNCTION("""COMPUTED_VALUE"""),"AS")</f>
        <v>AS</v>
      </c>
    </row>
    <row r="93">
      <c r="A93" s="2" t="str">
        <f>IFERROR(__xludf.DUMMYFUNCTION("""COMPUTED_VALUE"""),"Kyrgyzstan")</f>
        <v>Kyrgyzstan</v>
      </c>
      <c r="B93" s="2">
        <f>IFERROR(__xludf.DUMMYFUNCTION("""COMPUTED_VALUE"""),31.0)</f>
        <v>31</v>
      </c>
      <c r="C93" s="2">
        <f>IFERROR(__xludf.DUMMYFUNCTION("""COMPUTED_VALUE"""),97.0)</f>
        <v>97</v>
      </c>
      <c r="D93" s="2">
        <f>IFERROR(__xludf.DUMMYFUNCTION("""COMPUTED_VALUE"""),6.0)</f>
        <v>6</v>
      </c>
      <c r="E93" s="2">
        <f>IFERROR(__xludf.DUMMYFUNCTION("""COMPUTED_VALUE"""),2.4)</f>
        <v>2.4</v>
      </c>
      <c r="F93" s="2" t="str">
        <f>IFERROR(__xludf.DUMMYFUNCTION("""COMPUTED_VALUE"""),"AS")</f>
        <v>AS</v>
      </c>
    </row>
    <row r="94">
      <c r="A94" s="2" t="str">
        <f>IFERROR(__xludf.DUMMYFUNCTION("""COMPUTED_VALUE"""),"Laos")</f>
        <v>Laos</v>
      </c>
      <c r="B94" s="2">
        <f>IFERROR(__xludf.DUMMYFUNCTION("""COMPUTED_VALUE"""),62.0)</f>
        <v>62</v>
      </c>
      <c r="C94" s="2">
        <f>IFERROR(__xludf.DUMMYFUNCTION("""COMPUTED_VALUE"""),0.0)</f>
        <v>0</v>
      </c>
      <c r="D94" s="2">
        <f>IFERROR(__xludf.DUMMYFUNCTION("""COMPUTED_VALUE"""),123.0)</f>
        <v>123</v>
      </c>
      <c r="E94" s="2">
        <f>IFERROR(__xludf.DUMMYFUNCTION("""COMPUTED_VALUE"""),6.2)</f>
        <v>6.2</v>
      </c>
      <c r="F94" s="2" t="str">
        <f>IFERROR(__xludf.DUMMYFUNCTION("""COMPUTED_VALUE"""),"AS")</f>
        <v>AS</v>
      </c>
    </row>
    <row r="95">
      <c r="A95" s="2" t="str">
        <f>IFERROR(__xludf.DUMMYFUNCTION("""COMPUTED_VALUE"""),"Latvia")</f>
        <v>Latvia</v>
      </c>
      <c r="B95" s="2">
        <f>IFERROR(__xludf.DUMMYFUNCTION("""COMPUTED_VALUE"""),281.0)</f>
        <v>281</v>
      </c>
      <c r="C95" s="2">
        <f>IFERROR(__xludf.DUMMYFUNCTION("""COMPUTED_VALUE"""),216.0)</f>
        <v>216</v>
      </c>
      <c r="D95" s="2">
        <f>IFERROR(__xludf.DUMMYFUNCTION("""COMPUTED_VALUE"""),62.0)</f>
        <v>62</v>
      </c>
      <c r="E95" s="2">
        <f>IFERROR(__xludf.DUMMYFUNCTION("""COMPUTED_VALUE"""),10.5)</f>
        <v>10.5</v>
      </c>
      <c r="F95" s="2" t="str">
        <f>IFERROR(__xludf.DUMMYFUNCTION("""COMPUTED_VALUE"""),"EU")</f>
        <v>EU</v>
      </c>
    </row>
    <row r="96">
      <c r="A96" s="2" t="str">
        <f>IFERROR(__xludf.DUMMYFUNCTION("""COMPUTED_VALUE"""),"Lebanon")</f>
        <v>Lebanon</v>
      </c>
      <c r="B96" s="2">
        <f>IFERROR(__xludf.DUMMYFUNCTION("""COMPUTED_VALUE"""),20.0)</f>
        <v>20</v>
      </c>
      <c r="C96" s="2">
        <f>IFERROR(__xludf.DUMMYFUNCTION("""COMPUTED_VALUE"""),55.0)</f>
        <v>55</v>
      </c>
      <c r="D96" s="2">
        <f>IFERROR(__xludf.DUMMYFUNCTION("""COMPUTED_VALUE"""),31.0)</f>
        <v>31</v>
      </c>
      <c r="E96" s="2">
        <f>IFERROR(__xludf.DUMMYFUNCTION("""COMPUTED_VALUE"""),1.9)</f>
        <v>1.9</v>
      </c>
      <c r="F96" s="2" t="str">
        <f>IFERROR(__xludf.DUMMYFUNCTION("""COMPUTED_VALUE"""),"AS")</f>
        <v>AS</v>
      </c>
    </row>
    <row r="97">
      <c r="A97" s="2" t="str">
        <f>IFERROR(__xludf.DUMMYFUNCTION("""COMPUTED_VALUE"""),"Lesotho")</f>
        <v>Lesotho</v>
      </c>
      <c r="B97" s="2">
        <f>IFERROR(__xludf.DUMMYFUNCTION("""COMPUTED_VALUE"""),82.0)</f>
        <v>82</v>
      </c>
      <c r="C97" s="2">
        <f>IFERROR(__xludf.DUMMYFUNCTION("""COMPUTED_VALUE"""),29.0)</f>
        <v>29</v>
      </c>
      <c r="D97" s="2">
        <f>IFERROR(__xludf.DUMMYFUNCTION("""COMPUTED_VALUE"""),0.0)</f>
        <v>0</v>
      </c>
      <c r="E97" s="2">
        <f>IFERROR(__xludf.DUMMYFUNCTION("""COMPUTED_VALUE"""),2.8)</f>
        <v>2.8</v>
      </c>
      <c r="F97" s="2" t="str">
        <f>IFERROR(__xludf.DUMMYFUNCTION("""COMPUTED_VALUE"""),"AF")</f>
        <v>AF</v>
      </c>
    </row>
    <row r="98">
      <c r="A98" s="2" t="str">
        <f>IFERROR(__xludf.DUMMYFUNCTION("""COMPUTED_VALUE"""),"Liberia")</f>
        <v>Liberia</v>
      </c>
      <c r="B98" s="2">
        <f>IFERROR(__xludf.DUMMYFUNCTION("""COMPUTED_VALUE"""),19.0)</f>
        <v>19</v>
      </c>
      <c r="C98" s="2">
        <f>IFERROR(__xludf.DUMMYFUNCTION("""COMPUTED_VALUE"""),152.0)</f>
        <v>152</v>
      </c>
      <c r="D98" s="2">
        <f>IFERROR(__xludf.DUMMYFUNCTION("""COMPUTED_VALUE"""),2.0)</f>
        <v>2</v>
      </c>
      <c r="E98" s="2">
        <f>IFERROR(__xludf.DUMMYFUNCTION("""COMPUTED_VALUE"""),3.1)</f>
        <v>3.1</v>
      </c>
      <c r="F98" s="2" t="str">
        <f>IFERROR(__xludf.DUMMYFUNCTION("""COMPUTED_VALUE"""),"AF")</f>
        <v>AF</v>
      </c>
    </row>
    <row r="99">
      <c r="A99" s="2" t="str">
        <f>IFERROR(__xludf.DUMMYFUNCTION("""COMPUTED_VALUE"""),"Libya")</f>
        <v>Libya</v>
      </c>
      <c r="B99" s="2">
        <f>IFERROR(__xludf.DUMMYFUNCTION("""COMPUTED_VALUE"""),0.0)</f>
        <v>0</v>
      </c>
      <c r="C99" s="2">
        <f>IFERROR(__xludf.DUMMYFUNCTION("""COMPUTED_VALUE"""),0.0)</f>
        <v>0</v>
      </c>
      <c r="D99" s="2">
        <f>IFERROR(__xludf.DUMMYFUNCTION("""COMPUTED_VALUE"""),0.0)</f>
        <v>0</v>
      </c>
      <c r="E99" s="2">
        <f>IFERROR(__xludf.DUMMYFUNCTION("""COMPUTED_VALUE"""),0.0)</f>
        <v>0</v>
      </c>
      <c r="F99" s="2" t="str">
        <f>IFERROR(__xludf.DUMMYFUNCTION("""COMPUTED_VALUE"""),"AF")</f>
        <v>AF</v>
      </c>
    </row>
    <row r="100">
      <c r="A100" s="2" t="str">
        <f>IFERROR(__xludf.DUMMYFUNCTION("""COMPUTED_VALUE"""),"Lithuania")</f>
        <v>Lithuania</v>
      </c>
      <c r="B100" s="2">
        <f>IFERROR(__xludf.DUMMYFUNCTION("""COMPUTED_VALUE"""),343.0)</f>
        <v>343</v>
      </c>
      <c r="C100" s="2">
        <f>IFERROR(__xludf.DUMMYFUNCTION("""COMPUTED_VALUE"""),244.0)</f>
        <v>244</v>
      </c>
      <c r="D100" s="2">
        <f>IFERROR(__xludf.DUMMYFUNCTION("""COMPUTED_VALUE"""),56.0)</f>
        <v>56</v>
      </c>
      <c r="E100" s="2">
        <f>IFERROR(__xludf.DUMMYFUNCTION("""COMPUTED_VALUE"""),12.9)</f>
        <v>12.9</v>
      </c>
      <c r="F100" s="2" t="str">
        <f>IFERROR(__xludf.DUMMYFUNCTION("""COMPUTED_VALUE"""),"EU")</f>
        <v>EU</v>
      </c>
    </row>
    <row r="101">
      <c r="A101" s="2" t="str">
        <f>IFERROR(__xludf.DUMMYFUNCTION("""COMPUTED_VALUE"""),"Luxembourg")</f>
        <v>Luxembourg</v>
      </c>
      <c r="B101" s="2">
        <f>IFERROR(__xludf.DUMMYFUNCTION("""COMPUTED_VALUE"""),236.0)</f>
        <v>236</v>
      </c>
      <c r="C101" s="2">
        <f>IFERROR(__xludf.DUMMYFUNCTION("""COMPUTED_VALUE"""),133.0)</f>
        <v>133</v>
      </c>
      <c r="D101" s="2">
        <f>IFERROR(__xludf.DUMMYFUNCTION("""COMPUTED_VALUE"""),271.0)</f>
        <v>271</v>
      </c>
      <c r="E101" s="2">
        <f>IFERROR(__xludf.DUMMYFUNCTION("""COMPUTED_VALUE"""),11.4)</f>
        <v>11.4</v>
      </c>
      <c r="F101" s="2" t="str">
        <f>IFERROR(__xludf.DUMMYFUNCTION("""COMPUTED_VALUE"""),"EU")</f>
        <v>EU</v>
      </c>
    </row>
    <row r="102">
      <c r="A102" s="2" t="str">
        <f>IFERROR(__xludf.DUMMYFUNCTION("""COMPUTED_VALUE"""),"Madagascar")</f>
        <v>Madagascar</v>
      </c>
      <c r="B102" s="2">
        <f>IFERROR(__xludf.DUMMYFUNCTION("""COMPUTED_VALUE"""),26.0)</f>
        <v>26</v>
      </c>
      <c r="C102" s="2">
        <f>IFERROR(__xludf.DUMMYFUNCTION("""COMPUTED_VALUE"""),15.0)</f>
        <v>15</v>
      </c>
      <c r="D102" s="2">
        <f>IFERROR(__xludf.DUMMYFUNCTION("""COMPUTED_VALUE"""),4.0)</f>
        <v>4</v>
      </c>
      <c r="E102" s="2">
        <f>IFERROR(__xludf.DUMMYFUNCTION("""COMPUTED_VALUE"""),0.8)</f>
        <v>0.8</v>
      </c>
      <c r="F102" s="2" t="str">
        <f>IFERROR(__xludf.DUMMYFUNCTION("""COMPUTED_VALUE"""),"AF")</f>
        <v>AF</v>
      </c>
    </row>
    <row r="103">
      <c r="A103" s="2" t="str">
        <f>IFERROR(__xludf.DUMMYFUNCTION("""COMPUTED_VALUE"""),"Malawi")</f>
        <v>Malawi</v>
      </c>
      <c r="B103" s="2">
        <f>IFERROR(__xludf.DUMMYFUNCTION("""COMPUTED_VALUE"""),8.0)</f>
        <v>8</v>
      </c>
      <c r="C103" s="2">
        <f>IFERROR(__xludf.DUMMYFUNCTION("""COMPUTED_VALUE"""),11.0)</f>
        <v>11</v>
      </c>
      <c r="D103" s="2">
        <f>IFERROR(__xludf.DUMMYFUNCTION("""COMPUTED_VALUE"""),1.0)</f>
        <v>1</v>
      </c>
      <c r="E103" s="2">
        <f>IFERROR(__xludf.DUMMYFUNCTION("""COMPUTED_VALUE"""),1.5)</f>
        <v>1.5</v>
      </c>
      <c r="F103" s="2" t="str">
        <f>IFERROR(__xludf.DUMMYFUNCTION("""COMPUTED_VALUE"""),"AF")</f>
        <v>AF</v>
      </c>
    </row>
    <row r="104">
      <c r="A104" s="2" t="str">
        <f>IFERROR(__xludf.DUMMYFUNCTION("""COMPUTED_VALUE"""),"Malaysia")</f>
        <v>Malaysia</v>
      </c>
      <c r="B104" s="2">
        <f>IFERROR(__xludf.DUMMYFUNCTION("""COMPUTED_VALUE"""),13.0)</f>
        <v>13</v>
      </c>
      <c r="C104" s="2">
        <f>IFERROR(__xludf.DUMMYFUNCTION("""COMPUTED_VALUE"""),4.0)</f>
        <v>4</v>
      </c>
      <c r="D104" s="2">
        <f>IFERROR(__xludf.DUMMYFUNCTION("""COMPUTED_VALUE"""),0.0)</f>
        <v>0</v>
      </c>
      <c r="E104" s="2">
        <f>IFERROR(__xludf.DUMMYFUNCTION("""COMPUTED_VALUE"""),0.3)</f>
        <v>0.3</v>
      </c>
      <c r="F104" s="2" t="str">
        <f>IFERROR(__xludf.DUMMYFUNCTION("""COMPUTED_VALUE"""),"AS")</f>
        <v>AS</v>
      </c>
    </row>
    <row r="105">
      <c r="A105" s="2" t="str">
        <f>IFERROR(__xludf.DUMMYFUNCTION("""COMPUTED_VALUE"""),"Maldives")</f>
        <v>Maldives</v>
      </c>
      <c r="B105" s="2">
        <f>IFERROR(__xludf.DUMMYFUNCTION("""COMPUTED_VALUE"""),0.0)</f>
        <v>0</v>
      </c>
      <c r="C105" s="2">
        <f>IFERROR(__xludf.DUMMYFUNCTION("""COMPUTED_VALUE"""),0.0)</f>
        <v>0</v>
      </c>
      <c r="D105" s="2">
        <f>IFERROR(__xludf.DUMMYFUNCTION("""COMPUTED_VALUE"""),0.0)</f>
        <v>0</v>
      </c>
      <c r="E105" s="2">
        <f>IFERROR(__xludf.DUMMYFUNCTION("""COMPUTED_VALUE"""),0.0)</f>
        <v>0</v>
      </c>
      <c r="F105" s="2" t="str">
        <f>IFERROR(__xludf.DUMMYFUNCTION("""COMPUTED_VALUE"""),"AS")</f>
        <v>AS</v>
      </c>
    </row>
    <row r="106">
      <c r="A106" s="2" t="str">
        <f>IFERROR(__xludf.DUMMYFUNCTION("""COMPUTED_VALUE"""),"Mali")</f>
        <v>Mali</v>
      </c>
      <c r="B106" s="2">
        <f>IFERROR(__xludf.DUMMYFUNCTION("""COMPUTED_VALUE"""),5.0)</f>
        <v>5</v>
      </c>
      <c r="C106" s="2">
        <f>IFERROR(__xludf.DUMMYFUNCTION("""COMPUTED_VALUE"""),1.0)</f>
        <v>1</v>
      </c>
      <c r="D106" s="2">
        <f>IFERROR(__xludf.DUMMYFUNCTION("""COMPUTED_VALUE"""),1.0)</f>
        <v>1</v>
      </c>
      <c r="E106" s="2">
        <f>IFERROR(__xludf.DUMMYFUNCTION("""COMPUTED_VALUE"""),0.6)</f>
        <v>0.6</v>
      </c>
      <c r="F106" s="2" t="str">
        <f>IFERROR(__xludf.DUMMYFUNCTION("""COMPUTED_VALUE"""),"AF")</f>
        <v>AF</v>
      </c>
    </row>
    <row r="107">
      <c r="A107" s="2" t="str">
        <f>IFERROR(__xludf.DUMMYFUNCTION("""COMPUTED_VALUE"""),"Malta")</f>
        <v>Malta</v>
      </c>
      <c r="B107" s="2">
        <f>IFERROR(__xludf.DUMMYFUNCTION("""COMPUTED_VALUE"""),149.0)</f>
        <v>149</v>
      </c>
      <c r="C107" s="2">
        <f>IFERROR(__xludf.DUMMYFUNCTION("""COMPUTED_VALUE"""),100.0)</f>
        <v>100</v>
      </c>
      <c r="D107" s="2">
        <f>IFERROR(__xludf.DUMMYFUNCTION("""COMPUTED_VALUE"""),120.0)</f>
        <v>120</v>
      </c>
      <c r="E107" s="2">
        <f>IFERROR(__xludf.DUMMYFUNCTION("""COMPUTED_VALUE"""),6.6)</f>
        <v>6.6</v>
      </c>
      <c r="F107" s="2" t="str">
        <f>IFERROR(__xludf.DUMMYFUNCTION("""COMPUTED_VALUE"""),"EU")</f>
        <v>EU</v>
      </c>
    </row>
    <row r="108">
      <c r="A108" s="2" t="str">
        <f>IFERROR(__xludf.DUMMYFUNCTION("""COMPUTED_VALUE"""),"Marshall Islands")</f>
        <v>Marshall Islands</v>
      </c>
      <c r="B108" s="2">
        <f>IFERROR(__xludf.DUMMYFUNCTION("""COMPUTED_VALUE"""),0.0)</f>
        <v>0</v>
      </c>
      <c r="C108" s="2">
        <f>IFERROR(__xludf.DUMMYFUNCTION("""COMPUTED_VALUE"""),0.0)</f>
        <v>0</v>
      </c>
      <c r="D108" s="2">
        <f>IFERROR(__xludf.DUMMYFUNCTION("""COMPUTED_VALUE"""),0.0)</f>
        <v>0</v>
      </c>
      <c r="E108" s="2">
        <f>IFERROR(__xludf.DUMMYFUNCTION("""COMPUTED_VALUE"""),0.0)</f>
        <v>0</v>
      </c>
      <c r="F108" s="2" t="str">
        <f>IFERROR(__xludf.DUMMYFUNCTION("""COMPUTED_VALUE"""),"OC")</f>
        <v>OC</v>
      </c>
    </row>
    <row r="109">
      <c r="A109" s="2" t="str">
        <f>IFERROR(__xludf.DUMMYFUNCTION("""COMPUTED_VALUE"""),"Mauritania")</f>
        <v>Mauritania</v>
      </c>
      <c r="B109" s="2">
        <f>IFERROR(__xludf.DUMMYFUNCTION("""COMPUTED_VALUE"""),0.0)</f>
        <v>0</v>
      </c>
      <c r="C109" s="2">
        <f>IFERROR(__xludf.DUMMYFUNCTION("""COMPUTED_VALUE"""),0.0)</f>
        <v>0</v>
      </c>
      <c r="D109" s="2">
        <f>IFERROR(__xludf.DUMMYFUNCTION("""COMPUTED_VALUE"""),0.0)</f>
        <v>0</v>
      </c>
      <c r="E109" s="2">
        <f>IFERROR(__xludf.DUMMYFUNCTION("""COMPUTED_VALUE"""),0.0)</f>
        <v>0</v>
      </c>
      <c r="F109" s="2" t="str">
        <f>IFERROR(__xludf.DUMMYFUNCTION("""COMPUTED_VALUE"""),"AF")</f>
        <v>AF</v>
      </c>
    </row>
    <row r="110">
      <c r="A110" s="2" t="str">
        <f>IFERROR(__xludf.DUMMYFUNCTION("""COMPUTED_VALUE"""),"Mauritius")</f>
        <v>Mauritius</v>
      </c>
      <c r="B110" s="2">
        <f>IFERROR(__xludf.DUMMYFUNCTION("""COMPUTED_VALUE"""),98.0)</f>
        <v>98</v>
      </c>
      <c r="C110" s="2">
        <f>IFERROR(__xludf.DUMMYFUNCTION("""COMPUTED_VALUE"""),31.0)</f>
        <v>31</v>
      </c>
      <c r="D110" s="2">
        <f>IFERROR(__xludf.DUMMYFUNCTION("""COMPUTED_VALUE"""),18.0)</f>
        <v>18</v>
      </c>
      <c r="E110" s="2">
        <f>IFERROR(__xludf.DUMMYFUNCTION("""COMPUTED_VALUE"""),2.6)</f>
        <v>2.6</v>
      </c>
      <c r="F110" s="2" t="str">
        <f>IFERROR(__xludf.DUMMYFUNCTION("""COMPUTED_VALUE"""),"AF")</f>
        <v>AF</v>
      </c>
    </row>
    <row r="111">
      <c r="A111" s="2" t="str">
        <f>IFERROR(__xludf.DUMMYFUNCTION("""COMPUTED_VALUE"""),"Mexico")</f>
        <v>Mexico</v>
      </c>
      <c r="B111" s="2">
        <f>IFERROR(__xludf.DUMMYFUNCTION("""COMPUTED_VALUE"""),238.0)</f>
        <v>238</v>
      </c>
      <c r="C111" s="2">
        <f>IFERROR(__xludf.DUMMYFUNCTION("""COMPUTED_VALUE"""),68.0)</f>
        <v>68</v>
      </c>
      <c r="D111" s="2">
        <f>IFERROR(__xludf.DUMMYFUNCTION("""COMPUTED_VALUE"""),5.0)</f>
        <v>5</v>
      </c>
      <c r="E111" s="2">
        <f>IFERROR(__xludf.DUMMYFUNCTION("""COMPUTED_VALUE"""),5.5)</f>
        <v>5.5</v>
      </c>
      <c r="F111" s="2" t="str">
        <f>IFERROR(__xludf.DUMMYFUNCTION("""COMPUTED_VALUE"""),"NA")</f>
        <v>NA</v>
      </c>
    </row>
    <row r="112">
      <c r="A112" s="2" t="str">
        <f>IFERROR(__xludf.DUMMYFUNCTION("""COMPUTED_VALUE"""),"Micronesia")</f>
        <v>Micronesia</v>
      </c>
      <c r="B112" s="2">
        <f>IFERROR(__xludf.DUMMYFUNCTION("""COMPUTED_VALUE"""),62.0)</f>
        <v>62</v>
      </c>
      <c r="C112" s="2">
        <f>IFERROR(__xludf.DUMMYFUNCTION("""COMPUTED_VALUE"""),50.0)</f>
        <v>50</v>
      </c>
      <c r="D112" s="2">
        <f>IFERROR(__xludf.DUMMYFUNCTION("""COMPUTED_VALUE"""),18.0)</f>
        <v>18</v>
      </c>
      <c r="E112" s="2">
        <f>IFERROR(__xludf.DUMMYFUNCTION("""COMPUTED_VALUE"""),2.3)</f>
        <v>2.3</v>
      </c>
      <c r="F112" s="2" t="str">
        <f>IFERROR(__xludf.DUMMYFUNCTION("""COMPUTED_VALUE"""),"OC")</f>
        <v>OC</v>
      </c>
    </row>
    <row r="113">
      <c r="A113" s="2" t="str">
        <f>IFERROR(__xludf.DUMMYFUNCTION("""COMPUTED_VALUE"""),"Monaco")</f>
        <v>Monaco</v>
      </c>
      <c r="B113" s="2">
        <f>IFERROR(__xludf.DUMMYFUNCTION("""COMPUTED_VALUE"""),0.0)</f>
        <v>0</v>
      </c>
      <c r="C113" s="2">
        <f>IFERROR(__xludf.DUMMYFUNCTION("""COMPUTED_VALUE"""),0.0)</f>
        <v>0</v>
      </c>
      <c r="D113" s="2">
        <f>IFERROR(__xludf.DUMMYFUNCTION("""COMPUTED_VALUE"""),0.0)</f>
        <v>0</v>
      </c>
      <c r="E113" s="2">
        <f>IFERROR(__xludf.DUMMYFUNCTION("""COMPUTED_VALUE"""),0.0)</f>
        <v>0</v>
      </c>
      <c r="F113" s="2" t="str">
        <f>IFERROR(__xludf.DUMMYFUNCTION("""COMPUTED_VALUE"""),"EU")</f>
        <v>EU</v>
      </c>
    </row>
    <row r="114">
      <c r="A114" s="2" t="str">
        <f>IFERROR(__xludf.DUMMYFUNCTION("""COMPUTED_VALUE"""),"Mongolia")</f>
        <v>Mongolia</v>
      </c>
      <c r="B114" s="2">
        <f>IFERROR(__xludf.DUMMYFUNCTION("""COMPUTED_VALUE"""),77.0)</f>
        <v>77</v>
      </c>
      <c r="C114" s="2">
        <f>IFERROR(__xludf.DUMMYFUNCTION("""COMPUTED_VALUE"""),189.0)</f>
        <v>189</v>
      </c>
      <c r="D114" s="2">
        <f>IFERROR(__xludf.DUMMYFUNCTION("""COMPUTED_VALUE"""),8.0)</f>
        <v>8</v>
      </c>
      <c r="E114" s="2">
        <f>IFERROR(__xludf.DUMMYFUNCTION("""COMPUTED_VALUE"""),4.9)</f>
        <v>4.9</v>
      </c>
      <c r="F114" s="2" t="str">
        <f>IFERROR(__xludf.DUMMYFUNCTION("""COMPUTED_VALUE"""),"AS")</f>
        <v>AS</v>
      </c>
    </row>
    <row r="115">
      <c r="A115" s="2" t="str">
        <f>IFERROR(__xludf.DUMMYFUNCTION("""COMPUTED_VALUE"""),"Montenegro")</f>
        <v>Montenegro</v>
      </c>
      <c r="B115" s="2">
        <f>IFERROR(__xludf.DUMMYFUNCTION("""COMPUTED_VALUE"""),31.0)</f>
        <v>31</v>
      </c>
      <c r="C115" s="2">
        <f>IFERROR(__xludf.DUMMYFUNCTION("""COMPUTED_VALUE"""),114.0)</f>
        <v>114</v>
      </c>
      <c r="D115" s="2">
        <f>IFERROR(__xludf.DUMMYFUNCTION("""COMPUTED_VALUE"""),128.0)</f>
        <v>128</v>
      </c>
      <c r="E115" s="2">
        <f>IFERROR(__xludf.DUMMYFUNCTION("""COMPUTED_VALUE"""),4.9)</f>
        <v>4.9</v>
      </c>
      <c r="F115" s="2" t="str">
        <f>IFERROR(__xludf.DUMMYFUNCTION("""COMPUTED_VALUE"""),"EU")</f>
        <v>EU</v>
      </c>
    </row>
    <row r="116">
      <c r="A116" s="2" t="str">
        <f>IFERROR(__xludf.DUMMYFUNCTION("""COMPUTED_VALUE"""),"Morocco")</f>
        <v>Morocco</v>
      </c>
      <c r="B116" s="2">
        <f>IFERROR(__xludf.DUMMYFUNCTION("""COMPUTED_VALUE"""),12.0)</f>
        <v>12</v>
      </c>
      <c r="C116" s="2">
        <f>IFERROR(__xludf.DUMMYFUNCTION("""COMPUTED_VALUE"""),6.0)</f>
        <v>6</v>
      </c>
      <c r="D116" s="2">
        <f>IFERROR(__xludf.DUMMYFUNCTION("""COMPUTED_VALUE"""),10.0)</f>
        <v>10</v>
      </c>
      <c r="E116" s="2">
        <f>IFERROR(__xludf.DUMMYFUNCTION("""COMPUTED_VALUE"""),0.5)</f>
        <v>0.5</v>
      </c>
      <c r="F116" s="2" t="str">
        <f>IFERROR(__xludf.DUMMYFUNCTION("""COMPUTED_VALUE"""),"AF")</f>
        <v>AF</v>
      </c>
    </row>
    <row r="117">
      <c r="A117" s="2" t="str">
        <f>IFERROR(__xludf.DUMMYFUNCTION("""COMPUTED_VALUE"""),"Mozambique")</f>
        <v>Mozambique</v>
      </c>
      <c r="B117" s="2">
        <f>IFERROR(__xludf.DUMMYFUNCTION("""COMPUTED_VALUE"""),47.0)</f>
        <v>47</v>
      </c>
      <c r="C117" s="2">
        <f>IFERROR(__xludf.DUMMYFUNCTION("""COMPUTED_VALUE"""),18.0)</f>
        <v>18</v>
      </c>
      <c r="D117" s="2">
        <f>IFERROR(__xludf.DUMMYFUNCTION("""COMPUTED_VALUE"""),5.0)</f>
        <v>5</v>
      </c>
      <c r="E117" s="2">
        <f>IFERROR(__xludf.DUMMYFUNCTION("""COMPUTED_VALUE"""),1.3)</f>
        <v>1.3</v>
      </c>
      <c r="F117" s="2" t="str">
        <f>IFERROR(__xludf.DUMMYFUNCTION("""COMPUTED_VALUE"""),"AF")</f>
        <v>AF</v>
      </c>
    </row>
    <row r="118">
      <c r="A118" s="2" t="str">
        <f>IFERROR(__xludf.DUMMYFUNCTION("""COMPUTED_VALUE"""),"Myanmar")</f>
        <v>Myanmar</v>
      </c>
      <c r="B118" s="2">
        <f>IFERROR(__xludf.DUMMYFUNCTION("""COMPUTED_VALUE"""),5.0)</f>
        <v>5</v>
      </c>
      <c r="C118" s="2">
        <f>IFERROR(__xludf.DUMMYFUNCTION("""COMPUTED_VALUE"""),1.0)</f>
        <v>1</v>
      </c>
      <c r="D118" s="2">
        <f>IFERROR(__xludf.DUMMYFUNCTION("""COMPUTED_VALUE"""),0.0)</f>
        <v>0</v>
      </c>
      <c r="E118" s="2">
        <f>IFERROR(__xludf.DUMMYFUNCTION("""COMPUTED_VALUE"""),0.1)</f>
        <v>0.1</v>
      </c>
      <c r="F118" s="2" t="str">
        <f>IFERROR(__xludf.DUMMYFUNCTION("""COMPUTED_VALUE"""),"AS")</f>
        <v>AS</v>
      </c>
    </row>
    <row r="119">
      <c r="A119" s="2" t="str">
        <f>IFERROR(__xludf.DUMMYFUNCTION("""COMPUTED_VALUE"""),"Namibia")</f>
        <v>Namibia</v>
      </c>
      <c r="B119" s="2">
        <f>IFERROR(__xludf.DUMMYFUNCTION("""COMPUTED_VALUE"""),376.0)</f>
        <v>376</v>
      </c>
      <c r="C119" s="2">
        <f>IFERROR(__xludf.DUMMYFUNCTION("""COMPUTED_VALUE"""),3.0)</f>
        <v>3</v>
      </c>
      <c r="D119" s="2">
        <f>IFERROR(__xludf.DUMMYFUNCTION("""COMPUTED_VALUE"""),1.0)</f>
        <v>1</v>
      </c>
      <c r="E119" s="2">
        <f>IFERROR(__xludf.DUMMYFUNCTION("""COMPUTED_VALUE"""),6.8)</f>
        <v>6.8</v>
      </c>
      <c r="F119" s="2" t="str">
        <f>IFERROR(__xludf.DUMMYFUNCTION("""COMPUTED_VALUE"""),"AF")</f>
        <v>AF</v>
      </c>
    </row>
    <row r="120">
      <c r="A120" s="2" t="str">
        <f>IFERROR(__xludf.DUMMYFUNCTION("""COMPUTED_VALUE"""),"Nauru")</f>
        <v>Nauru</v>
      </c>
      <c r="B120" s="2">
        <f>IFERROR(__xludf.DUMMYFUNCTION("""COMPUTED_VALUE"""),49.0)</f>
        <v>49</v>
      </c>
      <c r="C120" s="2">
        <f>IFERROR(__xludf.DUMMYFUNCTION("""COMPUTED_VALUE"""),0.0)</f>
        <v>0</v>
      </c>
      <c r="D120" s="2">
        <f>IFERROR(__xludf.DUMMYFUNCTION("""COMPUTED_VALUE"""),8.0)</f>
        <v>8</v>
      </c>
      <c r="E120" s="2">
        <f>IFERROR(__xludf.DUMMYFUNCTION("""COMPUTED_VALUE"""),1.0)</f>
        <v>1</v>
      </c>
      <c r="F120" s="2" t="str">
        <f>IFERROR(__xludf.DUMMYFUNCTION("""COMPUTED_VALUE"""),"OC")</f>
        <v>OC</v>
      </c>
    </row>
    <row r="121">
      <c r="A121" s="2" t="str">
        <f>IFERROR(__xludf.DUMMYFUNCTION("""COMPUTED_VALUE"""),"Nepal")</f>
        <v>Nepal</v>
      </c>
      <c r="B121" s="2">
        <f>IFERROR(__xludf.DUMMYFUNCTION("""COMPUTED_VALUE"""),5.0)</f>
        <v>5</v>
      </c>
      <c r="C121" s="2">
        <f>IFERROR(__xludf.DUMMYFUNCTION("""COMPUTED_VALUE"""),6.0)</f>
        <v>6</v>
      </c>
      <c r="D121" s="2">
        <f>IFERROR(__xludf.DUMMYFUNCTION("""COMPUTED_VALUE"""),0.0)</f>
        <v>0</v>
      </c>
      <c r="E121" s="2">
        <f>IFERROR(__xludf.DUMMYFUNCTION("""COMPUTED_VALUE"""),0.2)</f>
        <v>0.2</v>
      </c>
      <c r="F121" s="2" t="str">
        <f>IFERROR(__xludf.DUMMYFUNCTION("""COMPUTED_VALUE"""),"AS")</f>
        <v>AS</v>
      </c>
    </row>
    <row r="122">
      <c r="A122" s="2" t="str">
        <f>IFERROR(__xludf.DUMMYFUNCTION("""COMPUTED_VALUE"""),"Netherlands")</f>
        <v>Netherlands</v>
      </c>
      <c r="B122" s="2">
        <f>IFERROR(__xludf.DUMMYFUNCTION("""COMPUTED_VALUE"""),251.0)</f>
        <v>251</v>
      </c>
      <c r="C122" s="2">
        <f>IFERROR(__xludf.DUMMYFUNCTION("""COMPUTED_VALUE"""),88.0)</f>
        <v>88</v>
      </c>
      <c r="D122" s="2">
        <f>IFERROR(__xludf.DUMMYFUNCTION("""COMPUTED_VALUE"""),190.0)</f>
        <v>190</v>
      </c>
      <c r="E122" s="2">
        <f>IFERROR(__xludf.DUMMYFUNCTION("""COMPUTED_VALUE"""),9.4)</f>
        <v>9.4</v>
      </c>
      <c r="F122" s="2" t="str">
        <f>IFERROR(__xludf.DUMMYFUNCTION("""COMPUTED_VALUE"""),"EU")</f>
        <v>EU</v>
      </c>
    </row>
    <row r="123">
      <c r="A123" s="2" t="str">
        <f>IFERROR(__xludf.DUMMYFUNCTION("""COMPUTED_VALUE"""),"New Zealand")</f>
        <v>New Zealand</v>
      </c>
      <c r="B123" s="2">
        <f>IFERROR(__xludf.DUMMYFUNCTION("""COMPUTED_VALUE"""),203.0)</f>
        <v>203</v>
      </c>
      <c r="C123" s="2">
        <f>IFERROR(__xludf.DUMMYFUNCTION("""COMPUTED_VALUE"""),79.0)</f>
        <v>79</v>
      </c>
      <c r="D123" s="2">
        <f>IFERROR(__xludf.DUMMYFUNCTION("""COMPUTED_VALUE"""),175.0)</f>
        <v>175</v>
      </c>
      <c r="E123" s="2">
        <f>IFERROR(__xludf.DUMMYFUNCTION("""COMPUTED_VALUE"""),9.3)</f>
        <v>9.3</v>
      </c>
      <c r="F123" s="2" t="str">
        <f>IFERROR(__xludf.DUMMYFUNCTION("""COMPUTED_VALUE"""),"OC")</f>
        <v>OC</v>
      </c>
    </row>
    <row r="124">
      <c r="A124" s="2" t="str">
        <f>IFERROR(__xludf.DUMMYFUNCTION("""COMPUTED_VALUE"""),"Nicaragua")</f>
        <v>Nicaragua</v>
      </c>
      <c r="B124" s="2">
        <f>IFERROR(__xludf.DUMMYFUNCTION("""COMPUTED_VALUE"""),78.0)</f>
        <v>78</v>
      </c>
      <c r="C124" s="2">
        <f>IFERROR(__xludf.DUMMYFUNCTION("""COMPUTED_VALUE"""),118.0)</f>
        <v>118</v>
      </c>
      <c r="D124" s="2">
        <f>IFERROR(__xludf.DUMMYFUNCTION("""COMPUTED_VALUE"""),1.0)</f>
        <v>1</v>
      </c>
      <c r="E124" s="2">
        <f>IFERROR(__xludf.DUMMYFUNCTION("""COMPUTED_VALUE"""),3.5)</f>
        <v>3.5</v>
      </c>
      <c r="F124" s="2" t="str">
        <f>IFERROR(__xludf.DUMMYFUNCTION("""COMPUTED_VALUE"""),"NA")</f>
        <v>NA</v>
      </c>
    </row>
    <row r="125">
      <c r="A125" s="2" t="str">
        <f>IFERROR(__xludf.DUMMYFUNCTION("""COMPUTED_VALUE"""),"Niger")</f>
        <v>Niger</v>
      </c>
      <c r="B125" s="2">
        <f>IFERROR(__xludf.DUMMYFUNCTION("""COMPUTED_VALUE"""),3.0)</f>
        <v>3</v>
      </c>
      <c r="C125" s="2">
        <f>IFERROR(__xludf.DUMMYFUNCTION("""COMPUTED_VALUE"""),2.0)</f>
        <v>2</v>
      </c>
      <c r="D125" s="2">
        <f>IFERROR(__xludf.DUMMYFUNCTION("""COMPUTED_VALUE"""),1.0)</f>
        <v>1</v>
      </c>
      <c r="E125" s="2">
        <f>IFERROR(__xludf.DUMMYFUNCTION("""COMPUTED_VALUE"""),0.1)</f>
        <v>0.1</v>
      </c>
      <c r="F125" s="2" t="str">
        <f>IFERROR(__xludf.DUMMYFUNCTION("""COMPUTED_VALUE"""),"AF")</f>
        <v>AF</v>
      </c>
    </row>
    <row r="126">
      <c r="A126" s="2" t="str">
        <f>IFERROR(__xludf.DUMMYFUNCTION("""COMPUTED_VALUE"""),"Nigeria")</f>
        <v>Nigeria</v>
      </c>
      <c r="B126" s="2">
        <f>IFERROR(__xludf.DUMMYFUNCTION("""COMPUTED_VALUE"""),42.0)</f>
        <v>42</v>
      </c>
      <c r="C126" s="2">
        <f>IFERROR(__xludf.DUMMYFUNCTION("""COMPUTED_VALUE"""),5.0)</f>
        <v>5</v>
      </c>
      <c r="D126" s="2">
        <f>IFERROR(__xludf.DUMMYFUNCTION("""COMPUTED_VALUE"""),2.0)</f>
        <v>2</v>
      </c>
      <c r="E126" s="2">
        <f>IFERROR(__xludf.DUMMYFUNCTION("""COMPUTED_VALUE"""),9.1)</f>
        <v>9.1</v>
      </c>
      <c r="F126" s="2" t="str">
        <f>IFERROR(__xludf.DUMMYFUNCTION("""COMPUTED_VALUE"""),"AF")</f>
        <v>AF</v>
      </c>
    </row>
    <row r="127">
      <c r="A127" s="2" t="str">
        <f>IFERROR(__xludf.DUMMYFUNCTION("""COMPUTED_VALUE"""),"Niue")</f>
        <v>Niue</v>
      </c>
      <c r="B127" s="2">
        <f>IFERROR(__xludf.DUMMYFUNCTION("""COMPUTED_VALUE"""),188.0)</f>
        <v>188</v>
      </c>
      <c r="C127" s="2">
        <f>IFERROR(__xludf.DUMMYFUNCTION("""COMPUTED_VALUE"""),200.0)</f>
        <v>200</v>
      </c>
      <c r="D127" s="2">
        <f>IFERROR(__xludf.DUMMYFUNCTION("""COMPUTED_VALUE"""),7.0)</f>
        <v>7</v>
      </c>
      <c r="E127" s="2">
        <f>IFERROR(__xludf.DUMMYFUNCTION("""COMPUTED_VALUE"""),7.0)</f>
        <v>7</v>
      </c>
      <c r="F127" s="2" t="str">
        <f>IFERROR(__xludf.DUMMYFUNCTION("""COMPUTED_VALUE"""),"OC")</f>
        <v>OC</v>
      </c>
    </row>
    <row r="128">
      <c r="A128" s="2" t="str">
        <f>IFERROR(__xludf.DUMMYFUNCTION("""COMPUTED_VALUE"""),"Norway")</f>
        <v>Norway</v>
      </c>
      <c r="B128" s="2">
        <f>IFERROR(__xludf.DUMMYFUNCTION("""COMPUTED_VALUE"""),169.0)</f>
        <v>169</v>
      </c>
      <c r="C128" s="2">
        <f>IFERROR(__xludf.DUMMYFUNCTION("""COMPUTED_VALUE"""),71.0)</f>
        <v>71</v>
      </c>
      <c r="D128" s="2">
        <f>IFERROR(__xludf.DUMMYFUNCTION("""COMPUTED_VALUE"""),129.0)</f>
        <v>129</v>
      </c>
      <c r="E128" s="2">
        <f>IFERROR(__xludf.DUMMYFUNCTION("""COMPUTED_VALUE"""),6.7)</f>
        <v>6.7</v>
      </c>
      <c r="F128" s="2" t="str">
        <f>IFERROR(__xludf.DUMMYFUNCTION("""COMPUTED_VALUE"""),"EU")</f>
        <v>EU</v>
      </c>
    </row>
    <row r="129">
      <c r="A129" s="2" t="str">
        <f>IFERROR(__xludf.DUMMYFUNCTION("""COMPUTED_VALUE"""),"Oman")</f>
        <v>Oman</v>
      </c>
      <c r="B129" s="2">
        <f>IFERROR(__xludf.DUMMYFUNCTION("""COMPUTED_VALUE"""),22.0)</f>
        <v>22</v>
      </c>
      <c r="C129" s="2">
        <f>IFERROR(__xludf.DUMMYFUNCTION("""COMPUTED_VALUE"""),16.0)</f>
        <v>16</v>
      </c>
      <c r="D129" s="2">
        <f>IFERROR(__xludf.DUMMYFUNCTION("""COMPUTED_VALUE"""),1.0)</f>
        <v>1</v>
      </c>
      <c r="E129" s="2">
        <f>IFERROR(__xludf.DUMMYFUNCTION("""COMPUTED_VALUE"""),0.7)</f>
        <v>0.7</v>
      </c>
      <c r="F129" s="2" t="str">
        <f>IFERROR(__xludf.DUMMYFUNCTION("""COMPUTED_VALUE"""),"AS")</f>
        <v>AS</v>
      </c>
    </row>
    <row r="130">
      <c r="A130" s="2" t="str">
        <f>IFERROR(__xludf.DUMMYFUNCTION("""COMPUTED_VALUE"""),"Pakistan")</f>
        <v>Pakistan</v>
      </c>
      <c r="B130" s="2">
        <f>IFERROR(__xludf.DUMMYFUNCTION("""COMPUTED_VALUE"""),0.0)</f>
        <v>0</v>
      </c>
      <c r="C130" s="2">
        <f>IFERROR(__xludf.DUMMYFUNCTION("""COMPUTED_VALUE"""),0.0)</f>
        <v>0</v>
      </c>
      <c r="D130" s="2">
        <f>IFERROR(__xludf.DUMMYFUNCTION("""COMPUTED_VALUE"""),0.0)</f>
        <v>0</v>
      </c>
      <c r="E130" s="2">
        <f>IFERROR(__xludf.DUMMYFUNCTION("""COMPUTED_VALUE"""),0.0)</f>
        <v>0</v>
      </c>
      <c r="F130" s="2" t="str">
        <f>IFERROR(__xludf.DUMMYFUNCTION("""COMPUTED_VALUE"""),"AS")</f>
        <v>AS</v>
      </c>
    </row>
    <row r="131">
      <c r="A131" s="2" t="str">
        <f>IFERROR(__xludf.DUMMYFUNCTION("""COMPUTED_VALUE"""),"Palau")</f>
        <v>Palau</v>
      </c>
      <c r="B131" s="2">
        <f>IFERROR(__xludf.DUMMYFUNCTION("""COMPUTED_VALUE"""),306.0)</f>
        <v>306</v>
      </c>
      <c r="C131" s="2">
        <f>IFERROR(__xludf.DUMMYFUNCTION("""COMPUTED_VALUE"""),63.0)</f>
        <v>63</v>
      </c>
      <c r="D131" s="2">
        <f>IFERROR(__xludf.DUMMYFUNCTION("""COMPUTED_VALUE"""),23.0)</f>
        <v>23</v>
      </c>
      <c r="E131" s="2">
        <f>IFERROR(__xludf.DUMMYFUNCTION("""COMPUTED_VALUE"""),6.9)</f>
        <v>6.9</v>
      </c>
      <c r="F131" s="2" t="str">
        <f>IFERROR(__xludf.DUMMYFUNCTION("""COMPUTED_VALUE"""),"OC")</f>
        <v>OC</v>
      </c>
    </row>
    <row r="132">
      <c r="A132" s="2" t="str">
        <f>IFERROR(__xludf.DUMMYFUNCTION("""COMPUTED_VALUE"""),"Panama")</f>
        <v>Panama</v>
      </c>
      <c r="B132" s="2">
        <f>IFERROR(__xludf.DUMMYFUNCTION("""COMPUTED_VALUE"""),285.0)</f>
        <v>285</v>
      </c>
      <c r="C132" s="2">
        <f>IFERROR(__xludf.DUMMYFUNCTION("""COMPUTED_VALUE"""),104.0)</f>
        <v>104</v>
      </c>
      <c r="D132" s="2">
        <f>IFERROR(__xludf.DUMMYFUNCTION("""COMPUTED_VALUE"""),18.0)</f>
        <v>18</v>
      </c>
      <c r="E132" s="2">
        <f>IFERROR(__xludf.DUMMYFUNCTION("""COMPUTED_VALUE"""),7.2)</f>
        <v>7.2</v>
      </c>
      <c r="F132" s="2" t="str">
        <f>IFERROR(__xludf.DUMMYFUNCTION("""COMPUTED_VALUE"""),"NA")</f>
        <v>NA</v>
      </c>
    </row>
    <row r="133">
      <c r="A133" s="2" t="str">
        <f>IFERROR(__xludf.DUMMYFUNCTION("""COMPUTED_VALUE"""),"Papua New Guinea")</f>
        <v>Papua New Guinea</v>
      </c>
      <c r="B133" s="2">
        <f>IFERROR(__xludf.DUMMYFUNCTION("""COMPUTED_VALUE"""),44.0)</f>
        <v>44</v>
      </c>
      <c r="C133" s="2">
        <f>IFERROR(__xludf.DUMMYFUNCTION("""COMPUTED_VALUE"""),39.0)</f>
        <v>39</v>
      </c>
      <c r="D133" s="2">
        <f>IFERROR(__xludf.DUMMYFUNCTION("""COMPUTED_VALUE"""),1.0)</f>
        <v>1</v>
      </c>
      <c r="E133" s="2">
        <f>IFERROR(__xludf.DUMMYFUNCTION("""COMPUTED_VALUE"""),1.5)</f>
        <v>1.5</v>
      </c>
      <c r="F133" s="2" t="str">
        <f>IFERROR(__xludf.DUMMYFUNCTION("""COMPUTED_VALUE"""),"OC")</f>
        <v>OC</v>
      </c>
    </row>
    <row r="134">
      <c r="A134" s="2" t="str">
        <f>IFERROR(__xludf.DUMMYFUNCTION("""COMPUTED_VALUE"""),"Paraguay")</f>
        <v>Paraguay</v>
      </c>
      <c r="B134" s="2">
        <f>IFERROR(__xludf.DUMMYFUNCTION("""COMPUTED_VALUE"""),213.0)</f>
        <v>213</v>
      </c>
      <c r="C134" s="2">
        <f>IFERROR(__xludf.DUMMYFUNCTION("""COMPUTED_VALUE"""),117.0)</f>
        <v>117</v>
      </c>
      <c r="D134" s="2">
        <f>IFERROR(__xludf.DUMMYFUNCTION("""COMPUTED_VALUE"""),74.0)</f>
        <v>74</v>
      </c>
      <c r="E134" s="2">
        <f>IFERROR(__xludf.DUMMYFUNCTION("""COMPUTED_VALUE"""),7.3)</f>
        <v>7.3</v>
      </c>
      <c r="F134" s="2" t="str">
        <f>IFERROR(__xludf.DUMMYFUNCTION("""COMPUTED_VALUE"""),"SA")</f>
        <v>SA</v>
      </c>
    </row>
    <row r="135">
      <c r="A135" s="2" t="str">
        <f>IFERROR(__xludf.DUMMYFUNCTION("""COMPUTED_VALUE"""),"Peru")</f>
        <v>Peru</v>
      </c>
      <c r="B135" s="2">
        <f>IFERROR(__xludf.DUMMYFUNCTION("""COMPUTED_VALUE"""),163.0)</f>
        <v>163</v>
      </c>
      <c r="C135" s="2">
        <f>IFERROR(__xludf.DUMMYFUNCTION("""COMPUTED_VALUE"""),160.0)</f>
        <v>160</v>
      </c>
      <c r="D135" s="2">
        <f>IFERROR(__xludf.DUMMYFUNCTION("""COMPUTED_VALUE"""),21.0)</f>
        <v>21</v>
      </c>
      <c r="E135" s="2">
        <f>IFERROR(__xludf.DUMMYFUNCTION("""COMPUTED_VALUE"""),6.1)</f>
        <v>6.1</v>
      </c>
      <c r="F135" s="2" t="str">
        <f>IFERROR(__xludf.DUMMYFUNCTION("""COMPUTED_VALUE"""),"SA")</f>
        <v>SA</v>
      </c>
    </row>
    <row r="136">
      <c r="A136" s="2" t="str">
        <f>IFERROR(__xludf.DUMMYFUNCTION("""COMPUTED_VALUE"""),"Philippines")</f>
        <v>Philippines</v>
      </c>
      <c r="B136" s="2">
        <f>IFERROR(__xludf.DUMMYFUNCTION("""COMPUTED_VALUE"""),71.0)</f>
        <v>71</v>
      </c>
      <c r="C136" s="2">
        <f>IFERROR(__xludf.DUMMYFUNCTION("""COMPUTED_VALUE"""),186.0)</f>
        <v>186</v>
      </c>
      <c r="D136" s="2">
        <f>IFERROR(__xludf.DUMMYFUNCTION("""COMPUTED_VALUE"""),1.0)</f>
        <v>1</v>
      </c>
      <c r="E136" s="2">
        <f>IFERROR(__xludf.DUMMYFUNCTION("""COMPUTED_VALUE"""),4.6)</f>
        <v>4.6</v>
      </c>
      <c r="F136" s="2" t="str">
        <f>IFERROR(__xludf.DUMMYFUNCTION("""COMPUTED_VALUE"""),"AS")</f>
        <v>AS</v>
      </c>
    </row>
    <row r="137">
      <c r="A137" s="2" t="str">
        <f>IFERROR(__xludf.DUMMYFUNCTION("""COMPUTED_VALUE"""),"Poland")</f>
        <v>Poland</v>
      </c>
      <c r="B137" s="2">
        <f>IFERROR(__xludf.DUMMYFUNCTION("""COMPUTED_VALUE"""),343.0)</f>
        <v>343</v>
      </c>
      <c r="C137" s="2">
        <f>IFERROR(__xludf.DUMMYFUNCTION("""COMPUTED_VALUE"""),215.0)</f>
        <v>215</v>
      </c>
      <c r="D137" s="2">
        <f>IFERROR(__xludf.DUMMYFUNCTION("""COMPUTED_VALUE"""),56.0)</f>
        <v>56</v>
      </c>
      <c r="E137" s="2">
        <f>IFERROR(__xludf.DUMMYFUNCTION("""COMPUTED_VALUE"""),10.9)</f>
        <v>10.9</v>
      </c>
      <c r="F137" s="2" t="str">
        <f>IFERROR(__xludf.DUMMYFUNCTION("""COMPUTED_VALUE"""),"EU")</f>
        <v>EU</v>
      </c>
    </row>
    <row r="138">
      <c r="A138" s="2" t="str">
        <f>IFERROR(__xludf.DUMMYFUNCTION("""COMPUTED_VALUE"""),"Portugal")</f>
        <v>Portugal</v>
      </c>
      <c r="B138" s="2">
        <f>IFERROR(__xludf.DUMMYFUNCTION("""COMPUTED_VALUE"""),194.0)</f>
        <v>194</v>
      </c>
      <c r="C138" s="2">
        <f>IFERROR(__xludf.DUMMYFUNCTION("""COMPUTED_VALUE"""),67.0)</f>
        <v>67</v>
      </c>
      <c r="D138" s="2">
        <f>IFERROR(__xludf.DUMMYFUNCTION("""COMPUTED_VALUE"""),339.0)</f>
        <v>339</v>
      </c>
      <c r="E138" s="2">
        <f>IFERROR(__xludf.DUMMYFUNCTION("""COMPUTED_VALUE"""),11.0)</f>
        <v>11</v>
      </c>
      <c r="F138" s="2" t="str">
        <f>IFERROR(__xludf.DUMMYFUNCTION("""COMPUTED_VALUE"""),"EU")</f>
        <v>EU</v>
      </c>
    </row>
    <row r="139">
      <c r="A139" s="2" t="str">
        <f>IFERROR(__xludf.DUMMYFUNCTION("""COMPUTED_VALUE"""),"Qatar")</f>
        <v>Qatar</v>
      </c>
      <c r="B139" s="2">
        <f>IFERROR(__xludf.DUMMYFUNCTION("""COMPUTED_VALUE"""),1.0)</f>
        <v>1</v>
      </c>
      <c r="C139" s="2">
        <f>IFERROR(__xludf.DUMMYFUNCTION("""COMPUTED_VALUE"""),42.0)</f>
        <v>42</v>
      </c>
      <c r="D139" s="2">
        <f>IFERROR(__xludf.DUMMYFUNCTION("""COMPUTED_VALUE"""),7.0)</f>
        <v>7</v>
      </c>
      <c r="E139" s="2">
        <f>IFERROR(__xludf.DUMMYFUNCTION("""COMPUTED_VALUE"""),0.9)</f>
        <v>0.9</v>
      </c>
      <c r="F139" s="2" t="str">
        <f>IFERROR(__xludf.DUMMYFUNCTION("""COMPUTED_VALUE"""),"AS")</f>
        <v>AS</v>
      </c>
    </row>
    <row r="140">
      <c r="A140" s="2" t="str">
        <f>IFERROR(__xludf.DUMMYFUNCTION("""COMPUTED_VALUE"""),"South Korea")</f>
        <v>South Korea</v>
      </c>
      <c r="B140" s="2">
        <f>IFERROR(__xludf.DUMMYFUNCTION("""COMPUTED_VALUE"""),140.0)</f>
        <v>140</v>
      </c>
      <c r="C140" s="2">
        <f>IFERROR(__xludf.DUMMYFUNCTION("""COMPUTED_VALUE"""),16.0)</f>
        <v>16</v>
      </c>
      <c r="D140" s="2">
        <f>IFERROR(__xludf.DUMMYFUNCTION("""COMPUTED_VALUE"""),9.0)</f>
        <v>9</v>
      </c>
      <c r="E140" s="2">
        <f>IFERROR(__xludf.DUMMYFUNCTION("""COMPUTED_VALUE"""),9.8)</f>
        <v>9.8</v>
      </c>
      <c r="F140" s="2" t="str">
        <f>IFERROR(__xludf.DUMMYFUNCTION("""COMPUTED_VALUE"""),"AS")</f>
        <v>AS</v>
      </c>
    </row>
    <row r="141">
      <c r="A141" s="2" t="str">
        <f>IFERROR(__xludf.DUMMYFUNCTION("""COMPUTED_VALUE"""),"Moldova")</f>
        <v>Moldova</v>
      </c>
      <c r="B141" s="2">
        <f>IFERROR(__xludf.DUMMYFUNCTION("""COMPUTED_VALUE"""),109.0)</f>
        <v>109</v>
      </c>
      <c r="C141" s="2">
        <f>IFERROR(__xludf.DUMMYFUNCTION("""COMPUTED_VALUE"""),226.0)</f>
        <v>226</v>
      </c>
      <c r="D141" s="2">
        <f>IFERROR(__xludf.DUMMYFUNCTION("""COMPUTED_VALUE"""),18.0)</f>
        <v>18</v>
      </c>
      <c r="E141" s="2">
        <f>IFERROR(__xludf.DUMMYFUNCTION("""COMPUTED_VALUE"""),6.3)</f>
        <v>6.3</v>
      </c>
      <c r="F141" s="2" t="str">
        <f>IFERROR(__xludf.DUMMYFUNCTION("""COMPUTED_VALUE"""),"EU")</f>
        <v>EU</v>
      </c>
    </row>
    <row r="142">
      <c r="A142" s="2" t="str">
        <f>IFERROR(__xludf.DUMMYFUNCTION("""COMPUTED_VALUE"""),"Romania")</f>
        <v>Romania</v>
      </c>
      <c r="B142" s="2">
        <f>IFERROR(__xludf.DUMMYFUNCTION("""COMPUTED_VALUE"""),297.0)</f>
        <v>297</v>
      </c>
      <c r="C142" s="2">
        <f>IFERROR(__xludf.DUMMYFUNCTION("""COMPUTED_VALUE"""),122.0)</f>
        <v>122</v>
      </c>
      <c r="D142" s="2">
        <f>IFERROR(__xludf.DUMMYFUNCTION("""COMPUTED_VALUE"""),167.0)</f>
        <v>167</v>
      </c>
      <c r="E142" s="2">
        <f>IFERROR(__xludf.DUMMYFUNCTION("""COMPUTED_VALUE"""),10.4)</f>
        <v>10.4</v>
      </c>
      <c r="F142" s="2" t="str">
        <f>IFERROR(__xludf.DUMMYFUNCTION("""COMPUTED_VALUE"""),"EU")</f>
        <v>EU</v>
      </c>
    </row>
    <row r="143">
      <c r="A143" s="2" t="str">
        <f>IFERROR(__xludf.DUMMYFUNCTION("""COMPUTED_VALUE"""),"Russian Federation")</f>
        <v>Russian Federation</v>
      </c>
      <c r="B143" s="2">
        <f>IFERROR(__xludf.DUMMYFUNCTION("""COMPUTED_VALUE"""),247.0)</f>
        <v>247</v>
      </c>
      <c r="C143" s="2">
        <f>IFERROR(__xludf.DUMMYFUNCTION("""COMPUTED_VALUE"""),326.0)</f>
        <v>326</v>
      </c>
      <c r="D143" s="2">
        <f>IFERROR(__xludf.DUMMYFUNCTION("""COMPUTED_VALUE"""),73.0)</f>
        <v>73</v>
      </c>
      <c r="E143" s="2">
        <f>IFERROR(__xludf.DUMMYFUNCTION("""COMPUTED_VALUE"""),11.5)</f>
        <v>11.5</v>
      </c>
      <c r="F143" s="2" t="str">
        <f>IFERROR(__xludf.DUMMYFUNCTION("""COMPUTED_VALUE"""),"AS")</f>
        <v>AS</v>
      </c>
    </row>
    <row r="144">
      <c r="A144" s="2" t="str">
        <f>IFERROR(__xludf.DUMMYFUNCTION("""COMPUTED_VALUE"""),"Rwanda")</f>
        <v>Rwanda</v>
      </c>
      <c r="B144" s="2">
        <f>IFERROR(__xludf.DUMMYFUNCTION("""COMPUTED_VALUE"""),43.0)</f>
        <v>43</v>
      </c>
      <c r="C144" s="2">
        <f>IFERROR(__xludf.DUMMYFUNCTION("""COMPUTED_VALUE"""),2.0)</f>
        <v>2</v>
      </c>
      <c r="D144" s="2">
        <f>IFERROR(__xludf.DUMMYFUNCTION("""COMPUTED_VALUE"""),0.0)</f>
        <v>0</v>
      </c>
      <c r="E144" s="2">
        <f>IFERROR(__xludf.DUMMYFUNCTION("""COMPUTED_VALUE"""),6.8)</f>
        <v>6.8</v>
      </c>
      <c r="F144" s="2" t="str">
        <f>IFERROR(__xludf.DUMMYFUNCTION("""COMPUTED_VALUE"""),"AF")</f>
        <v>AF</v>
      </c>
    </row>
    <row r="145">
      <c r="A145" s="2" t="str">
        <f>IFERROR(__xludf.DUMMYFUNCTION("""COMPUTED_VALUE"""),"St. Kitts &amp; Nevis")</f>
        <v>St. Kitts &amp; Nevis</v>
      </c>
      <c r="B145" s="2">
        <f>IFERROR(__xludf.DUMMYFUNCTION("""COMPUTED_VALUE"""),194.0)</f>
        <v>194</v>
      </c>
      <c r="C145" s="2">
        <f>IFERROR(__xludf.DUMMYFUNCTION("""COMPUTED_VALUE"""),205.0)</f>
        <v>205</v>
      </c>
      <c r="D145" s="2">
        <f>IFERROR(__xludf.DUMMYFUNCTION("""COMPUTED_VALUE"""),32.0)</f>
        <v>32</v>
      </c>
      <c r="E145" s="2">
        <f>IFERROR(__xludf.DUMMYFUNCTION("""COMPUTED_VALUE"""),7.7)</f>
        <v>7.7</v>
      </c>
      <c r="F145" s="2" t="str">
        <f>IFERROR(__xludf.DUMMYFUNCTION("""COMPUTED_VALUE"""),"NA")</f>
        <v>NA</v>
      </c>
    </row>
    <row r="146">
      <c r="A146" s="2" t="str">
        <f>IFERROR(__xludf.DUMMYFUNCTION("""COMPUTED_VALUE"""),"St. Lucia")</f>
        <v>St. Lucia</v>
      </c>
      <c r="B146" s="2">
        <f>IFERROR(__xludf.DUMMYFUNCTION("""COMPUTED_VALUE"""),171.0)</f>
        <v>171</v>
      </c>
      <c r="C146" s="2">
        <f>IFERROR(__xludf.DUMMYFUNCTION("""COMPUTED_VALUE"""),315.0)</f>
        <v>315</v>
      </c>
      <c r="D146" s="2">
        <f>IFERROR(__xludf.DUMMYFUNCTION("""COMPUTED_VALUE"""),71.0)</f>
        <v>71</v>
      </c>
      <c r="E146" s="2">
        <f>IFERROR(__xludf.DUMMYFUNCTION("""COMPUTED_VALUE"""),10.1)</f>
        <v>10.1</v>
      </c>
      <c r="F146" s="2" t="str">
        <f>IFERROR(__xludf.DUMMYFUNCTION("""COMPUTED_VALUE"""),"NA")</f>
        <v>NA</v>
      </c>
    </row>
    <row r="147">
      <c r="A147" s="2" t="str">
        <f>IFERROR(__xludf.DUMMYFUNCTION("""COMPUTED_VALUE"""),"St. Vincent &amp; the Grenadines")</f>
        <v>St. Vincent &amp; the Grenadines</v>
      </c>
      <c r="B147" s="2">
        <f>IFERROR(__xludf.DUMMYFUNCTION("""COMPUTED_VALUE"""),120.0)</f>
        <v>120</v>
      </c>
      <c r="C147" s="2">
        <f>IFERROR(__xludf.DUMMYFUNCTION("""COMPUTED_VALUE"""),221.0)</f>
        <v>221</v>
      </c>
      <c r="D147" s="2">
        <f>IFERROR(__xludf.DUMMYFUNCTION("""COMPUTED_VALUE"""),11.0)</f>
        <v>11</v>
      </c>
      <c r="E147" s="2">
        <f>IFERROR(__xludf.DUMMYFUNCTION("""COMPUTED_VALUE"""),6.3)</f>
        <v>6.3</v>
      </c>
      <c r="F147" s="2" t="str">
        <f>IFERROR(__xludf.DUMMYFUNCTION("""COMPUTED_VALUE"""),"NA")</f>
        <v>NA</v>
      </c>
    </row>
    <row r="148">
      <c r="A148" s="2" t="str">
        <f>IFERROR(__xludf.DUMMYFUNCTION("""COMPUTED_VALUE"""),"Samoa")</f>
        <v>Samoa</v>
      </c>
      <c r="B148" s="2">
        <f>IFERROR(__xludf.DUMMYFUNCTION("""COMPUTED_VALUE"""),105.0)</f>
        <v>105</v>
      </c>
      <c r="C148" s="2">
        <f>IFERROR(__xludf.DUMMYFUNCTION("""COMPUTED_VALUE"""),18.0)</f>
        <v>18</v>
      </c>
      <c r="D148" s="2">
        <f>IFERROR(__xludf.DUMMYFUNCTION("""COMPUTED_VALUE"""),24.0)</f>
        <v>24</v>
      </c>
      <c r="E148" s="2">
        <f>IFERROR(__xludf.DUMMYFUNCTION("""COMPUTED_VALUE"""),2.6)</f>
        <v>2.6</v>
      </c>
      <c r="F148" s="2" t="str">
        <f>IFERROR(__xludf.DUMMYFUNCTION("""COMPUTED_VALUE"""),"OC")</f>
        <v>OC</v>
      </c>
    </row>
    <row r="149">
      <c r="A149" s="2" t="str">
        <f>IFERROR(__xludf.DUMMYFUNCTION("""COMPUTED_VALUE"""),"San Marino")</f>
        <v>San Marino</v>
      </c>
      <c r="B149" s="2">
        <f>IFERROR(__xludf.DUMMYFUNCTION("""COMPUTED_VALUE"""),0.0)</f>
        <v>0</v>
      </c>
      <c r="C149" s="2">
        <f>IFERROR(__xludf.DUMMYFUNCTION("""COMPUTED_VALUE"""),0.0)</f>
        <v>0</v>
      </c>
      <c r="D149" s="2">
        <f>IFERROR(__xludf.DUMMYFUNCTION("""COMPUTED_VALUE"""),0.0)</f>
        <v>0</v>
      </c>
      <c r="E149" s="2">
        <f>IFERROR(__xludf.DUMMYFUNCTION("""COMPUTED_VALUE"""),0.0)</f>
        <v>0</v>
      </c>
      <c r="F149" s="2" t="str">
        <f>IFERROR(__xludf.DUMMYFUNCTION("""COMPUTED_VALUE"""),"EU")</f>
        <v>EU</v>
      </c>
    </row>
    <row r="150">
      <c r="A150" s="2" t="str">
        <f>IFERROR(__xludf.DUMMYFUNCTION("""COMPUTED_VALUE"""),"Sao Tome &amp; Principe")</f>
        <v>Sao Tome &amp; Principe</v>
      </c>
      <c r="B150" s="2">
        <f>IFERROR(__xludf.DUMMYFUNCTION("""COMPUTED_VALUE"""),56.0)</f>
        <v>56</v>
      </c>
      <c r="C150" s="2">
        <f>IFERROR(__xludf.DUMMYFUNCTION("""COMPUTED_VALUE"""),38.0)</f>
        <v>38</v>
      </c>
      <c r="D150" s="2">
        <f>IFERROR(__xludf.DUMMYFUNCTION("""COMPUTED_VALUE"""),140.0)</f>
        <v>140</v>
      </c>
      <c r="E150" s="2">
        <f>IFERROR(__xludf.DUMMYFUNCTION("""COMPUTED_VALUE"""),4.2)</f>
        <v>4.2</v>
      </c>
      <c r="F150" s="2" t="str">
        <f>IFERROR(__xludf.DUMMYFUNCTION("""COMPUTED_VALUE"""),"AF")</f>
        <v>AF</v>
      </c>
    </row>
    <row r="151">
      <c r="A151" s="2" t="str">
        <f>IFERROR(__xludf.DUMMYFUNCTION("""COMPUTED_VALUE"""),"Saudi Arabia")</f>
        <v>Saudi Arabia</v>
      </c>
      <c r="B151" s="2">
        <f>IFERROR(__xludf.DUMMYFUNCTION("""COMPUTED_VALUE"""),0.0)</f>
        <v>0</v>
      </c>
      <c r="C151" s="2">
        <f>IFERROR(__xludf.DUMMYFUNCTION("""COMPUTED_VALUE"""),5.0)</f>
        <v>5</v>
      </c>
      <c r="D151" s="2">
        <f>IFERROR(__xludf.DUMMYFUNCTION("""COMPUTED_VALUE"""),0.0)</f>
        <v>0</v>
      </c>
      <c r="E151" s="2">
        <f>IFERROR(__xludf.DUMMYFUNCTION("""COMPUTED_VALUE"""),0.1)</f>
        <v>0.1</v>
      </c>
      <c r="F151" s="2" t="str">
        <f>IFERROR(__xludf.DUMMYFUNCTION("""COMPUTED_VALUE"""),"AS")</f>
        <v>AS</v>
      </c>
    </row>
    <row r="152">
      <c r="A152" s="2" t="str">
        <f>IFERROR(__xludf.DUMMYFUNCTION("""COMPUTED_VALUE"""),"Senegal")</f>
        <v>Senegal</v>
      </c>
      <c r="B152" s="2">
        <f>IFERROR(__xludf.DUMMYFUNCTION("""COMPUTED_VALUE"""),9.0)</f>
        <v>9</v>
      </c>
      <c r="C152" s="2">
        <f>IFERROR(__xludf.DUMMYFUNCTION("""COMPUTED_VALUE"""),1.0)</f>
        <v>1</v>
      </c>
      <c r="D152" s="2">
        <f>IFERROR(__xludf.DUMMYFUNCTION("""COMPUTED_VALUE"""),7.0)</f>
        <v>7</v>
      </c>
      <c r="E152" s="2">
        <f>IFERROR(__xludf.DUMMYFUNCTION("""COMPUTED_VALUE"""),0.3)</f>
        <v>0.3</v>
      </c>
      <c r="F152" s="2" t="str">
        <f>IFERROR(__xludf.DUMMYFUNCTION("""COMPUTED_VALUE"""),"AF")</f>
        <v>AF</v>
      </c>
    </row>
    <row r="153">
      <c r="A153" s="2" t="str">
        <f>IFERROR(__xludf.DUMMYFUNCTION("""COMPUTED_VALUE"""),"Serbia")</f>
        <v>Serbia</v>
      </c>
      <c r="B153" s="2">
        <f>IFERROR(__xludf.DUMMYFUNCTION("""COMPUTED_VALUE"""),283.0)</f>
        <v>283</v>
      </c>
      <c r="C153" s="2">
        <f>IFERROR(__xludf.DUMMYFUNCTION("""COMPUTED_VALUE"""),131.0)</f>
        <v>131</v>
      </c>
      <c r="D153" s="2">
        <f>IFERROR(__xludf.DUMMYFUNCTION("""COMPUTED_VALUE"""),127.0)</f>
        <v>127</v>
      </c>
      <c r="E153" s="2">
        <f>IFERROR(__xludf.DUMMYFUNCTION("""COMPUTED_VALUE"""),9.6)</f>
        <v>9.6</v>
      </c>
      <c r="F153" s="2" t="str">
        <f>IFERROR(__xludf.DUMMYFUNCTION("""COMPUTED_VALUE"""),"EU")</f>
        <v>EU</v>
      </c>
    </row>
    <row r="154">
      <c r="A154" s="2" t="str">
        <f>IFERROR(__xludf.DUMMYFUNCTION("""COMPUTED_VALUE"""),"Seychelles")</f>
        <v>Seychelles</v>
      </c>
      <c r="B154" s="2">
        <f>IFERROR(__xludf.DUMMYFUNCTION("""COMPUTED_VALUE"""),157.0)</f>
        <v>157</v>
      </c>
      <c r="C154" s="2">
        <f>IFERROR(__xludf.DUMMYFUNCTION("""COMPUTED_VALUE"""),25.0)</f>
        <v>25</v>
      </c>
      <c r="D154" s="2">
        <f>IFERROR(__xludf.DUMMYFUNCTION("""COMPUTED_VALUE"""),51.0)</f>
        <v>51</v>
      </c>
      <c r="E154" s="2">
        <f>IFERROR(__xludf.DUMMYFUNCTION("""COMPUTED_VALUE"""),4.1)</f>
        <v>4.1</v>
      </c>
      <c r="F154" s="2" t="str">
        <f>IFERROR(__xludf.DUMMYFUNCTION("""COMPUTED_VALUE"""),"AF")</f>
        <v>AF</v>
      </c>
    </row>
    <row r="155">
      <c r="A155" s="2" t="str">
        <f>IFERROR(__xludf.DUMMYFUNCTION("""COMPUTED_VALUE"""),"Sierra Leone")</f>
        <v>Sierra Leone</v>
      </c>
      <c r="B155" s="2">
        <f>IFERROR(__xludf.DUMMYFUNCTION("""COMPUTED_VALUE"""),25.0)</f>
        <v>25</v>
      </c>
      <c r="C155" s="2">
        <f>IFERROR(__xludf.DUMMYFUNCTION("""COMPUTED_VALUE"""),3.0)</f>
        <v>3</v>
      </c>
      <c r="D155" s="2">
        <f>IFERROR(__xludf.DUMMYFUNCTION("""COMPUTED_VALUE"""),2.0)</f>
        <v>2</v>
      </c>
      <c r="E155" s="2">
        <f>IFERROR(__xludf.DUMMYFUNCTION("""COMPUTED_VALUE"""),6.7)</f>
        <v>6.7</v>
      </c>
      <c r="F155" s="2" t="str">
        <f>IFERROR(__xludf.DUMMYFUNCTION("""COMPUTED_VALUE"""),"AF")</f>
        <v>AF</v>
      </c>
    </row>
    <row r="156">
      <c r="A156" s="2" t="str">
        <f>IFERROR(__xludf.DUMMYFUNCTION("""COMPUTED_VALUE"""),"Singapore")</f>
        <v>Singapore</v>
      </c>
      <c r="B156" s="2">
        <f>IFERROR(__xludf.DUMMYFUNCTION("""COMPUTED_VALUE"""),60.0)</f>
        <v>60</v>
      </c>
      <c r="C156" s="2">
        <f>IFERROR(__xludf.DUMMYFUNCTION("""COMPUTED_VALUE"""),12.0)</f>
        <v>12</v>
      </c>
      <c r="D156" s="2">
        <f>IFERROR(__xludf.DUMMYFUNCTION("""COMPUTED_VALUE"""),11.0)</f>
        <v>11</v>
      </c>
      <c r="E156" s="2">
        <f>IFERROR(__xludf.DUMMYFUNCTION("""COMPUTED_VALUE"""),1.5)</f>
        <v>1.5</v>
      </c>
      <c r="F156" s="2" t="str">
        <f>IFERROR(__xludf.DUMMYFUNCTION("""COMPUTED_VALUE"""),"AS")</f>
        <v>AS</v>
      </c>
    </row>
    <row r="157">
      <c r="A157" s="2" t="str">
        <f>IFERROR(__xludf.DUMMYFUNCTION("""COMPUTED_VALUE"""),"Slovakia")</f>
        <v>Slovakia</v>
      </c>
      <c r="B157" s="2">
        <f>IFERROR(__xludf.DUMMYFUNCTION("""COMPUTED_VALUE"""),196.0)</f>
        <v>196</v>
      </c>
      <c r="C157" s="2">
        <f>IFERROR(__xludf.DUMMYFUNCTION("""COMPUTED_VALUE"""),293.0)</f>
        <v>293</v>
      </c>
      <c r="D157" s="2">
        <f>IFERROR(__xludf.DUMMYFUNCTION("""COMPUTED_VALUE"""),116.0)</f>
        <v>116</v>
      </c>
      <c r="E157" s="2">
        <f>IFERROR(__xludf.DUMMYFUNCTION("""COMPUTED_VALUE"""),11.4)</f>
        <v>11.4</v>
      </c>
      <c r="F157" s="2" t="str">
        <f>IFERROR(__xludf.DUMMYFUNCTION("""COMPUTED_VALUE"""),"EU")</f>
        <v>EU</v>
      </c>
    </row>
    <row r="158">
      <c r="A158" s="2" t="str">
        <f>IFERROR(__xludf.DUMMYFUNCTION("""COMPUTED_VALUE"""),"Slovenia")</f>
        <v>Slovenia</v>
      </c>
      <c r="B158" s="2">
        <f>IFERROR(__xludf.DUMMYFUNCTION("""COMPUTED_VALUE"""),270.0)</f>
        <v>270</v>
      </c>
      <c r="C158" s="2">
        <f>IFERROR(__xludf.DUMMYFUNCTION("""COMPUTED_VALUE"""),51.0)</f>
        <v>51</v>
      </c>
      <c r="D158" s="2">
        <f>IFERROR(__xludf.DUMMYFUNCTION("""COMPUTED_VALUE"""),276.0)</f>
        <v>276</v>
      </c>
      <c r="E158" s="2">
        <f>IFERROR(__xludf.DUMMYFUNCTION("""COMPUTED_VALUE"""),10.6)</f>
        <v>10.6</v>
      </c>
      <c r="F158" s="2" t="str">
        <f>IFERROR(__xludf.DUMMYFUNCTION("""COMPUTED_VALUE"""),"EU")</f>
        <v>EU</v>
      </c>
    </row>
    <row r="159">
      <c r="A159" s="2" t="str">
        <f>IFERROR(__xludf.DUMMYFUNCTION("""COMPUTED_VALUE"""),"Solomon Islands")</f>
        <v>Solomon Islands</v>
      </c>
      <c r="B159" s="2">
        <f>IFERROR(__xludf.DUMMYFUNCTION("""COMPUTED_VALUE"""),56.0)</f>
        <v>56</v>
      </c>
      <c r="C159" s="2">
        <f>IFERROR(__xludf.DUMMYFUNCTION("""COMPUTED_VALUE"""),11.0)</f>
        <v>11</v>
      </c>
      <c r="D159" s="2">
        <f>IFERROR(__xludf.DUMMYFUNCTION("""COMPUTED_VALUE"""),1.0)</f>
        <v>1</v>
      </c>
      <c r="E159" s="2">
        <f>IFERROR(__xludf.DUMMYFUNCTION("""COMPUTED_VALUE"""),1.2)</f>
        <v>1.2</v>
      </c>
      <c r="F159" s="2" t="str">
        <f>IFERROR(__xludf.DUMMYFUNCTION("""COMPUTED_VALUE"""),"OC")</f>
        <v>OC</v>
      </c>
    </row>
    <row r="160">
      <c r="A160" s="2" t="str">
        <f>IFERROR(__xludf.DUMMYFUNCTION("""COMPUTED_VALUE"""),"Somalia")</f>
        <v>Somalia</v>
      </c>
      <c r="B160" s="2">
        <f>IFERROR(__xludf.DUMMYFUNCTION("""COMPUTED_VALUE"""),0.0)</f>
        <v>0</v>
      </c>
      <c r="C160" s="2">
        <f>IFERROR(__xludf.DUMMYFUNCTION("""COMPUTED_VALUE"""),0.0)</f>
        <v>0</v>
      </c>
      <c r="D160" s="2">
        <f>IFERROR(__xludf.DUMMYFUNCTION("""COMPUTED_VALUE"""),0.0)</f>
        <v>0</v>
      </c>
      <c r="E160" s="2">
        <f>IFERROR(__xludf.DUMMYFUNCTION("""COMPUTED_VALUE"""),0.0)</f>
        <v>0</v>
      </c>
      <c r="F160" s="2" t="str">
        <f>IFERROR(__xludf.DUMMYFUNCTION("""COMPUTED_VALUE"""),"AF")</f>
        <v>AF</v>
      </c>
    </row>
    <row r="161">
      <c r="A161" s="2" t="str">
        <f>IFERROR(__xludf.DUMMYFUNCTION("""COMPUTED_VALUE"""),"South Africa")</f>
        <v>South Africa</v>
      </c>
      <c r="B161" s="2">
        <f>IFERROR(__xludf.DUMMYFUNCTION("""COMPUTED_VALUE"""),225.0)</f>
        <v>225</v>
      </c>
      <c r="C161" s="2">
        <f>IFERROR(__xludf.DUMMYFUNCTION("""COMPUTED_VALUE"""),76.0)</f>
        <v>76</v>
      </c>
      <c r="D161" s="2">
        <f>IFERROR(__xludf.DUMMYFUNCTION("""COMPUTED_VALUE"""),81.0)</f>
        <v>81</v>
      </c>
      <c r="E161" s="2">
        <f>IFERROR(__xludf.DUMMYFUNCTION("""COMPUTED_VALUE"""),8.2)</f>
        <v>8.2</v>
      </c>
      <c r="F161" s="2" t="str">
        <f>IFERROR(__xludf.DUMMYFUNCTION("""COMPUTED_VALUE"""),"AF")</f>
        <v>AF</v>
      </c>
    </row>
    <row r="162">
      <c r="A162" s="2" t="str">
        <f>IFERROR(__xludf.DUMMYFUNCTION("""COMPUTED_VALUE"""),"Spain")</f>
        <v>Spain</v>
      </c>
      <c r="B162" s="2">
        <f>IFERROR(__xludf.DUMMYFUNCTION("""COMPUTED_VALUE"""),284.0)</f>
        <v>284</v>
      </c>
      <c r="C162" s="2">
        <f>IFERROR(__xludf.DUMMYFUNCTION("""COMPUTED_VALUE"""),157.0)</f>
        <v>157</v>
      </c>
      <c r="D162" s="2">
        <f>IFERROR(__xludf.DUMMYFUNCTION("""COMPUTED_VALUE"""),112.0)</f>
        <v>112</v>
      </c>
      <c r="E162" s="2">
        <f>IFERROR(__xludf.DUMMYFUNCTION("""COMPUTED_VALUE"""),10.0)</f>
        <v>10</v>
      </c>
      <c r="F162" s="2" t="str">
        <f>IFERROR(__xludf.DUMMYFUNCTION("""COMPUTED_VALUE"""),"EU")</f>
        <v>EU</v>
      </c>
    </row>
    <row r="163">
      <c r="A163" s="2" t="str">
        <f>IFERROR(__xludf.DUMMYFUNCTION("""COMPUTED_VALUE"""),"Sri Lanka")</f>
        <v>Sri Lanka</v>
      </c>
      <c r="B163" s="2">
        <f>IFERROR(__xludf.DUMMYFUNCTION("""COMPUTED_VALUE"""),16.0)</f>
        <v>16</v>
      </c>
      <c r="C163" s="2">
        <f>IFERROR(__xludf.DUMMYFUNCTION("""COMPUTED_VALUE"""),104.0)</f>
        <v>104</v>
      </c>
      <c r="D163" s="2">
        <f>IFERROR(__xludf.DUMMYFUNCTION("""COMPUTED_VALUE"""),0.0)</f>
        <v>0</v>
      </c>
      <c r="E163" s="2">
        <f>IFERROR(__xludf.DUMMYFUNCTION("""COMPUTED_VALUE"""),2.2)</f>
        <v>2.2</v>
      </c>
      <c r="F163" s="2" t="str">
        <f>IFERROR(__xludf.DUMMYFUNCTION("""COMPUTED_VALUE"""),"AS")</f>
        <v>AS</v>
      </c>
    </row>
    <row r="164">
      <c r="A164" s="2" t="str">
        <f>IFERROR(__xludf.DUMMYFUNCTION("""COMPUTED_VALUE"""),"Sudan")</f>
        <v>Sudan</v>
      </c>
      <c r="B164" s="2">
        <f>IFERROR(__xludf.DUMMYFUNCTION("""COMPUTED_VALUE"""),8.0)</f>
        <v>8</v>
      </c>
      <c r="C164" s="2">
        <f>IFERROR(__xludf.DUMMYFUNCTION("""COMPUTED_VALUE"""),13.0)</f>
        <v>13</v>
      </c>
      <c r="D164" s="2">
        <f>IFERROR(__xludf.DUMMYFUNCTION("""COMPUTED_VALUE"""),0.0)</f>
        <v>0</v>
      </c>
      <c r="E164" s="2">
        <f>IFERROR(__xludf.DUMMYFUNCTION("""COMPUTED_VALUE"""),1.7)</f>
        <v>1.7</v>
      </c>
      <c r="F164" s="2" t="str">
        <f>IFERROR(__xludf.DUMMYFUNCTION("""COMPUTED_VALUE"""),"AF")</f>
        <v>AF</v>
      </c>
    </row>
    <row r="165">
      <c r="A165" s="2" t="str">
        <f>IFERROR(__xludf.DUMMYFUNCTION("""COMPUTED_VALUE"""),"Suriname")</f>
        <v>Suriname</v>
      </c>
      <c r="B165" s="2">
        <f>IFERROR(__xludf.DUMMYFUNCTION("""COMPUTED_VALUE"""),128.0)</f>
        <v>128</v>
      </c>
      <c r="C165" s="2">
        <f>IFERROR(__xludf.DUMMYFUNCTION("""COMPUTED_VALUE"""),178.0)</f>
        <v>178</v>
      </c>
      <c r="D165" s="2">
        <f>IFERROR(__xludf.DUMMYFUNCTION("""COMPUTED_VALUE"""),7.0)</f>
        <v>7</v>
      </c>
      <c r="E165" s="2">
        <f>IFERROR(__xludf.DUMMYFUNCTION("""COMPUTED_VALUE"""),5.6)</f>
        <v>5.6</v>
      </c>
      <c r="F165" s="2" t="str">
        <f>IFERROR(__xludf.DUMMYFUNCTION("""COMPUTED_VALUE"""),"SA")</f>
        <v>SA</v>
      </c>
    </row>
    <row r="166">
      <c r="A166" s="2" t="str">
        <f>IFERROR(__xludf.DUMMYFUNCTION("""COMPUTED_VALUE"""),"Swaziland")</f>
        <v>Swaziland</v>
      </c>
      <c r="B166" s="2">
        <f>IFERROR(__xludf.DUMMYFUNCTION("""COMPUTED_VALUE"""),90.0)</f>
        <v>90</v>
      </c>
      <c r="C166" s="2">
        <f>IFERROR(__xludf.DUMMYFUNCTION("""COMPUTED_VALUE"""),2.0)</f>
        <v>2</v>
      </c>
      <c r="D166" s="2">
        <f>IFERROR(__xludf.DUMMYFUNCTION("""COMPUTED_VALUE"""),2.0)</f>
        <v>2</v>
      </c>
      <c r="E166" s="2">
        <f>IFERROR(__xludf.DUMMYFUNCTION("""COMPUTED_VALUE"""),4.7)</f>
        <v>4.7</v>
      </c>
      <c r="F166" s="2" t="str">
        <f>IFERROR(__xludf.DUMMYFUNCTION("""COMPUTED_VALUE"""),"AF")</f>
        <v>AF</v>
      </c>
    </row>
    <row r="167">
      <c r="A167" s="2" t="str">
        <f>IFERROR(__xludf.DUMMYFUNCTION("""COMPUTED_VALUE"""),"Sweden")</f>
        <v>Sweden</v>
      </c>
      <c r="B167" s="2">
        <f>IFERROR(__xludf.DUMMYFUNCTION("""COMPUTED_VALUE"""),152.0)</f>
        <v>152</v>
      </c>
      <c r="C167" s="2">
        <f>IFERROR(__xludf.DUMMYFUNCTION("""COMPUTED_VALUE"""),60.0)</f>
        <v>60</v>
      </c>
      <c r="D167" s="2">
        <f>IFERROR(__xludf.DUMMYFUNCTION("""COMPUTED_VALUE"""),186.0)</f>
        <v>186</v>
      </c>
      <c r="E167" s="2">
        <f>IFERROR(__xludf.DUMMYFUNCTION("""COMPUTED_VALUE"""),7.2)</f>
        <v>7.2</v>
      </c>
      <c r="F167" s="2" t="str">
        <f>IFERROR(__xludf.DUMMYFUNCTION("""COMPUTED_VALUE"""),"EU")</f>
        <v>EU</v>
      </c>
    </row>
    <row r="168">
      <c r="A168" s="2" t="str">
        <f>IFERROR(__xludf.DUMMYFUNCTION("""COMPUTED_VALUE"""),"Switzerland")</f>
        <v>Switzerland</v>
      </c>
      <c r="B168" s="2">
        <f>IFERROR(__xludf.DUMMYFUNCTION("""COMPUTED_VALUE"""),185.0)</f>
        <v>185</v>
      </c>
      <c r="C168" s="2">
        <f>IFERROR(__xludf.DUMMYFUNCTION("""COMPUTED_VALUE"""),100.0)</f>
        <v>100</v>
      </c>
      <c r="D168" s="2">
        <f>IFERROR(__xludf.DUMMYFUNCTION("""COMPUTED_VALUE"""),280.0)</f>
        <v>280</v>
      </c>
      <c r="E168" s="2">
        <f>IFERROR(__xludf.DUMMYFUNCTION("""COMPUTED_VALUE"""),10.2)</f>
        <v>10.2</v>
      </c>
      <c r="F168" s="2" t="str">
        <f>IFERROR(__xludf.DUMMYFUNCTION("""COMPUTED_VALUE"""),"EU")</f>
        <v>EU</v>
      </c>
    </row>
    <row r="169">
      <c r="A169" s="2" t="str">
        <f>IFERROR(__xludf.DUMMYFUNCTION("""COMPUTED_VALUE"""),"Syria")</f>
        <v>Syria</v>
      </c>
      <c r="B169" s="2">
        <f>IFERROR(__xludf.DUMMYFUNCTION("""COMPUTED_VALUE"""),5.0)</f>
        <v>5</v>
      </c>
      <c r="C169" s="2">
        <f>IFERROR(__xludf.DUMMYFUNCTION("""COMPUTED_VALUE"""),35.0)</f>
        <v>35</v>
      </c>
      <c r="D169" s="2">
        <f>IFERROR(__xludf.DUMMYFUNCTION("""COMPUTED_VALUE"""),16.0)</f>
        <v>16</v>
      </c>
      <c r="E169" s="2">
        <f>IFERROR(__xludf.DUMMYFUNCTION("""COMPUTED_VALUE"""),1.0)</f>
        <v>1</v>
      </c>
      <c r="F169" s="2" t="str">
        <f>IFERROR(__xludf.DUMMYFUNCTION("""COMPUTED_VALUE"""),"AS")</f>
        <v>AS</v>
      </c>
    </row>
    <row r="170">
      <c r="A170" s="2" t="str">
        <f>IFERROR(__xludf.DUMMYFUNCTION("""COMPUTED_VALUE"""),"Tajikistan")</f>
        <v>Tajikistan</v>
      </c>
      <c r="B170" s="2">
        <f>IFERROR(__xludf.DUMMYFUNCTION("""COMPUTED_VALUE"""),2.0)</f>
        <v>2</v>
      </c>
      <c r="C170" s="2">
        <f>IFERROR(__xludf.DUMMYFUNCTION("""COMPUTED_VALUE"""),15.0)</f>
        <v>15</v>
      </c>
      <c r="D170" s="2">
        <f>IFERROR(__xludf.DUMMYFUNCTION("""COMPUTED_VALUE"""),0.0)</f>
        <v>0</v>
      </c>
      <c r="E170" s="2">
        <f>IFERROR(__xludf.DUMMYFUNCTION("""COMPUTED_VALUE"""),0.3)</f>
        <v>0.3</v>
      </c>
      <c r="F170" s="2" t="str">
        <f>IFERROR(__xludf.DUMMYFUNCTION("""COMPUTED_VALUE"""),"AS")</f>
        <v>AS</v>
      </c>
    </row>
    <row r="171">
      <c r="A171" s="2" t="str">
        <f>IFERROR(__xludf.DUMMYFUNCTION("""COMPUTED_VALUE"""),"Thailand")</f>
        <v>Thailand</v>
      </c>
      <c r="B171" s="2">
        <f>IFERROR(__xludf.DUMMYFUNCTION("""COMPUTED_VALUE"""),99.0)</f>
        <v>99</v>
      </c>
      <c r="C171" s="2">
        <f>IFERROR(__xludf.DUMMYFUNCTION("""COMPUTED_VALUE"""),258.0)</f>
        <v>258</v>
      </c>
      <c r="D171" s="2">
        <f>IFERROR(__xludf.DUMMYFUNCTION("""COMPUTED_VALUE"""),1.0)</f>
        <v>1</v>
      </c>
      <c r="E171" s="2">
        <f>IFERROR(__xludf.DUMMYFUNCTION("""COMPUTED_VALUE"""),6.4)</f>
        <v>6.4</v>
      </c>
      <c r="F171" s="2" t="str">
        <f>IFERROR(__xludf.DUMMYFUNCTION("""COMPUTED_VALUE"""),"AS")</f>
        <v>AS</v>
      </c>
    </row>
    <row r="172">
      <c r="A172" s="2" t="str">
        <f>IFERROR(__xludf.DUMMYFUNCTION("""COMPUTED_VALUE"""),"Macedonia")</f>
        <v>Macedonia</v>
      </c>
      <c r="B172" s="2">
        <f>IFERROR(__xludf.DUMMYFUNCTION("""COMPUTED_VALUE"""),106.0)</f>
        <v>106</v>
      </c>
      <c r="C172" s="2">
        <f>IFERROR(__xludf.DUMMYFUNCTION("""COMPUTED_VALUE"""),27.0)</f>
        <v>27</v>
      </c>
      <c r="D172" s="2">
        <f>IFERROR(__xludf.DUMMYFUNCTION("""COMPUTED_VALUE"""),86.0)</f>
        <v>86</v>
      </c>
      <c r="E172" s="2">
        <f>IFERROR(__xludf.DUMMYFUNCTION("""COMPUTED_VALUE"""),3.9)</f>
        <v>3.9</v>
      </c>
      <c r="F172" s="2" t="str">
        <f>IFERROR(__xludf.DUMMYFUNCTION("""COMPUTED_VALUE"""),"EU")</f>
        <v>EU</v>
      </c>
    </row>
    <row r="173">
      <c r="A173" s="2" t="str">
        <f>IFERROR(__xludf.DUMMYFUNCTION("""COMPUTED_VALUE"""),"Timor-Leste")</f>
        <v>Timor-Leste</v>
      </c>
      <c r="B173" s="2">
        <f>IFERROR(__xludf.DUMMYFUNCTION("""COMPUTED_VALUE"""),1.0)</f>
        <v>1</v>
      </c>
      <c r="C173" s="2">
        <f>IFERROR(__xludf.DUMMYFUNCTION("""COMPUTED_VALUE"""),1.0)</f>
        <v>1</v>
      </c>
      <c r="D173" s="2">
        <f>IFERROR(__xludf.DUMMYFUNCTION("""COMPUTED_VALUE"""),4.0)</f>
        <v>4</v>
      </c>
      <c r="E173" s="2">
        <f>IFERROR(__xludf.DUMMYFUNCTION("""COMPUTED_VALUE"""),0.1)</f>
        <v>0.1</v>
      </c>
      <c r="F173" s="2" t="str">
        <f>IFERROR(__xludf.DUMMYFUNCTION("""COMPUTED_VALUE"""),"AS")</f>
        <v>AS</v>
      </c>
    </row>
    <row r="174">
      <c r="A174" s="2" t="str">
        <f>IFERROR(__xludf.DUMMYFUNCTION("""COMPUTED_VALUE"""),"Togo")</f>
        <v>Togo</v>
      </c>
      <c r="B174" s="2">
        <f>IFERROR(__xludf.DUMMYFUNCTION("""COMPUTED_VALUE"""),36.0)</f>
        <v>36</v>
      </c>
      <c r="C174" s="2">
        <f>IFERROR(__xludf.DUMMYFUNCTION("""COMPUTED_VALUE"""),2.0)</f>
        <v>2</v>
      </c>
      <c r="D174" s="2">
        <f>IFERROR(__xludf.DUMMYFUNCTION("""COMPUTED_VALUE"""),19.0)</f>
        <v>19</v>
      </c>
      <c r="E174" s="2">
        <f>IFERROR(__xludf.DUMMYFUNCTION("""COMPUTED_VALUE"""),1.3)</f>
        <v>1.3</v>
      </c>
      <c r="F174" s="2" t="str">
        <f>IFERROR(__xludf.DUMMYFUNCTION("""COMPUTED_VALUE"""),"AF")</f>
        <v>AF</v>
      </c>
    </row>
    <row r="175">
      <c r="A175" s="2" t="str">
        <f>IFERROR(__xludf.DUMMYFUNCTION("""COMPUTED_VALUE"""),"Tonga")</f>
        <v>Tonga</v>
      </c>
      <c r="B175" s="2">
        <f>IFERROR(__xludf.DUMMYFUNCTION("""COMPUTED_VALUE"""),36.0)</f>
        <v>36</v>
      </c>
      <c r="C175" s="2">
        <f>IFERROR(__xludf.DUMMYFUNCTION("""COMPUTED_VALUE"""),21.0)</f>
        <v>21</v>
      </c>
      <c r="D175" s="2">
        <f>IFERROR(__xludf.DUMMYFUNCTION("""COMPUTED_VALUE"""),5.0)</f>
        <v>5</v>
      </c>
      <c r="E175" s="2">
        <f>IFERROR(__xludf.DUMMYFUNCTION("""COMPUTED_VALUE"""),1.1)</f>
        <v>1.1</v>
      </c>
      <c r="F175" s="2" t="str">
        <f>IFERROR(__xludf.DUMMYFUNCTION("""COMPUTED_VALUE"""),"OC")</f>
        <v>OC</v>
      </c>
    </row>
    <row r="176">
      <c r="A176" s="2" t="str">
        <f>IFERROR(__xludf.DUMMYFUNCTION("""COMPUTED_VALUE"""),"Trinidad &amp; Tobago")</f>
        <v>Trinidad &amp; Tobago</v>
      </c>
      <c r="B176" s="2">
        <f>IFERROR(__xludf.DUMMYFUNCTION("""COMPUTED_VALUE"""),197.0)</f>
        <v>197</v>
      </c>
      <c r="C176" s="2">
        <f>IFERROR(__xludf.DUMMYFUNCTION("""COMPUTED_VALUE"""),156.0)</f>
        <v>156</v>
      </c>
      <c r="D176" s="2">
        <f>IFERROR(__xludf.DUMMYFUNCTION("""COMPUTED_VALUE"""),7.0)</f>
        <v>7</v>
      </c>
      <c r="E176" s="2">
        <f>IFERROR(__xludf.DUMMYFUNCTION("""COMPUTED_VALUE"""),6.4)</f>
        <v>6.4</v>
      </c>
      <c r="F176" s="2" t="str">
        <f>IFERROR(__xludf.DUMMYFUNCTION("""COMPUTED_VALUE"""),"NA")</f>
        <v>NA</v>
      </c>
    </row>
    <row r="177">
      <c r="A177" s="2" t="str">
        <f>IFERROR(__xludf.DUMMYFUNCTION("""COMPUTED_VALUE"""),"Tunisia")</f>
        <v>Tunisia</v>
      </c>
      <c r="B177" s="2">
        <f>IFERROR(__xludf.DUMMYFUNCTION("""COMPUTED_VALUE"""),51.0)</f>
        <v>51</v>
      </c>
      <c r="C177" s="2">
        <f>IFERROR(__xludf.DUMMYFUNCTION("""COMPUTED_VALUE"""),3.0)</f>
        <v>3</v>
      </c>
      <c r="D177" s="2">
        <f>IFERROR(__xludf.DUMMYFUNCTION("""COMPUTED_VALUE"""),20.0)</f>
        <v>20</v>
      </c>
      <c r="E177" s="2">
        <f>IFERROR(__xludf.DUMMYFUNCTION("""COMPUTED_VALUE"""),1.3)</f>
        <v>1.3</v>
      </c>
      <c r="F177" s="2" t="str">
        <f>IFERROR(__xludf.DUMMYFUNCTION("""COMPUTED_VALUE"""),"AF")</f>
        <v>AF</v>
      </c>
    </row>
    <row r="178">
      <c r="A178" s="2" t="str">
        <f>IFERROR(__xludf.DUMMYFUNCTION("""COMPUTED_VALUE"""),"Turkey")</f>
        <v>Turkey</v>
      </c>
      <c r="B178" s="2">
        <f>IFERROR(__xludf.DUMMYFUNCTION("""COMPUTED_VALUE"""),51.0)</f>
        <v>51</v>
      </c>
      <c r="C178" s="2">
        <f>IFERROR(__xludf.DUMMYFUNCTION("""COMPUTED_VALUE"""),22.0)</f>
        <v>22</v>
      </c>
      <c r="D178" s="2">
        <f>IFERROR(__xludf.DUMMYFUNCTION("""COMPUTED_VALUE"""),7.0)</f>
        <v>7</v>
      </c>
      <c r="E178" s="2">
        <f>IFERROR(__xludf.DUMMYFUNCTION("""COMPUTED_VALUE"""),1.4)</f>
        <v>1.4</v>
      </c>
      <c r="F178" s="2" t="str">
        <f>IFERROR(__xludf.DUMMYFUNCTION("""COMPUTED_VALUE"""),"AS")</f>
        <v>AS</v>
      </c>
    </row>
    <row r="179">
      <c r="A179" s="2" t="str">
        <f>IFERROR(__xludf.DUMMYFUNCTION("""COMPUTED_VALUE"""),"Turkmenistan")</f>
        <v>Turkmenistan</v>
      </c>
      <c r="B179" s="2">
        <f>IFERROR(__xludf.DUMMYFUNCTION("""COMPUTED_VALUE"""),19.0)</f>
        <v>19</v>
      </c>
      <c r="C179" s="2">
        <f>IFERROR(__xludf.DUMMYFUNCTION("""COMPUTED_VALUE"""),71.0)</f>
        <v>71</v>
      </c>
      <c r="D179" s="2">
        <f>IFERROR(__xludf.DUMMYFUNCTION("""COMPUTED_VALUE"""),32.0)</f>
        <v>32</v>
      </c>
      <c r="E179" s="2">
        <f>IFERROR(__xludf.DUMMYFUNCTION("""COMPUTED_VALUE"""),2.2)</f>
        <v>2.2</v>
      </c>
      <c r="F179" s="2" t="str">
        <f>IFERROR(__xludf.DUMMYFUNCTION("""COMPUTED_VALUE"""),"AS")</f>
        <v>AS</v>
      </c>
    </row>
    <row r="180">
      <c r="A180" s="2" t="str">
        <f>IFERROR(__xludf.DUMMYFUNCTION("""COMPUTED_VALUE"""),"Tuvalu")</f>
        <v>Tuvalu</v>
      </c>
      <c r="B180" s="2">
        <f>IFERROR(__xludf.DUMMYFUNCTION("""COMPUTED_VALUE"""),6.0)</f>
        <v>6</v>
      </c>
      <c r="C180" s="2">
        <f>IFERROR(__xludf.DUMMYFUNCTION("""COMPUTED_VALUE"""),41.0)</f>
        <v>41</v>
      </c>
      <c r="D180" s="2">
        <f>IFERROR(__xludf.DUMMYFUNCTION("""COMPUTED_VALUE"""),9.0)</f>
        <v>9</v>
      </c>
      <c r="E180" s="2">
        <f>IFERROR(__xludf.DUMMYFUNCTION("""COMPUTED_VALUE"""),1.0)</f>
        <v>1</v>
      </c>
      <c r="F180" s="2" t="str">
        <f>IFERROR(__xludf.DUMMYFUNCTION("""COMPUTED_VALUE"""),"OC")</f>
        <v>OC</v>
      </c>
    </row>
    <row r="181">
      <c r="A181" s="2" t="str">
        <f>IFERROR(__xludf.DUMMYFUNCTION("""COMPUTED_VALUE"""),"Uganda")</f>
        <v>Uganda</v>
      </c>
      <c r="B181" s="2">
        <f>IFERROR(__xludf.DUMMYFUNCTION("""COMPUTED_VALUE"""),45.0)</f>
        <v>45</v>
      </c>
      <c r="C181" s="2">
        <f>IFERROR(__xludf.DUMMYFUNCTION("""COMPUTED_VALUE"""),9.0)</f>
        <v>9</v>
      </c>
      <c r="D181" s="2">
        <f>IFERROR(__xludf.DUMMYFUNCTION("""COMPUTED_VALUE"""),0.0)</f>
        <v>0</v>
      </c>
      <c r="E181" s="2">
        <f>IFERROR(__xludf.DUMMYFUNCTION("""COMPUTED_VALUE"""),8.3)</f>
        <v>8.3</v>
      </c>
      <c r="F181" s="2" t="str">
        <f>IFERROR(__xludf.DUMMYFUNCTION("""COMPUTED_VALUE"""),"AF")</f>
        <v>AF</v>
      </c>
    </row>
    <row r="182">
      <c r="A182" s="2" t="str">
        <f>IFERROR(__xludf.DUMMYFUNCTION("""COMPUTED_VALUE"""),"Ukraine")</f>
        <v>Ukraine</v>
      </c>
      <c r="B182" s="2">
        <f>IFERROR(__xludf.DUMMYFUNCTION("""COMPUTED_VALUE"""),206.0)</f>
        <v>206</v>
      </c>
      <c r="C182" s="2">
        <f>IFERROR(__xludf.DUMMYFUNCTION("""COMPUTED_VALUE"""),237.0)</f>
        <v>237</v>
      </c>
      <c r="D182" s="2">
        <f>IFERROR(__xludf.DUMMYFUNCTION("""COMPUTED_VALUE"""),45.0)</f>
        <v>45</v>
      </c>
      <c r="E182" s="2">
        <f>IFERROR(__xludf.DUMMYFUNCTION("""COMPUTED_VALUE"""),8.9)</f>
        <v>8.9</v>
      </c>
      <c r="F182" s="2" t="str">
        <f>IFERROR(__xludf.DUMMYFUNCTION("""COMPUTED_VALUE"""),"EU")</f>
        <v>EU</v>
      </c>
    </row>
    <row r="183">
      <c r="A183" s="2" t="str">
        <f>IFERROR(__xludf.DUMMYFUNCTION("""COMPUTED_VALUE"""),"United Arab Emirates")</f>
        <v>United Arab Emirates</v>
      </c>
      <c r="B183" s="2">
        <f>IFERROR(__xludf.DUMMYFUNCTION("""COMPUTED_VALUE"""),16.0)</f>
        <v>16</v>
      </c>
      <c r="C183" s="2">
        <f>IFERROR(__xludf.DUMMYFUNCTION("""COMPUTED_VALUE"""),135.0)</f>
        <v>135</v>
      </c>
      <c r="D183" s="2">
        <f>IFERROR(__xludf.DUMMYFUNCTION("""COMPUTED_VALUE"""),5.0)</f>
        <v>5</v>
      </c>
      <c r="E183" s="2">
        <f>IFERROR(__xludf.DUMMYFUNCTION("""COMPUTED_VALUE"""),2.8)</f>
        <v>2.8</v>
      </c>
      <c r="F183" s="2" t="str">
        <f>IFERROR(__xludf.DUMMYFUNCTION("""COMPUTED_VALUE"""),"AS")</f>
        <v>AS</v>
      </c>
    </row>
    <row r="184">
      <c r="A184" s="2" t="str">
        <f>IFERROR(__xludf.DUMMYFUNCTION("""COMPUTED_VALUE"""),"United Kingdom")</f>
        <v>United Kingdom</v>
      </c>
      <c r="B184" s="2">
        <f>IFERROR(__xludf.DUMMYFUNCTION("""COMPUTED_VALUE"""),219.0)</f>
        <v>219</v>
      </c>
      <c r="C184" s="2">
        <f>IFERROR(__xludf.DUMMYFUNCTION("""COMPUTED_VALUE"""),126.0)</f>
        <v>126</v>
      </c>
      <c r="D184" s="2">
        <f>IFERROR(__xludf.DUMMYFUNCTION("""COMPUTED_VALUE"""),195.0)</f>
        <v>195</v>
      </c>
      <c r="E184" s="2">
        <f>IFERROR(__xludf.DUMMYFUNCTION("""COMPUTED_VALUE"""),10.4)</f>
        <v>10.4</v>
      </c>
      <c r="F184" s="2" t="str">
        <f>IFERROR(__xludf.DUMMYFUNCTION("""COMPUTED_VALUE"""),"EU")</f>
        <v>EU</v>
      </c>
    </row>
    <row r="185">
      <c r="A185" s="2" t="str">
        <f>IFERROR(__xludf.DUMMYFUNCTION("""COMPUTED_VALUE"""),"Tanzania")</f>
        <v>Tanzania</v>
      </c>
      <c r="B185" s="2">
        <f>IFERROR(__xludf.DUMMYFUNCTION("""COMPUTED_VALUE"""),36.0)</f>
        <v>36</v>
      </c>
      <c r="C185" s="2">
        <f>IFERROR(__xludf.DUMMYFUNCTION("""COMPUTED_VALUE"""),6.0)</f>
        <v>6</v>
      </c>
      <c r="D185" s="2">
        <f>IFERROR(__xludf.DUMMYFUNCTION("""COMPUTED_VALUE"""),1.0)</f>
        <v>1</v>
      </c>
      <c r="E185" s="2">
        <f>IFERROR(__xludf.DUMMYFUNCTION("""COMPUTED_VALUE"""),5.7)</f>
        <v>5.7</v>
      </c>
      <c r="F185" s="2" t="str">
        <f>IFERROR(__xludf.DUMMYFUNCTION("""COMPUTED_VALUE"""),"AF")</f>
        <v>AF</v>
      </c>
    </row>
    <row r="186">
      <c r="A186" s="2" t="str">
        <f>IFERROR(__xludf.DUMMYFUNCTION("""COMPUTED_VALUE"""),"USA")</f>
        <v>USA</v>
      </c>
      <c r="B186" s="2">
        <f>IFERROR(__xludf.DUMMYFUNCTION("""COMPUTED_VALUE"""),249.0)</f>
        <v>249</v>
      </c>
      <c r="C186" s="2">
        <f>IFERROR(__xludf.DUMMYFUNCTION("""COMPUTED_VALUE"""),158.0)</f>
        <v>158</v>
      </c>
      <c r="D186" s="2">
        <f>IFERROR(__xludf.DUMMYFUNCTION("""COMPUTED_VALUE"""),84.0)</f>
        <v>84</v>
      </c>
      <c r="E186" s="2">
        <f>IFERROR(__xludf.DUMMYFUNCTION("""COMPUTED_VALUE"""),8.7)</f>
        <v>8.7</v>
      </c>
      <c r="F186" s="2" t="str">
        <f>IFERROR(__xludf.DUMMYFUNCTION("""COMPUTED_VALUE"""),"NA")</f>
        <v>NA</v>
      </c>
    </row>
    <row r="187">
      <c r="A187" s="2" t="str">
        <f>IFERROR(__xludf.DUMMYFUNCTION("""COMPUTED_VALUE"""),"Uruguay")</f>
        <v>Uruguay</v>
      </c>
      <c r="B187" s="2">
        <f>IFERROR(__xludf.DUMMYFUNCTION("""COMPUTED_VALUE"""),115.0)</f>
        <v>115</v>
      </c>
      <c r="C187" s="2">
        <f>IFERROR(__xludf.DUMMYFUNCTION("""COMPUTED_VALUE"""),35.0)</f>
        <v>35</v>
      </c>
      <c r="D187" s="2">
        <f>IFERROR(__xludf.DUMMYFUNCTION("""COMPUTED_VALUE"""),220.0)</f>
        <v>220</v>
      </c>
      <c r="E187" s="2">
        <f>IFERROR(__xludf.DUMMYFUNCTION("""COMPUTED_VALUE"""),6.6)</f>
        <v>6.6</v>
      </c>
      <c r="F187" s="2" t="str">
        <f>IFERROR(__xludf.DUMMYFUNCTION("""COMPUTED_VALUE"""),"SA")</f>
        <v>SA</v>
      </c>
    </row>
    <row r="188">
      <c r="A188" s="2" t="str">
        <f>IFERROR(__xludf.DUMMYFUNCTION("""COMPUTED_VALUE"""),"Uzbekistan")</f>
        <v>Uzbekistan</v>
      </c>
      <c r="B188" s="2">
        <f>IFERROR(__xludf.DUMMYFUNCTION("""COMPUTED_VALUE"""),25.0)</f>
        <v>25</v>
      </c>
      <c r="C188" s="2">
        <f>IFERROR(__xludf.DUMMYFUNCTION("""COMPUTED_VALUE"""),101.0)</f>
        <v>101</v>
      </c>
      <c r="D188" s="2">
        <f>IFERROR(__xludf.DUMMYFUNCTION("""COMPUTED_VALUE"""),8.0)</f>
        <v>8</v>
      </c>
      <c r="E188" s="2">
        <f>IFERROR(__xludf.DUMMYFUNCTION("""COMPUTED_VALUE"""),2.4)</f>
        <v>2.4</v>
      </c>
      <c r="F188" s="2" t="str">
        <f>IFERROR(__xludf.DUMMYFUNCTION("""COMPUTED_VALUE"""),"AS")</f>
        <v>AS</v>
      </c>
    </row>
    <row r="189">
      <c r="A189" s="2" t="str">
        <f>IFERROR(__xludf.DUMMYFUNCTION("""COMPUTED_VALUE"""),"Vanuatu")</f>
        <v>Vanuatu</v>
      </c>
      <c r="B189" s="2">
        <f>IFERROR(__xludf.DUMMYFUNCTION("""COMPUTED_VALUE"""),21.0)</f>
        <v>21</v>
      </c>
      <c r="C189" s="2">
        <f>IFERROR(__xludf.DUMMYFUNCTION("""COMPUTED_VALUE"""),18.0)</f>
        <v>18</v>
      </c>
      <c r="D189" s="2">
        <f>IFERROR(__xludf.DUMMYFUNCTION("""COMPUTED_VALUE"""),11.0)</f>
        <v>11</v>
      </c>
      <c r="E189" s="2">
        <f>IFERROR(__xludf.DUMMYFUNCTION("""COMPUTED_VALUE"""),0.9)</f>
        <v>0.9</v>
      </c>
      <c r="F189" s="2" t="str">
        <f>IFERROR(__xludf.DUMMYFUNCTION("""COMPUTED_VALUE"""),"OC")</f>
        <v>OC</v>
      </c>
    </row>
    <row r="190">
      <c r="A190" s="2" t="str">
        <f>IFERROR(__xludf.DUMMYFUNCTION("""COMPUTED_VALUE"""),"Venezuela")</f>
        <v>Venezuela</v>
      </c>
      <c r="B190" s="2">
        <f>IFERROR(__xludf.DUMMYFUNCTION("""COMPUTED_VALUE"""),333.0)</f>
        <v>333</v>
      </c>
      <c r="C190" s="2">
        <f>IFERROR(__xludf.DUMMYFUNCTION("""COMPUTED_VALUE"""),100.0)</f>
        <v>100</v>
      </c>
      <c r="D190" s="2">
        <f>IFERROR(__xludf.DUMMYFUNCTION("""COMPUTED_VALUE"""),3.0)</f>
        <v>3</v>
      </c>
      <c r="E190" s="2">
        <f>IFERROR(__xludf.DUMMYFUNCTION("""COMPUTED_VALUE"""),7.7)</f>
        <v>7.7</v>
      </c>
      <c r="F190" s="2" t="str">
        <f>IFERROR(__xludf.DUMMYFUNCTION("""COMPUTED_VALUE"""),"SA")</f>
        <v>SA</v>
      </c>
    </row>
    <row r="191">
      <c r="A191" s="2" t="str">
        <f>IFERROR(__xludf.DUMMYFUNCTION("""COMPUTED_VALUE"""),"Vietnam")</f>
        <v>Vietnam</v>
      </c>
      <c r="B191" s="2">
        <f>IFERROR(__xludf.DUMMYFUNCTION("""COMPUTED_VALUE"""),111.0)</f>
        <v>111</v>
      </c>
      <c r="C191" s="2">
        <f>IFERROR(__xludf.DUMMYFUNCTION("""COMPUTED_VALUE"""),2.0)</f>
        <v>2</v>
      </c>
      <c r="D191" s="2">
        <f>IFERROR(__xludf.DUMMYFUNCTION("""COMPUTED_VALUE"""),1.0)</f>
        <v>1</v>
      </c>
      <c r="E191" s="2">
        <f>IFERROR(__xludf.DUMMYFUNCTION("""COMPUTED_VALUE"""),2.0)</f>
        <v>2</v>
      </c>
      <c r="F191" s="2" t="str">
        <f>IFERROR(__xludf.DUMMYFUNCTION("""COMPUTED_VALUE"""),"AS")</f>
        <v>AS</v>
      </c>
    </row>
    <row r="192">
      <c r="A192" s="2" t="str">
        <f>IFERROR(__xludf.DUMMYFUNCTION("""COMPUTED_VALUE"""),"Yemen")</f>
        <v>Yemen</v>
      </c>
      <c r="B192" s="2">
        <f>IFERROR(__xludf.DUMMYFUNCTION("""COMPUTED_VALUE"""),6.0)</f>
        <v>6</v>
      </c>
      <c r="C192" s="2">
        <f>IFERROR(__xludf.DUMMYFUNCTION("""COMPUTED_VALUE"""),0.0)</f>
        <v>0</v>
      </c>
      <c r="D192" s="2">
        <f>IFERROR(__xludf.DUMMYFUNCTION("""COMPUTED_VALUE"""),0.0)</f>
        <v>0</v>
      </c>
      <c r="E192" s="2">
        <f>IFERROR(__xludf.DUMMYFUNCTION("""COMPUTED_VALUE"""),0.1)</f>
        <v>0.1</v>
      </c>
      <c r="F192" s="2" t="str">
        <f>IFERROR(__xludf.DUMMYFUNCTION("""COMPUTED_VALUE"""),"AS")</f>
        <v>AS</v>
      </c>
    </row>
    <row r="193">
      <c r="A193" s="2" t="str">
        <f>IFERROR(__xludf.DUMMYFUNCTION("""COMPUTED_VALUE"""),"Zambia")</f>
        <v>Zambia</v>
      </c>
      <c r="B193" s="2">
        <f>IFERROR(__xludf.DUMMYFUNCTION("""COMPUTED_VALUE"""),32.0)</f>
        <v>32</v>
      </c>
      <c r="C193" s="2">
        <f>IFERROR(__xludf.DUMMYFUNCTION("""COMPUTED_VALUE"""),19.0)</f>
        <v>19</v>
      </c>
      <c r="D193" s="2">
        <f>IFERROR(__xludf.DUMMYFUNCTION("""COMPUTED_VALUE"""),4.0)</f>
        <v>4</v>
      </c>
      <c r="E193" s="2">
        <f>IFERROR(__xludf.DUMMYFUNCTION("""COMPUTED_VALUE"""),2.5)</f>
        <v>2.5</v>
      </c>
      <c r="F193" s="2" t="str">
        <f>IFERROR(__xludf.DUMMYFUNCTION("""COMPUTED_VALUE"""),"AF")</f>
        <v>AF</v>
      </c>
    </row>
    <row r="194">
      <c r="A194" s="2" t="str">
        <f>IFERROR(__xludf.DUMMYFUNCTION("""COMPUTED_VALUE"""),"Zimbabwe")</f>
        <v>Zimbabwe</v>
      </c>
      <c r="B194" s="2">
        <f>IFERROR(__xludf.DUMMYFUNCTION("""COMPUTED_VALUE"""),64.0)</f>
        <v>64</v>
      </c>
      <c r="C194" s="2">
        <f>IFERROR(__xludf.DUMMYFUNCTION("""COMPUTED_VALUE"""),18.0)</f>
        <v>18</v>
      </c>
      <c r="D194" s="2">
        <f>IFERROR(__xludf.DUMMYFUNCTION("""COMPUTED_VALUE"""),4.0)</f>
        <v>4</v>
      </c>
      <c r="E194" s="2">
        <f>IFERROR(__xludf.DUMMYFUNCTION("""COMPUTED_VALUE"""),4.7)</f>
        <v>4.7</v>
      </c>
      <c r="F194" s="2" t="str">
        <f>IFERROR(__xludf.DUMMYFUNCTION("""COMPUTED_VALUE"""),"AF")</f>
        <v>AF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tr">
        <f>IFERROR(__xludf.DUMMYFUNCTION("IMPORTHTML(""https://en.wikipedia.org/wiki/Demographics_of_South_Korea"", ""table"", 3)"),"Years")</f>
        <v>Years</v>
      </c>
      <c r="B1" s="2">
        <f>IFERROR(__xludf.DUMMYFUNCTION("""COMPUTED_VALUE"""),1908.0)</f>
        <v>1908</v>
      </c>
      <c r="C1" s="2">
        <f>IFERROR(__xludf.DUMMYFUNCTION("""COMPUTED_VALUE"""),1913.0)</f>
        <v>1913</v>
      </c>
      <c r="D1" s="2">
        <f>IFERROR(__xludf.DUMMYFUNCTION("""COMPUTED_VALUE"""),1918.0)</f>
        <v>1918</v>
      </c>
      <c r="E1" s="2">
        <f>IFERROR(__xludf.DUMMYFUNCTION("""COMPUTED_VALUE"""),1923.0)</f>
        <v>1923</v>
      </c>
      <c r="F1" s="2">
        <f>IFERROR(__xludf.DUMMYFUNCTION("""COMPUTED_VALUE"""),1928.0)</f>
        <v>1928</v>
      </c>
      <c r="G1" s="2">
        <f>IFERROR(__xludf.DUMMYFUNCTION("""COMPUTED_VALUE"""),1933.0)</f>
        <v>1933</v>
      </c>
      <c r="H1" s="2">
        <f>IFERROR(__xludf.DUMMYFUNCTION("""COMPUTED_VALUE"""),1938.0)</f>
        <v>1938</v>
      </c>
      <c r="I1" s="2">
        <f>IFERROR(__xludf.DUMMYFUNCTION("""COMPUTED_VALUE"""),1942.0)</f>
        <v>1942</v>
      </c>
      <c r="J1" s="2" t="str">
        <f>IFERROR(__xludf.DUMMYFUNCTION("""COMPUTED_VALUE"""),"1950[21]")</f>
        <v>1950[21]</v>
      </c>
    </row>
    <row r="2">
      <c r="A2" s="2" t="str">
        <f>IFERROR(__xludf.DUMMYFUNCTION("""COMPUTED_VALUE"""),"Life expectancy in South Korea")</f>
        <v>Life expectancy in South Korea</v>
      </c>
      <c r="B2" s="2">
        <f>IFERROR(__xludf.DUMMYFUNCTION("""COMPUTED_VALUE"""),23.5)</f>
        <v>23.5</v>
      </c>
      <c r="C2" s="2">
        <f>IFERROR(__xludf.DUMMYFUNCTION("""COMPUTED_VALUE"""),25.0)</f>
        <v>25</v>
      </c>
      <c r="D2" s="2">
        <f>IFERROR(__xludf.DUMMYFUNCTION("""COMPUTED_VALUE"""),27.0)</f>
        <v>27</v>
      </c>
      <c r="E2" s="2">
        <f>IFERROR(__xludf.DUMMYFUNCTION("""COMPUTED_VALUE"""),29.5)</f>
        <v>29.5</v>
      </c>
      <c r="F2" s="2">
        <f>IFERROR(__xludf.DUMMYFUNCTION("""COMPUTED_VALUE"""),33.6)</f>
        <v>33.6</v>
      </c>
      <c r="G2" s="2">
        <f>IFERROR(__xludf.DUMMYFUNCTION("""COMPUTED_VALUE"""),37.4)</f>
        <v>37.4</v>
      </c>
      <c r="H2" s="2">
        <f>IFERROR(__xludf.DUMMYFUNCTION("""COMPUTED_VALUE"""),42.6)</f>
        <v>42.6</v>
      </c>
      <c r="I2" s="2">
        <f>IFERROR(__xludf.DUMMYFUNCTION("""COMPUTED_VALUE"""),44.9)</f>
        <v>44.9</v>
      </c>
      <c r="J2" s="2">
        <f>IFERROR(__xludf.DUMMYFUNCTION("""COMPUTED_VALUE"""),46.7)</f>
        <v>46.7</v>
      </c>
    </row>
  </sheetData>
  <drawing r:id="rId1"/>
</worksheet>
</file>