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4952" windowHeight="11796" tabRatio="736" activeTab="4"/>
  </bookViews>
  <sheets>
    <sheet name="总汇" sheetId="22" r:id="rId1"/>
    <sheet name="换线费用" sheetId="29" r:id="rId2"/>
    <sheet name="基本信息" sheetId="28" r:id="rId3"/>
    <sheet name="年产能" sheetId="10" r:id="rId4"/>
    <sheet name="主材" sheetId="7" r:id="rId5"/>
    <sheet name="辅料" sheetId="19" r:id="rId6"/>
    <sheet name="直接人工" sheetId="11" r:id="rId7"/>
    <sheet name="能耗" sheetId="20" r:id="rId8"/>
    <sheet name="设备维保" sheetId="21" r:id="rId9"/>
    <sheet name="专有设备" sheetId="13" r:id="rId10"/>
    <sheet name="非专设备、工装、检具" sheetId="17" r:id="rId11"/>
    <sheet name="厂房" sheetId="6" r:id="rId12"/>
    <sheet name="物流" sheetId="24" r:id="rId13"/>
    <sheet name="说明页" sheetId="25" r:id="rId14"/>
    <sheet name="职责" sheetId="27" r:id="rId15"/>
    <sheet name="变更" sheetId="26" r:id="rId16"/>
  </sheets>
  <calcPr calcId="124519"/>
</workbook>
</file>

<file path=xl/calcChain.xml><?xml version="1.0" encoding="utf-8"?>
<calcChain xmlns="http://schemas.openxmlformats.org/spreadsheetml/2006/main">
  <c r="H12" i="24"/>
  <c r="H2"/>
  <c r="D7" i="6"/>
  <c r="C7"/>
  <c r="B7"/>
  <c r="D5"/>
  <c r="D3"/>
  <c r="D2"/>
  <c r="J31" i="17"/>
  <c r="J30"/>
  <c r="G30"/>
  <c r="J29"/>
  <c r="G29"/>
  <c r="J28"/>
  <c r="G28"/>
  <c r="J27"/>
  <c r="G27"/>
  <c r="J26"/>
  <c r="G26"/>
  <c r="J25"/>
  <c r="G25"/>
  <c r="J24"/>
  <c r="G24"/>
  <c r="J23"/>
  <c r="G23"/>
  <c r="J22"/>
  <c r="G22"/>
  <c r="J21"/>
  <c r="G21"/>
  <c r="J20"/>
  <c r="G20"/>
  <c r="J19"/>
  <c r="G19"/>
  <c r="J18"/>
  <c r="G18"/>
  <c r="J17"/>
  <c r="G17"/>
  <c r="J16"/>
  <c r="G16"/>
  <c r="J15"/>
  <c r="G15"/>
  <c r="J14"/>
  <c r="G14"/>
  <c r="J13"/>
  <c r="G13"/>
  <c r="J12"/>
  <c r="G12"/>
  <c r="J11"/>
  <c r="G11"/>
  <c r="J10"/>
  <c r="G10"/>
  <c r="J9"/>
  <c r="G9"/>
  <c r="J8"/>
  <c r="G8"/>
  <c r="J7"/>
  <c r="G7"/>
  <c r="J6"/>
  <c r="G6"/>
  <c r="J5"/>
  <c r="G5"/>
  <c r="J4"/>
  <c r="G4"/>
  <c r="J3"/>
  <c r="G3"/>
  <c r="I22" i="13"/>
  <c r="F22"/>
  <c r="I21"/>
  <c r="F21"/>
  <c r="I18"/>
  <c r="F18"/>
  <c r="I17"/>
  <c r="F17"/>
  <c r="I16"/>
  <c r="F16"/>
  <c r="I15"/>
  <c r="F15"/>
  <c r="I14"/>
  <c r="F14"/>
  <c r="I13"/>
  <c r="F13"/>
  <c r="I12"/>
  <c r="F12"/>
  <c r="I11"/>
  <c r="F11"/>
  <c r="I10"/>
  <c r="F10"/>
  <c r="I9"/>
  <c r="F9"/>
  <c r="I8"/>
  <c r="F8"/>
  <c r="I7"/>
  <c r="F7"/>
  <c r="I6"/>
  <c r="F6"/>
  <c r="I5"/>
  <c r="F5"/>
  <c r="I4"/>
  <c r="F4"/>
  <c r="I3"/>
  <c r="F3"/>
  <c r="H50" i="21"/>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Q34" i="20"/>
  <c r="P34"/>
  <c r="O34"/>
  <c r="M34"/>
  <c r="K34"/>
  <c r="H34"/>
  <c r="F34"/>
  <c r="D34"/>
  <c r="Q31"/>
  <c r="P31"/>
  <c r="O31"/>
  <c r="M31"/>
  <c r="K31"/>
  <c r="Q30"/>
  <c r="P30"/>
  <c r="O30"/>
  <c r="M30"/>
  <c r="K30"/>
  <c r="Q29"/>
  <c r="P29"/>
  <c r="O29"/>
  <c r="M29"/>
  <c r="K29"/>
  <c r="Q28"/>
  <c r="P28"/>
  <c r="O28"/>
  <c r="M28"/>
  <c r="K28"/>
  <c r="Q27"/>
  <c r="P27"/>
  <c r="O27"/>
  <c r="M27"/>
  <c r="K27"/>
  <c r="Q26"/>
  <c r="P26"/>
  <c r="O26"/>
  <c r="M26"/>
  <c r="K26"/>
  <c r="Q25"/>
  <c r="P25"/>
  <c r="O25"/>
  <c r="M25"/>
  <c r="K25"/>
  <c r="Q24"/>
  <c r="P24"/>
  <c r="O24"/>
  <c r="M24"/>
  <c r="K24"/>
  <c r="Q23"/>
  <c r="P23"/>
  <c r="O23"/>
  <c r="M23"/>
  <c r="K23"/>
  <c r="Q22"/>
  <c r="P22"/>
  <c r="O22"/>
  <c r="M22"/>
  <c r="K22"/>
  <c r="Q21"/>
  <c r="P21"/>
  <c r="O21"/>
  <c r="M21"/>
  <c r="K21"/>
  <c r="Q20"/>
  <c r="P20"/>
  <c r="O20"/>
  <c r="M20"/>
  <c r="K20"/>
  <c r="Q19"/>
  <c r="P19"/>
  <c r="O19"/>
  <c r="M19"/>
  <c r="K19"/>
  <c r="Q18"/>
  <c r="P18"/>
  <c r="O18"/>
  <c r="M18"/>
  <c r="K18"/>
  <c r="E18"/>
  <c r="Q17"/>
  <c r="P17"/>
  <c r="O17"/>
  <c r="M17"/>
  <c r="K17"/>
  <c r="E17"/>
  <c r="Q16"/>
  <c r="P16"/>
  <c r="O16"/>
  <c r="M16"/>
  <c r="K16"/>
  <c r="E16"/>
  <c r="Q15"/>
  <c r="P15"/>
  <c r="O15"/>
  <c r="M15"/>
  <c r="K15"/>
  <c r="E15"/>
  <c r="Q14"/>
  <c r="P14"/>
  <c r="O14"/>
  <c r="M14"/>
  <c r="K14"/>
  <c r="E14"/>
  <c r="Q13"/>
  <c r="P13"/>
  <c r="O13"/>
  <c r="M13"/>
  <c r="K13"/>
  <c r="E13"/>
  <c r="Q12"/>
  <c r="P12"/>
  <c r="O12"/>
  <c r="M12"/>
  <c r="K12"/>
  <c r="E12"/>
  <c r="Q11"/>
  <c r="P11"/>
  <c r="O11"/>
  <c r="M11"/>
  <c r="K11"/>
  <c r="Q10"/>
  <c r="P10"/>
  <c r="O10"/>
  <c r="M10"/>
  <c r="K10"/>
  <c r="Q9"/>
  <c r="P9"/>
  <c r="O9"/>
  <c r="M9"/>
  <c r="K9"/>
  <c r="E9"/>
  <c r="Q8"/>
  <c r="P8"/>
  <c r="O8"/>
  <c r="M8"/>
  <c r="K8"/>
  <c r="Q7"/>
  <c r="P7"/>
  <c r="O7"/>
  <c r="M7"/>
  <c r="K7"/>
  <c r="Q6"/>
  <c r="P6"/>
  <c r="O6"/>
  <c r="M6"/>
  <c r="K6"/>
  <c r="Q5"/>
  <c r="P5"/>
  <c r="O5"/>
  <c r="M5"/>
  <c r="K5"/>
  <c r="Q4"/>
  <c r="P4"/>
  <c r="O4"/>
  <c r="M4"/>
  <c r="K4"/>
  <c r="Q3"/>
  <c r="P3"/>
  <c r="O3"/>
  <c r="M3"/>
  <c r="K3"/>
  <c r="L22" i="11"/>
  <c r="K22"/>
  <c r="J22"/>
  <c r="I22"/>
  <c r="H22"/>
  <c r="G22"/>
  <c r="F22"/>
  <c r="E22"/>
  <c r="D22"/>
  <c r="C22"/>
  <c r="I21"/>
  <c r="H21"/>
  <c r="I20"/>
  <c r="H20"/>
  <c r="L19"/>
  <c r="I19"/>
  <c r="H19"/>
  <c r="G19"/>
  <c r="L18"/>
  <c r="I18"/>
  <c r="H18"/>
  <c r="G18"/>
  <c r="L17"/>
  <c r="I17"/>
  <c r="H17"/>
  <c r="G17"/>
  <c r="E17"/>
  <c r="L16"/>
  <c r="I16"/>
  <c r="H16"/>
  <c r="G16"/>
  <c r="L15"/>
  <c r="I15"/>
  <c r="H15"/>
  <c r="G15"/>
  <c r="E15"/>
  <c r="L14"/>
  <c r="I14"/>
  <c r="H14"/>
  <c r="G14"/>
  <c r="E14"/>
  <c r="L13"/>
  <c r="I13"/>
  <c r="H13"/>
  <c r="G13"/>
  <c r="E13"/>
  <c r="L12"/>
  <c r="I12"/>
  <c r="H12"/>
  <c r="G12"/>
  <c r="E12"/>
  <c r="L11"/>
  <c r="I11"/>
  <c r="H11"/>
  <c r="G11"/>
  <c r="E11"/>
  <c r="L10"/>
  <c r="I10"/>
  <c r="H10"/>
  <c r="G10"/>
  <c r="E10"/>
  <c r="L9"/>
  <c r="I9"/>
  <c r="H9"/>
  <c r="G9"/>
  <c r="E9"/>
  <c r="L8"/>
  <c r="I8"/>
  <c r="H8"/>
  <c r="G8"/>
  <c r="E8"/>
  <c r="L7"/>
  <c r="I7"/>
  <c r="H7"/>
  <c r="G7"/>
  <c r="E7"/>
  <c r="L6"/>
  <c r="I6"/>
  <c r="H6"/>
  <c r="G6"/>
  <c r="L5"/>
  <c r="I5"/>
  <c r="H5"/>
  <c r="G5"/>
  <c r="E5"/>
  <c r="L4"/>
  <c r="I4"/>
  <c r="H4"/>
  <c r="G4"/>
  <c r="L3"/>
  <c r="I3"/>
  <c r="H3"/>
  <c r="G3"/>
  <c r="J15" i="19"/>
  <c r="K13"/>
  <c r="J13"/>
  <c r="H13"/>
  <c r="K12"/>
  <c r="J12"/>
  <c r="H12"/>
  <c r="K11"/>
  <c r="J11"/>
  <c r="H11"/>
  <c r="K10"/>
  <c r="J10"/>
  <c r="H10"/>
  <c r="K9"/>
  <c r="J9"/>
  <c r="H9"/>
  <c r="K8"/>
  <c r="J8"/>
  <c r="H8"/>
  <c r="K7"/>
  <c r="J7"/>
  <c r="H7"/>
  <c r="K6"/>
  <c r="J6"/>
  <c r="H6"/>
  <c r="K5"/>
  <c r="J5"/>
  <c r="H5"/>
  <c r="K4"/>
  <c r="J4"/>
  <c r="H4"/>
  <c r="K3"/>
  <c r="J3"/>
  <c r="H3"/>
  <c r="N35" i="7"/>
  <c r="E35"/>
  <c r="N34"/>
  <c r="N32"/>
  <c r="M32"/>
  <c r="L32"/>
  <c r="H32"/>
  <c r="N31"/>
  <c r="M31"/>
  <c r="L31"/>
  <c r="H31"/>
  <c r="N30"/>
  <c r="M30"/>
  <c r="L30"/>
  <c r="H30"/>
  <c r="N29"/>
  <c r="M29"/>
  <c r="L29"/>
  <c r="H29"/>
  <c r="N28"/>
  <c r="M28"/>
  <c r="L28"/>
  <c r="H28"/>
  <c r="N27"/>
  <c r="M27"/>
  <c r="L27"/>
  <c r="H27"/>
  <c r="N26"/>
  <c r="M26"/>
  <c r="L26"/>
  <c r="H26"/>
  <c r="N25"/>
  <c r="M25"/>
  <c r="L25"/>
  <c r="H25"/>
  <c r="N24"/>
  <c r="M24"/>
  <c r="L24"/>
  <c r="H24"/>
  <c r="N23"/>
  <c r="M23"/>
  <c r="L23"/>
  <c r="H23"/>
  <c r="N22"/>
  <c r="M22"/>
  <c r="L22"/>
  <c r="H22"/>
  <c r="N21"/>
  <c r="M21"/>
  <c r="L21"/>
  <c r="H21"/>
  <c r="N20"/>
  <c r="M20"/>
  <c r="L20"/>
  <c r="H20"/>
  <c r="N19"/>
  <c r="M19"/>
  <c r="L19"/>
  <c r="H19"/>
  <c r="N18"/>
  <c r="M18"/>
  <c r="L18"/>
  <c r="H18"/>
  <c r="N17"/>
  <c r="M17"/>
  <c r="L17"/>
  <c r="H17"/>
  <c r="N16"/>
  <c r="M16"/>
  <c r="L16"/>
  <c r="H16"/>
  <c r="N15"/>
  <c r="M15"/>
  <c r="L15"/>
  <c r="H15"/>
  <c r="N14"/>
  <c r="M14"/>
  <c r="L14"/>
  <c r="H14"/>
  <c r="N13"/>
  <c r="M13"/>
  <c r="L13"/>
  <c r="H13"/>
  <c r="N12"/>
  <c r="M12"/>
  <c r="L12"/>
  <c r="H12"/>
  <c r="N11"/>
  <c r="M11"/>
  <c r="L11"/>
  <c r="H11"/>
  <c r="N10"/>
  <c r="M10"/>
  <c r="L10"/>
  <c r="H10"/>
  <c r="N9"/>
  <c r="M9"/>
  <c r="L9"/>
  <c r="H9"/>
  <c r="N8"/>
  <c r="M8"/>
  <c r="L8"/>
  <c r="H8"/>
  <c r="N7"/>
  <c r="L7"/>
  <c r="H7"/>
  <c r="M7" s="1"/>
  <c r="N6"/>
  <c r="M6"/>
  <c r="L6"/>
  <c r="H6"/>
  <c r="N5"/>
  <c r="L5"/>
  <c r="H5"/>
  <c r="M5" s="1"/>
  <c r="N4"/>
  <c r="L4"/>
  <c r="H4"/>
  <c r="M4" s="1"/>
  <c r="N3"/>
  <c r="L3"/>
  <c r="H3"/>
  <c r="M3" s="1"/>
  <c r="B27" i="10"/>
  <c r="S19"/>
  <c r="B9" i="29"/>
  <c r="B8"/>
  <c r="B7"/>
  <c r="B6"/>
  <c r="B5"/>
  <c r="B4"/>
  <c r="B3"/>
  <c r="B2"/>
  <c r="C19" i="22"/>
  <c r="C12"/>
  <c r="C11"/>
  <c r="C10"/>
  <c r="C9"/>
  <c r="C8"/>
  <c r="C7"/>
  <c r="C6"/>
  <c r="C5"/>
  <c r="C3"/>
  <c r="M35" i="7" l="1"/>
  <c r="H35"/>
  <c r="O26" l="1"/>
  <c r="O18"/>
  <c r="O10"/>
  <c r="O31"/>
  <c r="O23"/>
  <c r="O15"/>
  <c r="O7"/>
  <c r="O8"/>
  <c r="O13"/>
  <c r="O28"/>
  <c r="O20"/>
  <c r="O12"/>
  <c r="O16"/>
  <c r="O25"/>
  <c r="O17"/>
  <c r="O9"/>
  <c r="O30"/>
  <c r="O22"/>
  <c r="O14"/>
  <c r="O6"/>
  <c r="O24"/>
  <c r="O29"/>
  <c r="O27"/>
  <c r="O19"/>
  <c r="O11"/>
  <c r="O3"/>
  <c r="C2" i="22"/>
  <c r="O32" i="7"/>
  <c r="O21"/>
  <c r="O5"/>
  <c r="O4"/>
  <c r="C4" i="22" l="1"/>
  <c r="C16" l="1"/>
  <c r="C20"/>
  <c r="C13"/>
  <c r="C14"/>
  <c r="C15"/>
  <c r="C21" l="1"/>
  <c r="D8" s="1"/>
  <c r="D9" l="1"/>
  <c r="D5"/>
  <c r="C22"/>
  <c r="D17"/>
  <c r="D4"/>
  <c r="D10"/>
  <c r="D18"/>
  <c r="D11"/>
  <c r="D7"/>
  <c r="D6"/>
  <c r="D3"/>
  <c r="D19"/>
  <c r="D21"/>
  <c r="D12"/>
  <c r="D2"/>
</calcChain>
</file>

<file path=xl/comments1.xml><?xml version="1.0" encoding="utf-8"?>
<comments xmlns="http://schemas.openxmlformats.org/spreadsheetml/2006/main">
  <authors>
    <author>Liu</author>
  </authors>
  <commentList>
    <comment ref="C6" authorId="0">
      <text>
        <r>
          <rPr>
            <b/>
            <sz val="9"/>
            <rFont val="宋体"/>
            <charset val="134"/>
          </rPr>
          <t>绕制</t>
        </r>
      </text>
    </comment>
    <comment ref="D6" authorId="0">
      <text>
        <r>
          <rPr>
            <b/>
            <sz val="9"/>
            <rFont val="宋体"/>
            <charset val="134"/>
          </rPr>
          <t>干燥</t>
        </r>
      </text>
    </comment>
  </commentList>
</comments>
</file>

<file path=xl/comments2.xml><?xml version="1.0" encoding="utf-8"?>
<comments xmlns="http://schemas.openxmlformats.org/spreadsheetml/2006/main">
  <authors>
    <author>卢文</author>
  </authors>
  <commentList>
    <comment ref="E3" authorId="0">
      <text>
        <r>
          <rPr>
            <b/>
            <sz val="9"/>
            <rFont val="宋体"/>
            <charset val="134"/>
          </rPr>
          <t>卢文:</t>
        </r>
        <r>
          <rPr>
            <sz val="9"/>
            <rFont val="宋体"/>
            <charset val="134"/>
          </rPr>
          <t xml:space="preserve">
QTJS-C52</t>
        </r>
      </text>
    </comment>
    <comment ref="E4" authorId="0">
      <text>
        <r>
          <rPr>
            <b/>
            <sz val="9"/>
            <rFont val="宋体"/>
            <charset val="134"/>
          </rPr>
          <t>卢文:</t>
        </r>
        <r>
          <rPr>
            <sz val="9"/>
            <rFont val="宋体"/>
            <charset val="134"/>
          </rPr>
          <t xml:space="preserve">
RZJS-C85</t>
        </r>
      </text>
    </comment>
    <comment ref="E5" authorId="0">
      <text>
        <r>
          <rPr>
            <b/>
            <sz val="9"/>
            <rFont val="宋体"/>
            <charset val="134"/>
          </rPr>
          <t>卢文:</t>
        </r>
        <r>
          <rPr>
            <sz val="9"/>
            <rFont val="宋体"/>
            <charset val="134"/>
          </rPr>
          <t xml:space="preserve">
RZJS-C52</t>
        </r>
      </text>
    </comment>
    <comment ref="E7" authorId="0">
      <text>
        <r>
          <rPr>
            <b/>
            <sz val="9"/>
            <rFont val="宋体"/>
            <charset val="134"/>
          </rPr>
          <t>卢文:</t>
        </r>
        <r>
          <rPr>
            <sz val="9"/>
            <rFont val="宋体"/>
            <charset val="134"/>
          </rPr>
          <t xml:space="preserve">
QTJS-C64</t>
        </r>
      </text>
    </comment>
    <comment ref="E8" authorId="0">
      <text>
        <r>
          <rPr>
            <b/>
            <sz val="9"/>
            <rFont val="宋体"/>
            <charset val="134"/>
          </rPr>
          <t>卢文:</t>
        </r>
        <r>
          <rPr>
            <sz val="9"/>
            <rFont val="宋体"/>
            <charset val="134"/>
          </rPr>
          <t xml:space="preserve">
QTJS-D58</t>
        </r>
      </text>
    </comment>
  </commentList>
</comments>
</file>

<file path=xl/sharedStrings.xml><?xml version="1.0" encoding="utf-8"?>
<sst xmlns="http://schemas.openxmlformats.org/spreadsheetml/2006/main" count="936" uniqueCount="476">
  <si>
    <t>序号</t>
  </si>
  <si>
    <t>成本类别</t>
  </si>
  <si>
    <t>单片价格（元）</t>
  </si>
  <si>
    <t>成本百分比</t>
  </si>
  <si>
    <t>备注</t>
  </si>
  <si>
    <t xml:space="preserve">  主材</t>
  </si>
  <si>
    <t>见具体清单</t>
  </si>
  <si>
    <t xml:space="preserve">  辅材</t>
  </si>
  <si>
    <t>材料合计</t>
  </si>
  <si>
    <t>公式</t>
  </si>
  <si>
    <t>物流成本</t>
  </si>
  <si>
    <t xml:space="preserve">  直接人工</t>
  </si>
  <si>
    <t xml:space="preserve">  能耗</t>
  </si>
  <si>
    <t xml:space="preserve">  设备维修保养</t>
  </si>
  <si>
    <t xml:space="preserve">  专有生产设备折旧</t>
  </si>
  <si>
    <t xml:space="preserve">  非专有生产设备折旧</t>
  </si>
  <si>
    <t xml:space="preserve">  厂房折旧</t>
  </si>
  <si>
    <t>制造费用合计</t>
  </si>
  <si>
    <t>报废金额</t>
  </si>
  <si>
    <t>按实际报废百分比填写</t>
  </si>
  <si>
    <t>销售费用（含质保计提、保险、等）</t>
  </si>
  <si>
    <t>如果不涉及可不核算</t>
  </si>
  <si>
    <t>研发费用</t>
  </si>
  <si>
    <t>管理费用合计</t>
  </si>
  <si>
    <t>按照增值的部分%核算，参考行业平均水平</t>
  </si>
  <si>
    <t>财务费用合计</t>
  </si>
  <si>
    <t>按供应商垫资的资金总额及时间，按同期银行贷款利率核算</t>
  </si>
  <si>
    <t>其它费用（调试服务、等）</t>
  </si>
  <si>
    <t>换线损失费用</t>
  </si>
  <si>
    <t>净利润</t>
  </si>
  <si>
    <t>按照增值的部分%核算,参考行业平均利润水平</t>
  </si>
  <si>
    <t>税前价格</t>
  </si>
  <si>
    <t>税后价格</t>
  </si>
  <si>
    <t>按照物料所适用税率填写</t>
  </si>
  <si>
    <t>成本项</t>
  </si>
  <si>
    <t>金额</t>
  </si>
  <si>
    <t>主材</t>
  </si>
  <si>
    <t>直接人工</t>
  </si>
  <si>
    <t>能耗</t>
  </si>
  <si>
    <t>设备维保</t>
  </si>
  <si>
    <t>专有设备</t>
  </si>
  <si>
    <t>非专设备、工装、检具</t>
  </si>
  <si>
    <t>厂房</t>
  </si>
  <si>
    <t>总计</t>
  </si>
  <si>
    <t>名称</t>
  </si>
  <si>
    <t>数据</t>
  </si>
  <si>
    <t>产品编号</t>
  </si>
  <si>
    <t>SZT21B1091</t>
  </si>
  <si>
    <t>比如：SEWPG-12345</t>
  </si>
  <si>
    <t>物料名称</t>
  </si>
  <si>
    <t>变压器</t>
  </si>
  <si>
    <t>比如：叶片、齿轮箱、等</t>
  </si>
  <si>
    <t>几何尺寸</t>
  </si>
  <si>
    <t>长3.2米、宽1.83米、高3.1米</t>
  </si>
  <si>
    <t>比如：长20米、宽10米、高5米</t>
  </si>
  <si>
    <t>其他外观或物理要求</t>
  </si>
  <si>
    <t>喷漆</t>
  </si>
  <si>
    <t>比如：需要喷漆、打磨、等</t>
  </si>
  <si>
    <t>参考图片或图纸</t>
  </si>
  <si>
    <t>比如：图号</t>
  </si>
  <si>
    <t>现报价</t>
  </si>
  <si>
    <t>179.2万元</t>
  </si>
  <si>
    <t>比如：目前供应商报价为200万元</t>
  </si>
  <si>
    <t>供应商名称</t>
  </si>
  <si>
    <t>上海电气集团（张家港）变压器有限公司</t>
  </si>
  <si>
    <t>成本模型计算的日期</t>
  </si>
  <si>
    <t>比如：2021-6-30</t>
  </si>
  <si>
    <t>物料生产地点</t>
  </si>
  <si>
    <t>中国江苏省张家港市</t>
  </si>
  <si>
    <t>比如：中国江苏省连云港市</t>
  </si>
  <si>
    <t>材料用量相关成本动因</t>
  </si>
  <si>
    <t>体积、重量、功率</t>
  </si>
  <si>
    <t>比如：体积、重量、扭矩、功率</t>
  </si>
  <si>
    <t>其他要求</t>
  </si>
  <si>
    <t>需要防雨布全部覆盖</t>
  </si>
  <si>
    <t>比如：需要防雨布全部覆盖</t>
  </si>
  <si>
    <t>机型：</t>
  </si>
  <si>
    <t>SSP-12500/35</t>
  </si>
  <si>
    <t>比如：2.1-135和4.8-155</t>
  </si>
  <si>
    <t>物料用量：</t>
  </si>
  <si>
    <t>每套机器1台</t>
  </si>
  <si>
    <t>比如：每套机器3支</t>
  </si>
  <si>
    <t>批量数：</t>
  </si>
  <si>
    <t>比如：每批次50套</t>
  </si>
  <si>
    <t>换线时间：</t>
  </si>
  <si>
    <t>比如：3天或72小时，是指从更换物料规格需要更换相应的物料、设备、人员等所花的时间长度,单位为小时</t>
  </si>
  <si>
    <t>物料年产能：</t>
  </si>
  <si>
    <t>256套</t>
  </si>
  <si>
    <t>比如：每年698套</t>
  </si>
  <si>
    <t>职责</t>
  </si>
  <si>
    <t>工艺</t>
  </si>
  <si>
    <t>工序名称</t>
  </si>
  <si>
    <t>小时</t>
  </si>
  <si>
    <t>生产总周期</t>
  </si>
  <si>
    <t>铁芯制造</t>
  </si>
  <si>
    <t>夹件制造</t>
  </si>
  <si>
    <t>铁芯装配</t>
  </si>
  <si>
    <t>低压绕制</t>
  </si>
  <si>
    <t>高压绕制</t>
  </si>
  <si>
    <t>线圈装配</t>
  </si>
  <si>
    <t>器身装配</t>
  </si>
  <si>
    <t>铜排焊接</t>
  </si>
  <si>
    <t>引线装配</t>
  </si>
  <si>
    <t>器身干燥</t>
  </si>
  <si>
    <t>油箱准备</t>
  </si>
  <si>
    <t>总装配</t>
  </si>
  <si>
    <t>真空注油</t>
  </si>
  <si>
    <t>静放</t>
  </si>
  <si>
    <t>试验</t>
  </si>
  <si>
    <t>箱盖焊接</t>
  </si>
  <si>
    <t>出厂包装</t>
  </si>
  <si>
    <t>每支196小时</t>
  </si>
  <si>
    <t>备注：列出物料生产的所有工序、以串联的工序的先后顺序作为关键路径计算出每一个物料的完成时间（秒、分、时、天）</t>
  </si>
  <si>
    <t>量价分析</t>
  </si>
  <si>
    <t>类别</t>
  </si>
  <si>
    <t>单支占模时间</t>
  </si>
  <si>
    <t>并行生产台数</t>
  </si>
  <si>
    <t>全年工作日</t>
  </si>
  <si>
    <t>全年生产的数量</t>
  </si>
  <si>
    <t>备注：</t>
  </si>
  <si>
    <r>
      <rPr>
        <sz val="11"/>
        <color theme="1"/>
        <rFont val="微软雅黑"/>
        <charset val="134"/>
      </rPr>
      <t>一个月假设2</t>
    </r>
    <r>
      <rPr>
        <sz val="11"/>
        <color theme="1"/>
        <rFont val="微软雅黑"/>
        <charset val="134"/>
      </rPr>
      <t>4</t>
    </r>
    <r>
      <rPr>
        <sz val="11"/>
        <color theme="1"/>
        <rFont val="微软雅黑"/>
        <charset val="134"/>
      </rPr>
      <t>个工作日（2天模具整修等），另减去法定假日11天，过年额外放5天</t>
    </r>
  </si>
  <si>
    <t>设计</t>
  </si>
  <si>
    <t>采购</t>
  </si>
  <si>
    <t>材料类型</t>
  </si>
  <si>
    <t>材料牌号</t>
  </si>
  <si>
    <t>供应商名称
或品牌名称</t>
  </si>
  <si>
    <t xml:space="preserve">允许损耗
(%)
</t>
  </si>
  <si>
    <t>换线损失物料用量（kg）</t>
  </si>
  <si>
    <t>实际用量</t>
  </si>
  <si>
    <t>单价（不含税）</t>
  </si>
  <si>
    <t>废料出售量
(KG)</t>
  </si>
  <si>
    <t>废料出售单价
(元)</t>
  </si>
  <si>
    <t>废料出售总价
(元)</t>
  </si>
  <si>
    <t>总价格（不含税）</t>
  </si>
  <si>
    <t>换线损失物料金额（元）</t>
  </si>
  <si>
    <t>物料成本占比</t>
  </si>
  <si>
    <t>电工钢带</t>
  </si>
  <si>
    <t>B30P105</t>
  </si>
  <si>
    <t>宝钢</t>
  </si>
  <si>
    <t>普通电磁线</t>
  </si>
  <si>
    <r>
      <rPr>
        <sz val="9.5"/>
        <color rgb="FF000000"/>
        <rFont val="宋体"/>
        <charset val="134"/>
        <scheme val="minor"/>
      </rPr>
      <t>ZBC1</t>
    </r>
    <r>
      <rPr>
        <sz val="9.5"/>
        <color rgb="FF0000FF"/>
        <rFont val="宋体"/>
        <charset val="134"/>
      </rPr>
      <t>（</t>
    </r>
    <r>
      <rPr>
        <sz val="9.5"/>
        <rFont val="宋体"/>
        <charset val="134"/>
      </rPr>
      <t>热改性纸</t>
    </r>
    <r>
      <rPr>
        <sz val="9.5"/>
        <color rgb="FF0000FF"/>
        <rFont val="宋体"/>
        <charset val="134"/>
      </rPr>
      <t>）</t>
    </r>
  </si>
  <si>
    <t>自粘性换位导线</t>
  </si>
  <si>
    <t>HQQNC1（热改性纸）</t>
  </si>
  <si>
    <t>铜引线</t>
  </si>
  <si>
    <t>铜电缆、铜排</t>
  </si>
  <si>
    <t>冷却介质</t>
  </si>
  <si>
    <t>合成酯midel 7131</t>
  </si>
  <si>
    <t>钢　　材</t>
  </si>
  <si>
    <t>Q235-B</t>
  </si>
  <si>
    <t>普通绝缘纸板</t>
  </si>
  <si>
    <t>T4纸板+高密层压木</t>
  </si>
  <si>
    <t>特殊绝缘纸板</t>
  </si>
  <si>
    <t>nomex纸</t>
  </si>
  <si>
    <t>高压无励磁调压开关</t>
  </si>
  <si>
    <t>60kV-220A-5P</t>
  </si>
  <si>
    <t>荣家-ABB</t>
  </si>
  <si>
    <t>油箱装配</t>
  </si>
  <si>
    <t>高压插拔终端</t>
  </si>
  <si>
    <t>R900AR-8/J-72.5KV</t>
  </si>
  <si>
    <t>耐克森</t>
  </si>
  <si>
    <t>低压套管</t>
  </si>
  <si>
    <t>BF-1/4000</t>
  </si>
  <si>
    <t>河北维特</t>
  </si>
  <si>
    <t>冷却器</t>
  </si>
  <si>
    <t>强迫合成酯循环冷却器（双层隔离120kW）</t>
  </si>
  <si>
    <t>无锡宏盛</t>
  </si>
  <si>
    <t>低压0相套管</t>
  </si>
  <si>
    <t>BF-1/7000</t>
  </si>
  <si>
    <t>端 子 箱</t>
  </si>
  <si>
    <t>全密封接线盒
上海电气物料号：
A9B10155210</t>
  </si>
  <si>
    <t>上海电气或等同</t>
  </si>
  <si>
    <t>油面温度传感器</t>
  </si>
  <si>
    <t>PT100温度计TR10-H</t>
  </si>
  <si>
    <t>荣家-AKM/WIKA</t>
  </si>
  <si>
    <t>油位传感器</t>
  </si>
  <si>
    <t>049-101-02（VLV-604-1阀门）</t>
  </si>
  <si>
    <t>荣家-Qualitrol</t>
  </si>
  <si>
    <t>速动油压继电器</t>
  </si>
  <si>
    <t>SYJ-50</t>
  </si>
  <si>
    <t>沈变所</t>
  </si>
  <si>
    <t>储油柜</t>
  </si>
  <si>
    <t>800*800*650</t>
  </si>
  <si>
    <t>气体继电器</t>
  </si>
  <si>
    <t>BC-80</t>
  </si>
  <si>
    <t>德国EMB-荣家贸易/意大利COMEM</t>
  </si>
  <si>
    <t>压力释放阀</t>
  </si>
  <si>
    <t>XPRD</t>
  </si>
  <si>
    <t>互感器端子盒</t>
  </si>
  <si>
    <t>压力开关</t>
  </si>
  <si>
    <t>148-016-2 CS-42130</t>
  </si>
  <si>
    <t>80 蝶 阀（不锈钢）</t>
  </si>
  <si>
    <t>SS316</t>
  </si>
  <si>
    <t>50 蝶 阀（不锈钢）</t>
  </si>
  <si>
    <t>80放油活门(不锈钢)</t>
  </si>
  <si>
    <t>φ25放油阀(不锈钢)</t>
  </si>
  <si>
    <t>吸湿器</t>
  </si>
  <si>
    <t>免维护吸湿器</t>
  </si>
  <si>
    <t>密封件</t>
  </si>
  <si>
    <t>聚酯圈</t>
  </si>
  <si>
    <t>电缆及接头</t>
  </si>
  <si>
    <t>EMC防水放油接头+不锈钢波纹
走线管+电缆</t>
  </si>
  <si>
    <t>……</t>
  </si>
  <si>
    <t>换线损失是指首次开生产或中间停止后重新开始生产所损耗的物料</t>
  </si>
  <si>
    <t>本表填写的为一个物料的数据</t>
  </si>
  <si>
    <t>理论用量</t>
  </si>
  <si>
    <t>用量单位</t>
  </si>
  <si>
    <t>允许损耗</t>
  </si>
  <si>
    <t>总价（不含税）</t>
  </si>
  <si>
    <t>绝缘材料</t>
  </si>
  <si>
    <t>纸板</t>
  </si>
  <si>
    <t>kg</t>
  </si>
  <si>
    <t>绝缘纸</t>
  </si>
  <si>
    <t>沙带</t>
  </si>
  <si>
    <t>卷</t>
  </si>
  <si>
    <t>无纬带</t>
  </si>
  <si>
    <t>保护膜</t>
  </si>
  <si>
    <t>紧固件</t>
  </si>
  <si>
    <t>螺栓</t>
  </si>
  <si>
    <t>PC</t>
  </si>
  <si>
    <t>标牌</t>
  </si>
  <si>
    <t>标识牌</t>
  </si>
  <si>
    <t>铭牌</t>
  </si>
  <si>
    <t>油漆</t>
  </si>
  <si>
    <t>L</t>
  </si>
  <si>
    <t>包装</t>
  </si>
  <si>
    <t>包装木箱或辅材</t>
  </si>
  <si>
    <t>清洗剂</t>
  </si>
  <si>
    <t>人工数
（个）</t>
  </si>
  <si>
    <t>月工时
（H)</t>
  </si>
  <si>
    <t>换线人工数(个）
（个）</t>
  </si>
  <si>
    <t>换线损失工时
（H)</t>
  </si>
  <si>
    <t>换线损失金额</t>
  </si>
  <si>
    <t>月总工时额
（H)</t>
  </si>
  <si>
    <t>年总工时额
（H)</t>
  </si>
  <si>
    <t>工时单价
（元/H）</t>
  </si>
  <si>
    <t>工种类别</t>
  </si>
  <si>
    <t>工资成本
（元）</t>
  </si>
  <si>
    <t>产品设计</t>
  </si>
  <si>
    <t>技术工</t>
  </si>
  <si>
    <t>工艺质量</t>
  </si>
  <si>
    <t>绝缘制造</t>
  </si>
  <si>
    <t>劳务工</t>
  </si>
  <si>
    <t>低压绕线</t>
  </si>
  <si>
    <t>高压绕线</t>
  </si>
  <si>
    <t>铁芯剪切</t>
  </si>
  <si>
    <t>铁芯叠片</t>
  </si>
  <si>
    <t>器身引线</t>
  </si>
  <si>
    <t>总装</t>
  </si>
  <si>
    <t>变压器油处理</t>
  </si>
  <si>
    <t>出厂试验</t>
  </si>
  <si>
    <t>过程检验</t>
  </si>
  <si>
    <t>仓库</t>
  </si>
  <si>
    <t>拆卸、包装</t>
  </si>
  <si>
    <t>…...</t>
  </si>
  <si>
    <t>本表合计工资为一年的总额</t>
  </si>
  <si>
    <t>所用设备</t>
  </si>
  <si>
    <t>实际电耗
（KWH）</t>
  </si>
  <si>
    <t>换线实际电耗（KWH）</t>
  </si>
  <si>
    <t>水耗
（立方）</t>
  </si>
  <si>
    <t>换线实际水耗（立方）</t>
  </si>
  <si>
    <t>气耗
（立方）</t>
  </si>
  <si>
    <t>换线实际气耗（立方）</t>
  </si>
  <si>
    <t>电费
（元/每KWH)</t>
  </si>
  <si>
    <t>电费合计
（元）</t>
  </si>
  <si>
    <t>水费
（元/吨）</t>
  </si>
  <si>
    <t>水费合计
（元）</t>
  </si>
  <si>
    <t>气费
（元/立方）</t>
  </si>
  <si>
    <t>气费合计
（元）</t>
  </si>
  <si>
    <t>换线损失金额（元）</t>
  </si>
  <si>
    <t>合计
（元）</t>
  </si>
  <si>
    <t>低压绕线机1</t>
  </si>
  <si>
    <t>低压绕线机2</t>
  </si>
  <si>
    <t>高压绕线机1</t>
  </si>
  <si>
    <t>高压绕线机2</t>
  </si>
  <si>
    <t>高压绕线机3</t>
  </si>
  <si>
    <t>高压绕线机4</t>
  </si>
  <si>
    <t>纵剪</t>
  </si>
  <si>
    <t>横剪1</t>
  </si>
  <si>
    <t>横剪2</t>
  </si>
  <si>
    <t>叠片1</t>
  </si>
  <si>
    <t>叠片2</t>
  </si>
  <si>
    <t>叠片3</t>
  </si>
  <si>
    <t>装配台1</t>
  </si>
  <si>
    <t>装配台2</t>
  </si>
  <si>
    <t>装配台3</t>
  </si>
  <si>
    <t>装配台4</t>
  </si>
  <si>
    <t>干燥罐</t>
  </si>
  <si>
    <t>油处理</t>
  </si>
  <si>
    <t>真空滤油机</t>
  </si>
  <si>
    <t>低压试验设备</t>
  </si>
  <si>
    <t>空载试验</t>
  </si>
  <si>
    <t>负载试验</t>
  </si>
  <si>
    <t>感应试验</t>
  </si>
  <si>
    <t>雷电冲击</t>
  </si>
  <si>
    <t>局放试验</t>
  </si>
  <si>
    <t>温升试验</t>
  </si>
  <si>
    <t>拆卸</t>
  </si>
  <si>
    <t>行车</t>
  </si>
  <si>
    <t xml:space="preserve"> ……</t>
  </si>
  <si>
    <t>合计</t>
  </si>
  <si>
    <t>备注：本表合计金额为一年的能够综合</t>
  </si>
  <si>
    <t>设备名称</t>
  </si>
  <si>
    <t>备件名称</t>
  </si>
  <si>
    <t>备件价格
（元）</t>
  </si>
  <si>
    <t>维修保养频率</t>
  </si>
  <si>
    <t>备件每次使用量</t>
  </si>
  <si>
    <t>备件使用量单位</t>
  </si>
  <si>
    <t>总价
(元/年）</t>
  </si>
  <si>
    <t>低压绕线1</t>
  </si>
  <si>
    <t>焊枪</t>
  </si>
  <si>
    <t>每1个月</t>
  </si>
  <si>
    <t>个</t>
  </si>
  <si>
    <t>刹车片</t>
  </si>
  <si>
    <t>每3个月</t>
  </si>
  <si>
    <t>润滑油</t>
  </si>
  <si>
    <t>低压绕线2</t>
  </si>
  <si>
    <t>高压绕线机</t>
  </si>
  <si>
    <t>铁芯纵剪线</t>
  </si>
  <si>
    <t>刀片</t>
  </si>
  <si>
    <t>每6个月</t>
  </si>
  <si>
    <t>张紧装置</t>
  </si>
  <si>
    <t>每12个月</t>
  </si>
  <si>
    <t>液压活塞</t>
  </si>
  <si>
    <t>铁芯剪切线1</t>
  </si>
  <si>
    <t>伺服电机</t>
  </si>
  <si>
    <t>铁芯剪切线2</t>
  </si>
  <si>
    <t>装配台1~4</t>
  </si>
  <si>
    <t>密封条</t>
  </si>
  <si>
    <t>真空泵油</t>
  </si>
  <si>
    <t>真空泵叶片</t>
  </si>
  <si>
    <t>滤芯</t>
  </si>
  <si>
    <t>电阻</t>
  </si>
  <si>
    <t>低压试验设备校验</t>
  </si>
  <si>
    <t>试验发电机</t>
  </si>
  <si>
    <t>电容器</t>
  </si>
  <si>
    <t>温度仪校准</t>
  </si>
  <si>
    <t>钢索</t>
  </si>
  <si>
    <t>经济运行</t>
  </si>
  <si>
    <t>单位</t>
  </si>
  <si>
    <t>数量</t>
  </si>
  <si>
    <t>单价</t>
  </si>
  <si>
    <t>总价</t>
  </si>
  <si>
    <t>分摊年限</t>
  </si>
  <si>
    <t>残值%</t>
  </si>
  <si>
    <t>分摊后的价格</t>
  </si>
  <si>
    <t>外购还是自制</t>
  </si>
  <si>
    <t>凭证</t>
  </si>
  <si>
    <t>低压绕线模</t>
  </si>
  <si>
    <t>套</t>
  </si>
  <si>
    <t>外购</t>
  </si>
  <si>
    <t>附件一（发票未收到）</t>
  </si>
  <si>
    <t>低压绕线机</t>
  </si>
  <si>
    <t>滤油机</t>
  </si>
  <si>
    <t>油化设备</t>
  </si>
  <si>
    <t>其它试验设备</t>
  </si>
  <si>
    <t>小计</t>
  </si>
  <si>
    <t>叠装台</t>
  </si>
  <si>
    <t>料板</t>
  </si>
  <si>
    <t>压装模具</t>
  </si>
  <si>
    <t>油罐</t>
  </si>
  <si>
    <t>压接工具</t>
  </si>
  <si>
    <t>转运车</t>
  </si>
  <si>
    <t>高压绕线模</t>
  </si>
  <si>
    <t>线圈压装模具</t>
  </si>
  <si>
    <t>铁芯夹具</t>
  </si>
  <si>
    <t>专用工装</t>
  </si>
  <si>
    <t>专用设备及工装的摊销年限参考产品的整个寿命周期和专用设备及工装本身的寿命期，如果一个项目持续3年，以3年为准，一般按3%计提残值</t>
  </si>
  <si>
    <t>设备规格或型号</t>
  </si>
  <si>
    <t>总价（元）</t>
  </si>
  <si>
    <t>纵剪线</t>
  </si>
  <si>
    <t>台</t>
  </si>
  <si>
    <t>横剪线1</t>
  </si>
  <si>
    <t>横剪线2</t>
  </si>
  <si>
    <t>500kW</t>
  </si>
  <si>
    <t>真空泵</t>
  </si>
  <si>
    <t>25m^3</t>
  </si>
  <si>
    <t>器身装配架</t>
  </si>
  <si>
    <t>10t</t>
  </si>
  <si>
    <t>线圈装配平台</t>
  </si>
  <si>
    <t>5t</t>
  </si>
  <si>
    <t>气垫车运输平台</t>
  </si>
  <si>
    <t>300t</t>
  </si>
  <si>
    <t>物料运输车</t>
  </si>
  <si>
    <t>30t</t>
  </si>
  <si>
    <t>叉车</t>
  </si>
  <si>
    <t>小计（元）</t>
  </si>
  <si>
    <t>非专用设备</t>
  </si>
  <si>
    <t>铁芯起吊夹具</t>
  </si>
  <si>
    <t>件</t>
  </si>
  <si>
    <t>线圈支撑架</t>
  </si>
  <si>
    <t>器身吊具</t>
  </si>
  <si>
    <t>变压器吊具</t>
  </si>
  <si>
    <t>器身平台</t>
  </si>
  <si>
    <t>非专工装</t>
  </si>
  <si>
    <t>变比仪</t>
  </si>
  <si>
    <t>功率因数分析仪</t>
  </si>
  <si>
    <t>工频发电机</t>
  </si>
  <si>
    <t>发电机</t>
  </si>
  <si>
    <t>试验变压器</t>
  </si>
  <si>
    <t>工频发生器</t>
  </si>
  <si>
    <t>雷电发生</t>
  </si>
  <si>
    <t>局放仪</t>
  </si>
  <si>
    <t>质量设备和检具</t>
  </si>
  <si>
    <t>总计（元）</t>
  </si>
  <si>
    <t>说明</t>
  </si>
  <si>
    <t>非专用设备一般摊销年限为10年，计提10%的残值，非专用工装一般摊销年限为5年，计提3%残值，按供应商工厂的设计总产能分摊</t>
  </si>
  <si>
    <t>一期</t>
  </si>
  <si>
    <t>二期</t>
  </si>
  <si>
    <t>租费（元/每年)</t>
  </si>
  <si>
    <t>厂房面积（平方米）</t>
  </si>
  <si>
    <t>具体地址</t>
  </si>
  <si>
    <t>张家港</t>
  </si>
  <si>
    <t>生产本物料的设备占地面积</t>
  </si>
  <si>
    <t>厂房使用比例</t>
  </si>
  <si>
    <t>本物料厂房分摊成本(元/年）</t>
  </si>
  <si>
    <t>备注:</t>
  </si>
  <si>
    <t>1、按照被核算产品所使用的厂房面积核算，如果是购买的厂房，按照拥有产权的年限进行分摊</t>
  </si>
  <si>
    <t>科目描述</t>
  </si>
  <si>
    <t>价格类型</t>
  </si>
  <si>
    <t>价格（元）</t>
  </si>
  <si>
    <t>物料及运输的基本信息</t>
  </si>
  <si>
    <t>物料尺寸（长、宽、高）</t>
  </si>
  <si>
    <t>米</t>
  </si>
  <si>
    <t>3200x1830x3100</t>
  </si>
  <si>
    <t>物料重量</t>
  </si>
  <si>
    <t>公斤、吨</t>
  </si>
  <si>
    <t>20.6T</t>
  </si>
  <si>
    <t>运输支架体积</t>
  </si>
  <si>
    <t>立方米</t>
  </si>
  <si>
    <t>运输支架重量</t>
  </si>
  <si>
    <t>海运</t>
  </si>
  <si>
    <t>运输距离</t>
  </si>
  <si>
    <t>海里</t>
  </si>
  <si>
    <t>供应商</t>
  </si>
  <si>
    <t>船运的运输保险费用</t>
  </si>
  <si>
    <t>起点码头名称和地点</t>
  </si>
  <si>
    <t>码头通信费用</t>
  </si>
  <si>
    <t>终点码头名称和地点</t>
  </si>
  <si>
    <t>运输费用</t>
  </si>
  <si>
    <t>船运运输信息</t>
  </si>
  <si>
    <t>船的类型和规格</t>
  </si>
  <si>
    <t>陆运</t>
  </si>
  <si>
    <t>公里</t>
  </si>
  <si>
    <t>车辆的运输保险费用</t>
  </si>
  <si>
    <t>起点的名称和地点</t>
  </si>
  <si>
    <t>上张变</t>
  </si>
  <si>
    <t>终点的名称和地点</t>
  </si>
  <si>
    <t>上海电气风电集团</t>
  </si>
  <si>
    <t>陆运运输信息</t>
  </si>
  <si>
    <t>运输车辆类型和规格</t>
  </si>
  <si>
    <r>
      <rPr>
        <sz val="11"/>
        <color theme="1"/>
        <rFont val="微软雅黑"/>
        <charset val="134"/>
      </rPr>
      <t>3</t>
    </r>
    <r>
      <rPr>
        <sz val="11"/>
        <color theme="1"/>
        <rFont val="微软雅黑"/>
        <charset val="134"/>
      </rPr>
      <t>0吨</t>
    </r>
  </si>
  <si>
    <t>空运</t>
  </si>
  <si>
    <t>航运的运输保险费用</t>
  </si>
  <si>
    <t>起点的机场名称和地点</t>
  </si>
  <si>
    <t>空运费用</t>
  </si>
  <si>
    <t>终点的机场名称和地点</t>
  </si>
  <si>
    <t>空运运输信息</t>
  </si>
  <si>
    <t>飞机及航班的类型和规格</t>
  </si>
  <si>
    <t>使用说明：</t>
  </si>
  <si>
    <t>介绍本模板的计算逻辑和方法</t>
  </si>
  <si>
    <t>本模板是基于一个物料料号为单位进行核算，不考虑其它不同物料混合的生产的情况。是假设供应商或其车间只生产某一个物料在全年满产的情况下，归集期间所有发生的费用</t>
  </si>
  <si>
    <t>本模板采购作业成本法，按照财务成本核算的科目和要素归集成本，主要包含材料、制造费用、研发费用、销售费用、管理费用、财务费用、其它费用、利润</t>
  </si>
  <si>
    <t>所有以上的费用按年归集作为分子，同时计算出每年的物料产能作为分母,商为每个物料料号的价格</t>
  </si>
  <si>
    <t>职责说明</t>
  </si>
  <si>
    <t>功能</t>
  </si>
  <si>
    <t>负责供应商制程，了解供应商的生产设备，工艺顺序</t>
  </si>
  <si>
    <t>负责物料或部件的技术设计及相应的输出</t>
  </si>
  <si>
    <t>负责物料或部件的商务及价格信息</t>
  </si>
  <si>
    <t>物流</t>
  </si>
  <si>
    <t>负责运输相关的物流信息的核算</t>
  </si>
  <si>
    <t>变更历史</t>
  </si>
  <si>
    <t>变更发生日期</t>
  </si>
  <si>
    <t>变更内容</t>
  </si>
  <si>
    <t>新模板填表</t>
  </si>
  <si>
    <t>…</t>
  </si>
  <si>
    <t>记录本模型内容发生变更的历史，以便使用者了解背景</t>
  </si>
</sst>
</file>

<file path=xl/styles.xml><?xml version="1.0" encoding="utf-8"?>
<styleSheet xmlns="http://schemas.openxmlformats.org/spreadsheetml/2006/main">
  <numFmts count="8">
    <numFmt numFmtId="43" formatCode="_ * #,##0.00_ ;_ * \-#,##0.00_ ;_ * &quot;-&quot;??_ ;_ @_ "/>
    <numFmt numFmtId="176" formatCode="0.00_ "/>
    <numFmt numFmtId="177" formatCode="_ [$€-2]\ * #,##0.00_ ;_ [$€-2]\ * \-#,##0.00_ ;_ [$€-2]\ * &quot;-&quot;??_ ;_ @_ "/>
    <numFmt numFmtId="178" formatCode="#,##0_ "/>
    <numFmt numFmtId="179" formatCode="_ * #,##0_ ;_ * \-#,##0_ ;_ * &quot;-&quot;??_ ;_ @_ "/>
    <numFmt numFmtId="180" formatCode="0.00_);[Red]\(0.00\)"/>
    <numFmt numFmtId="181" formatCode="0_);[Red]\(0\)"/>
    <numFmt numFmtId="182" formatCode="0.0%"/>
  </numFmts>
  <fonts count="31">
    <font>
      <sz val="11"/>
      <color theme="1"/>
      <name val="宋体"/>
      <charset val="134"/>
      <scheme val="minor"/>
    </font>
    <font>
      <sz val="11"/>
      <color theme="1"/>
      <name val="微软雅黑"/>
      <charset val="134"/>
    </font>
    <font>
      <b/>
      <sz val="11"/>
      <color theme="1"/>
      <name val="微软雅黑"/>
      <charset val="134"/>
    </font>
    <font>
      <b/>
      <sz val="11"/>
      <color theme="1"/>
      <name val="宋体"/>
      <charset val="134"/>
      <scheme val="minor"/>
    </font>
    <font>
      <b/>
      <sz val="12"/>
      <color theme="1"/>
      <name val="微软雅黑"/>
      <charset val="134"/>
    </font>
    <font>
      <sz val="12"/>
      <color theme="1"/>
      <name val="微软雅黑"/>
      <charset val="134"/>
    </font>
    <font>
      <sz val="14"/>
      <color theme="1"/>
      <name val="微软雅黑"/>
      <charset val="134"/>
    </font>
    <font>
      <b/>
      <sz val="12"/>
      <name val="微软雅黑"/>
      <charset val="134"/>
    </font>
    <font>
      <sz val="11"/>
      <name val="微软雅黑"/>
      <charset val="134"/>
    </font>
    <font>
      <sz val="12"/>
      <name val="微软雅黑"/>
      <charset val="134"/>
    </font>
    <font>
      <b/>
      <sz val="12"/>
      <color indexed="8"/>
      <name val="微软雅黑"/>
      <charset val="134"/>
    </font>
    <font>
      <b/>
      <sz val="14"/>
      <color indexed="8"/>
      <name val="微软雅黑"/>
      <charset val="134"/>
    </font>
    <font>
      <b/>
      <sz val="14"/>
      <color theme="1"/>
      <name val="微软雅黑"/>
      <charset val="134"/>
    </font>
    <font>
      <b/>
      <sz val="11"/>
      <name val="微软雅黑"/>
      <charset val="134"/>
    </font>
    <font>
      <sz val="11"/>
      <color rgb="FFFF0000"/>
      <name val="微软雅黑"/>
      <charset val="134"/>
    </font>
    <font>
      <sz val="11"/>
      <color rgb="FFFF0000"/>
      <name val="宋体"/>
      <charset val="134"/>
      <scheme val="minor"/>
    </font>
    <font>
      <sz val="9.5"/>
      <color rgb="FF000000"/>
      <name val="宋体"/>
      <charset val="134"/>
      <scheme val="minor"/>
    </font>
    <font>
      <sz val="10.5"/>
      <color theme="1"/>
      <name val="微软雅黑"/>
      <charset val="134"/>
    </font>
    <font>
      <b/>
      <u/>
      <sz val="11"/>
      <color theme="1"/>
      <name val="微软雅黑"/>
      <charset val="134"/>
    </font>
    <font>
      <sz val="11"/>
      <color rgb="FF000000"/>
      <name val="微软雅黑"/>
      <charset val="134"/>
    </font>
    <font>
      <sz val="10.5"/>
      <name val="微软雅黑"/>
      <charset val="134"/>
    </font>
    <font>
      <sz val="10"/>
      <color theme="1"/>
      <name val="微软雅黑"/>
      <charset val="134"/>
    </font>
    <font>
      <b/>
      <u/>
      <sz val="10"/>
      <color theme="1"/>
      <name val="微软雅黑"/>
      <charset val="134"/>
    </font>
    <font>
      <b/>
      <u/>
      <sz val="10"/>
      <name val="微软雅黑"/>
      <charset val="134"/>
    </font>
    <font>
      <sz val="11"/>
      <color theme="1"/>
      <name val="宋体"/>
      <charset val="134"/>
      <scheme val="minor"/>
    </font>
    <font>
      <sz val="12"/>
      <name val="宋体"/>
      <charset val="134"/>
    </font>
    <font>
      <sz val="9.5"/>
      <color rgb="FF0000FF"/>
      <name val="宋体"/>
      <charset val="134"/>
    </font>
    <font>
      <sz val="9.5"/>
      <name val="宋体"/>
      <charset val="134"/>
    </font>
    <font>
      <b/>
      <sz val="9"/>
      <name val="宋体"/>
      <charset val="134"/>
    </font>
    <font>
      <sz val="9"/>
      <name val="宋体"/>
      <charset val="134"/>
    </font>
    <font>
      <sz val="9"/>
      <name val="宋体"/>
      <charset val="134"/>
      <scheme val="minor"/>
    </font>
  </fonts>
  <fills count="11">
    <fill>
      <patternFill patternType="none"/>
    </fill>
    <fill>
      <patternFill patternType="gray125"/>
    </fill>
    <fill>
      <patternFill patternType="solid">
        <fgColor theme="0" tint="-0.1499069185460982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79989013336588644"/>
        <bgColor indexed="64"/>
      </patternFill>
    </fill>
    <fill>
      <patternFill patternType="solid">
        <fgColor theme="6" tint="0.39988402966399123"/>
        <bgColor indexed="64"/>
      </patternFill>
    </fill>
    <fill>
      <patternFill patternType="solid">
        <fgColor theme="3" tint="0.59999389629810485"/>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dashed">
        <color auto="1"/>
      </left>
      <right style="dashed">
        <color auto="1"/>
      </right>
      <top/>
      <bottom style="dashed">
        <color auto="1"/>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top style="thin">
        <color auto="1"/>
      </top>
      <bottom style="medium">
        <color auto="1"/>
      </bottom>
      <diagonal/>
    </border>
  </borders>
  <cellStyleXfs count="7">
    <xf numFmtId="0" fontId="0" fillId="0" borderId="0"/>
    <xf numFmtId="43" fontId="24" fillId="0" borderId="0" applyFont="0" applyFill="0" applyBorder="0" applyAlignment="0" applyProtection="0">
      <alignment vertical="center"/>
    </xf>
    <xf numFmtId="9" fontId="24" fillId="0" borderId="0" applyFont="0" applyFill="0" applyBorder="0" applyAlignment="0" applyProtection="0">
      <alignment vertical="center"/>
    </xf>
    <xf numFmtId="177" fontId="24" fillId="0" borderId="0">
      <alignment vertical="center"/>
    </xf>
    <xf numFmtId="0" fontId="25" fillId="0" borderId="0">
      <alignment vertical="center"/>
    </xf>
    <xf numFmtId="177" fontId="24" fillId="0" borderId="0">
      <alignment vertical="center"/>
    </xf>
    <xf numFmtId="43" fontId="24" fillId="0" borderId="0" applyFont="0" applyFill="0" applyBorder="0" applyAlignment="0" applyProtection="0">
      <alignment vertical="center"/>
    </xf>
  </cellStyleXfs>
  <cellXfs count="382">
    <xf numFmtId="0" fontId="0" fillId="0" borderId="0" xfId="0"/>
    <xf numFmtId="0" fontId="1" fillId="0" borderId="0" xfId="0" applyFont="1" applyAlignment="1">
      <alignment horizontal="center"/>
    </xf>
    <xf numFmtId="0" fontId="1" fillId="0" borderId="0" xfId="0" applyFont="1"/>
    <xf numFmtId="0" fontId="2" fillId="2" borderId="1" xfId="0" applyFont="1" applyFill="1" applyBorder="1" applyAlignment="1">
      <alignment horizontal="center"/>
    </xf>
    <xf numFmtId="0" fontId="2" fillId="2" borderId="1" xfId="0" applyFont="1" applyFill="1" applyBorder="1"/>
    <xf numFmtId="0" fontId="1" fillId="0" borderId="1" xfId="0" applyFont="1" applyBorder="1" applyAlignment="1">
      <alignment horizontal="center"/>
    </xf>
    <xf numFmtId="14" fontId="1" fillId="0" borderId="1" xfId="0" applyNumberFormat="1" applyFont="1"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3" fillId="0" borderId="0" xfId="0" applyFont="1"/>
    <xf numFmtId="0" fontId="0" fillId="0" borderId="0" xfId="0" applyAlignment="1">
      <alignment horizontal="center"/>
    </xf>
    <xf numFmtId="0" fontId="3" fillId="3" borderId="1" xfId="0" applyFont="1" applyFill="1" applyBorder="1" applyAlignment="1">
      <alignment horizontal="center"/>
    </xf>
    <xf numFmtId="0" fontId="3" fillId="3" borderId="1" xfId="0" applyFont="1" applyFill="1" applyBorder="1"/>
    <xf numFmtId="0" fontId="0" fillId="0" borderId="1" xfId="0" applyBorder="1" applyAlignment="1">
      <alignment horizontal="center"/>
    </xf>
    <xf numFmtId="0" fontId="0" fillId="0" borderId="1" xfId="0" applyBorder="1"/>
    <xf numFmtId="0" fontId="2" fillId="0" borderId="0" xfId="0" applyFont="1"/>
    <xf numFmtId="0" fontId="1" fillId="0" borderId="0" xfId="0" applyFont="1" applyAlignment="1">
      <alignment wrapText="1"/>
    </xf>
    <xf numFmtId="0" fontId="2" fillId="2" borderId="1" xfId="0" applyFont="1" applyFill="1" applyBorder="1" applyAlignment="1">
      <alignment wrapText="1"/>
    </xf>
    <xf numFmtId="0" fontId="1" fillId="0" borderId="1" xfId="0" applyFont="1" applyBorder="1" applyAlignment="1">
      <alignment wrapText="1"/>
    </xf>
    <xf numFmtId="0" fontId="1" fillId="0" borderId="0" xfId="0" applyFont="1" applyAlignment="1">
      <alignment horizontal="left"/>
    </xf>
    <xf numFmtId="0" fontId="1" fillId="0" borderId="0" xfId="0" applyFont="1" applyAlignment="1">
      <alignment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3" xfId="0" applyFont="1" applyFill="1" applyBorder="1"/>
    <xf numFmtId="0" fontId="2" fillId="3" borderId="0" xfId="0" applyFont="1" applyFill="1"/>
    <xf numFmtId="0" fontId="2" fillId="2" borderId="4" xfId="0" applyFont="1" applyFill="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vertical="center"/>
    </xf>
    <xf numFmtId="0" fontId="1" fillId="4" borderId="1" xfId="0" applyFont="1" applyFill="1" applyBorder="1" applyAlignment="1">
      <alignment horizontal="center" vertical="center"/>
    </xf>
    <xf numFmtId="43" fontId="1" fillId="4" borderId="12" xfId="1" applyFont="1" applyFill="1" applyBorder="1" applyAlignment="1">
      <alignment horizontal="center" vertical="center"/>
    </xf>
    <xf numFmtId="0" fontId="1" fillId="0" borderId="14" xfId="0" applyFont="1" applyBorder="1" applyAlignment="1">
      <alignment vertical="center"/>
    </xf>
    <xf numFmtId="0" fontId="1" fillId="4" borderId="14" xfId="0" applyFont="1" applyFill="1" applyBorder="1" applyAlignment="1">
      <alignment horizontal="center" vertical="center"/>
    </xf>
    <xf numFmtId="43" fontId="1" fillId="4" borderId="15" xfId="1" applyFont="1" applyFill="1" applyBorder="1" applyAlignment="1">
      <alignment horizontal="center" vertical="center"/>
    </xf>
    <xf numFmtId="0" fontId="1" fillId="0" borderId="0" xfId="0" applyFont="1" applyFill="1" applyBorder="1" applyAlignment="1">
      <alignment horizontal="left" vertical="center"/>
    </xf>
    <xf numFmtId="0" fontId="1" fillId="0" borderId="0"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center" vertical="center"/>
    </xf>
    <xf numFmtId="0" fontId="1" fillId="0" borderId="1" xfId="0" applyFont="1" applyFill="1" applyBorder="1" applyAlignment="1">
      <alignment horizontal="left" vertical="center"/>
    </xf>
    <xf numFmtId="178" fontId="1" fillId="4" borderId="1"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lignment horizontal="left" vertical="center"/>
    </xf>
    <xf numFmtId="0" fontId="1" fillId="5" borderId="1" xfId="0" applyFont="1" applyFill="1" applyBorder="1" applyAlignment="1">
      <alignment horizontal="center" vertical="center"/>
    </xf>
    <xf numFmtId="179" fontId="1" fillId="0" borderId="1" xfId="1" applyNumberFormat="1" applyFont="1" applyFill="1" applyBorder="1" applyAlignment="1">
      <alignment horizontal="center" vertical="center"/>
    </xf>
    <xf numFmtId="179" fontId="1" fillId="0" borderId="1" xfId="1" applyNumberFormat="1" applyFont="1" applyFill="1" applyBorder="1" applyAlignment="1">
      <alignment vertical="center"/>
    </xf>
    <xf numFmtId="180" fontId="2" fillId="0" borderId="0" xfId="0" applyNumberFormat="1" applyFont="1" applyAlignment="1">
      <alignment vertical="center"/>
    </xf>
    <xf numFmtId="0" fontId="1" fillId="0" borderId="0" xfId="5" applyNumberFormat="1" applyFont="1" applyFill="1">
      <alignment vertical="center"/>
    </xf>
    <xf numFmtId="180" fontId="4" fillId="0" borderId="0" xfId="0" applyNumberFormat="1" applyFont="1" applyAlignment="1">
      <alignment vertical="center"/>
    </xf>
    <xf numFmtId="180" fontId="1" fillId="0" borderId="0" xfId="0" applyNumberFormat="1" applyFont="1" applyFill="1" applyAlignment="1">
      <alignment vertical="center"/>
    </xf>
    <xf numFmtId="180" fontId="5" fillId="0" borderId="0" xfId="0" applyNumberFormat="1" applyFont="1" applyAlignment="1">
      <alignment vertical="center"/>
    </xf>
    <xf numFmtId="180" fontId="6" fillId="0" borderId="0" xfId="0" applyNumberFormat="1" applyFont="1" applyAlignment="1">
      <alignment vertical="center"/>
    </xf>
    <xf numFmtId="0" fontId="1" fillId="0" borderId="0" xfId="0" applyNumberFormat="1" applyFont="1" applyAlignment="1">
      <alignment horizontal="center" vertical="center"/>
    </xf>
    <xf numFmtId="180" fontId="1" fillId="0" borderId="0" xfId="0" applyNumberFormat="1" applyFont="1" applyAlignment="1">
      <alignment horizontal="left" vertical="center" wrapText="1"/>
    </xf>
    <xf numFmtId="180" fontId="1" fillId="0" borderId="0" xfId="0" applyNumberFormat="1" applyFont="1" applyAlignment="1">
      <alignment horizontal="left" vertical="center"/>
    </xf>
    <xf numFmtId="180" fontId="1" fillId="0" borderId="0" xfId="0" applyNumberFormat="1" applyFont="1" applyAlignment="1">
      <alignment vertical="center"/>
    </xf>
    <xf numFmtId="181" fontId="1" fillId="0" borderId="0" xfId="0" applyNumberFormat="1" applyFont="1" applyAlignment="1">
      <alignment horizontal="right" vertical="center"/>
    </xf>
    <xf numFmtId="43" fontId="1" fillId="0" borderId="0" xfId="1" applyFont="1" applyAlignment="1">
      <alignment vertical="center"/>
    </xf>
    <xf numFmtId="0" fontId="2" fillId="0" borderId="1" xfId="0" applyNumberFormat="1" applyFont="1" applyBorder="1" applyAlignment="1">
      <alignment horizontal="center" vertical="center"/>
    </xf>
    <xf numFmtId="180" fontId="2" fillId="0" borderId="1" xfId="0" applyNumberFormat="1" applyFont="1" applyBorder="1" applyAlignment="1">
      <alignment horizontal="left" vertical="center" wrapText="1"/>
    </xf>
    <xf numFmtId="180" fontId="2" fillId="0" borderId="1" xfId="0" applyNumberFormat="1" applyFont="1" applyBorder="1" applyAlignment="1">
      <alignment horizontal="left" vertical="center"/>
    </xf>
    <xf numFmtId="180" fontId="2" fillId="0" borderId="1" xfId="0" applyNumberFormat="1" applyFont="1" applyFill="1" applyBorder="1" applyAlignment="1">
      <alignment vertical="center"/>
    </xf>
    <xf numFmtId="180" fontId="2" fillId="0" borderId="1" xfId="0" applyNumberFormat="1" applyFont="1" applyBorder="1" applyAlignment="1">
      <alignment vertical="center"/>
    </xf>
    <xf numFmtId="181" fontId="2" fillId="0" borderId="1" xfId="0" applyNumberFormat="1" applyFont="1" applyBorder="1" applyAlignment="1">
      <alignment horizontal="right" vertical="center"/>
    </xf>
    <xf numFmtId="43" fontId="2" fillId="0" borderId="1" xfId="1" applyFont="1" applyBorder="1" applyAlignment="1">
      <alignment vertical="center"/>
    </xf>
    <xf numFmtId="0" fontId="7" fillId="2" borderId="16" xfId="0" applyNumberFormat="1" applyFont="1" applyFill="1" applyBorder="1" applyAlignment="1">
      <alignment horizontal="center" vertical="center" textRotation="255"/>
    </xf>
    <xf numFmtId="180" fontId="7" fillId="2" borderId="10" xfId="0" applyNumberFormat="1" applyFont="1" applyFill="1" applyBorder="1" applyAlignment="1" applyProtection="1">
      <alignment horizontal="left" vertical="center" wrapText="1"/>
      <protection locked="0"/>
    </xf>
    <xf numFmtId="180" fontId="7" fillId="2" borderId="10" xfId="0" applyNumberFormat="1" applyFont="1" applyFill="1" applyBorder="1" applyAlignment="1" applyProtection="1">
      <alignment horizontal="left" vertical="center"/>
      <protection locked="0"/>
    </xf>
    <xf numFmtId="180" fontId="7" fillId="2" borderId="10" xfId="0" applyNumberFormat="1" applyFont="1" applyFill="1" applyBorder="1" applyAlignment="1" applyProtection="1">
      <alignment horizontal="center" vertical="center" wrapText="1"/>
      <protection locked="0"/>
    </xf>
    <xf numFmtId="181" fontId="7" fillId="2" borderId="10" xfId="0" applyNumberFormat="1" applyFont="1" applyFill="1" applyBorder="1" applyAlignment="1" applyProtection="1">
      <alignment horizontal="right" vertical="center" wrapText="1"/>
      <protection locked="0"/>
    </xf>
    <xf numFmtId="43" fontId="7" fillId="2" borderId="10" xfId="1" applyFont="1" applyFill="1" applyBorder="1" applyAlignment="1" applyProtection="1">
      <alignment horizontal="center" vertical="center" wrapText="1"/>
      <protection locked="0"/>
    </xf>
    <xf numFmtId="0" fontId="1" fillId="4" borderId="5" xfId="5" applyNumberFormat="1" applyFont="1" applyFill="1" applyBorder="1" applyAlignment="1">
      <alignment horizontal="center" vertical="center"/>
    </xf>
    <xf numFmtId="0" fontId="1" fillId="4" borderId="1" xfId="5" applyNumberFormat="1" applyFont="1" applyFill="1" applyBorder="1" applyAlignment="1">
      <alignment horizontal="center" vertical="center"/>
    </xf>
    <xf numFmtId="43" fontId="1" fillId="4" borderId="1" xfId="1" applyFont="1" applyFill="1" applyBorder="1" applyAlignment="1">
      <alignment horizontal="right" vertical="center"/>
    </xf>
    <xf numFmtId="179" fontId="1" fillId="4" borderId="1" xfId="1" applyNumberFormat="1" applyFont="1" applyFill="1" applyBorder="1" applyAlignment="1">
      <alignment horizontal="center" vertical="center"/>
    </xf>
    <xf numFmtId="0" fontId="8" fillId="4" borderId="1" xfId="5" applyNumberFormat="1" applyFont="1" applyFill="1" applyBorder="1" applyAlignment="1">
      <alignment horizontal="center" vertical="center" wrapText="1"/>
    </xf>
    <xf numFmtId="0" fontId="1" fillId="4" borderId="1" xfId="5" applyNumberFormat="1" applyFont="1" applyFill="1" applyBorder="1" applyAlignment="1">
      <alignment horizontal="center" vertical="center" wrapText="1"/>
    </xf>
    <xf numFmtId="43" fontId="1" fillId="4" borderId="1" xfId="1" applyFont="1" applyFill="1" applyBorder="1" applyAlignment="1">
      <alignment horizontal="right" vertical="center" wrapText="1"/>
    </xf>
    <xf numFmtId="180" fontId="4" fillId="0" borderId="5" xfId="0" applyNumberFormat="1" applyFont="1" applyBorder="1" applyAlignment="1">
      <alignment vertical="center"/>
    </xf>
    <xf numFmtId="180" fontId="4" fillId="3" borderId="1" xfId="0" applyNumberFormat="1" applyFont="1" applyFill="1" applyBorder="1" applyAlignment="1">
      <alignment horizontal="left" vertical="center"/>
    </xf>
    <xf numFmtId="180" fontId="4" fillId="3" borderId="1" xfId="0" applyNumberFormat="1" applyFont="1" applyFill="1" applyBorder="1" applyAlignment="1">
      <alignment vertical="center"/>
    </xf>
    <xf numFmtId="43" fontId="9" fillId="3" borderId="1" xfId="1" applyFont="1" applyFill="1" applyBorder="1" applyAlignment="1">
      <alignment horizontal="center" vertical="center"/>
    </xf>
    <xf numFmtId="43" fontId="4" fillId="3" borderId="1" xfId="1" applyFont="1" applyFill="1" applyBorder="1" applyAlignment="1">
      <alignment horizontal="center" vertical="center"/>
    </xf>
    <xf numFmtId="0" fontId="1" fillId="0" borderId="5" xfId="0" applyNumberFormat="1" applyFont="1" applyFill="1" applyBorder="1" applyAlignment="1">
      <alignment horizontal="center" vertical="center"/>
    </xf>
    <xf numFmtId="180" fontId="1" fillId="0" borderId="1" xfId="0" applyNumberFormat="1" applyFont="1" applyFill="1" applyBorder="1" applyAlignment="1">
      <alignment horizontal="left" vertical="center" wrapText="1"/>
    </xf>
    <xf numFmtId="180" fontId="1" fillId="0" borderId="1" xfId="0" applyNumberFormat="1" applyFont="1" applyFill="1" applyBorder="1" applyAlignment="1">
      <alignment horizontal="left"/>
    </xf>
    <xf numFmtId="180" fontId="1" fillId="0" borderId="1" xfId="0" applyNumberFormat="1" applyFont="1" applyFill="1" applyBorder="1" applyAlignment="1">
      <alignment horizontal="center" vertical="center" wrapText="1"/>
    </xf>
    <xf numFmtId="0" fontId="8" fillId="0" borderId="1" xfId="5" applyNumberFormat="1" applyFont="1" applyFill="1" applyBorder="1" applyAlignment="1">
      <alignment horizontal="center" vertical="center" wrapText="1"/>
    </xf>
    <xf numFmtId="43" fontId="1" fillId="0" borderId="17" xfId="1" applyFont="1" applyFill="1" applyBorder="1" applyAlignment="1">
      <alignment horizontal="center" vertical="center" wrapText="1"/>
    </xf>
    <xf numFmtId="43" fontId="8" fillId="0" borderId="1" xfId="1" applyFont="1" applyFill="1" applyBorder="1" applyAlignment="1">
      <alignment horizontal="center" vertical="center"/>
    </xf>
    <xf numFmtId="179" fontId="1" fillId="0" borderId="1" xfId="1" applyNumberFormat="1" applyFont="1" applyFill="1" applyBorder="1" applyAlignment="1">
      <alignment horizontal="center" vertical="center" wrapText="1"/>
    </xf>
    <xf numFmtId="43" fontId="1" fillId="0" borderId="0" xfId="1" applyFont="1" applyFill="1" applyBorder="1" applyAlignment="1">
      <alignment horizontal="center" vertical="center" wrapText="1"/>
    </xf>
    <xf numFmtId="180" fontId="2" fillId="0" borderId="5" xfId="0" applyNumberFormat="1" applyFont="1" applyBorder="1" applyAlignment="1">
      <alignment vertical="center"/>
    </xf>
    <xf numFmtId="43" fontId="4" fillId="3" borderId="1" xfId="1" applyFont="1" applyFill="1" applyBorder="1" applyAlignment="1">
      <alignment horizontal="center" vertical="center" wrapText="1"/>
    </xf>
    <xf numFmtId="180" fontId="5" fillId="0" borderId="5" xfId="0" applyNumberFormat="1" applyFont="1" applyBorder="1" applyAlignment="1">
      <alignment vertical="center"/>
    </xf>
    <xf numFmtId="180" fontId="10" fillId="3" borderId="1" xfId="0" applyNumberFormat="1" applyFont="1" applyFill="1" applyBorder="1" applyAlignment="1">
      <alignment horizontal="left" vertical="center"/>
    </xf>
    <xf numFmtId="180" fontId="10" fillId="3" borderId="1" xfId="0" applyNumberFormat="1" applyFont="1" applyFill="1" applyBorder="1" applyAlignment="1">
      <alignment vertical="center"/>
    </xf>
    <xf numFmtId="180" fontId="6" fillId="0" borderId="13" xfId="0" applyNumberFormat="1" applyFont="1" applyBorder="1" applyAlignment="1">
      <alignment vertical="center"/>
    </xf>
    <xf numFmtId="180" fontId="11" fillId="3" borderId="14" xfId="0" applyNumberFormat="1" applyFont="1" applyFill="1" applyBorder="1" applyAlignment="1">
      <alignment horizontal="left" vertical="center"/>
    </xf>
    <xf numFmtId="180" fontId="11" fillId="3" borderId="14" xfId="0" applyNumberFormat="1" applyFont="1" applyFill="1" applyBorder="1" applyAlignment="1">
      <alignment horizontal="right" vertical="center"/>
    </xf>
    <xf numFmtId="43" fontId="12" fillId="3" borderId="14" xfId="1" applyFont="1" applyFill="1" applyBorder="1" applyAlignment="1">
      <alignment horizontal="center" vertical="center"/>
    </xf>
    <xf numFmtId="180" fontId="2" fillId="0" borderId="18" xfId="0" applyNumberFormat="1" applyFont="1" applyBorder="1" applyAlignment="1">
      <alignment horizontal="left" vertical="center"/>
    </xf>
    <xf numFmtId="180" fontId="2" fillId="0" borderId="0" xfId="0" applyNumberFormat="1" applyFont="1" applyBorder="1" applyAlignment="1">
      <alignment horizontal="left" vertical="center"/>
    </xf>
    <xf numFmtId="180" fontId="2" fillId="0" borderId="0" xfId="0" applyNumberFormat="1" applyFont="1" applyFill="1" applyBorder="1" applyAlignment="1">
      <alignment horizontal="left" vertical="center"/>
    </xf>
    <xf numFmtId="180" fontId="2" fillId="0" borderId="0" xfId="0" applyNumberFormat="1" applyFont="1" applyBorder="1" applyAlignment="1">
      <alignment horizontal="right" vertical="center"/>
    </xf>
    <xf numFmtId="43" fontId="2" fillId="0" borderId="0" xfId="1" applyFont="1" applyBorder="1" applyAlignment="1">
      <alignment horizontal="left" vertical="center"/>
    </xf>
    <xf numFmtId="180" fontId="2" fillId="0" borderId="0" xfId="0" applyNumberFormat="1" applyFont="1" applyFill="1" applyAlignment="1">
      <alignment vertical="center"/>
    </xf>
    <xf numFmtId="180" fontId="7" fillId="2" borderId="11" xfId="0" applyNumberFormat="1" applyFont="1" applyFill="1" applyBorder="1" applyAlignment="1" applyProtection="1">
      <alignment horizontal="center" vertical="center" wrapText="1"/>
      <protection locked="0"/>
    </xf>
    <xf numFmtId="9" fontId="8" fillId="4" borderId="1" xfId="1" applyNumberFormat="1" applyFont="1" applyFill="1" applyBorder="1" applyAlignment="1">
      <alignment horizontal="center" vertical="center"/>
    </xf>
    <xf numFmtId="179" fontId="1" fillId="4" borderId="1" xfId="1" applyNumberFormat="1" applyFont="1" applyFill="1" applyBorder="1" applyAlignment="1">
      <alignment horizontal="right" vertical="center"/>
    </xf>
    <xf numFmtId="0" fontId="1" fillId="4" borderId="12" xfId="5" applyNumberFormat="1" applyFont="1" applyFill="1" applyBorder="1" applyAlignment="1">
      <alignment horizontal="left" vertical="center"/>
    </xf>
    <xf numFmtId="0" fontId="1" fillId="0" borderId="0" xfId="5" applyNumberFormat="1" applyFont="1" applyFill="1" applyBorder="1" applyAlignment="1">
      <alignment vertical="center"/>
    </xf>
    <xf numFmtId="180" fontId="4" fillId="3" borderId="12" xfId="0" applyNumberFormat="1" applyFont="1" applyFill="1" applyBorder="1" applyAlignment="1">
      <alignment vertical="center"/>
    </xf>
    <xf numFmtId="180" fontId="4" fillId="0" borderId="0" xfId="0" applyNumberFormat="1" applyFont="1" applyFill="1" applyAlignment="1">
      <alignment vertical="center"/>
    </xf>
    <xf numFmtId="9" fontId="1" fillId="0" borderId="1" xfId="1" applyNumberFormat="1" applyFont="1" applyFill="1" applyBorder="1" applyAlignment="1">
      <alignment horizontal="center" vertical="center" wrapText="1"/>
    </xf>
    <xf numFmtId="180" fontId="1" fillId="0" borderId="12" xfId="0" applyNumberFormat="1" applyFont="1" applyFill="1" applyBorder="1" applyAlignment="1">
      <alignment vertical="center"/>
    </xf>
    <xf numFmtId="180" fontId="4" fillId="3" borderId="12" xfId="0" applyNumberFormat="1" applyFont="1" applyFill="1" applyBorder="1" applyAlignment="1">
      <alignment horizontal="center" vertical="center"/>
    </xf>
    <xf numFmtId="180" fontId="5" fillId="0" borderId="0" xfId="0" applyNumberFormat="1" applyFont="1" applyFill="1" applyAlignment="1">
      <alignment vertical="center"/>
    </xf>
    <xf numFmtId="180" fontId="12" fillId="3" borderId="15" xfId="0" applyNumberFormat="1" applyFont="1" applyFill="1" applyBorder="1" applyAlignment="1">
      <alignment horizontal="center" vertical="center"/>
    </xf>
    <xf numFmtId="180" fontId="6" fillId="0" borderId="0" xfId="0" applyNumberFormat="1" applyFont="1" applyFill="1" applyAlignment="1">
      <alignment vertical="center"/>
    </xf>
    <xf numFmtId="180" fontId="2" fillId="0" borderId="19" xfId="0" applyNumberFormat="1" applyFont="1" applyBorder="1" applyAlignment="1">
      <alignment horizontal="left" vertical="center"/>
    </xf>
    <xf numFmtId="0" fontId="2" fillId="6" borderId="0" xfId="5" applyNumberFormat="1" applyFont="1" applyFill="1">
      <alignment vertical="center"/>
    </xf>
    <xf numFmtId="0" fontId="8" fillId="6" borderId="0" xfId="5" applyNumberFormat="1" applyFont="1" applyFill="1">
      <alignment vertical="center"/>
    </xf>
    <xf numFmtId="0" fontId="1" fillId="6" borderId="0" xfId="5" applyNumberFormat="1" applyFont="1" applyFill="1" applyAlignment="1">
      <alignment horizontal="center" vertical="center"/>
    </xf>
    <xf numFmtId="0" fontId="1" fillId="6" borderId="0" xfId="5" applyNumberFormat="1" applyFont="1" applyFill="1">
      <alignment vertical="center"/>
    </xf>
    <xf numFmtId="179" fontId="1" fillId="6" borderId="0" xfId="1" applyNumberFormat="1" applyFont="1" applyFill="1" applyAlignment="1">
      <alignment horizontal="right" vertical="center"/>
    </xf>
    <xf numFmtId="179" fontId="1" fillId="6" borderId="0" xfId="1" applyNumberFormat="1" applyFont="1" applyFill="1" applyAlignment="1">
      <alignment horizontal="center" vertical="center"/>
    </xf>
    <xf numFmtId="9" fontId="1" fillId="6" borderId="0" xfId="2" applyFont="1" applyFill="1" applyAlignment="1">
      <alignment horizontal="center" vertical="center"/>
    </xf>
    <xf numFmtId="0" fontId="1" fillId="6" borderId="0" xfId="5" applyNumberFormat="1" applyFont="1" applyFill="1" applyAlignment="1">
      <alignment horizontal="left" vertical="center"/>
    </xf>
    <xf numFmtId="0" fontId="2" fillId="6" borderId="1" xfId="5" applyNumberFormat="1" applyFont="1" applyFill="1" applyBorder="1" applyAlignment="1">
      <alignment horizontal="center" vertical="center"/>
    </xf>
    <xf numFmtId="0" fontId="2" fillId="6" borderId="1" xfId="5" applyNumberFormat="1" applyFont="1" applyFill="1" applyBorder="1">
      <alignment vertical="center"/>
    </xf>
    <xf numFmtId="179" fontId="2" fillId="6" borderId="1" xfId="1" applyNumberFormat="1" applyFont="1" applyFill="1" applyBorder="1" applyAlignment="1">
      <alignment horizontal="right" vertical="center"/>
    </xf>
    <xf numFmtId="179" fontId="2" fillId="6" borderId="1" xfId="1" applyNumberFormat="1" applyFont="1" applyFill="1" applyBorder="1" applyAlignment="1">
      <alignment horizontal="center" vertical="center"/>
    </xf>
    <xf numFmtId="0" fontId="13" fillId="7" borderId="16" xfId="5" applyNumberFormat="1" applyFont="1" applyFill="1" applyBorder="1" applyAlignment="1" applyProtection="1">
      <alignment horizontal="center" vertical="center" wrapText="1"/>
      <protection locked="0"/>
    </xf>
    <xf numFmtId="0" fontId="13" fillId="7" borderId="10" xfId="5" applyNumberFormat="1" applyFont="1" applyFill="1" applyBorder="1" applyAlignment="1" applyProtection="1">
      <alignment horizontal="center" vertical="center"/>
      <protection locked="0"/>
    </xf>
    <xf numFmtId="0" fontId="13" fillId="7" borderId="10" xfId="5" applyNumberFormat="1" applyFont="1" applyFill="1" applyBorder="1" applyAlignment="1" applyProtection="1">
      <alignment horizontal="center" vertical="center" wrapText="1"/>
      <protection locked="0"/>
    </xf>
    <xf numFmtId="179" fontId="13" fillId="7" borderId="10" xfId="1" applyNumberFormat="1" applyFont="1" applyFill="1" applyBorder="1" applyAlignment="1" applyProtection="1">
      <alignment horizontal="center" vertical="center" wrapText="1"/>
      <protection locked="0"/>
    </xf>
    <xf numFmtId="9" fontId="13" fillId="7" borderId="10" xfId="2" applyFont="1" applyFill="1" applyBorder="1" applyAlignment="1" applyProtection="1">
      <alignment horizontal="center" vertical="center" wrapText="1"/>
      <protection locked="0"/>
    </xf>
    <xf numFmtId="0" fontId="1" fillId="6" borderId="5" xfId="5" applyNumberFormat="1" applyFont="1" applyFill="1" applyBorder="1" applyAlignment="1">
      <alignment horizontal="center" vertical="center"/>
    </xf>
    <xf numFmtId="0" fontId="1" fillId="6" borderId="1" xfId="5" applyNumberFormat="1" applyFont="1" applyFill="1" applyBorder="1" applyAlignment="1">
      <alignment horizontal="center" vertical="center"/>
    </xf>
    <xf numFmtId="179" fontId="1" fillId="6" borderId="1" xfId="1" applyNumberFormat="1" applyFont="1" applyFill="1" applyBorder="1" applyAlignment="1">
      <alignment horizontal="right" vertical="center"/>
    </xf>
    <xf numFmtId="179" fontId="1" fillId="6" borderId="1" xfId="1" applyNumberFormat="1" applyFont="1" applyFill="1" applyBorder="1" applyAlignment="1">
      <alignment horizontal="center" vertical="center"/>
    </xf>
    <xf numFmtId="9" fontId="1" fillId="6" borderId="1" xfId="2" applyFont="1" applyFill="1" applyBorder="1" applyAlignment="1">
      <alignment horizontal="center" vertical="center"/>
    </xf>
    <xf numFmtId="0" fontId="1" fillId="6" borderId="1" xfId="5" applyNumberFormat="1" applyFont="1" applyFill="1" applyBorder="1" applyAlignment="1">
      <alignment horizontal="center" vertical="center" wrapText="1"/>
    </xf>
    <xf numFmtId="179" fontId="1" fillId="6" borderId="1" xfId="1" applyNumberFormat="1" applyFont="1" applyFill="1" applyBorder="1" applyAlignment="1">
      <alignment horizontal="right" vertical="center" wrapText="1"/>
    </xf>
    <xf numFmtId="0" fontId="2" fillId="2" borderId="5" xfId="5" applyNumberFormat="1" applyFont="1" applyFill="1" applyBorder="1" applyAlignment="1">
      <alignment vertical="center"/>
    </xf>
    <xf numFmtId="0" fontId="2" fillId="2" borderId="1" xfId="5" applyNumberFormat="1" applyFont="1" applyFill="1" applyBorder="1" applyAlignment="1">
      <alignment vertical="center"/>
    </xf>
    <xf numFmtId="179" fontId="1" fillId="2" borderId="1" xfId="1" applyNumberFormat="1" applyFont="1" applyFill="1" applyBorder="1" applyAlignment="1">
      <alignment horizontal="right" vertical="center"/>
    </xf>
    <xf numFmtId="179" fontId="1" fillId="2" borderId="1" xfId="1" applyNumberFormat="1" applyFont="1" applyFill="1" applyBorder="1" applyAlignment="1">
      <alignment horizontal="center" vertical="center"/>
    </xf>
    <xf numFmtId="9" fontId="1" fillId="2" borderId="1" xfId="2" applyFont="1" applyFill="1" applyBorder="1" applyAlignment="1">
      <alignment horizontal="center" vertical="center"/>
    </xf>
    <xf numFmtId="179" fontId="1" fillId="4" borderId="1" xfId="1" applyNumberFormat="1" applyFont="1" applyFill="1" applyBorder="1" applyAlignment="1">
      <alignment horizontal="right" vertical="center" wrapText="1"/>
    </xf>
    <xf numFmtId="179" fontId="1" fillId="6" borderId="1" xfId="1" applyNumberFormat="1" applyFont="1" applyFill="1" applyBorder="1" applyAlignment="1">
      <alignment horizontal="center" vertical="center" wrapText="1"/>
    </xf>
    <xf numFmtId="180" fontId="1" fillId="4" borderId="1" xfId="0" applyNumberFormat="1" applyFont="1" applyFill="1" applyBorder="1" applyAlignment="1">
      <alignment horizontal="center" vertical="center" wrapText="1"/>
    </xf>
    <xf numFmtId="0" fontId="1" fillId="0" borderId="1" xfId="5" applyNumberFormat="1" applyFont="1" applyFill="1" applyBorder="1" applyAlignment="1">
      <alignment horizontal="center" vertical="center"/>
    </xf>
    <xf numFmtId="0" fontId="1" fillId="0" borderId="5" xfId="5" applyNumberFormat="1" applyFont="1" applyFill="1" applyBorder="1" applyAlignment="1">
      <alignment horizontal="center" vertical="center"/>
    </xf>
    <xf numFmtId="0" fontId="1" fillId="0" borderId="1" xfId="5" applyNumberFormat="1" applyFont="1" applyFill="1" applyBorder="1" applyAlignment="1">
      <alignment horizontal="center" vertical="center" wrapText="1"/>
    </xf>
    <xf numFmtId="179" fontId="1" fillId="0" borderId="1" xfId="1" applyNumberFormat="1" applyFont="1" applyFill="1" applyBorder="1" applyAlignment="1">
      <alignment horizontal="right" vertical="center" wrapText="1"/>
    </xf>
    <xf numFmtId="9" fontId="1" fillId="0" borderId="1" xfId="2" applyFont="1" applyFill="1" applyBorder="1" applyAlignment="1">
      <alignment horizontal="center" vertical="center"/>
    </xf>
    <xf numFmtId="0" fontId="2" fillId="2" borderId="1" xfId="5" applyNumberFormat="1" applyFont="1" applyFill="1" applyBorder="1" applyAlignment="1">
      <alignment horizontal="center" vertical="center"/>
    </xf>
    <xf numFmtId="179" fontId="2" fillId="2" borderId="14" xfId="1" applyNumberFormat="1" applyFont="1" applyFill="1" applyBorder="1" applyAlignment="1">
      <alignment horizontal="right" vertical="center"/>
    </xf>
    <xf numFmtId="179" fontId="2" fillId="2" borderId="14" xfId="1" applyNumberFormat="1" applyFont="1" applyFill="1" applyBorder="1" applyAlignment="1">
      <alignment horizontal="center" vertical="center"/>
    </xf>
    <xf numFmtId="9" fontId="2" fillId="2" borderId="14" xfId="2" applyFont="1" applyFill="1" applyBorder="1" applyAlignment="1">
      <alignment horizontal="center" vertical="center"/>
    </xf>
    <xf numFmtId="0" fontId="1" fillId="6" borderId="0" xfId="5" applyNumberFormat="1" applyFont="1" applyFill="1" applyAlignment="1">
      <alignment vertical="center"/>
    </xf>
    <xf numFmtId="0" fontId="2" fillId="6" borderId="1" xfId="5" applyNumberFormat="1" applyFont="1" applyFill="1" applyBorder="1" applyAlignment="1">
      <alignment horizontal="left" vertical="center"/>
    </xf>
    <xf numFmtId="0" fontId="13" fillId="7" borderId="10" xfId="5" applyNumberFormat="1" applyFont="1" applyFill="1" applyBorder="1">
      <alignment vertical="center"/>
    </xf>
    <xf numFmtId="0" fontId="13" fillId="7" borderId="11" xfId="5" applyNumberFormat="1" applyFont="1" applyFill="1" applyBorder="1">
      <alignment vertical="center"/>
    </xf>
    <xf numFmtId="0" fontId="1" fillId="6" borderId="1" xfId="5" applyNumberFormat="1" applyFont="1" applyFill="1" applyBorder="1" applyAlignment="1">
      <alignment horizontal="left" vertical="center"/>
    </xf>
    <xf numFmtId="0" fontId="1" fillId="6" borderId="1" xfId="5" applyNumberFormat="1" applyFont="1" applyFill="1" applyBorder="1">
      <alignment vertical="center"/>
    </xf>
    <xf numFmtId="0" fontId="1" fillId="6" borderId="12" xfId="5" applyNumberFormat="1" applyFont="1" applyFill="1" applyBorder="1">
      <alignment vertical="center"/>
    </xf>
    <xf numFmtId="0" fontId="1" fillId="2" borderId="1" xfId="5" applyNumberFormat="1" applyFont="1" applyFill="1" applyBorder="1" applyAlignment="1">
      <alignment horizontal="left" vertical="center"/>
    </xf>
    <xf numFmtId="0" fontId="1" fillId="2" borderId="1" xfId="5" applyNumberFormat="1" applyFont="1" applyFill="1" applyBorder="1">
      <alignment vertical="center"/>
    </xf>
    <xf numFmtId="0" fontId="1" fillId="2" borderId="12" xfId="5" applyNumberFormat="1" applyFont="1" applyFill="1" applyBorder="1">
      <alignment vertical="center"/>
    </xf>
    <xf numFmtId="0" fontId="1" fillId="6" borderId="0" xfId="5" applyNumberFormat="1" applyFont="1" applyFill="1" applyBorder="1">
      <alignment vertical="center"/>
    </xf>
    <xf numFmtId="0" fontId="14" fillId="0" borderId="1" xfId="5" applyNumberFormat="1" applyFont="1" applyFill="1" applyBorder="1" applyAlignment="1">
      <alignment horizontal="left" vertical="center"/>
    </xf>
    <xf numFmtId="0" fontId="1" fillId="0" borderId="1" xfId="5" applyNumberFormat="1" applyFont="1" applyFill="1" applyBorder="1" applyAlignment="1">
      <alignment horizontal="left" vertical="center"/>
    </xf>
    <xf numFmtId="179" fontId="1" fillId="0" borderId="1" xfId="1" applyNumberFormat="1" applyFont="1" applyFill="1" applyBorder="1" applyAlignment="1">
      <alignment horizontal="right" vertical="center"/>
    </xf>
    <xf numFmtId="0" fontId="1" fillId="0" borderId="1" xfId="5" applyNumberFormat="1" applyFont="1" applyFill="1" applyBorder="1">
      <alignment vertical="center"/>
    </xf>
    <xf numFmtId="0" fontId="1" fillId="0" borderId="12" xfId="5" applyNumberFormat="1" applyFont="1" applyFill="1" applyBorder="1">
      <alignment vertical="center"/>
    </xf>
    <xf numFmtId="0" fontId="2" fillId="2" borderId="1" xfId="5" applyNumberFormat="1" applyFont="1" applyFill="1" applyBorder="1" applyAlignment="1">
      <alignment horizontal="left" vertical="center"/>
    </xf>
    <xf numFmtId="0" fontId="1" fillId="2" borderId="14" xfId="5" applyNumberFormat="1" applyFont="1" applyFill="1" applyBorder="1" applyAlignment="1">
      <alignment horizontal="left" vertical="center"/>
    </xf>
    <xf numFmtId="0" fontId="1" fillId="2" borderId="14" xfId="5" applyNumberFormat="1" applyFont="1" applyFill="1" applyBorder="1">
      <alignment vertical="center"/>
    </xf>
    <xf numFmtId="0" fontId="1" fillId="2" borderId="15" xfId="5" applyNumberFormat="1" applyFont="1" applyFill="1" applyBorder="1">
      <alignment vertical="center"/>
    </xf>
    <xf numFmtId="0" fontId="2" fillId="0" borderId="0" xfId="0" applyFont="1" applyAlignment="1">
      <alignment vertical="top"/>
    </xf>
    <xf numFmtId="0" fontId="1" fillId="0" borderId="2" xfId="0" applyFont="1" applyBorder="1" applyAlignment="1">
      <alignment horizontal="center"/>
    </xf>
    <xf numFmtId="0" fontId="1" fillId="0" borderId="3" xfId="0" applyFont="1" applyBorder="1"/>
    <xf numFmtId="0" fontId="1" fillId="0" borderId="3" xfId="0" applyFont="1" applyBorder="1" applyAlignment="1">
      <alignment horizontal="center"/>
    </xf>
    <xf numFmtId="0" fontId="1" fillId="0" borderId="4" xfId="0" applyFont="1" applyBorder="1" applyAlignment="1">
      <alignment horizontal="center"/>
    </xf>
    <xf numFmtId="0" fontId="2" fillId="7" borderId="16" xfId="0" applyFont="1" applyFill="1" applyBorder="1" applyAlignment="1">
      <alignment horizontal="center" vertical="top"/>
    </xf>
    <xf numFmtId="0" fontId="2" fillId="7" borderId="10" xfId="0" applyFont="1" applyFill="1" applyBorder="1" applyAlignment="1">
      <alignment vertical="top"/>
    </xf>
    <xf numFmtId="0" fontId="2" fillId="7" borderId="10" xfId="0" applyFont="1" applyFill="1" applyBorder="1" applyAlignment="1">
      <alignment horizontal="center" vertical="top" wrapText="1"/>
    </xf>
    <xf numFmtId="0" fontId="2" fillId="7" borderId="10" xfId="0" applyFont="1" applyFill="1" applyBorder="1" applyAlignment="1">
      <alignment vertical="top" wrapText="1"/>
    </xf>
    <xf numFmtId="0" fontId="2" fillId="7" borderId="11" xfId="0" applyFont="1" applyFill="1" applyBorder="1" applyAlignment="1">
      <alignment horizontal="center" vertical="top" wrapText="1"/>
    </xf>
    <xf numFmtId="0" fontId="1" fillId="0" borderId="5" xfId="0" applyFont="1" applyBorder="1" applyAlignment="1">
      <alignment horizontal="center"/>
    </xf>
    <xf numFmtId="0" fontId="0" fillId="4"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179" fontId="0" fillId="0" borderId="12" xfId="1" applyNumberFormat="1" applyFont="1" applyBorder="1" applyAlignment="1">
      <alignment horizontal="center" vertical="center"/>
    </xf>
    <xf numFmtId="0" fontId="0" fillId="0" borderId="1" xfId="0" applyFont="1" applyBorder="1" applyAlignment="1">
      <alignment horizontal="center" vertical="center"/>
    </xf>
    <xf numFmtId="0" fontId="15" fillId="0" borderId="1" xfId="0" applyFont="1" applyBorder="1" applyAlignment="1">
      <alignment horizontal="center" vertical="center"/>
    </xf>
    <xf numFmtId="179" fontId="1" fillId="0" borderId="12" xfId="1" applyNumberFormat="1" applyFont="1" applyBorder="1" applyAlignment="1">
      <alignment horizontal="center"/>
    </xf>
    <xf numFmtId="0" fontId="1" fillId="0" borderId="13" xfId="0" applyFont="1" applyBorder="1" applyAlignment="1">
      <alignment horizontal="center"/>
    </xf>
    <xf numFmtId="0" fontId="1" fillId="0" borderId="14" xfId="0" applyFont="1" applyBorder="1"/>
    <xf numFmtId="0" fontId="1" fillId="0" borderId="14" xfId="0" applyFont="1" applyBorder="1" applyAlignment="1">
      <alignment horizontal="center"/>
    </xf>
    <xf numFmtId="179" fontId="1" fillId="0" borderId="15" xfId="1" applyNumberFormat="1" applyFont="1" applyBorder="1" applyAlignment="1">
      <alignment horizontal="center"/>
    </xf>
    <xf numFmtId="43" fontId="1" fillId="0" borderId="0" xfId="1" applyFont="1" applyAlignment="1"/>
    <xf numFmtId="0" fontId="2" fillId="3" borderId="16" xfId="0" applyFont="1" applyFill="1" applyBorder="1" applyAlignment="1">
      <alignment horizontal="center" vertical="top"/>
    </xf>
    <xf numFmtId="0" fontId="2" fillId="3" borderId="10" xfId="0" applyFont="1" applyFill="1" applyBorder="1" applyAlignment="1">
      <alignment vertical="top"/>
    </xf>
    <xf numFmtId="0" fontId="2" fillId="3" borderId="10" xfId="0" applyFont="1" applyFill="1" applyBorder="1" applyAlignment="1">
      <alignment horizontal="center" vertical="top" wrapText="1"/>
    </xf>
    <xf numFmtId="0" fontId="1" fillId="4" borderId="1" xfId="0" applyFont="1" applyFill="1" applyBorder="1"/>
    <xf numFmtId="0" fontId="1" fillId="4" borderId="1" xfId="0" applyFont="1" applyFill="1" applyBorder="1" applyAlignment="1">
      <alignment horizontal="center"/>
    </xf>
    <xf numFmtId="0" fontId="2" fillId="3" borderId="11" xfId="0" applyFont="1" applyFill="1" applyBorder="1" applyAlignment="1">
      <alignment horizontal="center" vertical="top" wrapText="1"/>
    </xf>
    <xf numFmtId="0" fontId="2" fillId="3" borderId="20" xfId="0" applyFont="1" applyFill="1" applyBorder="1" applyAlignment="1">
      <alignment horizontal="center" vertical="top" wrapText="1"/>
    </xf>
    <xf numFmtId="0" fontId="1" fillId="0" borderId="12" xfId="0" applyFont="1" applyBorder="1" applyAlignment="1">
      <alignment horizontal="center"/>
    </xf>
    <xf numFmtId="0" fontId="1" fillId="0" borderId="21" xfId="0" applyFont="1" applyBorder="1" applyAlignment="1">
      <alignment horizontal="center"/>
    </xf>
    <xf numFmtId="0" fontId="1" fillId="0" borderId="15" xfId="0" applyFont="1" applyBorder="1" applyAlignment="1">
      <alignment horizontal="center"/>
    </xf>
    <xf numFmtId="0" fontId="1" fillId="0" borderId="21" xfId="0" applyFont="1" applyBorder="1"/>
    <xf numFmtId="43" fontId="6" fillId="5" borderId="22" xfId="1" applyFont="1" applyFill="1" applyBorder="1" applyAlignment="1"/>
    <xf numFmtId="0" fontId="14" fillId="0" borderId="0" xfId="0" applyFont="1" applyAlignment="1">
      <alignment vertical="center"/>
    </xf>
    <xf numFmtId="43" fontId="14" fillId="0" borderId="0" xfId="1" applyFont="1" applyAlignment="1">
      <alignment vertical="center"/>
    </xf>
    <xf numFmtId="0" fontId="8" fillId="0" borderId="1" xfId="0" applyFont="1" applyBorder="1" applyAlignment="1">
      <alignment horizontal="center"/>
    </xf>
    <xf numFmtId="0" fontId="8" fillId="0" borderId="1" xfId="0" applyFont="1" applyBorder="1" applyAlignment="1">
      <alignment vertical="center"/>
    </xf>
    <xf numFmtId="43" fontId="8" fillId="0" borderId="1" xfId="1" applyFont="1" applyBorder="1" applyAlignment="1">
      <alignment vertical="center"/>
    </xf>
    <xf numFmtId="0" fontId="2" fillId="7" borderId="1" xfId="0" applyFont="1" applyFill="1" applyBorder="1" applyAlignment="1">
      <alignment horizontal="center" vertical="top"/>
    </xf>
    <xf numFmtId="43" fontId="2" fillId="3" borderId="1" xfId="1" applyFont="1" applyFill="1" applyBorder="1" applyAlignment="1">
      <alignment horizontal="center" vertical="top" wrapText="1"/>
    </xf>
    <xf numFmtId="43" fontId="1" fillId="4" borderId="1" xfId="1" applyFont="1" applyFill="1" applyBorder="1" applyAlignment="1">
      <alignment horizontal="center" vertical="center"/>
    </xf>
    <xf numFmtId="43" fontId="1" fillId="0" borderId="1" xfId="1" applyFont="1" applyFill="1" applyBorder="1" applyAlignment="1">
      <alignment horizontal="center" vertical="center"/>
    </xf>
    <xf numFmtId="43" fontId="1" fillId="0" borderId="1" xfId="1" applyFont="1" applyBorder="1" applyAlignment="1">
      <alignment horizontal="center" vertical="center"/>
    </xf>
    <xf numFmtId="0" fontId="1" fillId="7" borderId="1" xfId="0" applyFont="1" applyFill="1" applyBorder="1" applyAlignment="1">
      <alignment horizontal="center"/>
    </xf>
    <xf numFmtId="43" fontId="2" fillId="3" borderId="1" xfId="1" applyFont="1" applyFill="1" applyBorder="1" applyAlignment="1">
      <alignment horizontal="center" vertical="center"/>
    </xf>
    <xf numFmtId="0" fontId="0" fillId="4" borderId="1" xfId="0" applyFont="1" applyFill="1" applyBorder="1"/>
    <xf numFmtId="0" fontId="0" fillId="4" borderId="1" xfId="0" applyFill="1" applyBorder="1" applyAlignment="1">
      <alignment horizontal="center"/>
    </xf>
    <xf numFmtId="9" fontId="1" fillId="4" borderId="1" xfId="0" applyNumberFormat="1" applyFont="1" applyFill="1" applyBorder="1" applyAlignment="1">
      <alignment horizontal="center"/>
    </xf>
    <xf numFmtId="43" fontId="1" fillId="4" borderId="1" xfId="1" applyFont="1" applyFill="1" applyBorder="1" applyAlignment="1">
      <alignment horizontal="center"/>
    </xf>
    <xf numFmtId="43" fontId="1" fillId="0" borderId="1" xfId="1" applyFont="1" applyBorder="1" applyAlignment="1">
      <alignment horizontal="center"/>
    </xf>
    <xf numFmtId="9" fontId="1" fillId="0" borderId="12" xfId="2" applyFont="1" applyBorder="1" applyAlignment="1"/>
    <xf numFmtId="0" fontId="1" fillId="0" borderId="12" xfId="0" applyFont="1" applyBorder="1"/>
    <xf numFmtId="43" fontId="1" fillId="0" borderId="14" xfId="1" applyFont="1" applyBorder="1" applyAlignment="1">
      <alignment horizontal="center"/>
    </xf>
    <xf numFmtId="0" fontId="1" fillId="0" borderId="15" xfId="0" applyFont="1" applyBorder="1"/>
    <xf numFmtId="0" fontId="1" fillId="0" borderId="0" xfId="0" applyFont="1" applyAlignment="1">
      <alignment horizontal="center" vertical="center" wrapText="1"/>
    </xf>
    <xf numFmtId="0" fontId="1" fillId="0" borderId="0" xfId="0" applyFont="1" applyAlignment="1">
      <alignment horizontal="left" vertical="center" wrapText="1"/>
    </xf>
    <xf numFmtId="43" fontId="1" fillId="0" borderId="0" xfId="1" applyFont="1" applyAlignment="1">
      <alignment horizontal="center" vertical="center" wrapText="1"/>
    </xf>
    <xf numFmtId="9" fontId="1" fillId="0" borderId="0" xfId="2" applyFont="1" applyAlignment="1">
      <alignment horizontal="center" vertical="center" wrapText="1"/>
    </xf>
    <xf numFmtId="0" fontId="1" fillId="0" borderId="1" xfId="0" applyFont="1" applyBorder="1" applyAlignment="1">
      <alignment horizontal="left" vertical="center" wrapText="1"/>
    </xf>
    <xf numFmtId="43" fontId="1" fillId="0" borderId="1" xfId="1" applyFont="1" applyBorder="1" applyAlignment="1">
      <alignment horizontal="center" vertical="center" wrapText="1"/>
    </xf>
    <xf numFmtId="0" fontId="2" fillId="3" borderId="16" xfId="0" applyFont="1" applyFill="1" applyBorder="1" applyAlignment="1">
      <alignment horizontal="center" vertical="top" wrapText="1"/>
    </xf>
    <xf numFmtId="0" fontId="2" fillId="3" borderId="10" xfId="0" applyFont="1" applyFill="1" applyBorder="1" applyAlignment="1">
      <alignment horizontal="left" vertical="top"/>
    </xf>
    <xf numFmtId="0" fontId="2" fillId="3" borderId="10" xfId="0" applyFont="1" applyFill="1" applyBorder="1" applyAlignment="1">
      <alignment horizontal="center" vertical="top"/>
    </xf>
    <xf numFmtId="43" fontId="2" fillId="3" borderId="10" xfId="1" applyFont="1" applyFill="1" applyBorder="1" applyAlignment="1">
      <alignment horizontal="center" vertical="top"/>
    </xf>
    <xf numFmtId="0" fontId="1" fillId="0" borderId="5" xfId="0" applyFont="1" applyBorder="1" applyAlignment="1">
      <alignment horizontal="center" vertical="center" wrapText="1"/>
    </xf>
    <xf numFmtId="0" fontId="16" fillId="4" borderId="1" xfId="0" applyFont="1" applyFill="1" applyBorder="1" applyAlignment="1" applyProtection="1">
      <alignment horizontal="center" vertical="center"/>
      <protection locked="0"/>
    </xf>
    <xf numFmtId="0" fontId="16" fillId="4" borderId="1" xfId="0" applyFont="1" applyFill="1" applyBorder="1" applyAlignment="1" applyProtection="1">
      <alignment horizontal="left" vertical="center"/>
      <protection locked="0"/>
    </xf>
    <xf numFmtId="9" fontId="1" fillId="4" borderId="1" xfId="0" applyNumberFormat="1" applyFont="1" applyFill="1" applyBorder="1" applyAlignment="1">
      <alignment horizontal="center" vertical="center"/>
    </xf>
    <xf numFmtId="180" fontId="1" fillId="4" borderId="1" xfId="0" applyNumberFormat="1" applyFont="1" applyFill="1" applyBorder="1" applyAlignment="1">
      <alignment horizontal="center" vertical="center"/>
    </xf>
    <xf numFmtId="9" fontId="8" fillId="4" borderId="1" xfId="0" applyNumberFormat="1" applyFont="1" applyFill="1" applyBorder="1" applyAlignment="1">
      <alignment horizontal="center" vertical="center"/>
    </xf>
    <xf numFmtId="180" fontId="8" fillId="4" borderId="1" xfId="0" applyNumberFormat="1" applyFont="1" applyFill="1" applyBorder="1" applyAlignment="1">
      <alignment horizontal="center" vertical="center"/>
    </xf>
    <xf numFmtId="0" fontId="1" fillId="4" borderId="1" xfId="0" applyFont="1" applyFill="1" applyBorder="1" applyAlignment="1">
      <alignment horizontal="left" vertical="center"/>
    </xf>
    <xf numFmtId="0" fontId="1" fillId="0" borderId="23" xfId="0" applyFont="1" applyBorder="1" applyAlignment="1">
      <alignment horizontal="center" vertical="center" wrapText="1"/>
    </xf>
    <xf numFmtId="0" fontId="1" fillId="4" borderId="6" xfId="0" applyFont="1" applyFill="1" applyBorder="1" applyAlignment="1">
      <alignment horizontal="left" vertical="center"/>
    </xf>
    <xf numFmtId="0" fontId="1" fillId="4" borderId="6" xfId="0" applyFont="1" applyFill="1" applyBorder="1" applyAlignment="1">
      <alignment horizontal="center" vertical="center"/>
    </xf>
    <xf numFmtId="43" fontId="17" fillId="4" borderId="6" xfId="1" applyFont="1" applyFill="1" applyBorder="1" applyAlignment="1">
      <alignment horizontal="center" vertical="center"/>
    </xf>
    <xf numFmtId="9" fontId="1" fillId="4" borderId="6" xfId="0" applyNumberFormat="1" applyFont="1" applyFill="1" applyBorder="1" applyAlignment="1">
      <alignment horizontal="center" vertical="center"/>
    </xf>
    <xf numFmtId="43" fontId="1" fillId="0" borderId="6" xfId="1" applyFont="1" applyFill="1" applyBorder="1" applyAlignment="1">
      <alignment horizontal="center" vertical="center"/>
    </xf>
    <xf numFmtId="0" fontId="1" fillId="3" borderId="13" xfId="0" applyFont="1" applyFill="1" applyBorder="1" applyAlignment="1">
      <alignment horizontal="center" vertical="center" wrapText="1"/>
    </xf>
    <xf numFmtId="0" fontId="18" fillId="3" borderId="14" xfId="0" applyFont="1" applyFill="1" applyBorder="1" applyAlignment="1">
      <alignment horizontal="left" vertical="center"/>
    </xf>
    <xf numFmtId="0" fontId="18" fillId="3" borderId="14" xfId="0" applyFont="1" applyFill="1" applyBorder="1" applyAlignment="1">
      <alignment horizontal="center" vertical="center"/>
    </xf>
    <xf numFmtId="43" fontId="18" fillId="3" borderId="14" xfId="1" applyFont="1" applyFill="1" applyBorder="1" applyAlignment="1">
      <alignment horizontal="center"/>
    </xf>
    <xf numFmtId="0" fontId="18" fillId="3" borderId="14" xfId="0" applyFont="1" applyFill="1" applyBorder="1" applyAlignment="1">
      <alignment horizontal="center"/>
    </xf>
    <xf numFmtId="43" fontId="18" fillId="3" borderId="14" xfId="1" applyFont="1" applyFill="1" applyBorder="1" applyAlignment="1">
      <alignment horizontal="center" vertical="center"/>
    </xf>
    <xf numFmtId="0" fontId="8" fillId="0" borderId="0" xfId="0" applyFont="1" applyFill="1" applyBorder="1" applyAlignment="1">
      <alignment horizontal="left" vertical="center"/>
    </xf>
    <xf numFmtId="0" fontId="8" fillId="0" borderId="0" xfId="0" applyFont="1" applyFill="1" applyBorder="1" applyAlignment="1">
      <alignment horizontal="center" vertical="center"/>
    </xf>
    <xf numFmtId="43" fontId="1" fillId="0" borderId="0" xfId="1" applyFont="1" applyBorder="1" applyAlignment="1">
      <alignment horizontal="center"/>
    </xf>
    <xf numFmtId="0" fontId="1" fillId="0" borderId="0" xfId="0" applyFont="1" applyBorder="1" applyAlignment="1">
      <alignment horizontal="center"/>
    </xf>
    <xf numFmtId="43" fontId="19" fillId="0" borderId="0" xfId="1" applyFont="1" applyBorder="1" applyAlignment="1">
      <alignment horizontal="center" vertical="center"/>
    </xf>
    <xf numFmtId="0" fontId="1" fillId="0" borderId="0" xfId="0" applyFont="1" applyAlignment="1">
      <alignment horizontal="left" vertical="top"/>
    </xf>
    <xf numFmtId="0" fontId="1" fillId="0" borderId="0" xfId="0" applyFont="1" applyAlignment="1">
      <alignment horizontal="left" vertical="center"/>
    </xf>
    <xf numFmtId="0" fontId="6" fillId="0" borderId="0" xfId="0" applyFont="1" applyBorder="1" applyAlignment="1">
      <alignment horizontal="left" vertical="top" wrapText="1"/>
    </xf>
    <xf numFmtId="43" fontId="6" fillId="0" borderId="0" xfId="1" applyFont="1" applyBorder="1" applyAlignment="1">
      <alignment horizontal="left" vertical="top" wrapText="1"/>
    </xf>
    <xf numFmtId="9" fontId="1" fillId="0" borderId="1" xfId="2" applyFont="1" applyBorder="1" applyAlignment="1">
      <alignment horizontal="center" vertical="center" wrapText="1"/>
    </xf>
    <xf numFmtId="43" fontId="2" fillId="3" borderId="10" xfId="1" applyFont="1" applyFill="1" applyBorder="1" applyAlignment="1">
      <alignment horizontal="center" vertical="top" wrapText="1"/>
    </xf>
    <xf numFmtId="43" fontId="2" fillId="3" borderId="24" xfId="1" applyFont="1" applyFill="1" applyBorder="1" applyAlignment="1">
      <alignment horizontal="center" vertical="top" wrapText="1"/>
    </xf>
    <xf numFmtId="9" fontId="2" fillId="3" borderId="24" xfId="2" applyFont="1" applyFill="1" applyBorder="1" applyAlignment="1">
      <alignment horizontal="center" vertical="top" wrapText="1"/>
    </xf>
    <xf numFmtId="43" fontId="17" fillId="4" borderId="1" xfId="1" applyFont="1" applyFill="1" applyBorder="1" applyAlignment="1">
      <alignment horizontal="center" vertical="center"/>
    </xf>
    <xf numFmtId="0" fontId="1" fillId="4" borderId="1" xfId="0" applyFont="1" applyFill="1" applyBorder="1" applyAlignment="1">
      <alignment horizontal="center" vertical="center" wrapText="1"/>
    </xf>
    <xf numFmtId="0" fontId="1" fillId="0" borderId="12" xfId="0" applyFont="1" applyBorder="1" applyAlignment="1">
      <alignment horizontal="center" vertical="center" wrapText="1"/>
    </xf>
    <xf numFmtId="43" fontId="1" fillId="0" borderId="1" xfId="1" applyFont="1" applyFill="1" applyBorder="1" applyAlignment="1">
      <alignment horizontal="center" vertical="center" wrapText="1"/>
    </xf>
    <xf numFmtId="43" fontId="1" fillId="0" borderId="25" xfId="1" applyFont="1" applyFill="1" applyBorder="1" applyAlignment="1">
      <alignment horizontal="center" vertical="center" wrapText="1"/>
    </xf>
    <xf numFmtId="9" fontId="1" fillId="0" borderId="25" xfId="2" applyFont="1" applyBorder="1" applyAlignment="1">
      <alignment horizontal="center" vertical="center" wrapText="1"/>
    </xf>
    <xf numFmtId="43" fontId="20" fillId="4" borderId="1" xfId="1" applyFont="1" applyFill="1" applyBorder="1" applyAlignment="1">
      <alignment horizontal="center" vertical="center"/>
    </xf>
    <xf numFmtId="0" fontId="1" fillId="9" borderId="0" xfId="0" applyFont="1" applyFill="1" applyAlignment="1">
      <alignment horizontal="center" vertical="center" wrapText="1"/>
    </xf>
    <xf numFmtId="176" fontId="17" fillId="4" borderId="1" xfId="0" applyNumberFormat="1" applyFont="1" applyFill="1" applyBorder="1" applyAlignment="1">
      <alignment horizontal="center" vertical="center"/>
    </xf>
    <xf numFmtId="176" fontId="17" fillId="4" borderId="6" xfId="0" applyNumberFormat="1" applyFont="1" applyFill="1" applyBorder="1" applyAlignment="1">
      <alignment horizontal="center" vertical="center"/>
    </xf>
    <xf numFmtId="0" fontId="1" fillId="4" borderId="6" xfId="0" applyFont="1" applyFill="1" applyBorder="1" applyAlignment="1">
      <alignment horizontal="center" vertical="center" wrapText="1"/>
    </xf>
    <xf numFmtId="0" fontId="1" fillId="0" borderId="7" xfId="0" applyFont="1" applyBorder="1" applyAlignment="1">
      <alignment horizontal="center" vertical="center" wrapText="1"/>
    </xf>
    <xf numFmtId="43" fontId="1" fillId="0" borderId="6" xfId="1" applyFont="1" applyFill="1" applyBorder="1" applyAlignment="1">
      <alignment horizontal="center" vertical="center" wrapText="1"/>
    </xf>
    <xf numFmtId="9" fontId="1" fillId="0" borderId="27" xfId="2" applyFont="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9" fontId="1" fillId="3" borderId="28" xfId="2" applyFont="1" applyFill="1" applyBorder="1" applyAlignment="1">
      <alignment horizontal="center" vertical="center" wrapText="1"/>
    </xf>
    <xf numFmtId="43" fontId="1" fillId="0" borderId="0" xfId="1" applyFont="1" applyBorder="1" applyAlignment="1">
      <alignment horizontal="center" vertical="center"/>
    </xf>
    <xf numFmtId="0" fontId="1" fillId="0" borderId="0" xfId="0" applyFont="1" applyAlignment="1">
      <alignment horizontal="center" vertical="top"/>
    </xf>
    <xf numFmtId="0" fontId="1" fillId="0" borderId="2" xfId="0" applyFont="1" applyBorder="1" applyAlignment="1">
      <alignment horizontal="left"/>
    </xf>
    <xf numFmtId="0" fontId="1" fillId="0" borderId="3" xfId="0" applyFont="1" applyBorder="1" applyAlignment="1">
      <alignment horizontal="center" vertical="center"/>
    </xf>
    <xf numFmtId="0" fontId="2" fillId="3" borderId="16" xfId="0" applyFont="1" applyFill="1" applyBorder="1" applyAlignment="1">
      <alignment horizontal="left" vertical="top"/>
    </xf>
    <xf numFmtId="0" fontId="2" fillId="3" borderId="10" xfId="0" applyFont="1" applyFill="1" applyBorder="1" applyAlignment="1">
      <alignment horizontal="center" vertical="center" wrapText="1"/>
    </xf>
    <xf numFmtId="0" fontId="1" fillId="0" borderId="5" xfId="0" applyFont="1" applyBorder="1"/>
    <xf numFmtId="0" fontId="1" fillId="5" borderId="1" xfId="0" applyFont="1" applyFill="1" applyBorder="1" applyAlignment="1">
      <alignment horizontal="center"/>
    </xf>
    <xf numFmtId="0" fontId="1" fillId="0" borderId="1" xfId="0" applyFont="1" applyFill="1" applyBorder="1" applyAlignment="1">
      <alignment horizontal="center"/>
    </xf>
    <xf numFmtId="0" fontId="8" fillId="0" borderId="1" xfId="0" applyFont="1" applyFill="1" applyBorder="1" applyAlignment="1">
      <alignment horizontal="center"/>
    </xf>
    <xf numFmtId="0" fontId="8" fillId="5" borderId="1" xfId="0" applyFont="1" applyFill="1" applyBorder="1" applyAlignment="1">
      <alignment horizontal="center"/>
    </xf>
    <xf numFmtId="0" fontId="1" fillId="0" borderId="13" xfId="0" applyFont="1" applyBorder="1"/>
    <xf numFmtId="0" fontId="2" fillId="3" borderId="2" xfId="0" applyFont="1" applyFill="1" applyBorder="1" applyAlignment="1">
      <alignment horizontal="left"/>
    </xf>
    <xf numFmtId="0" fontId="2" fillId="3" borderId="3" xfId="0" applyFont="1" applyFill="1" applyBorder="1"/>
    <xf numFmtId="0" fontId="21" fillId="0" borderId="5" xfId="0" applyFont="1" applyFill="1" applyBorder="1" applyAlignment="1">
      <alignment horizontal="left" vertical="center"/>
    </xf>
    <xf numFmtId="0" fontId="21" fillId="0" borderId="1" xfId="0" applyFont="1" applyBorder="1" applyAlignment="1">
      <alignment horizontal="center" vertical="center"/>
    </xf>
    <xf numFmtId="0" fontId="21" fillId="0" borderId="13" xfId="0" applyFont="1" applyFill="1" applyBorder="1" applyAlignment="1">
      <alignment horizontal="left" vertical="center"/>
    </xf>
    <xf numFmtId="1" fontId="21" fillId="0" borderId="14" xfId="0" applyNumberFormat="1" applyFont="1" applyBorder="1" applyAlignment="1">
      <alignment horizontal="center" vertical="center"/>
    </xf>
    <xf numFmtId="0" fontId="1" fillId="0" borderId="25" xfId="0" applyFont="1" applyBorder="1" applyAlignment="1">
      <alignment horizontal="center"/>
    </xf>
    <xf numFmtId="0" fontId="1" fillId="0" borderId="25" xfId="0" applyFont="1" applyFill="1" applyBorder="1" applyAlignment="1">
      <alignment horizontal="center"/>
    </xf>
    <xf numFmtId="0" fontId="1" fillId="5" borderId="25" xfId="0" applyFont="1" applyFill="1" applyBorder="1" applyAlignment="1">
      <alignment horizontal="center"/>
    </xf>
    <xf numFmtId="0" fontId="1" fillId="0" borderId="14" xfId="0" applyFont="1" applyFill="1" applyBorder="1" applyAlignment="1">
      <alignment horizontal="center"/>
    </xf>
    <xf numFmtId="0" fontId="1" fillId="0" borderId="28" xfId="0" applyFont="1" applyFill="1" applyBorder="1" applyAlignment="1">
      <alignment horizontal="center"/>
    </xf>
    <xf numFmtId="0" fontId="1" fillId="0" borderId="4" xfId="0" applyFont="1" applyBorder="1"/>
    <xf numFmtId="0" fontId="2" fillId="3" borderId="11" xfId="0" applyFont="1" applyFill="1" applyBorder="1" applyAlignment="1">
      <alignment horizontal="center" vertical="top"/>
    </xf>
    <xf numFmtId="0" fontId="1" fillId="0" borderId="12" xfId="0" applyFont="1" applyFill="1" applyBorder="1" applyAlignment="1">
      <alignment horizontal="center"/>
    </xf>
    <xf numFmtId="0" fontId="1" fillId="5" borderId="14" xfId="0" applyFont="1" applyFill="1" applyBorder="1" applyAlignment="1">
      <alignment horizontal="center"/>
    </xf>
    <xf numFmtId="0" fontId="3" fillId="3" borderId="3" xfId="0" applyFont="1" applyFill="1" applyBorder="1"/>
    <xf numFmtId="0" fontId="3" fillId="3" borderId="3" xfId="0" applyFont="1" applyFill="1" applyBorder="1" applyAlignment="1">
      <alignment horizontal="center"/>
    </xf>
    <xf numFmtId="0" fontId="3" fillId="3" borderId="4" xfId="0" applyFont="1" applyFill="1" applyBorder="1"/>
    <xf numFmtId="0" fontId="0" fillId="0" borderId="1" xfId="0" applyBorder="1" applyAlignment="1">
      <alignment vertical="center"/>
    </xf>
    <xf numFmtId="0" fontId="0" fillId="0" borderId="12" xfId="0" applyBorder="1"/>
    <xf numFmtId="0" fontId="0" fillId="4" borderId="1" xfId="0" applyFont="1" applyFill="1" applyBorder="1" applyAlignment="1">
      <alignment horizontal="center"/>
    </xf>
    <xf numFmtId="0" fontId="0" fillId="4" borderId="1" xfId="0" applyFont="1" applyFill="1" applyBorder="1" applyAlignment="1">
      <alignment horizontal="left" wrapText="1"/>
    </xf>
    <xf numFmtId="14" fontId="0" fillId="4" borderId="1" xfId="0" applyNumberFormat="1" applyFont="1" applyFill="1" applyBorder="1" applyAlignment="1">
      <alignment horizontal="center"/>
    </xf>
    <xf numFmtId="0" fontId="0" fillId="0" borderId="14" xfId="0" applyBorder="1"/>
    <xf numFmtId="0" fontId="0" fillId="0" borderId="15" xfId="0" applyBorder="1"/>
    <xf numFmtId="0" fontId="3" fillId="2" borderId="2" xfId="0" applyFont="1" applyFill="1" applyBorder="1"/>
    <xf numFmtId="0" fontId="3" fillId="2" borderId="4" xfId="0" applyFont="1" applyFill="1" applyBorder="1" applyAlignment="1">
      <alignment horizontal="center"/>
    </xf>
    <xf numFmtId="0" fontId="0" fillId="0" borderId="5" xfId="0" applyBorder="1"/>
    <xf numFmtId="43" fontId="0" fillId="0" borderId="12" xfId="0" applyNumberFormat="1" applyBorder="1" applyAlignment="1">
      <alignment horizontal="center"/>
    </xf>
    <xf numFmtId="43" fontId="0" fillId="0" borderId="12" xfId="1" applyFont="1" applyBorder="1" applyAlignment="1">
      <alignment horizontal="center"/>
    </xf>
    <xf numFmtId="0" fontId="3" fillId="2" borderId="13" xfId="0" applyFont="1" applyFill="1" applyBorder="1"/>
    <xf numFmtId="43" fontId="3" fillId="2" borderId="15" xfId="0" applyNumberFormat="1" applyFont="1" applyFill="1" applyBorder="1" applyAlignment="1">
      <alignment horizontal="center"/>
    </xf>
    <xf numFmtId="0" fontId="21" fillId="0" borderId="0" xfId="0" applyFont="1"/>
    <xf numFmtId="0" fontId="22" fillId="0" borderId="0" xfId="0" applyFont="1"/>
    <xf numFmtId="179" fontId="1" fillId="0" borderId="0" xfId="1" applyNumberFormat="1" applyFont="1" applyAlignment="1"/>
    <xf numFmtId="0" fontId="2" fillId="3" borderId="2" xfId="0" applyFont="1" applyFill="1" applyBorder="1" applyAlignment="1">
      <alignment horizontal="center"/>
    </xf>
    <xf numFmtId="43" fontId="2" fillId="3" borderId="3" xfId="1" applyFont="1" applyFill="1" applyBorder="1" applyAlignment="1"/>
    <xf numFmtId="9" fontId="2" fillId="3" borderId="3" xfId="2" applyFont="1" applyFill="1" applyBorder="1" applyAlignment="1">
      <alignment horizontal="center"/>
    </xf>
    <xf numFmtId="0" fontId="2" fillId="3" borderId="4" xfId="0" applyFont="1" applyFill="1" applyBorder="1"/>
    <xf numFmtId="0" fontId="21" fillId="0" borderId="5" xfId="0" applyFont="1" applyBorder="1" applyAlignment="1">
      <alignment horizontal="center"/>
    </xf>
    <xf numFmtId="0" fontId="21" fillId="0" borderId="1" xfId="0" applyFont="1" applyBorder="1"/>
    <xf numFmtId="43" fontId="21" fillId="0" borderId="1" xfId="1" applyFont="1" applyBorder="1" applyAlignment="1"/>
    <xf numFmtId="182" fontId="21" fillId="0" borderId="1" xfId="2" applyNumberFormat="1" applyFont="1" applyBorder="1" applyAlignment="1">
      <alignment horizontal="center"/>
    </xf>
    <xf numFmtId="0" fontId="21" fillId="0" borderId="12" xfId="0" applyFont="1" applyBorder="1"/>
    <xf numFmtId="0" fontId="22" fillId="0" borderId="1" xfId="0" applyFont="1" applyBorder="1"/>
    <xf numFmtId="43" fontId="22" fillId="0" borderId="1" xfId="1" applyFont="1" applyBorder="1" applyAlignment="1"/>
    <xf numFmtId="0" fontId="22" fillId="0" borderId="12" xfId="0" applyFont="1" applyBorder="1"/>
    <xf numFmtId="182" fontId="22" fillId="4" borderId="1" xfId="2" applyNumberFormat="1" applyFont="1" applyFill="1" applyBorder="1" applyAlignment="1">
      <alignment horizontal="center"/>
    </xf>
    <xf numFmtId="0" fontId="23" fillId="0" borderId="0" xfId="0" applyFont="1" applyFill="1" applyBorder="1" applyAlignment="1">
      <alignment horizontal="left" vertical="center"/>
    </xf>
    <xf numFmtId="0" fontId="22" fillId="0" borderId="14" xfId="0" applyFont="1" applyBorder="1"/>
    <xf numFmtId="43" fontId="22" fillId="0" borderId="14" xfId="1" applyFont="1" applyBorder="1" applyAlignment="1"/>
    <xf numFmtId="182" fontId="22" fillId="4" borderId="14" xfId="2" applyNumberFormat="1" applyFont="1" applyFill="1" applyBorder="1" applyAlignment="1">
      <alignment horizontal="center"/>
    </xf>
    <xf numFmtId="9" fontId="22" fillId="0" borderId="15" xfId="2" applyFont="1" applyBorder="1" applyAlignment="1">
      <alignment horizontal="left"/>
    </xf>
    <xf numFmtId="0" fontId="1" fillId="8" borderId="26" xfId="0" applyFont="1" applyFill="1" applyBorder="1" applyAlignment="1">
      <alignment horizontal="center" vertical="center" wrapText="1"/>
    </xf>
    <xf numFmtId="0" fontId="0" fillId="8" borderId="0" xfId="0" applyFill="1" applyAlignment="1">
      <alignment horizontal="center" vertical="center" wrapText="1"/>
    </xf>
    <xf numFmtId="0" fontId="0" fillId="9" borderId="0" xfId="0" applyFill="1" applyAlignment="1">
      <alignment horizontal="center" vertical="center" wrapText="1"/>
    </xf>
    <xf numFmtId="0" fontId="0" fillId="0" borderId="0" xfId="0" applyAlignment="1">
      <alignment horizontal="center" vertical="center" wrapText="1"/>
    </xf>
    <xf numFmtId="0" fontId="1" fillId="10" borderId="0" xfId="0" applyFont="1" applyFill="1" applyAlignment="1">
      <alignment horizontal="center" vertical="center" wrapText="1"/>
    </xf>
    <xf numFmtId="0" fontId="1" fillId="9" borderId="0" xfId="0" applyFont="1" applyFill="1" applyAlignment="1">
      <alignment horizontal="center" vertical="center" wrapText="1"/>
    </xf>
    <xf numFmtId="0" fontId="2" fillId="2" borderId="13" xfId="5" applyNumberFormat="1" applyFont="1" applyFill="1" applyBorder="1" applyAlignment="1">
      <alignment horizontal="left" vertical="center"/>
    </xf>
    <xf numFmtId="0" fontId="2" fillId="2" borderId="14" xfId="5" applyNumberFormat="1" applyFont="1" applyFill="1" applyBorder="1" applyAlignment="1">
      <alignment horizontal="left" vertical="center"/>
    </xf>
    <xf numFmtId="0" fontId="1" fillId="6" borderId="12" xfId="5" applyNumberFormat="1" applyFont="1" applyFill="1" applyBorder="1" applyAlignment="1">
      <alignment horizontal="center" vertical="center" wrapText="1"/>
    </xf>
    <xf numFmtId="0" fontId="1" fillId="0" borderId="5" xfId="0" applyFont="1" applyBorder="1" applyAlignment="1">
      <alignment horizontal="center" vertical="center"/>
    </xf>
    <xf numFmtId="0" fontId="1" fillId="0" borderId="13"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43" fontId="1" fillId="4" borderId="7" xfId="1" applyFont="1" applyFill="1" applyBorder="1" applyAlignment="1">
      <alignment horizontal="center" vertical="center"/>
    </xf>
    <xf numFmtId="43" fontId="1" fillId="4" borderId="9" xfId="1" applyFont="1" applyFill="1" applyBorder="1" applyAlignment="1">
      <alignment horizontal="center" vertical="center"/>
    </xf>
    <xf numFmtId="43" fontId="1" fillId="4" borderId="11" xfId="1" applyFont="1" applyFill="1" applyBorder="1" applyAlignment="1">
      <alignment horizontal="center" vertical="center"/>
    </xf>
  </cellXfs>
  <cellStyles count="7">
    <cellStyle name="百分比" xfId="2" builtinId="5"/>
    <cellStyle name="常规" xfId="0" builtinId="0"/>
    <cellStyle name="常规 2" xfId="4"/>
    <cellStyle name="常规 3" xfId="5"/>
    <cellStyle name="常规 3 2" xfId="3"/>
    <cellStyle name="千位分隔" xfId="1" builtinId="3"/>
    <cellStyle name="千位分隔 2"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F23"/>
  <sheetViews>
    <sheetView zoomScale="112" zoomScaleNormal="112" workbookViewId="0">
      <selection activeCell="F16" sqref="F16"/>
    </sheetView>
  </sheetViews>
  <sheetFormatPr defaultColWidth="9" defaultRowHeight="15.6"/>
  <cols>
    <col min="1" max="1" width="5.33203125" style="1" customWidth="1"/>
    <col min="2" max="2" width="34.109375" style="2" customWidth="1"/>
    <col min="3" max="3" width="17.88671875" style="1" customWidth="1"/>
    <col min="4" max="4" width="15" style="343" customWidth="1"/>
    <col min="5" max="5" width="54.88671875" style="2" customWidth="1"/>
    <col min="6" max="6" width="40.21875" style="2" customWidth="1"/>
    <col min="7" max="16384" width="9" style="2"/>
  </cols>
  <sheetData>
    <row r="1" spans="1:5" s="15" customFormat="1" ht="16.2">
      <c r="A1" s="344" t="s">
        <v>0</v>
      </c>
      <c r="B1" s="310" t="s">
        <v>1</v>
      </c>
      <c r="C1" s="345" t="s">
        <v>2</v>
      </c>
      <c r="D1" s="346" t="s">
        <v>3</v>
      </c>
      <c r="E1" s="347" t="s">
        <v>4</v>
      </c>
    </row>
    <row r="2" spans="1:5" s="341" customFormat="1" ht="15">
      <c r="A2" s="348">
        <v>1</v>
      </c>
      <c r="B2" s="349" t="s">
        <v>5</v>
      </c>
      <c r="C2" s="350">
        <f>主材!M35</f>
        <v>1170601.01</v>
      </c>
      <c r="D2" s="351">
        <f>C2/$C$21</f>
        <v>0.6972880177131946</v>
      </c>
      <c r="E2" s="352" t="s">
        <v>6</v>
      </c>
    </row>
    <row r="3" spans="1:5" s="341" customFormat="1" ht="15">
      <c r="A3" s="348">
        <v>2</v>
      </c>
      <c r="B3" s="349" t="s">
        <v>7</v>
      </c>
      <c r="C3" s="350">
        <f>辅料!J15</f>
        <v>40379</v>
      </c>
      <c r="D3" s="351">
        <f t="shared" ref="D3:D12" si="0">C3/$C$21</f>
        <v>2.4052424888340976E-2</v>
      </c>
      <c r="E3" s="352" t="s">
        <v>6</v>
      </c>
    </row>
    <row r="4" spans="1:5" s="341" customFormat="1">
      <c r="A4" s="348">
        <v>4</v>
      </c>
      <c r="B4" s="353" t="s">
        <v>8</v>
      </c>
      <c r="C4" s="354">
        <f>SUM(C2:C3)</f>
        <v>1210980.01</v>
      </c>
      <c r="D4" s="351">
        <f t="shared" si="0"/>
        <v>0.72134044260153551</v>
      </c>
      <c r="E4" s="355" t="s">
        <v>9</v>
      </c>
    </row>
    <row r="5" spans="1:5" s="342" customFormat="1">
      <c r="A5" s="348">
        <v>5</v>
      </c>
      <c r="B5" s="353" t="s">
        <v>10</v>
      </c>
      <c r="C5" s="354">
        <f>物流!H2</f>
        <v>18639</v>
      </c>
      <c r="D5" s="351">
        <f t="shared" si="0"/>
        <v>1.1102631256192264E-2</v>
      </c>
      <c r="E5" s="352" t="s">
        <v>6</v>
      </c>
    </row>
    <row r="6" spans="1:5" s="342" customFormat="1">
      <c r="A6" s="348">
        <v>6</v>
      </c>
      <c r="B6" s="349" t="s">
        <v>11</v>
      </c>
      <c r="C6" s="350">
        <f>直接人工!L22/年产能!B27</f>
        <v>68510.823754789293</v>
      </c>
      <c r="D6" s="351">
        <f t="shared" si="0"/>
        <v>4.0809614958281185E-2</v>
      </c>
      <c r="E6" s="352" t="s">
        <v>6</v>
      </c>
    </row>
    <row r="7" spans="1:5" s="341" customFormat="1" ht="15">
      <c r="A7" s="348">
        <v>7</v>
      </c>
      <c r="B7" s="349" t="s">
        <v>12</v>
      </c>
      <c r="C7" s="350">
        <f>能耗!Q34</f>
        <v>30171.03</v>
      </c>
      <c r="D7" s="351">
        <f t="shared" si="0"/>
        <v>1.7971877284699525E-2</v>
      </c>
      <c r="E7" s="352" t="s">
        <v>6</v>
      </c>
    </row>
    <row r="8" spans="1:5" s="341" customFormat="1" ht="15">
      <c r="A8" s="348">
        <v>8</v>
      </c>
      <c r="B8" s="349" t="s">
        <v>13</v>
      </c>
      <c r="C8" s="350">
        <f>设备维保!H50/年产能!B27</f>
        <v>5635.3128991060003</v>
      </c>
      <c r="D8" s="351">
        <f t="shared" si="0"/>
        <v>3.3567681276912777E-3</v>
      </c>
      <c r="E8" s="352" t="s">
        <v>6</v>
      </c>
    </row>
    <row r="9" spans="1:5" s="341" customFormat="1" ht="15">
      <c r="A9" s="348">
        <v>9</v>
      </c>
      <c r="B9" s="349" t="s">
        <v>14</v>
      </c>
      <c r="C9" s="350">
        <f>专有设备!I22/年产能!B27</f>
        <v>4395.8673903788804</v>
      </c>
      <c r="D9" s="351">
        <f t="shared" si="0"/>
        <v>2.6184717359566973E-3</v>
      </c>
      <c r="E9" s="352" t="s">
        <v>6</v>
      </c>
    </row>
    <row r="10" spans="1:5" s="341" customFormat="1" ht="15">
      <c r="A10" s="348">
        <v>10</v>
      </c>
      <c r="B10" s="349" t="s">
        <v>15</v>
      </c>
      <c r="C10" s="350">
        <f>非专设备、工装、检具!J31/年产能!B27</f>
        <v>15490.4144316731</v>
      </c>
      <c r="D10" s="351">
        <f t="shared" si="0"/>
        <v>9.2271237427150321E-3</v>
      </c>
      <c r="E10" s="352" t="s">
        <v>6</v>
      </c>
    </row>
    <row r="11" spans="1:5" s="341" customFormat="1" ht="15">
      <c r="A11" s="348">
        <v>11</v>
      </c>
      <c r="B11" s="349" t="s">
        <v>16</v>
      </c>
      <c r="C11" s="350">
        <f>厂房!D7/年产能!B27</f>
        <v>17047.972541506999</v>
      </c>
      <c r="D11" s="351">
        <f t="shared" si="0"/>
        <v>1.0154909211547995E-2</v>
      </c>
      <c r="E11" s="352" t="s">
        <v>6</v>
      </c>
    </row>
    <row r="12" spans="1:5" s="341" customFormat="1">
      <c r="A12" s="348">
        <v>12</v>
      </c>
      <c r="B12" s="353" t="s">
        <v>17</v>
      </c>
      <c r="C12" s="354">
        <f>SUM(C6:C11)</f>
        <v>141251.42101745401</v>
      </c>
      <c r="D12" s="351">
        <f t="shared" si="0"/>
        <v>8.413876506089156E-2</v>
      </c>
      <c r="E12" s="355" t="s">
        <v>9</v>
      </c>
    </row>
    <row r="13" spans="1:5" s="342" customFormat="1">
      <c r="A13" s="348">
        <v>13</v>
      </c>
      <c r="B13" s="353" t="s">
        <v>18</v>
      </c>
      <c r="C13" s="354">
        <f>(C4+C12)*D13</f>
        <v>13522.314310174541</v>
      </c>
      <c r="D13" s="356">
        <v>0.01</v>
      </c>
      <c r="E13" s="352" t="s">
        <v>19</v>
      </c>
    </row>
    <row r="14" spans="1:5" s="342" customFormat="1">
      <c r="A14" s="348">
        <v>14</v>
      </c>
      <c r="B14" s="353" t="s">
        <v>20</v>
      </c>
      <c r="C14" s="354">
        <f>(C4+C12)*D14</f>
        <v>40566.942930523619</v>
      </c>
      <c r="D14" s="356">
        <v>0.03</v>
      </c>
      <c r="E14" s="352" t="s">
        <v>21</v>
      </c>
    </row>
    <row r="15" spans="1:5" s="342" customFormat="1">
      <c r="A15" s="348">
        <v>15</v>
      </c>
      <c r="B15" s="353" t="s">
        <v>22</v>
      </c>
      <c r="C15" s="354">
        <f>(C4+C12)*D15</f>
        <v>40566.942930523619</v>
      </c>
      <c r="D15" s="356">
        <v>0.03</v>
      </c>
      <c r="E15" s="352" t="s">
        <v>21</v>
      </c>
    </row>
    <row r="16" spans="1:5" s="342" customFormat="1">
      <c r="A16" s="348">
        <v>16</v>
      </c>
      <c r="B16" s="353" t="s">
        <v>23</v>
      </c>
      <c r="C16" s="354">
        <f>(C4+C12)*D16</f>
        <v>94656.20017122179</v>
      </c>
      <c r="D16" s="356">
        <v>7.0000000000000007E-2</v>
      </c>
      <c r="E16" s="352" t="s">
        <v>24</v>
      </c>
    </row>
    <row r="17" spans="1:6" s="342" customFormat="1">
      <c r="A17" s="348">
        <v>17</v>
      </c>
      <c r="B17" s="353" t="s">
        <v>25</v>
      </c>
      <c r="C17" s="354"/>
      <c r="D17" s="351">
        <f t="shared" ref="D17:D21" si="1">C17/$C$21</f>
        <v>0</v>
      </c>
      <c r="E17" s="352" t="s">
        <v>26</v>
      </c>
    </row>
    <row r="18" spans="1:6" s="342" customFormat="1">
      <c r="A18" s="348">
        <v>18</v>
      </c>
      <c r="B18" s="353" t="s">
        <v>27</v>
      </c>
      <c r="C18" s="354"/>
      <c r="D18" s="351">
        <f t="shared" si="1"/>
        <v>0</v>
      </c>
      <c r="E18" s="352" t="s">
        <v>21</v>
      </c>
    </row>
    <row r="19" spans="1:6" s="342" customFormat="1">
      <c r="A19" s="348">
        <v>19</v>
      </c>
      <c r="B19" s="353" t="s">
        <v>28</v>
      </c>
      <c r="C19" s="354">
        <f>换线费用!B9</f>
        <v>50996.828636660102</v>
      </c>
      <c r="D19" s="351">
        <f t="shared" si="1"/>
        <v>3.037711162551978E-2</v>
      </c>
      <c r="E19" s="355" t="s">
        <v>9</v>
      </c>
    </row>
    <row r="20" spans="1:6" s="342" customFormat="1" ht="17.25" customHeight="1">
      <c r="A20" s="348">
        <v>20</v>
      </c>
      <c r="B20" s="353" t="s">
        <v>29</v>
      </c>
      <c r="C20" s="354">
        <f>(C4+C12)*D20</f>
        <v>67611.571550872701</v>
      </c>
      <c r="D20" s="356">
        <v>0.05</v>
      </c>
      <c r="E20" s="352" t="s">
        <v>30</v>
      </c>
    </row>
    <row r="21" spans="1:6" s="342" customFormat="1" ht="17.25" customHeight="1">
      <c r="A21" s="348">
        <v>21</v>
      </c>
      <c r="B21" s="353" t="s">
        <v>31</v>
      </c>
      <c r="C21" s="354">
        <f>C4+C5+C12+C13+C14+C15+C16+C17+C18+C19+C20</f>
        <v>1678791.2315474299</v>
      </c>
      <c r="D21" s="351">
        <f t="shared" si="1"/>
        <v>1</v>
      </c>
      <c r="E21" s="355" t="s">
        <v>9</v>
      </c>
      <c r="F21" s="357"/>
    </row>
    <row r="22" spans="1:6" s="341" customFormat="1">
      <c r="A22" s="348">
        <v>22</v>
      </c>
      <c r="B22" s="358" t="s">
        <v>32</v>
      </c>
      <c r="C22" s="359">
        <f>C21*(D22+1)</f>
        <v>1897034.0916485956</v>
      </c>
      <c r="D22" s="360">
        <v>0.13</v>
      </c>
      <c r="E22" s="361" t="s">
        <v>33</v>
      </c>
    </row>
    <row r="23" spans="1:6">
      <c r="A23" s="270"/>
    </row>
  </sheetData>
  <phoneticPr fontId="30"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M25"/>
  <sheetViews>
    <sheetView workbookViewId="0">
      <pane xSplit="1" ySplit="2" topLeftCell="B3" activePane="bottomRight" state="frozen"/>
      <selection pane="topRight"/>
      <selection pane="bottomLeft"/>
      <selection pane="bottomRight" activeCell="K18" sqref="K18"/>
    </sheetView>
  </sheetViews>
  <sheetFormatPr defaultColWidth="9" defaultRowHeight="15.6"/>
  <cols>
    <col min="1" max="1" width="7.44140625" style="122" customWidth="1"/>
    <col min="2" max="2" width="27" style="123" customWidth="1"/>
    <col min="3" max="3" width="7.44140625" style="123" customWidth="1"/>
    <col min="4" max="4" width="5.33203125" style="123" customWidth="1"/>
    <col min="5" max="5" width="13.88671875" style="124" customWidth="1"/>
    <col min="6" max="6" width="14.88671875" style="124" customWidth="1"/>
    <col min="7" max="7" width="12.33203125" style="125" customWidth="1"/>
    <col min="8" max="8" width="12.33203125" style="126" customWidth="1"/>
    <col min="9" max="9" width="14.88671875" style="124" customWidth="1"/>
    <col min="10" max="10" width="24.21875" style="127" customWidth="1"/>
    <col min="11" max="11" width="13.21875" style="123" customWidth="1"/>
    <col min="12" max="12" width="18.6640625" style="123" customWidth="1"/>
    <col min="13" max="13" width="29.33203125" style="123" customWidth="1"/>
    <col min="14" max="16384" width="9" style="123"/>
  </cols>
  <sheetData>
    <row r="1" spans="1:13" s="120" customFormat="1" ht="16.2">
      <c r="A1" s="128" t="s">
        <v>89</v>
      </c>
      <c r="B1" s="128" t="s">
        <v>90</v>
      </c>
      <c r="C1" s="129"/>
      <c r="D1" s="129" t="s">
        <v>90</v>
      </c>
      <c r="E1" s="130" t="s">
        <v>122</v>
      </c>
      <c r="F1" s="130"/>
      <c r="G1" s="131" t="s">
        <v>337</v>
      </c>
      <c r="H1" s="131" t="s">
        <v>337</v>
      </c>
      <c r="I1" s="130"/>
      <c r="J1" s="162"/>
      <c r="K1" s="129"/>
      <c r="L1" s="129"/>
    </row>
    <row r="2" spans="1:13" s="121" customFormat="1" ht="16.2">
      <c r="A2" s="132" t="s">
        <v>0</v>
      </c>
      <c r="B2" s="133" t="s">
        <v>301</v>
      </c>
      <c r="C2" s="134" t="s">
        <v>338</v>
      </c>
      <c r="D2" s="134" t="s">
        <v>339</v>
      </c>
      <c r="E2" s="135" t="s">
        <v>340</v>
      </c>
      <c r="F2" s="135" t="s">
        <v>341</v>
      </c>
      <c r="G2" s="135" t="s">
        <v>342</v>
      </c>
      <c r="H2" s="136" t="s">
        <v>343</v>
      </c>
      <c r="I2" s="135" t="s">
        <v>344</v>
      </c>
      <c r="J2" s="134" t="s">
        <v>4</v>
      </c>
      <c r="K2" s="163" t="s">
        <v>345</v>
      </c>
      <c r="L2" s="164" t="s">
        <v>346</v>
      </c>
    </row>
    <row r="3" spans="1:13" ht="16.5" customHeight="1">
      <c r="A3" s="137">
        <v>1</v>
      </c>
      <c r="B3" s="71" t="s">
        <v>347</v>
      </c>
      <c r="C3" s="138" t="s">
        <v>348</v>
      </c>
      <c r="D3" s="71">
        <v>6</v>
      </c>
      <c r="E3" s="108">
        <v>50000</v>
      </c>
      <c r="F3" s="139">
        <f t="shared" ref="F3:F8" si="0">D3*E3</f>
        <v>300000</v>
      </c>
      <c r="G3" s="140">
        <v>3</v>
      </c>
      <c r="H3" s="141">
        <v>0.03</v>
      </c>
      <c r="I3" s="139">
        <f>F3*(1-H3)/G3</f>
        <v>97000</v>
      </c>
      <c r="J3" s="165"/>
      <c r="K3" s="166" t="s">
        <v>349</v>
      </c>
      <c r="L3" s="370" t="s">
        <v>350</v>
      </c>
    </row>
    <row r="4" spans="1:13">
      <c r="A4" s="137">
        <v>2</v>
      </c>
      <c r="B4" s="71" t="s">
        <v>351</v>
      </c>
      <c r="C4" s="138" t="s">
        <v>348</v>
      </c>
      <c r="D4" s="71">
        <v>2</v>
      </c>
      <c r="E4" s="108">
        <v>500000</v>
      </c>
      <c r="F4" s="139">
        <f t="shared" si="0"/>
        <v>1000000</v>
      </c>
      <c r="G4" s="140">
        <v>3</v>
      </c>
      <c r="H4" s="141">
        <v>0.03</v>
      </c>
      <c r="I4" s="139">
        <f>F4*(1-H4)/G4</f>
        <v>323333.33333333302</v>
      </c>
      <c r="J4" s="165"/>
      <c r="K4" s="166" t="s">
        <v>349</v>
      </c>
      <c r="L4" s="370"/>
    </row>
    <row r="5" spans="1:13">
      <c r="A5" s="137">
        <v>3</v>
      </c>
      <c r="B5" s="71" t="s">
        <v>316</v>
      </c>
      <c r="C5" s="138" t="s">
        <v>348</v>
      </c>
      <c r="D5" s="71">
        <v>4</v>
      </c>
      <c r="E5" s="108">
        <v>200000</v>
      </c>
      <c r="F5" s="139">
        <f t="shared" si="0"/>
        <v>800000</v>
      </c>
      <c r="G5" s="140">
        <v>10</v>
      </c>
      <c r="H5" s="141">
        <v>0.03</v>
      </c>
      <c r="I5" s="139">
        <f>F5*(1-H5)/G5</f>
        <v>77600</v>
      </c>
      <c r="J5" s="165"/>
      <c r="K5" s="166" t="s">
        <v>349</v>
      </c>
      <c r="L5" s="370"/>
    </row>
    <row r="6" spans="1:13">
      <c r="A6" s="137">
        <v>4</v>
      </c>
      <c r="B6" s="71" t="s">
        <v>352</v>
      </c>
      <c r="C6" s="138" t="s">
        <v>348</v>
      </c>
      <c r="D6" s="74">
        <v>2</v>
      </c>
      <c r="E6" s="108">
        <v>500000</v>
      </c>
      <c r="F6" s="139">
        <f t="shared" si="0"/>
        <v>1000000</v>
      </c>
      <c r="G6" s="140">
        <v>10</v>
      </c>
      <c r="H6" s="141">
        <v>0.03</v>
      </c>
      <c r="I6" s="139">
        <f>F6*(1-H6)/G6</f>
        <v>97000</v>
      </c>
      <c r="J6" s="165"/>
      <c r="K6" s="166" t="s">
        <v>349</v>
      </c>
      <c r="L6" s="370"/>
    </row>
    <row r="7" spans="1:13">
      <c r="A7" s="137">
        <v>5</v>
      </c>
      <c r="B7" s="71" t="s">
        <v>353</v>
      </c>
      <c r="C7" s="142" t="s">
        <v>348</v>
      </c>
      <c r="D7" s="74">
        <v>1</v>
      </c>
      <c r="E7" s="108">
        <v>1500000</v>
      </c>
      <c r="F7" s="143">
        <f t="shared" si="0"/>
        <v>1500000</v>
      </c>
      <c r="G7" s="140">
        <v>10</v>
      </c>
      <c r="H7" s="141">
        <v>0.03</v>
      </c>
      <c r="I7" s="139">
        <f t="shared" ref="I7:I18" si="1">F7*(1-H7)/G7</f>
        <v>145500</v>
      </c>
      <c r="J7" s="165"/>
      <c r="K7" s="166" t="s">
        <v>349</v>
      </c>
      <c r="L7" s="167"/>
    </row>
    <row r="8" spans="1:13">
      <c r="A8" s="137">
        <v>6</v>
      </c>
      <c r="B8" s="71" t="s">
        <v>354</v>
      </c>
      <c r="C8" s="142" t="s">
        <v>348</v>
      </c>
      <c r="D8" s="74">
        <v>1</v>
      </c>
      <c r="E8" s="108">
        <v>1000000</v>
      </c>
      <c r="F8" s="143">
        <f t="shared" si="0"/>
        <v>1000000</v>
      </c>
      <c r="G8" s="140">
        <v>10</v>
      </c>
      <c r="H8" s="141">
        <v>0.03</v>
      </c>
      <c r="I8" s="139">
        <f t="shared" si="1"/>
        <v>97000</v>
      </c>
      <c r="J8" s="165"/>
      <c r="K8" s="166" t="s">
        <v>349</v>
      </c>
      <c r="L8" s="167"/>
    </row>
    <row r="9" spans="1:13" s="46" customFormat="1" ht="16.2">
      <c r="A9" s="144" t="s">
        <v>355</v>
      </c>
      <c r="B9" s="145"/>
      <c r="C9" s="145"/>
      <c r="D9" s="145"/>
      <c r="E9" s="145"/>
      <c r="F9" s="146">
        <f>SUM(F3:F8)</f>
        <v>5600000</v>
      </c>
      <c r="G9" s="147"/>
      <c r="H9" s="148"/>
      <c r="I9" s="146">
        <f>SUM(I3:I8)</f>
        <v>837433.33333333302</v>
      </c>
      <c r="J9" s="168"/>
      <c r="K9" s="169"/>
      <c r="L9" s="170"/>
    </row>
    <row r="10" spans="1:13" ht="16.5" customHeight="1">
      <c r="A10" s="137">
        <v>1</v>
      </c>
      <c r="B10" s="75" t="s">
        <v>356</v>
      </c>
      <c r="C10" s="142" t="s">
        <v>348</v>
      </c>
      <c r="D10" s="75">
        <v>4</v>
      </c>
      <c r="E10" s="149">
        <v>30000</v>
      </c>
      <c r="F10" s="143">
        <f t="shared" ref="F10:F18" si="2">D10*E10</f>
        <v>120000</v>
      </c>
      <c r="G10" s="150">
        <v>5</v>
      </c>
      <c r="H10" s="141">
        <v>0.03</v>
      </c>
      <c r="I10" s="139">
        <f t="shared" si="1"/>
        <v>23280</v>
      </c>
      <c r="J10" s="165"/>
      <c r="K10" s="166" t="s">
        <v>349</v>
      </c>
      <c r="L10" s="167"/>
    </row>
    <row r="11" spans="1:13">
      <c r="A11" s="137">
        <v>2</v>
      </c>
      <c r="B11" s="75" t="s">
        <v>357</v>
      </c>
      <c r="C11" s="142" t="s">
        <v>348</v>
      </c>
      <c r="D11" s="75">
        <v>20</v>
      </c>
      <c r="E11" s="149">
        <v>5000</v>
      </c>
      <c r="F11" s="143">
        <f t="shared" si="2"/>
        <v>100000</v>
      </c>
      <c r="G11" s="150">
        <v>5</v>
      </c>
      <c r="H11" s="141">
        <v>0.03</v>
      </c>
      <c r="I11" s="139">
        <f t="shared" si="1"/>
        <v>19400</v>
      </c>
      <c r="J11" s="165"/>
      <c r="K11" s="166" t="s">
        <v>349</v>
      </c>
      <c r="L11" s="167"/>
    </row>
    <row r="12" spans="1:13">
      <c r="A12" s="137">
        <v>3</v>
      </c>
      <c r="B12" s="75" t="s">
        <v>358</v>
      </c>
      <c r="C12" s="142" t="s">
        <v>348</v>
      </c>
      <c r="D12" s="74">
        <v>3</v>
      </c>
      <c r="E12" s="149">
        <v>50000</v>
      </c>
      <c r="F12" s="143">
        <f t="shared" si="2"/>
        <v>150000</v>
      </c>
      <c r="G12" s="150">
        <v>3</v>
      </c>
      <c r="H12" s="141">
        <v>0.03</v>
      </c>
      <c r="I12" s="139">
        <f t="shared" si="1"/>
        <v>48500</v>
      </c>
      <c r="J12" s="165"/>
      <c r="K12" s="166" t="s">
        <v>349</v>
      </c>
      <c r="L12" s="167"/>
    </row>
    <row r="13" spans="1:13">
      <c r="A13" s="137">
        <v>4</v>
      </c>
      <c r="B13" s="75" t="s">
        <v>359</v>
      </c>
      <c r="C13" s="142" t="s">
        <v>348</v>
      </c>
      <c r="D13" s="74">
        <v>2</v>
      </c>
      <c r="E13" s="149">
        <v>50000</v>
      </c>
      <c r="F13" s="143">
        <f t="shared" si="2"/>
        <v>100000</v>
      </c>
      <c r="G13" s="150">
        <v>3</v>
      </c>
      <c r="H13" s="141">
        <v>0.03</v>
      </c>
      <c r="I13" s="139">
        <f t="shared" si="1"/>
        <v>32333.333333333299</v>
      </c>
      <c r="J13" s="165"/>
      <c r="K13" s="166" t="s">
        <v>349</v>
      </c>
      <c r="L13" s="167"/>
      <c r="M13" s="171"/>
    </row>
    <row r="14" spans="1:13" ht="16.5" customHeight="1">
      <c r="A14" s="137">
        <v>5</v>
      </c>
      <c r="B14" s="75" t="s">
        <v>360</v>
      </c>
      <c r="C14" s="142" t="s">
        <v>348</v>
      </c>
      <c r="D14" s="74">
        <v>1</v>
      </c>
      <c r="E14" s="149">
        <v>40000</v>
      </c>
      <c r="F14" s="143">
        <f t="shared" si="2"/>
        <v>40000</v>
      </c>
      <c r="G14" s="150">
        <v>3</v>
      </c>
      <c r="H14" s="141">
        <v>0.03</v>
      </c>
      <c r="I14" s="139">
        <f t="shared" si="1"/>
        <v>12933.333333333299</v>
      </c>
      <c r="J14" s="165"/>
      <c r="K14" s="166" t="s">
        <v>349</v>
      </c>
      <c r="L14" s="167"/>
    </row>
    <row r="15" spans="1:13">
      <c r="A15" s="137">
        <v>6</v>
      </c>
      <c r="B15" s="75" t="s">
        <v>361</v>
      </c>
      <c r="C15" s="142" t="s">
        <v>348</v>
      </c>
      <c r="D15" s="74">
        <v>10</v>
      </c>
      <c r="E15" s="149">
        <v>5000</v>
      </c>
      <c r="F15" s="143">
        <f t="shared" si="2"/>
        <v>50000</v>
      </c>
      <c r="G15" s="150">
        <v>3</v>
      </c>
      <c r="H15" s="141">
        <v>0.03</v>
      </c>
      <c r="I15" s="139">
        <f t="shared" si="1"/>
        <v>16166.666666666701</v>
      </c>
      <c r="J15" s="165"/>
      <c r="K15" s="166" t="s">
        <v>349</v>
      </c>
      <c r="L15" s="167"/>
    </row>
    <row r="16" spans="1:13" s="48" customFormat="1" ht="16.5" customHeight="1">
      <c r="A16" s="137">
        <v>7</v>
      </c>
      <c r="B16" s="151" t="s">
        <v>362</v>
      </c>
      <c r="C16" s="152" t="s">
        <v>348</v>
      </c>
      <c r="D16" s="74">
        <v>3</v>
      </c>
      <c r="E16" s="149">
        <v>100000</v>
      </c>
      <c r="F16" s="143">
        <f t="shared" si="2"/>
        <v>300000</v>
      </c>
      <c r="G16" s="43">
        <v>3</v>
      </c>
      <c r="H16" s="113">
        <v>0.03</v>
      </c>
      <c r="I16" s="88">
        <f t="shared" si="1"/>
        <v>97000</v>
      </c>
      <c r="J16" s="172"/>
      <c r="K16" s="166" t="s">
        <v>349</v>
      </c>
      <c r="L16" s="114"/>
    </row>
    <row r="17" spans="1:12" s="48" customFormat="1" ht="16.5" customHeight="1">
      <c r="A17" s="137">
        <v>8</v>
      </c>
      <c r="B17" s="151" t="s">
        <v>363</v>
      </c>
      <c r="C17" s="152" t="s">
        <v>348</v>
      </c>
      <c r="D17" s="74">
        <v>6</v>
      </c>
      <c r="E17" s="149">
        <v>15000</v>
      </c>
      <c r="F17" s="143">
        <f t="shared" si="2"/>
        <v>90000</v>
      </c>
      <c r="G17" s="43">
        <v>3</v>
      </c>
      <c r="H17" s="113">
        <v>0.03</v>
      </c>
      <c r="I17" s="88">
        <f t="shared" si="1"/>
        <v>29100</v>
      </c>
      <c r="J17" s="172"/>
      <c r="K17" s="166" t="s">
        <v>349</v>
      </c>
      <c r="L17" s="114"/>
    </row>
    <row r="18" spans="1:12" s="48" customFormat="1" ht="16.5" customHeight="1">
      <c r="A18" s="137">
        <v>9</v>
      </c>
      <c r="B18" s="151" t="s">
        <v>364</v>
      </c>
      <c r="C18" s="152" t="s">
        <v>348</v>
      </c>
      <c r="D18" s="74">
        <v>2</v>
      </c>
      <c r="E18" s="149">
        <v>12000</v>
      </c>
      <c r="F18" s="143">
        <f t="shared" si="2"/>
        <v>24000</v>
      </c>
      <c r="G18" s="43">
        <v>3</v>
      </c>
      <c r="H18" s="113">
        <v>0.03</v>
      </c>
      <c r="I18" s="88">
        <f t="shared" si="1"/>
        <v>7760</v>
      </c>
      <c r="J18" s="172"/>
      <c r="K18" s="166" t="s">
        <v>349</v>
      </c>
      <c r="L18" s="114"/>
    </row>
    <row r="19" spans="1:12" s="48" customFormat="1" ht="16.5" customHeight="1">
      <c r="A19" s="137"/>
      <c r="B19" s="151"/>
      <c r="C19" s="152"/>
      <c r="D19" s="74"/>
      <c r="E19" s="149"/>
      <c r="F19" s="143"/>
      <c r="G19" s="43"/>
      <c r="H19" s="113"/>
      <c r="I19" s="88"/>
      <c r="J19" s="172"/>
      <c r="K19" s="173"/>
      <c r="L19" s="114"/>
    </row>
    <row r="20" spans="1:12" s="46" customFormat="1">
      <c r="A20" s="153"/>
      <c r="B20" s="154"/>
      <c r="C20" s="154"/>
      <c r="D20" s="86"/>
      <c r="E20" s="155"/>
      <c r="F20" s="155"/>
      <c r="G20" s="89"/>
      <c r="H20" s="156"/>
      <c r="I20" s="174"/>
      <c r="J20" s="173"/>
      <c r="K20" s="175"/>
      <c r="L20" s="176"/>
    </row>
    <row r="21" spans="1:12" ht="16.2">
      <c r="A21" s="144" t="s">
        <v>355</v>
      </c>
      <c r="B21" s="157" t="s">
        <v>365</v>
      </c>
      <c r="C21" s="145"/>
      <c r="D21" s="145"/>
      <c r="E21" s="145"/>
      <c r="F21" s="146">
        <f>SUM(F10:F20)</f>
        <v>974000</v>
      </c>
      <c r="G21" s="147"/>
      <c r="H21" s="148"/>
      <c r="I21" s="146">
        <f>SUM(I10:I20)</f>
        <v>286473.33333333302</v>
      </c>
      <c r="J21" s="177"/>
      <c r="K21" s="169"/>
      <c r="L21" s="170"/>
    </row>
    <row r="22" spans="1:12" ht="16.2">
      <c r="A22" s="368" t="s">
        <v>43</v>
      </c>
      <c r="B22" s="369"/>
      <c r="C22" s="369"/>
      <c r="D22" s="369"/>
      <c r="E22" s="369"/>
      <c r="F22" s="158">
        <f>F21+F9</f>
        <v>6574000</v>
      </c>
      <c r="G22" s="159"/>
      <c r="H22" s="160"/>
      <c r="I22" s="158">
        <f>I21+I9</f>
        <v>1123906.66666667</v>
      </c>
      <c r="J22" s="178"/>
      <c r="K22" s="179"/>
      <c r="L22" s="180"/>
    </row>
    <row r="23" spans="1:12" ht="17.25" customHeight="1"/>
    <row r="24" spans="1:12" ht="16.5" customHeight="1">
      <c r="A24" s="122" t="s">
        <v>119</v>
      </c>
    </row>
    <row r="25" spans="1:12" ht="16.5" customHeight="1">
      <c r="A25" s="122">
        <v>1</v>
      </c>
      <c r="B25" s="161" t="s">
        <v>366</v>
      </c>
    </row>
  </sheetData>
  <mergeCells count="2">
    <mergeCell ref="A22:E22"/>
    <mergeCell ref="L3:L6"/>
  </mergeCells>
  <phoneticPr fontId="30"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L36"/>
  <sheetViews>
    <sheetView zoomScale="84" zoomScaleNormal="84" workbookViewId="0">
      <pane xSplit="1" ySplit="2" topLeftCell="B14" activePane="bottomRight" state="frozen"/>
      <selection pane="topRight"/>
      <selection pane="bottomLeft"/>
      <selection pane="bottomRight" activeCell="I19" sqref="I19"/>
    </sheetView>
  </sheetViews>
  <sheetFormatPr defaultColWidth="9" defaultRowHeight="15.6"/>
  <cols>
    <col min="1" max="1" width="5.44140625" style="51" customWidth="1"/>
    <col min="2" max="2" width="27.109375" style="52" customWidth="1"/>
    <col min="3" max="3" width="15.109375" style="53" customWidth="1"/>
    <col min="4" max="4" width="7.77734375" style="48" customWidth="1"/>
    <col min="5" max="5" width="7.33203125" style="54" customWidth="1"/>
    <col min="6" max="6" width="17.109375" style="55" customWidth="1"/>
    <col min="7" max="7" width="19.44140625" style="56" customWidth="1"/>
    <col min="8" max="9" width="15.33203125" style="56" customWidth="1"/>
    <col min="10" max="10" width="21" style="56" customWidth="1"/>
    <col min="11" max="11" width="15.6640625" style="54" customWidth="1"/>
    <col min="12" max="12" width="14.6640625" style="48" customWidth="1"/>
    <col min="13" max="16384" width="9" style="54"/>
  </cols>
  <sheetData>
    <row r="1" spans="1:12" s="45" customFormat="1" ht="16.2">
      <c r="A1" s="57" t="s">
        <v>89</v>
      </c>
      <c r="B1" s="58" t="s">
        <v>90</v>
      </c>
      <c r="C1" s="59" t="s">
        <v>90</v>
      </c>
      <c r="D1" s="60"/>
      <c r="E1" s="61" t="s">
        <v>90</v>
      </c>
      <c r="F1" s="62"/>
      <c r="G1" s="63"/>
      <c r="H1" s="63" t="s">
        <v>337</v>
      </c>
      <c r="I1" s="63" t="s">
        <v>337</v>
      </c>
      <c r="J1" s="63"/>
      <c r="K1" s="61"/>
      <c r="L1" s="105"/>
    </row>
    <row r="2" spans="1:12" ht="36">
      <c r="A2" s="64" t="s">
        <v>0</v>
      </c>
      <c r="B2" s="65" t="s">
        <v>301</v>
      </c>
      <c r="C2" s="66" t="s">
        <v>367</v>
      </c>
      <c r="D2" s="67" t="s">
        <v>338</v>
      </c>
      <c r="E2" s="67" t="s">
        <v>339</v>
      </c>
      <c r="F2" s="68" t="s">
        <v>340</v>
      </c>
      <c r="G2" s="69" t="s">
        <v>368</v>
      </c>
      <c r="H2" s="69" t="s">
        <v>342</v>
      </c>
      <c r="I2" s="69" t="s">
        <v>343</v>
      </c>
      <c r="J2" s="69" t="s">
        <v>344</v>
      </c>
      <c r="K2" s="106" t="s">
        <v>4</v>
      </c>
    </row>
    <row r="3" spans="1:12" s="46" customFormat="1" ht="27" customHeight="1">
      <c r="A3" s="70">
        <v>1</v>
      </c>
      <c r="B3" s="71" t="s">
        <v>369</v>
      </c>
      <c r="C3" s="71">
        <v>1200</v>
      </c>
      <c r="D3" s="71" t="s">
        <v>370</v>
      </c>
      <c r="E3" s="71">
        <v>1</v>
      </c>
      <c r="F3" s="72">
        <v>2000000</v>
      </c>
      <c r="G3" s="72">
        <f t="shared" ref="G3:G12" si="0">E3*F3</f>
        <v>2000000</v>
      </c>
      <c r="H3" s="73">
        <v>10</v>
      </c>
      <c r="I3" s="107">
        <v>0.1</v>
      </c>
      <c r="J3" s="108">
        <f t="shared" ref="J3:J12" si="1">G3*(1-I3)/H3</f>
        <v>180000</v>
      </c>
      <c r="K3" s="109"/>
      <c r="L3" s="110"/>
    </row>
    <row r="4" spans="1:12" s="46" customFormat="1" ht="27" customHeight="1">
      <c r="A4" s="70">
        <v>2</v>
      </c>
      <c r="B4" s="71" t="s">
        <v>371</v>
      </c>
      <c r="C4" s="71">
        <v>1000</v>
      </c>
      <c r="D4" s="71" t="s">
        <v>370</v>
      </c>
      <c r="E4" s="71">
        <v>1</v>
      </c>
      <c r="F4" s="72">
        <v>18000000</v>
      </c>
      <c r="G4" s="72">
        <f t="shared" si="0"/>
        <v>18000000</v>
      </c>
      <c r="H4" s="73">
        <v>10</v>
      </c>
      <c r="I4" s="107">
        <v>0.1</v>
      </c>
      <c r="J4" s="108">
        <f t="shared" si="1"/>
        <v>1620000</v>
      </c>
      <c r="K4" s="109"/>
    </row>
    <row r="5" spans="1:12" s="46" customFormat="1" ht="27" customHeight="1">
      <c r="A5" s="70">
        <v>3</v>
      </c>
      <c r="B5" s="71" t="s">
        <v>372</v>
      </c>
      <c r="C5" s="71">
        <v>500</v>
      </c>
      <c r="D5" s="71" t="s">
        <v>370</v>
      </c>
      <c r="E5" s="74">
        <v>1</v>
      </c>
      <c r="F5" s="72">
        <v>5000000</v>
      </c>
      <c r="G5" s="72">
        <f t="shared" si="0"/>
        <v>5000000</v>
      </c>
      <c r="H5" s="73">
        <v>10</v>
      </c>
      <c r="I5" s="107">
        <v>0.1</v>
      </c>
      <c r="J5" s="108">
        <f t="shared" si="1"/>
        <v>450000</v>
      </c>
      <c r="K5" s="109"/>
    </row>
    <row r="6" spans="1:12" s="46" customFormat="1" ht="27" customHeight="1">
      <c r="A6" s="70">
        <v>4</v>
      </c>
      <c r="B6" s="71" t="s">
        <v>286</v>
      </c>
      <c r="C6" s="71" t="s">
        <v>373</v>
      </c>
      <c r="D6" s="71" t="s">
        <v>370</v>
      </c>
      <c r="E6" s="74">
        <v>1</v>
      </c>
      <c r="F6" s="72">
        <v>3000000</v>
      </c>
      <c r="G6" s="72">
        <f t="shared" si="0"/>
        <v>3000000</v>
      </c>
      <c r="H6" s="73">
        <v>10</v>
      </c>
      <c r="I6" s="107">
        <v>0.1</v>
      </c>
      <c r="J6" s="108">
        <f t="shared" si="1"/>
        <v>270000</v>
      </c>
      <c r="K6" s="109"/>
    </row>
    <row r="7" spans="1:12" s="46" customFormat="1" ht="27" customHeight="1">
      <c r="A7" s="70">
        <v>5</v>
      </c>
      <c r="B7" s="71" t="s">
        <v>374</v>
      </c>
      <c r="C7" s="71" t="s">
        <v>375</v>
      </c>
      <c r="D7" s="71" t="s">
        <v>370</v>
      </c>
      <c r="E7" s="74">
        <v>2</v>
      </c>
      <c r="F7" s="72">
        <v>400000</v>
      </c>
      <c r="G7" s="72">
        <f t="shared" si="0"/>
        <v>800000</v>
      </c>
      <c r="H7" s="73">
        <v>10</v>
      </c>
      <c r="I7" s="107">
        <v>0.1</v>
      </c>
      <c r="J7" s="108">
        <f t="shared" si="1"/>
        <v>72000</v>
      </c>
      <c r="K7" s="109"/>
    </row>
    <row r="8" spans="1:12" s="46" customFormat="1" ht="27" customHeight="1">
      <c r="A8" s="70">
        <v>6</v>
      </c>
      <c r="B8" s="71" t="s">
        <v>376</v>
      </c>
      <c r="C8" s="71" t="s">
        <v>377</v>
      </c>
      <c r="D8" s="71" t="s">
        <v>348</v>
      </c>
      <c r="E8" s="74">
        <v>6</v>
      </c>
      <c r="F8" s="72">
        <v>50000</v>
      </c>
      <c r="G8" s="72">
        <f t="shared" si="0"/>
        <v>300000</v>
      </c>
      <c r="H8" s="73">
        <v>10</v>
      </c>
      <c r="I8" s="107">
        <v>0.1</v>
      </c>
      <c r="J8" s="108">
        <f t="shared" si="1"/>
        <v>27000</v>
      </c>
      <c r="K8" s="109"/>
    </row>
    <row r="9" spans="1:12" s="46" customFormat="1" ht="27" customHeight="1">
      <c r="A9" s="70">
        <v>7</v>
      </c>
      <c r="B9" s="71" t="s">
        <v>378</v>
      </c>
      <c r="C9" s="71" t="s">
        <v>379</v>
      </c>
      <c r="D9" s="71" t="s">
        <v>348</v>
      </c>
      <c r="E9" s="74">
        <v>2</v>
      </c>
      <c r="F9" s="72">
        <v>40000</v>
      </c>
      <c r="G9" s="72">
        <f t="shared" si="0"/>
        <v>80000</v>
      </c>
      <c r="H9" s="73">
        <v>10</v>
      </c>
      <c r="I9" s="107">
        <v>0.1</v>
      </c>
      <c r="J9" s="108">
        <f t="shared" si="1"/>
        <v>7200</v>
      </c>
      <c r="K9" s="109"/>
    </row>
    <row r="10" spans="1:12" s="46" customFormat="1" ht="27" customHeight="1">
      <c r="A10" s="70">
        <v>8</v>
      </c>
      <c r="B10" s="71" t="s">
        <v>380</v>
      </c>
      <c r="C10" s="71" t="s">
        <v>381</v>
      </c>
      <c r="D10" s="71" t="s">
        <v>348</v>
      </c>
      <c r="E10" s="74">
        <v>2</v>
      </c>
      <c r="F10" s="72">
        <v>100000</v>
      </c>
      <c r="G10" s="72">
        <f t="shared" si="0"/>
        <v>200000</v>
      </c>
      <c r="H10" s="73">
        <v>10</v>
      </c>
      <c r="I10" s="107">
        <v>0.1</v>
      </c>
      <c r="J10" s="108">
        <f t="shared" si="1"/>
        <v>18000</v>
      </c>
      <c r="K10" s="109"/>
    </row>
    <row r="11" spans="1:12" s="46" customFormat="1" ht="27" customHeight="1">
      <c r="A11" s="70">
        <v>9</v>
      </c>
      <c r="B11" s="71" t="s">
        <v>382</v>
      </c>
      <c r="C11" s="71" t="s">
        <v>383</v>
      </c>
      <c r="D11" s="71" t="s">
        <v>370</v>
      </c>
      <c r="E11" s="74">
        <v>2</v>
      </c>
      <c r="F11" s="72">
        <v>120000</v>
      </c>
      <c r="G11" s="72">
        <f t="shared" si="0"/>
        <v>240000</v>
      </c>
      <c r="H11" s="73">
        <v>10</v>
      </c>
      <c r="I11" s="107">
        <v>0.1</v>
      </c>
      <c r="J11" s="108">
        <f t="shared" si="1"/>
        <v>21600</v>
      </c>
      <c r="K11" s="109"/>
    </row>
    <row r="12" spans="1:12" s="46" customFormat="1" ht="27" customHeight="1">
      <c r="A12" s="70">
        <v>10</v>
      </c>
      <c r="B12" s="75" t="s">
        <v>384</v>
      </c>
      <c r="C12" s="71"/>
      <c r="D12" s="71" t="s">
        <v>370</v>
      </c>
      <c r="E12" s="74">
        <v>1</v>
      </c>
      <c r="F12" s="76">
        <v>200000</v>
      </c>
      <c r="G12" s="72">
        <f t="shared" si="0"/>
        <v>200000</v>
      </c>
      <c r="H12" s="73">
        <v>10</v>
      </c>
      <c r="I12" s="107">
        <v>0.1</v>
      </c>
      <c r="J12" s="108">
        <f t="shared" si="1"/>
        <v>18000</v>
      </c>
      <c r="K12" s="109"/>
    </row>
    <row r="13" spans="1:12" s="47" customFormat="1" ht="17.399999999999999">
      <c r="A13" s="77"/>
      <c r="B13" s="78" t="s">
        <v>385</v>
      </c>
      <c r="C13" s="78" t="s">
        <v>386</v>
      </c>
      <c r="D13" s="79"/>
      <c r="E13" s="79"/>
      <c r="F13" s="79"/>
      <c r="G13" s="80">
        <f>SUM(G3:G12)</f>
        <v>29820000</v>
      </c>
      <c r="H13" s="81"/>
      <c r="I13" s="81"/>
      <c r="J13" s="81">
        <f>SUM(J3:J12)</f>
        <v>2683800</v>
      </c>
      <c r="K13" s="111"/>
      <c r="L13" s="112"/>
    </row>
    <row r="14" spans="1:12" s="48" customFormat="1" ht="16.5" customHeight="1">
      <c r="A14" s="82">
        <v>1</v>
      </c>
      <c r="B14" s="83" t="s">
        <v>387</v>
      </c>
      <c r="C14" s="84"/>
      <c r="D14" s="85" t="s">
        <v>388</v>
      </c>
      <c r="E14" s="86">
        <v>1</v>
      </c>
      <c r="F14" s="87">
        <v>50000</v>
      </c>
      <c r="G14" s="88">
        <f>F14*E14</f>
        <v>50000</v>
      </c>
      <c r="H14" s="89">
        <v>5</v>
      </c>
      <c r="I14" s="113">
        <v>0.03</v>
      </c>
      <c r="J14" s="88">
        <f t="shared" ref="J14:J29" si="2">G14*(1-I14)/H14</f>
        <v>9700</v>
      </c>
      <c r="K14" s="114"/>
    </row>
    <row r="15" spans="1:12" s="48" customFormat="1" ht="16.5" customHeight="1">
      <c r="A15" s="82">
        <v>2</v>
      </c>
      <c r="B15" s="83" t="s">
        <v>389</v>
      </c>
      <c r="C15" s="84"/>
      <c r="D15" s="85" t="s">
        <v>348</v>
      </c>
      <c r="E15" s="86">
        <v>4</v>
      </c>
      <c r="F15" s="90">
        <v>3000</v>
      </c>
      <c r="G15" s="88">
        <f t="shared" ref="G15:G18" si="3">F15*E15</f>
        <v>12000</v>
      </c>
      <c r="H15" s="89">
        <v>5</v>
      </c>
      <c r="I15" s="113">
        <v>0.03</v>
      </c>
      <c r="J15" s="88">
        <f t="shared" si="2"/>
        <v>2328</v>
      </c>
      <c r="K15" s="114"/>
    </row>
    <row r="16" spans="1:12" s="48" customFormat="1" ht="16.5" customHeight="1">
      <c r="A16" s="82">
        <v>3</v>
      </c>
      <c r="B16" s="83" t="s">
        <v>390</v>
      </c>
      <c r="C16" s="84"/>
      <c r="D16" s="85" t="s">
        <v>348</v>
      </c>
      <c r="E16" s="86">
        <v>1</v>
      </c>
      <c r="F16" s="90">
        <v>50000</v>
      </c>
      <c r="G16" s="88">
        <f t="shared" si="3"/>
        <v>50000</v>
      </c>
      <c r="H16" s="89">
        <v>5</v>
      </c>
      <c r="I16" s="113">
        <v>0.03</v>
      </c>
      <c r="J16" s="88">
        <f t="shared" si="2"/>
        <v>9700</v>
      </c>
      <c r="K16" s="114"/>
    </row>
    <row r="17" spans="1:12" s="48" customFormat="1" ht="16.5" customHeight="1">
      <c r="A17" s="82">
        <v>4</v>
      </c>
      <c r="B17" s="83" t="s">
        <v>391</v>
      </c>
      <c r="C17" s="84"/>
      <c r="D17" s="85" t="s">
        <v>348</v>
      </c>
      <c r="E17" s="86">
        <v>1</v>
      </c>
      <c r="F17" s="90">
        <v>50000</v>
      </c>
      <c r="G17" s="88">
        <f t="shared" si="3"/>
        <v>50000</v>
      </c>
      <c r="H17" s="89">
        <v>5</v>
      </c>
      <c r="I17" s="113">
        <v>0.03</v>
      </c>
      <c r="J17" s="88">
        <f t="shared" si="2"/>
        <v>9700</v>
      </c>
      <c r="K17" s="114"/>
    </row>
    <row r="18" spans="1:12" s="48" customFormat="1" ht="16.5" customHeight="1">
      <c r="A18" s="82">
        <v>5</v>
      </c>
      <c r="B18" s="83" t="s">
        <v>392</v>
      </c>
      <c r="C18" s="84"/>
      <c r="D18" s="85" t="s">
        <v>348</v>
      </c>
      <c r="E18" s="86">
        <v>2</v>
      </c>
      <c r="F18" s="90">
        <v>20000</v>
      </c>
      <c r="G18" s="88">
        <f t="shared" si="3"/>
        <v>40000</v>
      </c>
      <c r="H18" s="89">
        <v>5</v>
      </c>
      <c r="I18" s="113">
        <v>0.03</v>
      </c>
      <c r="J18" s="88">
        <f t="shared" si="2"/>
        <v>7760</v>
      </c>
      <c r="K18" s="114"/>
    </row>
    <row r="19" spans="1:12" s="45" customFormat="1" ht="17.399999999999999">
      <c r="A19" s="91"/>
      <c r="B19" s="78" t="s">
        <v>385</v>
      </c>
      <c r="C19" s="78" t="s">
        <v>393</v>
      </c>
      <c r="D19" s="79"/>
      <c r="E19" s="79"/>
      <c r="F19" s="79"/>
      <c r="G19" s="92">
        <f>SUM(G14:G18)</f>
        <v>202000</v>
      </c>
      <c r="H19" s="92"/>
      <c r="I19" s="92"/>
      <c r="J19" s="92">
        <f>SUM(J14:J18)</f>
        <v>39188</v>
      </c>
      <c r="K19" s="111"/>
      <c r="L19" s="105"/>
    </row>
    <row r="20" spans="1:12" s="46" customFormat="1" ht="27" customHeight="1">
      <c r="A20" s="70">
        <v>1</v>
      </c>
      <c r="B20" s="71" t="s">
        <v>331</v>
      </c>
      <c r="C20" s="71"/>
      <c r="D20" s="71" t="s">
        <v>370</v>
      </c>
      <c r="E20" s="74">
        <v>2</v>
      </c>
      <c r="F20" s="72">
        <v>350000</v>
      </c>
      <c r="G20" s="72">
        <f t="shared" ref="G20:G29" si="4">E20*F20</f>
        <v>700000</v>
      </c>
      <c r="H20" s="73">
        <v>10</v>
      </c>
      <c r="I20" s="107">
        <v>0.1</v>
      </c>
      <c r="J20" s="108">
        <f t="shared" si="2"/>
        <v>63000</v>
      </c>
      <c r="K20" s="109"/>
    </row>
    <row r="21" spans="1:12" s="46" customFormat="1" ht="27" customHeight="1">
      <c r="A21" s="70">
        <v>2</v>
      </c>
      <c r="B21" s="71" t="s">
        <v>394</v>
      </c>
      <c r="C21" s="71"/>
      <c r="D21" s="71" t="s">
        <v>370</v>
      </c>
      <c r="E21" s="74">
        <v>1</v>
      </c>
      <c r="F21" s="72">
        <v>150000</v>
      </c>
      <c r="G21" s="72">
        <f t="shared" si="4"/>
        <v>150000</v>
      </c>
      <c r="H21" s="73">
        <v>10</v>
      </c>
      <c r="I21" s="107">
        <v>0.1</v>
      </c>
      <c r="J21" s="108">
        <f t="shared" si="2"/>
        <v>13500</v>
      </c>
      <c r="K21" s="109"/>
    </row>
    <row r="22" spans="1:12" s="46" customFormat="1" ht="27" customHeight="1">
      <c r="A22" s="70">
        <v>3</v>
      </c>
      <c r="B22" s="71" t="s">
        <v>395</v>
      </c>
      <c r="C22" s="71"/>
      <c r="D22" s="71" t="s">
        <v>370</v>
      </c>
      <c r="E22" s="74">
        <v>1</v>
      </c>
      <c r="F22" s="72">
        <v>150000</v>
      </c>
      <c r="G22" s="72">
        <f t="shared" si="4"/>
        <v>150000</v>
      </c>
      <c r="H22" s="73">
        <v>10</v>
      </c>
      <c r="I22" s="107">
        <v>0.1</v>
      </c>
      <c r="J22" s="108">
        <f t="shared" si="2"/>
        <v>13500</v>
      </c>
      <c r="K22" s="109"/>
    </row>
    <row r="23" spans="1:12" s="46" customFormat="1" ht="27" customHeight="1">
      <c r="A23" s="70">
        <v>4</v>
      </c>
      <c r="B23" s="71" t="s">
        <v>396</v>
      </c>
      <c r="C23" s="71"/>
      <c r="D23" s="71" t="s">
        <v>370</v>
      </c>
      <c r="E23" s="74">
        <v>1</v>
      </c>
      <c r="F23" s="72">
        <v>250000</v>
      </c>
      <c r="G23" s="72">
        <f t="shared" si="4"/>
        <v>250000</v>
      </c>
      <c r="H23" s="73">
        <v>10</v>
      </c>
      <c r="I23" s="107">
        <v>0.1</v>
      </c>
      <c r="J23" s="108">
        <f t="shared" si="2"/>
        <v>22500</v>
      </c>
      <c r="K23" s="109"/>
    </row>
    <row r="24" spans="1:12" s="46" customFormat="1" ht="27" customHeight="1">
      <c r="A24" s="70">
        <v>5</v>
      </c>
      <c r="B24" s="71" t="s">
        <v>397</v>
      </c>
      <c r="C24" s="71"/>
      <c r="D24" s="71" t="s">
        <v>370</v>
      </c>
      <c r="E24" s="74">
        <v>1</v>
      </c>
      <c r="F24" s="72">
        <v>500000</v>
      </c>
      <c r="G24" s="72">
        <f t="shared" si="4"/>
        <v>500000</v>
      </c>
      <c r="H24" s="73">
        <v>10</v>
      </c>
      <c r="I24" s="107">
        <v>0.1</v>
      </c>
      <c r="J24" s="108">
        <f t="shared" si="2"/>
        <v>45000</v>
      </c>
      <c r="K24" s="109"/>
    </row>
    <row r="25" spans="1:12" s="46" customFormat="1" ht="27" customHeight="1">
      <c r="A25" s="70">
        <v>6</v>
      </c>
      <c r="B25" s="71" t="s">
        <v>334</v>
      </c>
      <c r="C25" s="75"/>
      <c r="D25" s="71" t="s">
        <v>370</v>
      </c>
      <c r="E25" s="74">
        <v>1</v>
      </c>
      <c r="F25" s="72">
        <v>5000000</v>
      </c>
      <c r="G25" s="76">
        <f t="shared" si="4"/>
        <v>5000000</v>
      </c>
      <c r="H25" s="73">
        <v>10</v>
      </c>
      <c r="I25" s="107">
        <v>0.1</v>
      </c>
      <c r="J25" s="108">
        <f t="shared" si="2"/>
        <v>450000</v>
      </c>
      <c r="K25" s="109"/>
    </row>
    <row r="26" spans="1:12" s="46" customFormat="1" ht="27" customHeight="1">
      <c r="A26" s="70">
        <v>7</v>
      </c>
      <c r="B26" s="71" t="s">
        <v>398</v>
      </c>
      <c r="C26" s="75"/>
      <c r="D26" s="71" t="s">
        <v>370</v>
      </c>
      <c r="E26" s="74">
        <v>1</v>
      </c>
      <c r="F26" s="72">
        <v>3000000</v>
      </c>
      <c r="G26" s="76">
        <f t="shared" si="4"/>
        <v>3000000</v>
      </c>
      <c r="H26" s="73">
        <v>10</v>
      </c>
      <c r="I26" s="107">
        <v>0.1</v>
      </c>
      <c r="J26" s="108">
        <f t="shared" si="2"/>
        <v>270000</v>
      </c>
      <c r="K26" s="109"/>
    </row>
    <row r="27" spans="1:12" s="46" customFormat="1" ht="27" customHeight="1">
      <c r="A27" s="70">
        <v>8</v>
      </c>
      <c r="B27" s="71" t="s">
        <v>399</v>
      </c>
      <c r="C27" s="75"/>
      <c r="D27" s="71" t="s">
        <v>370</v>
      </c>
      <c r="E27" s="74">
        <v>1</v>
      </c>
      <c r="F27" s="72">
        <v>2000000</v>
      </c>
      <c r="G27" s="76">
        <f t="shared" si="4"/>
        <v>2000000</v>
      </c>
      <c r="H27" s="73">
        <v>10</v>
      </c>
      <c r="I27" s="107">
        <v>0.1</v>
      </c>
      <c r="J27" s="108">
        <f t="shared" si="2"/>
        <v>180000</v>
      </c>
      <c r="K27" s="109"/>
    </row>
    <row r="28" spans="1:12" s="46" customFormat="1" ht="27" customHeight="1">
      <c r="A28" s="70">
        <v>9</v>
      </c>
      <c r="B28" s="71" t="s">
        <v>400</v>
      </c>
      <c r="C28" s="75"/>
      <c r="D28" s="71" t="s">
        <v>370</v>
      </c>
      <c r="E28" s="74">
        <v>1</v>
      </c>
      <c r="F28" s="72">
        <v>1500000</v>
      </c>
      <c r="G28" s="76">
        <f t="shared" si="4"/>
        <v>1500000</v>
      </c>
      <c r="H28" s="73">
        <v>10</v>
      </c>
      <c r="I28" s="107">
        <v>0.1</v>
      </c>
      <c r="J28" s="108">
        <f t="shared" si="2"/>
        <v>135000</v>
      </c>
      <c r="K28" s="109"/>
    </row>
    <row r="29" spans="1:12" s="46" customFormat="1" ht="27" customHeight="1">
      <c r="A29" s="70">
        <v>10</v>
      </c>
      <c r="B29" s="71" t="s">
        <v>401</v>
      </c>
      <c r="C29" s="75"/>
      <c r="D29" s="71" t="s">
        <v>370</v>
      </c>
      <c r="E29" s="74">
        <v>1</v>
      </c>
      <c r="F29" s="72">
        <v>500000</v>
      </c>
      <c r="G29" s="76">
        <f t="shared" si="4"/>
        <v>500000</v>
      </c>
      <c r="H29" s="73">
        <v>10</v>
      </c>
      <c r="I29" s="107">
        <v>0.1</v>
      </c>
      <c r="J29" s="108">
        <f t="shared" si="2"/>
        <v>45000</v>
      </c>
      <c r="K29" s="109"/>
    </row>
    <row r="30" spans="1:12" s="49" customFormat="1" ht="17.399999999999999">
      <c r="A30" s="93"/>
      <c r="B30" s="94" t="s">
        <v>385</v>
      </c>
      <c r="C30" s="94" t="s">
        <v>402</v>
      </c>
      <c r="D30" s="95"/>
      <c r="E30" s="95"/>
      <c r="F30" s="95"/>
      <c r="G30" s="81">
        <f>SUM(G20:G29)</f>
        <v>13750000</v>
      </c>
      <c r="H30" s="81"/>
      <c r="I30" s="81"/>
      <c r="J30" s="81">
        <f>SUM(J20:J29)</f>
        <v>1237500</v>
      </c>
      <c r="K30" s="115"/>
      <c r="L30" s="116"/>
    </row>
    <row r="31" spans="1:12" s="50" customFormat="1" ht="20.399999999999999">
      <c r="A31" s="96"/>
      <c r="B31" s="97" t="s">
        <v>403</v>
      </c>
      <c r="C31" s="97"/>
      <c r="D31" s="97"/>
      <c r="E31" s="97"/>
      <c r="F31" s="98"/>
      <c r="G31" s="99"/>
      <c r="H31" s="99"/>
      <c r="I31" s="99"/>
      <c r="J31" s="99">
        <f>J30+J19+J13</f>
        <v>3960488</v>
      </c>
      <c r="K31" s="117"/>
      <c r="L31" s="118"/>
    </row>
    <row r="32" spans="1:12" ht="16.2">
      <c r="A32" s="100" t="s">
        <v>404</v>
      </c>
      <c r="B32" s="101"/>
      <c r="C32" s="101"/>
      <c r="D32" s="102"/>
      <c r="E32" s="101"/>
      <c r="F32" s="103"/>
      <c r="G32" s="104"/>
      <c r="H32" s="104"/>
      <c r="I32" s="104"/>
      <c r="J32" s="104"/>
      <c r="K32" s="119"/>
      <c r="L32" s="105"/>
    </row>
    <row r="35" spans="1:2">
      <c r="A35" s="51" t="s">
        <v>4</v>
      </c>
    </row>
    <row r="36" spans="1:2">
      <c r="A36" s="51">
        <v>1</v>
      </c>
      <c r="B36" s="53" t="s">
        <v>405</v>
      </c>
    </row>
  </sheetData>
  <phoneticPr fontId="30" type="noConversion"/>
  <pageMargins left="0.7" right="0.7" top="0.75" bottom="0.75" header="0.3" footer="0.3"/>
  <pageSetup paperSize="9" orientation="portrait"/>
  <ignoredErrors>
    <ignoredError sqref="G13 J13" formula="1"/>
  </ignoredErrors>
</worksheet>
</file>

<file path=xl/worksheets/sheet12.xml><?xml version="1.0" encoding="utf-8"?>
<worksheet xmlns="http://schemas.openxmlformats.org/spreadsheetml/2006/main" xmlns:r="http://schemas.openxmlformats.org/officeDocument/2006/relationships">
  <dimension ref="A1:E10"/>
  <sheetViews>
    <sheetView zoomScale="93" zoomScaleNormal="93" workbookViewId="0">
      <selection activeCell="C2" sqref="C2:C5"/>
    </sheetView>
  </sheetViews>
  <sheetFormatPr defaultColWidth="9" defaultRowHeight="15.6"/>
  <cols>
    <col min="1" max="1" width="25.77734375" style="33" customWidth="1"/>
    <col min="2" max="3" width="14.88671875" style="34" customWidth="1"/>
    <col min="4" max="4" width="16.109375" style="34" customWidth="1"/>
    <col min="5" max="7" width="17.44140625" style="34" customWidth="1"/>
    <col min="8" max="16384" width="9" style="34"/>
  </cols>
  <sheetData>
    <row r="1" spans="1:5" ht="16.2">
      <c r="A1" s="35" t="s">
        <v>42</v>
      </c>
      <c r="B1" s="36" t="s">
        <v>406</v>
      </c>
      <c r="C1" s="36" t="s">
        <v>407</v>
      </c>
      <c r="D1" s="36" t="s">
        <v>43</v>
      </c>
      <c r="E1" s="36" t="s">
        <v>89</v>
      </c>
    </row>
    <row r="2" spans="1:5">
      <c r="A2" s="37" t="s">
        <v>408</v>
      </c>
      <c r="B2" s="38">
        <v>12000000</v>
      </c>
      <c r="C2" s="38">
        <v>365000</v>
      </c>
      <c r="D2" s="39">
        <f>SUM(B2:C2)</f>
        <v>12365000</v>
      </c>
      <c r="E2" s="40" t="s">
        <v>122</v>
      </c>
    </row>
    <row r="3" spans="1:5">
      <c r="A3" s="37" t="s">
        <v>409</v>
      </c>
      <c r="B3" s="38">
        <v>42000</v>
      </c>
      <c r="C3" s="28">
        <v>1000</v>
      </c>
      <c r="D3" s="39">
        <f>SUM(B3:C3)</f>
        <v>43000</v>
      </c>
      <c r="E3" s="40" t="s">
        <v>90</v>
      </c>
    </row>
    <row r="4" spans="1:5">
      <c r="A4" s="37" t="s">
        <v>410</v>
      </c>
      <c r="B4" s="28" t="s">
        <v>411</v>
      </c>
      <c r="C4" s="28"/>
      <c r="D4" s="40"/>
      <c r="E4" s="40" t="s">
        <v>122</v>
      </c>
    </row>
    <row r="5" spans="1:5">
      <c r="A5" s="37" t="s">
        <v>412</v>
      </c>
      <c r="B5" s="38">
        <v>15000</v>
      </c>
      <c r="C5" s="28">
        <v>200</v>
      </c>
      <c r="D5" s="40">
        <f>SUM(B5:C5)</f>
        <v>15200</v>
      </c>
      <c r="E5" s="40" t="s">
        <v>90</v>
      </c>
    </row>
    <row r="6" spans="1:5">
      <c r="A6" s="41" t="s">
        <v>413</v>
      </c>
      <c r="B6" s="42"/>
      <c r="C6" s="42"/>
      <c r="D6" s="42"/>
      <c r="E6" s="42"/>
    </row>
    <row r="7" spans="1:5">
      <c r="A7" s="37" t="s">
        <v>414</v>
      </c>
      <c r="B7" s="43">
        <f>(B5/B3)*B2</f>
        <v>4285714.2857142901</v>
      </c>
      <c r="C7" s="43">
        <f>(C5/C3)*C2</f>
        <v>73000</v>
      </c>
      <c r="D7" s="44">
        <f>SUM(B7:C7)</f>
        <v>4358714.2857142901</v>
      </c>
      <c r="E7" s="40"/>
    </row>
    <row r="9" spans="1:5">
      <c r="A9" s="33" t="s">
        <v>415</v>
      </c>
      <c r="B9" s="33"/>
    </row>
    <row r="10" spans="1:5">
      <c r="A10" s="33" t="s">
        <v>416</v>
      </c>
      <c r="B10" s="33"/>
    </row>
  </sheetData>
  <phoneticPr fontId="30" type="noConversion"/>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dimension ref="A1:H20"/>
  <sheetViews>
    <sheetView workbookViewId="0">
      <selection activeCell="I10" sqref="I10"/>
    </sheetView>
  </sheetViews>
  <sheetFormatPr defaultColWidth="9" defaultRowHeight="15.6"/>
  <cols>
    <col min="1" max="1" width="5.21875" style="1" customWidth="1"/>
    <col min="2" max="2" width="8.88671875" style="1" customWidth="1"/>
    <col min="3" max="3" width="23.77734375" style="2" customWidth="1"/>
    <col min="4" max="4" width="9.21875" style="2" customWidth="1"/>
    <col min="5" max="5" width="18" style="1" customWidth="1"/>
    <col min="6" max="6" width="7.33203125" style="2" customWidth="1"/>
    <col min="7" max="7" width="19.44140625" style="2" customWidth="1"/>
    <col min="8" max="8" width="12.33203125" style="1" customWidth="1"/>
    <col min="9" max="11" width="19.44140625" style="2" customWidth="1"/>
    <col min="12" max="16384" width="9" style="2"/>
  </cols>
  <sheetData>
    <row r="1" spans="1:8" ht="16.2">
      <c r="A1" s="21" t="s">
        <v>0</v>
      </c>
      <c r="B1" s="22" t="s">
        <v>114</v>
      </c>
      <c r="C1" s="23" t="s">
        <v>417</v>
      </c>
      <c r="D1" s="23" t="s">
        <v>338</v>
      </c>
      <c r="E1" s="22" t="s">
        <v>45</v>
      </c>
      <c r="F1" s="24" t="s">
        <v>89</v>
      </c>
      <c r="G1" s="23" t="s">
        <v>418</v>
      </c>
      <c r="H1" s="25" t="s">
        <v>419</v>
      </c>
    </row>
    <row r="2" spans="1:8" s="20" customFormat="1" ht="16.5" customHeight="1">
      <c r="A2" s="371">
        <v>1</v>
      </c>
      <c r="B2" s="373" t="s">
        <v>420</v>
      </c>
      <c r="C2" s="27" t="s">
        <v>421</v>
      </c>
      <c r="D2" s="27" t="s">
        <v>422</v>
      </c>
      <c r="E2" s="28" t="s">
        <v>423</v>
      </c>
      <c r="F2" s="27" t="s">
        <v>121</v>
      </c>
      <c r="G2" s="376"/>
      <c r="H2" s="379">
        <f>E11*30*0.6*1.09</f>
        <v>18639</v>
      </c>
    </row>
    <row r="3" spans="1:8" s="20" customFormat="1">
      <c r="A3" s="371"/>
      <c r="B3" s="373"/>
      <c r="C3" s="27" t="s">
        <v>424</v>
      </c>
      <c r="D3" s="27" t="s">
        <v>425</v>
      </c>
      <c r="E3" s="28" t="s">
        <v>426</v>
      </c>
      <c r="F3" s="27" t="s">
        <v>121</v>
      </c>
      <c r="G3" s="377"/>
      <c r="H3" s="380"/>
    </row>
    <row r="4" spans="1:8" s="20" customFormat="1">
      <c r="A4" s="371"/>
      <c r="B4" s="373"/>
      <c r="C4" s="27" t="s">
        <v>427</v>
      </c>
      <c r="D4" s="27" t="s">
        <v>428</v>
      </c>
      <c r="E4" s="28"/>
      <c r="F4" s="27" t="s">
        <v>121</v>
      </c>
      <c r="G4" s="377"/>
      <c r="H4" s="380"/>
    </row>
    <row r="5" spans="1:8" s="20" customFormat="1">
      <c r="A5" s="371"/>
      <c r="B5" s="373"/>
      <c r="C5" s="27" t="s">
        <v>429</v>
      </c>
      <c r="D5" s="27" t="s">
        <v>425</v>
      </c>
      <c r="E5" s="28"/>
      <c r="F5" s="27" t="s">
        <v>121</v>
      </c>
      <c r="G5" s="378"/>
      <c r="H5" s="381"/>
    </row>
    <row r="6" spans="1:8" s="20" customFormat="1">
      <c r="A6" s="371">
        <v>2</v>
      </c>
      <c r="B6" s="374" t="s">
        <v>430</v>
      </c>
      <c r="C6" s="27" t="s">
        <v>431</v>
      </c>
      <c r="D6" s="27" t="s">
        <v>432</v>
      </c>
      <c r="E6" s="28"/>
      <c r="F6" s="27" t="s">
        <v>433</v>
      </c>
      <c r="G6" s="27" t="s">
        <v>434</v>
      </c>
      <c r="H6" s="29"/>
    </row>
    <row r="7" spans="1:8" s="20" customFormat="1">
      <c r="A7" s="371"/>
      <c r="B7" s="374"/>
      <c r="C7" s="27" t="s">
        <v>435</v>
      </c>
      <c r="D7" s="27"/>
      <c r="E7" s="28"/>
      <c r="F7" s="27" t="s">
        <v>433</v>
      </c>
      <c r="G7" s="27" t="s">
        <v>436</v>
      </c>
      <c r="H7" s="29"/>
    </row>
    <row r="8" spans="1:8" s="20" customFormat="1">
      <c r="A8" s="371"/>
      <c r="B8" s="374"/>
      <c r="C8" s="27" t="s">
        <v>437</v>
      </c>
      <c r="D8" s="27"/>
      <c r="E8" s="28"/>
      <c r="F8" s="27" t="s">
        <v>433</v>
      </c>
      <c r="G8" s="27" t="s">
        <v>438</v>
      </c>
      <c r="H8" s="29"/>
    </row>
    <row r="9" spans="1:8" s="20" customFormat="1">
      <c r="A9" s="371"/>
      <c r="B9" s="374"/>
      <c r="C9" s="27" t="s">
        <v>439</v>
      </c>
      <c r="D9" s="27"/>
      <c r="E9" s="28"/>
      <c r="F9" s="27" t="s">
        <v>433</v>
      </c>
      <c r="G9" s="27"/>
      <c r="H9" s="29"/>
    </row>
    <row r="10" spans="1:8" s="20" customFormat="1">
      <c r="A10" s="371"/>
      <c r="B10" s="374"/>
      <c r="C10" s="27" t="s">
        <v>440</v>
      </c>
      <c r="D10" s="27"/>
      <c r="E10" s="28"/>
      <c r="F10" s="27" t="s">
        <v>433</v>
      </c>
      <c r="G10" s="8"/>
      <c r="H10" s="29"/>
    </row>
    <row r="11" spans="1:8" s="20" customFormat="1">
      <c r="A11" s="371">
        <v>3</v>
      </c>
      <c r="B11" s="374" t="s">
        <v>441</v>
      </c>
      <c r="C11" s="27" t="s">
        <v>431</v>
      </c>
      <c r="D11" s="27" t="s">
        <v>442</v>
      </c>
      <c r="E11" s="28">
        <v>950</v>
      </c>
      <c r="F11" s="27" t="s">
        <v>433</v>
      </c>
      <c r="G11" s="27" t="s">
        <v>443</v>
      </c>
      <c r="H11" s="29"/>
    </row>
    <row r="12" spans="1:8" s="20" customFormat="1">
      <c r="A12" s="371"/>
      <c r="B12" s="374"/>
      <c r="C12" s="27" t="s">
        <v>444</v>
      </c>
      <c r="D12" s="27"/>
      <c r="E12" s="28" t="s">
        <v>445</v>
      </c>
      <c r="F12" s="27" t="s">
        <v>433</v>
      </c>
      <c r="G12" s="27" t="s">
        <v>438</v>
      </c>
      <c r="H12" s="29">
        <f>H2</f>
        <v>18639</v>
      </c>
    </row>
    <row r="13" spans="1:8" s="20" customFormat="1">
      <c r="A13" s="371"/>
      <c r="B13" s="374"/>
      <c r="C13" s="27" t="s">
        <v>446</v>
      </c>
      <c r="D13" s="27"/>
      <c r="E13" s="28" t="s">
        <v>447</v>
      </c>
      <c r="F13" s="27" t="s">
        <v>433</v>
      </c>
      <c r="G13" s="27"/>
      <c r="H13" s="29"/>
    </row>
    <row r="14" spans="1:8" s="20" customFormat="1">
      <c r="A14" s="371"/>
      <c r="B14" s="374"/>
      <c r="C14" s="27" t="s">
        <v>448</v>
      </c>
      <c r="D14" s="27"/>
      <c r="E14" s="28"/>
      <c r="F14" s="27" t="s">
        <v>433</v>
      </c>
      <c r="G14" s="27"/>
      <c r="H14" s="29"/>
    </row>
    <row r="15" spans="1:8" s="20" customFormat="1">
      <c r="A15" s="371"/>
      <c r="B15" s="374"/>
      <c r="C15" s="27" t="s">
        <v>449</v>
      </c>
      <c r="D15" s="27"/>
      <c r="E15" s="28" t="s">
        <v>450</v>
      </c>
      <c r="F15" s="27" t="s">
        <v>433</v>
      </c>
      <c r="G15" s="27"/>
      <c r="H15" s="29"/>
    </row>
    <row r="16" spans="1:8" s="20" customFormat="1">
      <c r="A16" s="371">
        <v>3</v>
      </c>
      <c r="B16" s="374" t="s">
        <v>451</v>
      </c>
      <c r="C16" s="27" t="s">
        <v>431</v>
      </c>
      <c r="D16" s="27" t="s">
        <v>442</v>
      </c>
      <c r="E16" s="28"/>
      <c r="F16" s="27" t="s">
        <v>433</v>
      </c>
      <c r="G16" s="27" t="s">
        <v>452</v>
      </c>
      <c r="H16" s="29"/>
    </row>
    <row r="17" spans="1:8" s="20" customFormat="1">
      <c r="A17" s="371"/>
      <c r="B17" s="374"/>
      <c r="C17" s="27" t="s">
        <v>453</v>
      </c>
      <c r="D17" s="27"/>
      <c r="E17" s="28"/>
      <c r="F17" s="27" t="s">
        <v>433</v>
      </c>
      <c r="G17" s="7" t="s">
        <v>454</v>
      </c>
      <c r="H17" s="29"/>
    </row>
    <row r="18" spans="1:8" s="20" customFormat="1">
      <c r="A18" s="371"/>
      <c r="B18" s="374"/>
      <c r="C18" s="27" t="s">
        <v>455</v>
      </c>
      <c r="D18" s="27"/>
      <c r="E18" s="28"/>
      <c r="F18" s="27" t="s">
        <v>433</v>
      </c>
      <c r="G18" s="27"/>
      <c r="H18" s="29"/>
    </row>
    <row r="19" spans="1:8" s="20" customFormat="1">
      <c r="A19" s="371"/>
      <c r="B19" s="374"/>
      <c r="C19" s="27" t="s">
        <v>456</v>
      </c>
      <c r="D19" s="27"/>
      <c r="E19" s="28"/>
      <c r="F19" s="27" t="s">
        <v>433</v>
      </c>
      <c r="G19" s="27"/>
      <c r="H19" s="29"/>
    </row>
    <row r="20" spans="1:8" s="20" customFormat="1">
      <c r="A20" s="372"/>
      <c r="B20" s="375"/>
      <c r="C20" s="30" t="s">
        <v>457</v>
      </c>
      <c r="D20" s="30"/>
      <c r="E20" s="31"/>
      <c r="F20" s="27" t="s">
        <v>433</v>
      </c>
      <c r="G20" s="30"/>
      <c r="H20" s="32"/>
    </row>
  </sheetData>
  <mergeCells count="10">
    <mergeCell ref="G2:G5"/>
    <mergeCell ref="H2:H5"/>
    <mergeCell ref="A2:A5"/>
    <mergeCell ref="A6:A10"/>
    <mergeCell ref="A11:A15"/>
    <mergeCell ref="A16:A20"/>
    <mergeCell ref="B2:B5"/>
    <mergeCell ref="B6:B10"/>
    <mergeCell ref="B11:B15"/>
    <mergeCell ref="B16:B20"/>
  </mergeCells>
  <phoneticPr fontId="3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17"/>
  <sheetViews>
    <sheetView workbookViewId="0">
      <selection activeCell="J11" sqref="J11"/>
    </sheetView>
  </sheetViews>
  <sheetFormatPr defaultColWidth="9" defaultRowHeight="15.6"/>
  <cols>
    <col min="1" max="1" width="11.21875" style="1" customWidth="1"/>
    <col min="2" max="2" width="78.44140625" style="16" customWidth="1"/>
    <col min="3" max="16384" width="9" style="2"/>
  </cols>
  <sheetData>
    <row r="1" spans="1:2" s="15" customFormat="1" ht="16.2">
      <c r="A1" s="3" t="s">
        <v>458</v>
      </c>
      <c r="B1" s="17" t="s">
        <v>459</v>
      </c>
    </row>
    <row r="2" spans="1:2" ht="46.8">
      <c r="A2" s="5">
        <v>1</v>
      </c>
      <c r="B2" s="18" t="s">
        <v>460</v>
      </c>
    </row>
    <row r="3" spans="1:2" ht="31.2">
      <c r="A3" s="5">
        <v>2</v>
      </c>
      <c r="B3" s="18" t="s">
        <v>461</v>
      </c>
    </row>
    <row r="4" spans="1:2" ht="31.2">
      <c r="A4" s="5">
        <v>3</v>
      </c>
      <c r="B4" s="18" t="s">
        <v>462</v>
      </c>
    </row>
    <row r="17" spans="1:1">
      <c r="A17" s="19"/>
    </row>
  </sheetData>
  <phoneticPr fontId="3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7"/>
  <sheetViews>
    <sheetView workbookViewId="0">
      <selection activeCell="J11" sqref="J11"/>
    </sheetView>
  </sheetViews>
  <sheetFormatPr defaultColWidth="9" defaultRowHeight="14.4"/>
  <cols>
    <col min="1" max="1" width="9" style="10"/>
    <col min="3" max="3" width="48.33203125" customWidth="1"/>
  </cols>
  <sheetData>
    <row r="1" spans="1:3">
      <c r="A1" s="10" t="s">
        <v>463</v>
      </c>
    </row>
    <row r="2" spans="1:3" s="9" customFormat="1">
      <c r="A2" s="11" t="s">
        <v>0</v>
      </c>
      <c r="B2" s="12" t="s">
        <v>464</v>
      </c>
      <c r="C2" s="12" t="s">
        <v>89</v>
      </c>
    </row>
    <row r="3" spans="1:3">
      <c r="A3" s="13">
        <v>1</v>
      </c>
      <c r="B3" s="14" t="s">
        <v>90</v>
      </c>
      <c r="C3" s="14" t="s">
        <v>465</v>
      </c>
    </row>
    <row r="4" spans="1:3">
      <c r="A4" s="13">
        <v>2</v>
      </c>
      <c r="B4" s="14" t="s">
        <v>121</v>
      </c>
      <c r="C4" s="14" t="s">
        <v>466</v>
      </c>
    </row>
    <row r="5" spans="1:3">
      <c r="A5" s="13">
        <v>3</v>
      </c>
      <c r="B5" s="14" t="s">
        <v>122</v>
      </c>
      <c r="C5" s="14" t="s">
        <v>467</v>
      </c>
    </row>
    <row r="6" spans="1:3">
      <c r="A6" s="13">
        <v>4</v>
      </c>
      <c r="B6" s="14" t="s">
        <v>468</v>
      </c>
      <c r="C6" s="14" t="s">
        <v>469</v>
      </c>
    </row>
    <row r="7" spans="1:3">
      <c r="A7" s="13"/>
      <c r="B7" s="14" t="s">
        <v>201</v>
      </c>
      <c r="C7" s="14"/>
    </row>
  </sheetData>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9"/>
  <sheetViews>
    <sheetView workbookViewId="0">
      <selection activeCell="B5" sqref="B5"/>
    </sheetView>
  </sheetViews>
  <sheetFormatPr defaultColWidth="9" defaultRowHeight="15.6"/>
  <cols>
    <col min="1" max="1" width="9" style="1" customWidth="1"/>
    <col min="2" max="2" width="24.6640625" style="2" customWidth="1"/>
    <col min="3" max="3" width="44.33203125" style="2" customWidth="1"/>
    <col min="4" max="4" width="27.44140625" style="2" customWidth="1"/>
    <col min="5" max="16384" width="9" style="2"/>
  </cols>
  <sheetData>
    <row r="1" spans="1:3">
      <c r="A1" s="1" t="s">
        <v>470</v>
      </c>
    </row>
    <row r="2" spans="1:3" ht="16.2">
      <c r="A2" s="3" t="s">
        <v>0</v>
      </c>
      <c r="B2" s="4" t="s">
        <v>471</v>
      </c>
      <c r="C2" s="4" t="s">
        <v>472</v>
      </c>
    </row>
    <row r="3" spans="1:3">
      <c r="A3" s="5">
        <v>1</v>
      </c>
      <c r="B3" s="6">
        <v>44400</v>
      </c>
      <c r="C3" s="7" t="s">
        <v>473</v>
      </c>
    </row>
    <row r="4" spans="1:3">
      <c r="A4" s="5">
        <v>2</v>
      </c>
      <c r="B4" s="8"/>
      <c r="C4" s="7"/>
    </row>
    <row r="5" spans="1:3">
      <c r="A5" s="5">
        <v>3</v>
      </c>
      <c r="B5" s="8"/>
      <c r="C5" s="7"/>
    </row>
    <row r="6" spans="1:3">
      <c r="A6" s="5">
        <v>4</v>
      </c>
      <c r="B6" s="8"/>
      <c r="C6" s="7"/>
    </row>
    <row r="7" spans="1:3">
      <c r="A7" s="5" t="s">
        <v>474</v>
      </c>
      <c r="B7" s="7"/>
      <c r="C7" s="7"/>
    </row>
    <row r="9" spans="1:3">
      <c r="A9" s="1" t="s">
        <v>119</v>
      </c>
      <c r="B9" s="2" t="s">
        <v>475</v>
      </c>
    </row>
  </sheetData>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9"/>
  <sheetViews>
    <sheetView workbookViewId="0">
      <selection activeCell="C4" sqref="C4"/>
    </sheetView>
  </sheetViews>
  <sheetFormatPr defaultColWidth="9" defaultRowHeight="14.4"/>
  <cols>
    <col min="1" max="1" width="21.33203125" customWidth="1"/>
    <col min="2" max="2" width="15.77734375" style="10" customWidth="1"/>
  </cols>
  <sheetData>
    <row r="1" spans="1:2">
      <c r="A1" s="334" t="s">
        <v>34</v>
      </c>
      <c r="B1" s="335" t="s">
        <v>35</v>
      </c>
    </row>
    <row r="2" spans="1:2">
      <c r="A2" s="336" t="s">
        <v>36</v>
      </c>
      <c r="B2" s="337">
        <f>主材!N35</f>
        <v>7610</v>
      </c>
    </row>
    <row r="3" spans="1:2">
      <c r="A3" s="336" t="s">
        <v>37</v>
      </c>
      <c r="B3" s="337">
        <f>直接人工!G22</f>
        <v>10672</v>
      </c>
    </row>
    <row r="4" spans="1:2">
      <c r="A4" s="336" t="s">
        <v>38</v>
      </c>
      <c r="B4" s="338">
        <f>能耗!P34</f>
        <v>2895.9</v>
      </c>
    </row>
    <row r="5" spans="1:2">
      <c r="A5" s="336" t="s">
        <v>39</v>
      </c>
      <c r="B5" s="338">
        <f>设备维保!H50/(365*24)*基本信息!B16</f>
        <v>3947.39726027397</v>
      </c>
    </row>
    <row r="6" spans="1:2">
      <c r="A6" s="336" t="s">
        <v>40</v>
      </c>
      <c r="B6" s="338">
        <f>专有设备!I22/(365*24)*基本信息!B16</f>
        <v>3079.1963470319602</v>
      </c>
    </row>
    <row r="7" spans="1:2">
      <c r="A7" s="336" t="s">
        <v>41</v>
      </c>
      <c r="B7" s="338">
        <f>非专设备、工装、检具!J31/(365*24)*基本信息!B16</f>
        <v>10850.6520547945</v>
      </c>
    </row>
    <row r="8" spans="1:2">
      <c r="A8" s="336" t="s">
        <v>42</v>
      </c>
      <c r="B8" s="338">
        <f>厂房!D7/(365*24)*基本信息!B16</f>
        <v>11941.682974559701</v>
      </c>
    </row>
    <row r="9" spans="1:2">
      <c r="A9" s="339" t="s">
        <v>43</v>
      </c>
      <c r="B9" s="340">
        <f>SUM(B2:B8)</f>
        <v>50996.828636660102</v>
      </c>
    </row>
  </sheetData>
  <phoneticPr fontId="3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7"/>
  <sheetViews>
    <sheetView workbookViewId="0">
      <selection activeCell="B10" sqref="B10"/>
    </sheetView>
  </sheetViews>
  <sheetFormatPr defaultColWidth="9" defaultRowHeight="14.4"/>
  <cols>
    <col min="1" max="1" width="21.44140625" customWidth="1"/>
    <col min="2" max="2" width="27.6640625" customWidth="1"/>
    <col min="3" max="3" width="91.44140625" customWidth="1"/>
  </cols>
  <sheetData>
    <row r="1" spans="1:3">
      <c r="A1" s="324" t="s">
        <v>44</v>
      </c>
      <c r="B1" s="325" t="s">
        <v>45</v>
      </c>
      <c r="C1" s="326" t="s">
        <v>4</v>
      </c>
    </row>
    <row r="2" spans="1:3">
      <c r="A2" s="327" t="s">
        <v>46</v>
      </c>
      <c r="B2" s="192" t="s">
        <v>47</v>
      </c>
      <c r="C2" s="328" t="s">
        <v>48</v>
      </c>
    </row>
    <row r="3" spans="1:3">
      <c r="A3" s="14" t="s">
        <v>49</v>
      </c>
      <c r="B3" s="329" t="s">
        <v>50</v>
      </c>
      <c r="C3" s="328" t="s">
        <v>51</v>
      </c>
    </row>
    <row r="4" spans="1:3">
      <c r="A4" s="14" t="s">
        <v>52</v>
      </c>
      <c r="B4" s="329" t="s">
        <v>53</v>
      </c>
      <c r="C4" s="328" t="s">
        <v>54</v>
      </c>
    </row>
    <row r="5" spans="1:3">
      <c r="A5" s="14" t="s">
        <v>55</v>
      </c>
      <c r="B5" s="329" t="s">
        <v>56</v>
      </c>
      <c r="C5" s="328" t="s">
        <v>57</v>
      </c>
    </row>
    <row r="6" spans="1:3">
      <c r="A6" s="14" t="s">
        <v>58</v>
      </c>
      <c r="B6" s="329">
        <v>20102</v>
      </c>
      <c r="C6" s="328" t="s">
        <v>59</v>
      </c>
    </row>
    <row r="7" spans="1:3">
      <c r="A7" s="14" t="s">
        <v>60</v>
      </c>
      <c r="B7" s="329" t="s">
        <v>61</v>
      </c>
      <c r="C7" s="328" t="s">
        <v>62</v>
      </c>
    </row>
    <row r="8" spans="1:3" ht="28.8">
      <c r="A8" s="14" t="s">
        <v>63</v>
      </c>
      <c r="B8" s="330" t="s">
        <v>64</v>
      </c>
      <c r="C8" s="328"/>
    </row>
    <row r="9" spans="1:3">
      <c r="A9" s="14" t="s">
        <v>65</v>
      </c>
      <c r="B9" s="331">
        <v>44399</v>
      </c>
      <c r="C9" s="328" t="s">
        <v>66</v>
      </c>
    </row>
    <row r="10" spans="1:3">
      <c r="A10" s="14" t="s">
        <v>67</v>
      </c>
      <c r="B10" s="329" t="s">
        <v>68</v>
      </c>
      <c r="C10" s="328" t="s">
        <v>69</v>
      </c>
    </row>
    <row r="11" spans="1:3">
      <c r="A11" s="14" t="s">
        <v>70</v>
      </c>
      <c r="B11" s="329" t="s">
        <v>71</v>
      </c>
      <c r="C11" s="328" t="s">
        <v>72</v>
      </c>
    </row>
    <row r="12" spans="1:3">
      <c r="A12" s="14" t="s">
        <v>73</v>
      </c>
      <c r="B12" s="329" t="s">
        <v>74</v>
      </c>
      <c r="C12" s="328" t="s">
        <v>75</v>
      </c>
    </row>
    <row r="13" spans="1:3">
      <c r="A13" s="14" t="s">
        <v>76</v>
      </c>
      <c r="B13" s="329" t="s">
        <v>77</v>
      </c>
      <c r="C13" s="328" t="s">
        <v>78</v>
      </c>
    </row>
    <row r="14" spans="1:3">
      <c r="A14" s="14" t="s">
        <v>79</v>
      </c>
      <c r="B14" s="329" t="s">
        <v>80</v>
      </c>
      <c r="C14" s="328" t="s">
        <v>81</v>
      </c>
    </row>
    <row r="15" spans="1:3">
      <c r="A15" s="14" t="s">
        <v>82</v>
      </c>
      <c r="B15" s="329"/>
      <c r="C15" s="328" t="s">
        <v>83</v>
      </c>
    </row>
    <row r="16" spans="1:3">
      <c r="A16" s="14" t="s">
        <v>84</v>
      </c>
      <c r="B16" s="329">
        <v>24</v>
      </c>
      <c r="C16" s="328" t="s">
        <v>85</v>
      </c>
    </row>
    <row r="17" spans="1:3">
      <c r="A17" s="332" t="s">
        <v>86</v>
      </c>
      <c r="B17" s="329" t="s">
        <v>87</v>
      </c>
      <c r="C17" s="333" t="s">
        <v>88</v>
      </c>
    </row>
  </sheetData>
  <phoneticPr fontId="3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8"/>
  <sheetViews>
    <sheetView zoomScale="95" zoomScaleNormal="95" workbookViewId="0">
      <pane xSplit="1" ySplit="2" topLeftCell="B3" activePane="bottomRight" state="frozen"/>
      <selection pane="topRight"/>
      <selection pane="bottomLeft"/>
      <selection pane="bottomRight" activeCell="G24" sqref="G24"/>
    </sheetView>
  </sheetViews>
  <sheetFormatPr defaultColWidth="9" defaultRowHeight="15.6"/>
  <cols>
    <col min="1" max="1" width="13.77734375" style="19" customWidth="1"/>
    <col min="2" max="12" width="6.77734375" style="19" customWidth="1"/>
    <col min="13" max="18" width="6.77734375" style="2" customWidth="1"/>
    <col min="19" max="19" width="11.6640625" style="2" customWidth="1"/>
    <col min="20" max="21" width="12.21875" style="2" customWidth="1"/>
    <col min="22" max="22" width="6.88671875" style="2" customWidth="1"/>
    <col min="23" max="23" width="9" style="2"/>
    <col min="24" max="24" width="7.33203125" style="2" customWidth="1"/>
    <col min="25" max="25" width="9.109375" style="2" customWidth="1"/>
    <col min="26" max="32" width="12.109375" style="2" customWidth="1"/>
    <col min="33" max="33" width="13.109375" style="2" customWidth="1"/>
    <col min="34" max="16384" width="9" style="2"/>
  </cols>
  <sheetData>
    <row r="1" spans="1:19">
      <c r="A1" s="299" t="s">
        <v>89</v>
      </c>
      <c r="B1" s="300" t="s">
        <v>90</v>
      </c>
      <c r="C1" s="300" t="s">
        <v>90</v>
      </c>
      <c r="D1" s="300" t="s">
        <v>90</v>
      </c>
      <c r="E1" s="300" t="s">
        <v>90</v>
      </c>
      <c r="F1" s="300" t="s">
        <v>90</v>
      </c>
      <c r="G1" s="300" t="s">
        <v>90</v>
      </c>
      <c r="H1" s="300" t="s">
        <v>90</v>
      </c>
      <c r="I1" s="300" t="s">
        <v>90</v>
      </c>
      <c r="J1" s="300" t="s">
        <v>90</v>
      </c>
      <c r="K1" s="300" t="s">
        <v>90</v>
      </c>
      <c r="L1" s="300" t="s">
        <v>90</v>
      </c>
      <c r="M1" s="300" t="s">
        <v>90</v>
      </c>
      <c r="N1" s="300" t="s">
        <v>90</v>
      </c>
      <c r="O1" s="300" t="s">
        <v>90</v>
      </c>
      <c r="P1" s="300" t="s">
        <v>90</v>
      </c>
      <c r="Q1" s="300" t="s">
        <v>90</v>
      </c>
      <c r="R1" s="300" t="s">
        <v>90</v>
      </c>
      <c r="S1" s="320"/>
    </row>
    <row r="2" spans="1:19" s="298" customFormat="1" ht="16.2">
      <c r="A2" s="301" t="s">
        <v>91</v>
      </c>
      <c r="B2" s="302" t="s">
        <v>92</v>
      </c>
      <c r="C2" s="302" t="s">
        <v>92</v>
      </c>
      <c r="D2" s="302" t="s">
        <v>92</v>
      </c>
      <c r="E2" s="302" t="s">
        <v>92</v>
      </c>
      <c r="F2" s="302" t="s">
        <v>92</v>
      </c>
      <c r="G2" s="302" t="s">
        <v>92</v>
      </c>
      <c r="H2" s="302" t="s">
        <v>92</v>
      </c>
      <c r="I2" s="302" t="s">
        <v>92</v>
      </c>
      <c r="J2" s="302" t="s">
        <v>92</v>
      </c>
      <c r="K2" s="302" t="s">
        <v>92</v>
      </c>
      <c r="L2" s="302" t="s">
        <v>92</v>
      </c>
      <c r="M2" s="302" t="s">
        <v>92</v>
      </c>
      <c r="N2" s="302" t="s">
        <v>92</v>
      </c>
      <c r="O2" s="302" t="s">
        <v>92</v>
      </c>
      <c r="P2" s="302" t="s">
        <v>92</v>
      </c>
      <c r="Q2" s="302" t="s">
        <v>92</v>
      </c>
      <c r="R2" s="302" t="s">
        <v>92</v>
      </c>
      <c r="S2" s="321" t="s">
        <v>93</v>
      </c>
    </row>
    <row r="3" spans="1:19">
      <c r="A3" s="303" t="s">
        <v>94</v>
      </c>
      <c r="B3" s="304">
        <v>3</v>
      </c>
      <c r="C3" s="304">
        <v>5</v>
      </c>
      <c r="D3" s="305"/>
      <c r="E3" s="5"/>
      <c r="F3" s="5"/>
      <c r="G3" s="5"/>
      <c r="H3" s="5"/>
      <c r="I3" s="5"/>
      <c r="J3" s="5"/>
      <c r="K3" s="5"/>
      <c r="L3" s="5"/>
      <c r="M3" s="5"/>
      <c r="N3" s="5"/>
      <c r="O3" s="5"/>
      <c r="P3" s="315"/>
      <c r="Q3" s="315"/>
      <c r="R3" s="315"/>
      <c r="S3" s="234"/>
    </row>
    <row r="4" spans="1:19">
      <c r="A4" s="303" t="s">
        <v>95</v>
      </c>
      <c r="B4" s="306">
        <v>4</v>
      </c>
      <c r="C4" s="306">
        <v>5</v>
      </c>
      <c r="D4" s="5"/>
      <c r="E4" s="5"/>
      <c r="F4" s="5"/>
      <c r="G4" s="5"/>
      <c r="H4" s="5"/>
      <c r="I4" s="5"/>
      <c r="J4" s="5"/>
      <c r="K4" s="5"/>
      <c r="L4" s="5"/>
      <c r="M4" s="5"/>
      <c r="N4" s="5"/>
      <c r="O4" s="5"/>
      <c r="P4" s="315"/>
      <c r="Q4" s="315"/>
      <c r="R4" s="315"/>
      <c r="S4" s="234"/>
    </row>
    <row r="5" spans="1:19">
      <c r="A5" s="303" t="s">
        <v>96</v>
      </c>
      <c r="B5" s="305"/>
      <c r="C5" s="305"/>
      <c r="D5" s="307">
        <v>18</v>
      </c>
      <c r="E5" s="304">
        <v>4</v>
      </c>
      <c r="F5" s="5"/>
      <c r="G5" s="5"/>
      <c r="H5" s="5"/>
      <c r="I5" s="5"/>
      <c r="J5" s="5"/>
      <c r="K5" s="5"/>
      <c r="L5" s="5"/>
      <c r="M5" s="5"/>
      <c r="N5" s="5"/>
      <c r="O5" s="5"/>
      <c r="P5" s="315"/>
      <c r="Q5" s="315"/>
      <c r="R5" s="315"/>
      <c r="S5" s="234"/>
    </row>
    <row r="6" spans="1:19">
      <c r="A6" s="303" t="s">
        <v>97</v>
      </c>
      <c r="B6" s="5"/>
      <c r="C6" s="305">
        <v>8</v>
      </c>
      <c r="D6" s="305">
        <v>10</v>
      </c>
      <c r="E6" s="305"/>
      <c r="F6" s="5"/>
      <c r="G6" s="5"/>
      <c r="H6" s="5"/>
      <c r="I6" s="5"/>
      <c r="J6" s="5"/>
      <c r="K6" s="5"/>
      <c r="L6" s="5"/>
      <c r="M6" s="5"/>
      <c r="N6" s="5"/>
      <c r="O6" s="5"/>
      <c r="P6" s="315"/>
      <c r="Q6" s="315"/>
      <c r="R6" s="315"/>
      <c r="S6" s="234"/>
    </row>
    <row r="7" spans="1:19">
      <c r="A7" s="303" t="s">
        <v>98</v>
      </c>
      <c r="B7" s="5"/>
      <c r="C7" s="305"/>
      <c r="D7" s="305"/>
      <c r="E7" s="305">
        <v>16</v>
      </c>
      <c r="F7" s="305"/>
      <c r="G7" s="305"/>
      <c r="H7" s="305"/>
      <c r="I7" s="5"/>
      <c r="J7" s="5"/>
      <c r="K7" s="5"/>
      <c r="L7" s="5"/>
      <c r="M7" s="5"/>
      <c r="N7" s="5"/>
      <c r="O7" s="5"/>
      <c r="P7" s="315"/>
      <c r="Q7" s="315"/>
      <c r="R7" s="315"/>
      <c r="S7" s="234"/>
    </row>
    <row r="8" spans="1:19">
      <c r="A8" s="303" t="s">
        <v>99</v>
      </c>
      <c r="B8" s="5"/>
      <c r="C8" s="5"/>
      <c r="D8" s="305"/>
      <c r="E8" s="305"/>
      <c r="F8" s="304">
        <v>8</v>
      </c>
      <c r="G8" s="304">
        <v>8</v>
      </c>
      <c r="H8" s="305"/>
      <c r="I8" s="5"/>
      <c r="J8" s="5"/>
      <c r="K8" s="5"/>
      <c r="L8" s="5"/>
      <c r="M8" s="5"/>
      <c r="N8" s="5"/>
      <c r="O8" s="5"/>
      <c r="P8" s="315"/>
      <c r="Q8" s="315"/>
      <c r="R8" s="315"/>
      <c r="S8" s="234"/>
    </row>
    <row r="9" spans="1:19">
      <c r="A9" s="303" t="s">
        <v>100</v>
      </c>
      <c r="B9" s="5"/>
      <c r="C9" s="5"/>
      <c r="D9" s="305"/>
      <c r="E9" s="305"/>
      <c r="F9" s="305"/>
      <c r="G9" s="305"/>
      <c r="H9" s="304">
        <v>8</v>
      </c>
      <c r="I9" s="305"/>
      <c r="J9" s="305"/>
      <c r="K9" s="305"/>
      <c r="L9" s="5"/>
      <c r="M9" s="5"/>
      <c r="N9" s="5"/>
      <c r="O9" s="5"/>
      <c r="P9" s="315"/>
      <c r="Q9" s="315"/>
      <c r="R9" s="315"/>
      <c r="S9" s="234"/>
    </row>
    <row r="10" spans="1:19">
      <c r="A10" s="303" t="s">
        <v>101</v>
      </c>
      <c r="B10" s="5"/>
      <c r="C10" s="5"/>
      <c r="D10" s="305"/>
      <c r="E10" s="305"/>
      <c r="F10" s="305"/>
      <c r="G10" s="305"/>
      <c r="H10" s="305"/>
      <c r="I10" s="304">
        <v>6</v>
      </c>
      <c r="J10" s="304">
        <v>4</v>
      </c>
      <c r="K10" s="305"/>
      <c r="L10" s="305"/>
      <c r="M10" s="305"/>
      <c r="N10" s="5"/>
      <c r="O10" s="5"/>
      <c r="P10" s="315"/>
      <c r="Q10" s="315"/>
      <c r="R10" s="315"/>
      <c r="S10" s="234"/>
    </row>
    <row r="11" spans="1:19">
      <c r="A11" s="303" t="s">
        <v>102</v>
      </c>
      <c r="B11" s="5"/>
      <c r="C11" s="5"/>
      <c r="D11" s="305"/>
      <c r="E11" s="305"/>
      <c r="F11" s="305"/>
      <c r="G11" s="305"/>
      <c r="H11" s="305"/>
      <c r="I11" s="305"/>
      <c r="J11" s="305">
        <v>4</v>
      </c>
      <c r="K11" s="304">
        <v>4</v>
      </c>
      <c r="L11" s="305"/>
      <c r="M11" s="305"/>
      <c r="N11" s="5"/>
      <c r="O11" s="5"/>
      <c r="P11" s="315"/>
      <c r="Q11" s="315"/>
      <c r="R11" s="315"/>
      <c r="S11" s="234"/>
    </row>
    <row r="12" spans="1:19">
      <c r="A12" s="303" t="s">
        <v>103</v>
      </c>
      <c r="B12" s="5"/>
      <c r="C12" s="5"/>
      <c r="D12" s="305"/>
      <c r="E12" s="305"/>
      <c r="F12" s="305"/>
      <c r="G12" s="305"/>
      <c r="H12" s="305"/>
      <c r="I12" s="305"/>
      <c r="J12" s="5"/>
      <c r="K12" s="5"/>
      <c r="L12" s="304">
        <v>72</v>
      </c>
      <c r="M12" s="5"/>
      <c r="N12" s="305"/>
      <c r="O12" s="5"/>
      <c r="P12" s="315"/>
      <c r="Q12" s="315"/>
      <c r="R12" s="315"/>
      <c r="S12" s="234"/>
    </row>
    <row r="13" spans="1:19">
      <c r="A13" s="303" t="s">
        <v>104</v>
      </c>
      <c r="B13" s="5"/>
      <c r="C13" s="5"/>
      <c r="D13" s="305"/>
      <c r="E13" s="305"/>
      <c r="F13" s="305"/>
      <c r="G13" s="305"/>
      <c r="H13" s="305"/>
      <c r="I13" s="305"/>
      <c r="J13" s="305"/>
      <c r="K13" s="305"/>
      <c r="L13" s="305">
        <v>8</v>
      </c>
      <c r="M13" s="5"/>
      <c r="N13" s="305"/>
      <c r="O13" s="5"/>
      <c r="P13" s="315"/>
      <c r="Q13" s="315"/>
      <c r="R13" s="315"/>
      <c r="S13" s="234"/>
    </row>
    <row r="14" spans="1:19">
      <c r="A14" s="303" t="s">
        <v>105</v>
      </c>
      <c r="B14" s="5"/>
      <c r="C14" s="5"/>
      <c r="D14" s="5"/>
      <c r="E14" s="5"/>
      <c r="F14" s="5"/>
      <c r="G14" s="5"/>
      <c r="H14" s="5"/>
      <c r="I14" s="305"/>
      <c r="J14" s="305"/>
      <c r="K14" s="305"/>
      <c r="L14" s="305"/>
      <c r="M14" s="304">
        <v>12</v>
      </c>
      <c r="N14" s="305"/>
      <c r="O14" s="305"/>
      <c r="P14" s="316"/>
      <c r="Q14" s="316"/>
      <c r="R14" s="316"/>
      <c r="S14" s="234"/>
    </row>
    <row r="15" spans="1:19">
      <c r="A15" s="303" t="s">
        <v>106</v>
      </c>
      <c r="B15" s="5"/>
      <c r="C15" s="5"/>
      <c r="D15" s="5"/>
      <c r="E15" s="5"/>
      <c r="F15" s="5"/>
      <c r="G15" s="5"/>
      <c r="H15" s="5"/>
      <c r="I15" s="305"/>
      <c r="J15" s="305"/>
      <c r="K15" s="305"/>
      <c r="L15" s="305"/>
      <c r="M15" s="305"/>
      <c r="N15" s="304">
        <v>12</v>
      </c>
      <c r="O15" s="305"/>
      <c r="P15" s="316"/>
      <c r="Q15" s="315"/>
      <c r="R15" s="315"/>
      <c r="S15" s="234"/>
    </row>
    <row r="16" spans="1:19">
      <c r="A16" s="303" t="s">
        <v>107</v>
      </c>
      <c r="B16" s="5"/>
      <c r="C16" s="5"/>
      <c r="D16" s="5"/>
      <c r="E16" s="5"/>
      <c r="F16" s="5"/>
      <c r="G16" s="5"/>
      <c r="H16" s="5"/>
      <c r="I16" s="305"/>
      <c r="J16" s="305"/>
      <c r="K16" s="305"/>
      <c r="L16" s="305"/>
      <c r="M16" s="305"/>
      <c r="N16" s="305"/>
      <c r="O16" s="304">
        <v>8</v>
      </c>
      <c r="P16" s="305"/>
      <c r="Q16" s="315"/>
      <c r="R16" s="315"/>
      <c r="S16" s="234"/>
    </row>
    <row r="17" spans="1:20">
      <c r="A17" s="303" t="s">
        <v>108</v>
      </c>
      <c r="B17" s="5"/>
      <c r="C17" s="5"/>
      <c r="D17" s="5"/>
      <c r="E17" s="5"/>
      <c r="F17" s="5"/>
      <c r="G17" s="5"/>
      <c r="H17" s="5"/>
      <c r="I17" s="305"/>
      <c r="J17" s="305"/>
      <c r="K17" s="305"/>
      <c r="L17" s="305"/>
      <c r="M17" s="305"/>
      <c r="N17" s="305"/>
      <c r="O17" s="305">
        <v>6</v>
      </c>
      <c r="P17" s="317">
        <v>16</v>
      </c>
      <c r="Q17" s="315"/>
      <c r="R17" s="315"/>
      <c r="S17" s="234"/>
    </row>
    <row r="18" spans="1:20">
      <c r="A18" s="303" t="s">
        <v>109</v>
      </c>
      <c r="B18" s="5"/>
      <c r="C18" s="5"/>
      <c r="D18" s="5"/>
      <c r="E18" s="5"/>
      <c r="F18" s="5"/>
      <c r="G18" s="5"/>
      <c r="H18" s="5"/>
      <c r="I18" s="5"/>
      <c r="J18" s="305"/>
      <c r="K18" s="305"/>
      <c r="L18" s="305"/>
      <c r="M18" s="305"/>
      <c r="N18" s="305"/>
      <c r="O18" s="305"/>
      <c r="P18" s="305"/>
      <c r="Q18" s="304">
        <v>8</v>
      </c>
      <c r="R18" s="305"/>
      <c r="S18" s="322"/>
    </row>
    <row r="19" spans="1:20">
      <c r="A19" s="308" t="s">
        <v>110</v>
      </c>
      <c r="B19" s="201"/>
      <c r="C19" s="201"/>
      <c r="D19" s="201"/>
      <c r="E19" s="201"/>
      <c r="F19" s="201"/>
      <c r="G19" s="201"/>
      <c r="H19" s="201"/>
      <c r="I19" s="201"/>
      <c r="J19" s="318"/>
      <c r="K19" s="318"/>
      <c r="L19" s="318"/>
      <c r="M19" s="318"/>
      <c r="N19" s="318"/>
      <c r="O19" s="318"/>
      <c r="P19" s="319"/>
      <c r="Q19" s="319"/>
      <c r="R19" s="323">
        <v>4</v>
      </c>
      <c r="S19" s="213">
        <f>B3+C3+D5+E5+F8+G8+H9+I10+J10+K11+L12+M14+N15+O16+P17+Q18</f>
        <v>196</v>
      </c>
      <c r="T19" s="2" t="s">
        <v>111</v>
      </c>
    </row>
    <row r="20" spans="1:20">
      <c r="A20" s="2" t="s">
        <v>112</v>
      </c>
      <c r="B20" s="2"/>
      <c r="C20" s="2"/>
      <c r="D20" s="2"/>
      <c r="E20" s="2"/>
      <c r="F20" s="2"/>
      <c r="G20" s="2"/>
      <c r="H20" s="2"/>
      <c r="I20" s="2"/>
      <c r="J20" s="2"/>
      <c r="K20" s="2"/>
      <c r="L20" s="2"/>
    </row>
    <row r="21" spans="1:20">
      <c r="A21" s="2"/>
      <c r="B21" s="2"/>
      <c r="C21" s="2"/>
      <c r="D21" s="2"/>
      <c r="E21" s="2"/>
      <c r="F21" s="2"/>
      <c r="G21" s="2"/>
      <c r="H21" s="2"/>
      <c r="I21" s="2"/>
      <c r="J21" s="2"/>
      <c r="K21" s="2"/>
      <c r="L21" s="2"/>
    </row>
    <row r="22" spans="1:20">
      <c r="A22" s="2"/>
      <c r="C22" s="2" t="s">
        <v>113</v>
      </c>
      <c r="D22" s="2"/>
      <c r="E22" s="2"/>
      <c r="F22" s="2"/>
      <c r="G22" s="2"/>
      <c r="H22" s="2"/>
      <c r="I22" s="2"/>
      <c r="J22" s="2"/>
      <c r="K22" s="2"/>
      <c r="L22" s="2"/>
    </row>
    <row r="23" spans="1:20" ht="16.2">
      <c r="A23" s="309" t="s">
        <v>114</v>
      </c>
      <c r="B23" s="310" t="s">
        <v>45</v>
      </c>
      <c r="C23" s="2"/>
      <c r="D23" s="2"/>
      <c r="E23" s="2"/>
      <c r="F23" s="2"/>
      <c r="G23" s="2"/>
      <c r="H23" s="2"/>
      <c r="I23" s="2"/>
      <c r="J23" s="2"/>
      <c r="K23" s="2"/>
      <c r="L23" s="2"/>
    </row>
    <row r="24" spans="1:20">
      <c r="A24" s="311" t="s">
        <v>115</v>
      </c>
      <c r="B24" s="312">
        <v>196</v>
      </c>
      <c r="C24" s="2"/>
      <c r="D24" s="2"/>
      <c r="E24" s="2"/>
      <c r="F24" s="2"/>
      <c r="G24" s="2"/>
      <c r="H24" s="2"/>
      <c r="I24" s="2"/>
      <c r="J24" s="2"/>
      <c r="K24" s="2"/>
      <c r="L24" s="2"/>
    </row>
    <row r="25" spans="1:20">
      <c r="A25" s="311" t="s">
        <v>116</v>
      </c>
      <c r="B25" s="312">
        <v>2</v>
      </c>
      <c r="C25" s="2"/>
      <c r="D25" s="2"/>
      <c r="E25" s="2"/>
      <c r="F25" s="2"/>
      <c r="G25" s="2"/>
      <c r="H25" s="2"/>
      <c r="I25" s="2"/>
      <c r="J25" s="2"/>
      <c r="K25" s="2"/>
      <c r="L25" s="2"/>
    </row>
    <row r="26" spans="1:20">
      <c r="A26" s="311" t="s">
        <v>117</v>
      </c>
      <c r="B26" s="312">
        <v>261</v>
      </c>
      <c r="C26" s="2"/>
      <c r="D26" s="2"/>
      <c r="E26" s="2"/>
      <c r="F26" s="2"/>
      <c r="G26" s="2"/>
      <c r="H26" s="2"/>
      <c r="I26" s="2"/>
      <c r="J26" s="2"/>
      <c r="K26" s="2"/>
      <c r="L26" s="2"/>
    </row>
    <row r="27" spans="1:20">
      <c r="A27" s="313" t="s">
        <v>118</v>
      </c>
      <c r="B27" s="314">
        <f>B26*24*4/B24*B25</f>
        <v>255.67346938775501</v>
      </c>
      <c r="C27" s="2"/>
      <c r="D27" s="2"/>
      <c r="E27" s="2"/>
      <c r="F27" s="2"/>
      <c r="G27" s="2"/>
      <c r="H27" s="2"/>
      <c r="I27" s="2"/>
      <c r="J27" s="2"/>
      <c r="K27" s="2"/>
      <c r="L27" s="2"/>
    </row>
    <row r="28" spans="1:20">
      <c r="A28" s="19" t="s">
        <v>119</v>
      </c>
      <c r="B28" s="2" t="s">
        <v>120</v>
      </c>
      <c r="C28" s="2"/>
      <c r="D28" s="2"/>
      <c r="E28" s="2"/>
      <c r="F28" s="2"/>
      <c r="G28" s="2"/>
      <c r="H28" s="2"/>
      <c r="I28" s="2"/>
      <c r="J28" s="2"/>
      <c r="K28" s="2"/>
      <c r="L28" s="2"/>
    </row>
  </sheetData>
  <phoneticPr fontId="30" type="noConversion"/>
  <pageMargins left="0.7" right="0.7" top="0.75" bottom="0.75" header="0.3" footer="0.3"/>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dimension ref="A1:P38"/>
  <sheetViews>
    <sheetView tabSelected="1" workbookViewId="0">
      <pane xSplit="1" ySplit="1" topLeftCell="B2" activePane="bottomRight" state="frozen"/>
      <selection pane="topRight"/>
      <selection pane="bottomLeft"/>
      <selection pane="bottomRight" activeCell="E3" sqref="E3"/>
    </sheetView>
  </sheetViews>
  <sheetFormatPr defaultColWidth="9" defaultRowHeight="15.6"/>
  <cols>
    <col min="1" max="1" width="7" style="237" customWidth="1"/>
    <col min="2" max="2" width="19.5546875" style="238" customWidth="1"/>
    <col min="3" max="3" width="36.44140625" style="237" customWidth="1"/>
    <col min="4" max="4" width="16.33203125" style="237" customWidth="1"/>
    <col min="5" max="5" width="14.44140625" style="239" customWidth="1"/>
    <col min="6" max="6" width="14.33203125" style="237" customWidth="1"/>
    <col min="7" max="7" width="15.77734375" style="239" customWidth="1"/>
    <col min="8" max="8" width="17.21875" style="237" customWidth="1"/>
    <col min="9" max="9" width="12.33203125" style="237" customWidth="1"/>
    <col min="10" max="10" width="10.33203125" style="237" customWidth="1"/>
    <col min="11" max="11" width="9" style="237"/>
    <col min="12" max="12" width="16.44140625" style="239" customWidth="1"/>
    <col min="13" max="13" width="14.88671875" style="240" customWidth="1"/>
    <col min="14" max="14" width="13" style="237" customWidth="1"/>
    <col min="15" max="16384" width="9" style="237"/>
  </cols>
  <sheetData>
    <row r="1" spans="1:16">
      <c r="A1" s="26" t="s">
        <v>89</v>
      </c>
      <c r="B1" s="241" t="s">
        <v>121</v>
      </c>
      <c r="C1" s="241" t="s">
        <v>121</v>
      </c>
      <c r="D1" s="26" t="s">
        <v>122</v>
      </c>
      <c r="E1" s="242">
        <v>4655</v>
      </c>
      <c r="F1" s="26" t="s">
        <v>90</v>
      </c>
      <c r="G1" s="26" t="s">
        <v>90</v>
      </c>
      <c r="H1" s="242"/>
      <c r="I1" s="26" t="s">
        <v>122</v>
      </c>
      <c r="J1" s="26" t="s">
        <v>90</v>
      </c>
      <c r="K1" s="26" t="s">
        <v>122</v>
      </c>
      <c r="L1" s="26"/>
      <c r="M1" s="242"/>
      <c r="N1" s="242"/>
      <c r="O1" s="276"/>
    </row>
    <row r="2" spans="1:16" ht="48.6">
      <c r="A2" s="243" t="s">
        <v>0</v>
      </c>
      <c r="B2" s="244" t="s">
        <v>123</v>
      </c>
      <c r="C2" s="245" t="s">
        <v>124</v>
      </c>
      <c r="D2" s="206" t="s">
        <v>125</v>
      </c>
      <c r="E2" s="246">
        <v>1181.4000000000001</v>
      </c>
      <c r="F2" s="206" t="s">
        <v>126</v>
      </c>
      <c r="G2" s="206" t="s">
        <v>127</v>
      </c>
      <c r="H2" s="246" t="s">
        <v>128</v>
      </c>
      <c r="I2" s="206" t="s">
        <v>129</v>
      </c>
      <c r="J2" s="206" t="s">
        <v>130</v>
      </c>
      <c r="K2" s="206" t="s">
        <v>131</v>
      </c>
      <c r="L2" s="209" t="s">
        <v>132</v>
      </c>
      <c r="M2" s="277" t="s">
        <v>133</v>
      </c>
      <c r="N2" s="278" t="s">
        <v>134</v>
      </c>
      <c r="O2" s="279" t="s">
        <v>135</v>
      </c>
      <c r="P2" s="279" t="s">
        <v>4</v>
      </c>
    </row>
    <row r="3" spans="1:16">
      <c r="A3" s="247">
        <v>1</v>
      </c>
      <c r="B3" s="248" t="s">
        <v>136</v>
      </c>
      <c r="C3" s="248" t="s">
        <v>137</v>
      </c>
      <c r="D3" s="249" t="s">
        <v>138</v>
      </c>
      <c r="E3" s="248">
        <v>4655</v>
      </c>
      <c r="F3" s="250">
        <v>0.08</v>
      </c>
      <c r="G3" s="251">
        <v>100</v>
      </c>
      <c r="H3" s="224">
        <f>E3*F3+E3</f>
        <v>5027.3999999999996</v>
      </c>
      <c r="I3" s="280">
        <v>14.5</v>
      </c>
      <c r="J3" s="281"/>
      <c r="K3" s="281"/>
      <c r="L3" s="282">
        <f>J3*K3</f>
        <v>0</v>
      </c>
      <c r="M3" s="283">
        <f>H3*I3-L3</f>
        <v>72897.299999999988</v>
      </c>
      <c r="N3" s="284">
        <f>G3*I3</f>
        <v>1450</v>
      </c>
      <c r="O3" s="285">
        <f>M3/$M$35</f>
        <v>6.2273395783248114E-2</v>
      </c>
      <c r="P3" s="362" t="s">
        <v>96</v>
      </c>
    </row>
    <row r="4" spans="1:16">
      <c r="A4" s="247">
        <v>2</v>
      </c>
      <c r="B4" s="248" t="s">
        <v>139</v>
      </c>
      <c r="C4" s="248" t="s">
        <v>140</v>
      </c>
      <c r="D4" s="248"/>
      <c r="E4" s="248">
        <v>1181.4000000000001</v>
      </c>
      <c r="F4" s="250">
        <v>0.02</v>
      </c>
      <c r="G4" s="251">
        <v>10</v>
      </c>
      <c r="H4" s="224">
        <f t="shared" ref="H4:H32" si="0">E4*F4+E4</f>
        <v>1205.028</v>
      </c>
      <c r="I4" s="280">
        <v>70</v>
      </c>
      <c r="J4" s="281"/>
      <c r="K4" s="281"/>
      <c r="L4" s="282">
        <f t="shared" ref="L4:L32" si="1">J4*K4</f>
        <v>0</v>
      </c>
      <c r="M4" s="283">
        <f t="shared" ref="M4:M32" si="2">H4*I4-L4</f>
        <v>84351.96</v>
      </c>
      <c r="N4" s="284">
        <f>G4*I4</f>
        <v>700</v>
      </c>
      <c r="O4" s="285">
        <f t="shared" ref="O4:O17" si="3">M4/$M$35</f>
        <v>7.2058676935534166E-2</v>
      </c>
      <c r="P4" s="363"/>
    </row>
    <row r="5" spans="1:16">
      <c r="A5" s="247">
        <v>3</v>
      </c>
      <c r="B5" s="248" t="s">
        <v>141</v>
      </c>
      <c r="C5" s="248" t="s">
        <v>142</v>
      </c>
      <c r="D5" s="248"/>
      <c r="E5" s="248">
        <v>1225</v>
      </c>
      <c r="F5" s="250">
        <v>0.02</v>
      </c>
      <c r="G5" s="251">
        <v>20</v>
      </c>
      <c r="H5" s="224">
        <f t="shared" si="0"/>
        <v>1249.5</v>
      </c>
      <c r="I5" s="280">
        <v>73</v>
      </c>
      <c r="J5" s="281"/>
      <c r="K5" s="281"/>
      <c r="L5" s="282">
        <f t="shared" si="1"/>
        <v>0</v>
      </c>
      <c r="M5" s="283">
        <f t="shared" si="2"/>
        <v>91213.5</v>
      </c>
      <c r="N5" s="284">
        <f t="shared" ref="N5:N18" si="4">G5*I5</f>
        <v>1460</v>
      </c>
      <c r="O5" s="285">
        <f t="shared" si="3"/>
        <v>7.792023005344921E-2</v>
      </c>
      <c r="P5" s="364" t="s">
        <v>100</v>
      </c>
    </row>
    <row r="6" spans="1:16">
      <c r="A6" s="247">
        <v>4</v>
      </c>
      <c r="B6" s="248" t="s">
        <v>143</v>
      </c>
      <c r="C6" s="248" t="s">
        <v>144</v>
      </c>
      <c r="D6" s="248"/>
      <c r="E6" s="248">
        <v>3072</v>
      </c>
      <c r="F6" s="250">
        <v>0.05</v>
      </c>
      <c r="G6" s="251">
        <v>10</v>
      </c>
      <c r="H6" s="224">
        <f t="shared" si="0"/>
        <v>3225.6</v>
      </c>
      <c r="I6" s="280">
        <v>70</v>
      </c>
      <c r="J6" s="281"/>
      <c r="K6" s="281"/>
      <c r="L6" s="282">
        <f t="shared" si="1"/>
        <v>0</v>
      </c>
      <c r="M6" s="283">
        <f t="shared" si="2"/>
        <v>225792</v>
      </c>
      <c r="N6" s="284">
        <f t="shared" si="4"/>
        <v>700</v>
      </c>
      <c r="O6" s="285">
        <f t="shared" si="3"/>
        <v>0.19288553321853019</v>
      </c>
      <c r="P6" s="365"/>
    </row>
    <row r="7" spans="1:16">
      <c r="A7" s="247">
        <v>5</v>
      </c>
      <c r="B7" s="248" t="s">
        <v>145</v>
      </c>
      <c r="C7" s="248" t="s">
        <v>146</v>
      </c>
      <c r="D7" s="248"/>
      <c r="E7" s="248">
        <v>3800</v>
      </c>
      <c r="F7" s="250">
        <v>0.05</v>
      </c>
      <c r="G7" s="251">
        <v>50</v>
      </c>
      <c r="H7" s="224">
        <f t="shared" si="0"/>
        <v>3990</v>
      </c>
      <c r="I7" s="280">
        <v>38</v>
      </c>
      <c r="J7" s="281"/>
      <c r="K7" s="281"/>
      <c r="L7" s="282">
        <f t="shared" si="1"/>
        <v>0</v>
      </c>
      <c r="M7" s="283">
        <f t="shared" si="2"/>
        <v>151620</v>
      </c>
      <c r="N7" s="284">
        <f t="shared" si="4"/>
        <v>1900</v>
      </c>
      <c r="O7" s="285">
        <f t="shared" si="3"/>
        <v>0.12952320962032998</v>
      </c>
      <c r="P7" s="365"/>
    </row>
    <row r="8" spans="1:16">
      <c r="A8" s="247">
        <v>6</v>
      </c>
      <c r="B8" s="248" t="s">
        <v>147</v>
      </c>
      <c r="C8" s="248" t="s">
        <v>148</v>
      </c>
      <c r="D8" s="248"/>
      <c r="E8" s="248">
        <v>3072</v>
      </c>
      <c r="F8" s="250">
        <v>0.05</v>
      </c>
      <c r="G8" s="251">
        <v>0</v>
      </c>
      <c r="H8" s="224">
        <f t="shared" si="0"/>
        <v>3225.6</v>
      </c>
      <c r="I8" s="280">
        <v>15</v>
      </c>
      <c r="J8" s="281"/>
      <c r="K8" s="281"/>
      <c r="L8" s="282">
        <f t="shared" si="1"/>
        <v>0</v>
      </c>
      <c r="M8" s="283">
        <f t="shared" si="2"/>
        <v>48384</v>
      </c>
      <c r="N8" s="284">
        <f t="shared" si="4"/>
        <v>0</v>
      </c>
      <c r="O8" s="285">
        <f t="shared" si="3"/>
        <v>4.1332614261113614E-2</v>
      </c>
      <c r="P8" s="365"/>
    </row>
    <row r="9" spans="1:16">
      <c r="A9" s="247">
        <v>7</v>
      </c>
      <c r="B9" s="248" t="s">
        <v>149</v>
      </c>
      <c r="C9" s="248" t="s">
        <v>150</v>
      </c>
      <c r="D9" s="248"/>
      <c r="E9" s="248">
        <v>350</v>
      </c>
      <c r="F9" s="250">
        <v>0.05</v>
      </c>
      <c r="G9" s="251">
        <v>0</v>
      </c>
      <c r="H9" s="224">
        <f t="shared" si="0"/>
        <v>367.5</v>
      </c>
      <c r="I9" s="280">
        <v>45</v>
      </c>
      <c r="J9" s="281"/>
      <c r="K9" s="281"/>
      <c r="L9" s="282">
        <f t="shared" si="1"/>
        <v>0</v>
      </c>
      <c r="M9" s="283">
        <f t="shared" si="2"/>
        <v>16537.5</v>
      </c>
      <c r="N9" s="284">
        <f t="shared" si="4"/>
        <v>0</v>
      </c>
      <c r="O9" s="285">
        <f t="shared" si="3"/>
        <v>1.4127358390029068E-2</v>
      </c>
      <c r="P9" s="365"/>
    </row>
    <row r="10" spans="1:16">
      <c r="A10" s="247">
        <v>8</v>
      </c>
      <c r="B10" s="248" t="s">
        <v>151</v>
      </c>
      <c r="C10" s="248" t="s">
        <v>152</v>
      </c>
      <c r="D10" s="248"/>
      <c r="E10" s="248">
        <v>180</v>
      </c>
      <c r="F10" s="250">
        <v>0.05</v>
      </c>
      <c r="G10" s="251">
        <v>2</v>
      </c>
      <c r="H10" s="224">
        <f t="shared" si="0"/>
        <v>189</v>
      </c>
      <c r="I10" s="280">
        <v>700</v>
      </c>
      <c r="J10" s="281"/>
      <c r="K10" s="281"/>
      <c r="L10" s="282">
        <f t="shared" si="1"/>
        <v>0</v>
      </c>
      <c r="M10" s="283">
        <f t="shared" si="2"/>
        <v>132300</v>
      </c>
      <c r="N10" s="284">
        <f t="shared" si="4"/>
        <v>1400</v>
      </c>
      <c r="O10" s="285">
        <f t="shared" si="3"/>
        <v>0.11301886712023254</v>
      </c>
      <c r="P10" s="365"/>
    </row>
    <row r="11" spans="1:16">
      <c r="A11" s="247">
        <v>9</v>
      </c>
      <c r="B11" s="248" t="s">
        <v>153</v>
      </c>
      <c r="C11" s="248" t="s">
        <v>154</v>
      </c>
      <c r="D11" s="248" t="s">
        <v>155</v>
      </c>
      <c r="E11" s="248">
        <v>1</v>
      </c>
      <c r="F11" s="250">
        <v>0</v>
      </c>
      <c r="G11" s="251">
        <v>0</v>
      </c>
      <c r="H11" s="224">
        <f t="shared" si="0"/>
        <v>1</v>
      </c>
      <c r="I11" s="280">
        <v>14160</v>
      </c>
      <c r="J11" s="281"/>
      <c r="K11" s="281"/>
      <c r="L11" s="282">
        <f t="shared" si="1"/>
        <v>0</v>
      </c>
      <c r="M11" s="283">
        <f t="shared" si="2"/>
        <v>14160</v>
      </c>
      <c r="N11" s="284">
        <f t="shared" si="4"/>
        <v>0</v>
      </c>
      <c r="O11" s="285">
        <f t="shared" si="3"/>
        <v>1.2096350403798131E-2</v>
      </c>
      <c r="P11" s="366" t="s">
        <v>156</v>
      </c>
    </row>
    <row r="12" spans="1:16">
      <c r="A12" s="247">
        <v>10</v>
      </c>
      <c r="B12" s="248" t="s">
        <v>157</v>
      </c>
      <c r="C12" s="248" t="s">
        <v>158</v>
      </c>
      <c r="D12" s="248" t="s">
        <v>159</v>
      </c>
      <c r="E12" s="248">
        <v>3</v>
      </c>
      <c r="F12" s="252">
        <v>0</v>
      </c>
      <c r="G12" s="251">
        <v>0</v>
      </c>
      <c r="H12" s="224">
        <f t="shared" si="0"/>
        <v>3</v>
      </c>
      <c r="I12" s="286">
        <v>30000</v>
      </c>
      <c r="J12" s="281"/>
      <c r="K12" s="281"/>
      <c r="L12" s="282">
        <f t="shared" si="1"/>
        <v>0</v>
      </c>
      <c r="M12" s="283">
        <f t="shared" si="2"/>
        <v>90000</v>
      </c>
      <c r="N12" s="284">
        <f t="shared" si="4"/>
        <v>0</v>
      </c>
      <c r="O12" s="285">
        <f t="shared" si="3"/>
        <v>7.6883583074988118E-2</v>
      </c>
      <c r="P12" s="365"/>
    </row>
    <row r="13" spans="1:16">
      <c r="A13" s="247">
        <v>11</v>
      </c>
      <c r="B13" s="248" t="s">
        <v>160</v>
      </c>
      <c r="C13" s="248" t="s">
        <v>161</v>
      </c>
      <c r="D13" s="248" t="s">
        <v>162</v>
      </c>
      <c r="E13" s="248">
        <v>9</v>
      </c>
      <c r="F13" s="250">
        <v>0</v>
      </c>
      <c r="G13" s="251">
        <v>0</v>
      </c>
      <c r="H13" s="224">
        <f t="shared" si="0"/>
        <v>9</v>
      </c>
      <c r="I13" s="280">
        <v>1770</v>
      </c>
      <c r="J13" s="281"/>
      <c r="K13" s="281"/>
      <c r="L13" s="282">
        <f t="shared" si="1"/>
        <v>0</v>
      </c>
      <c r="M13" s="283">
        <f t="shared" si="2"/>
        <v>15930</v>
      </c>
      <c r="N13" s="284">
        <f t="shared" si="4"/>
        <v>0</v>
      </c>
      <c r="O13" s="285">
        <f t="shared" si="3"/>
        <v>1.3608394204272897E-2</v>
      </c>
      <c r="P13" s="367" t="s">
        <v>105</v>
      </c>
    </row>
    <row r="14" spans="1:16">
      <c r="A14" s="247">
        <v>12</v>
      </c>
      <c r="B14" s="248" t="s">
        <v>163</v>
      </c>
      <c r="C14" s="248" t="s">
        <v>164</v>
      </c>
      <c r="D14" s="248" t="s">
        <v>165</v>
      </c>
      <c r="E14" s="248">
        <v>1</v>
      </c>
      <c r="F14" s="252">
        <v>0</v>
      </c>
      <c r="G14" s="253">
        <v>0</v>
      </c>
      <c r="H14" s="224">
        <f t="shared" si="0"/>
        <v>1</v>
      </c>
      <c r="I14" s="286">
        <v>90000</v>
      </c>
      <c r="J14" s="281"/>
      <c r="K14" s="281"/>
      <c r="L14" s="282">
        <f t="shared" si="1"/>
        <v>0</v>
      </c>
      <c r="M14" s="283">
        <f t="shared" si="2"/>
        <v>90000</v>
      </c>
      <c r="N14" s="284">
        <f t="shared" si="4"/>
        <v>0</v>
      </c>
      <c r="O14" s="285">
        <f t="shared" si="3"/>
        <v>7.6883583074988118E-2</v>
      </c>
      <c r="P14" s="365"/>
    </row>
    <row r="15" spans="1:16">
      <c r="A15" s="247">
        <v>13</v>
      </c>
      <c r="B15" s="248" t="s">
        <v>166</v>
      </c>
      <c r="C15" s="248" t="s">
        <v>167</v>
      </c>
      <c r="D15" s="248"/>
      <c r="E15" s="248">
        <v>1</v>
      </c>
      <c r="F15" s="250">
        <v>0</v>
      </c>
      <c r="G15" s="251">
        <v>0</v>
      </c>
      <c r="H15" s="224">
        <f t="shared" si="0"/>
        <v>1</v>
      </c>
      <c r="I15" s="280">
        <v>3100</v>
      </c>
      <c r="J15" s="281"/>
      <c r="K15" s="281"/>
      <c r="L15" s="282">
        <f t="shared" si="1"/>
        <v>0</v>
      </c>
      <c r="M15" s="283">
        <f t="shared" si="2"/>
        <v>3100</v>
      </c>
      <c r="N15" s="284">
        <f t="shared" si="4"/>
        <v>0</v>
      </c>
      <c r="O15" s="285">
        <f t="shared" si="3"/>
        <v>2.6482123059162577E-3</v>
      </c>
      <c r="P15" s="365"/>
    </row>
    <row r="16" spans="1:16">
      <c r="A16" s="247">
        <v>14</v>
      </c>
      <c r="B16" s="248" t="s">
        <v>168</v>
      </c>
      <c r="C16" s="248" t="s">
        <v>169</v>
      </c>
      <c r="D16" s="248" t="s">
        <v>170</v>
      </c>
      <c r="E16" s="248">
        <v>1</v>
      </c>
      <c r="F16" s="250">
        <v>0</v>
      </c>
      <c r="G16" s="251">
        <v>0</v>
      </c>
      <c r="H16" s="224">
        <f t="shared" si="0"/>
        <v>1</v>
      </c>
      <c r="I16" s="280">
        <v>4425</v>
      </c>
      <c r="J16" s="281"/>
      <c r="K16" s="281"/>
      <c r="L16" s="282">
        <f t="shared" si="1"/>
        <v>0</v>
      </c>
      <c r="M16" s="283">
        <f t="shared" si="2"/>
        <v>4425</v>
      </c>
      <c r="N16" s="284">
        <f t="shared" si="4"/>
        <v>0</v>
      </c>
      <c r="O16" s="285">
        <f t="shared" si="3"/>
        <v>3.780109501186916E-3</v>
      </c>
      <c r="P16" s="365"/>
    </row>
    <row r="17" spans="1:16">
      <c r="A17" s="247">
        <v>15</v>
      </c>
      <c r="B17" s="248" t="s">
        <v>171</v>
      </c>
      <c r="C17" s="248" t="s">
        <v>172</v>
      </c>
      <c r="D17" s="248" t="s">
        <v>173</v>
      </c>
      <c r="E17" s="248">
        <v>2</v>
      </c>
      <c r="F17" s="250">
        <v>0</v>
      </c>
      <c r="G17" s="251">
        <v>0</v>
      </c>
      <c r="H17" s="224">
        <f t="shared" si="0"/>
        <v>2</v>
      </c>
      <c r="I17" s="280">
        <v>10620</v>
      </c>
      <c r="J17" s="281"/>
      <c r="K17" s="281"/>
      <c r="L17" s="282">
        <f t="shared" si="1"/>
        <v>0</v>
      </c>
      <c r="M17" s="283">
        <f t="shared" si="2"/>
        <v>21240</v>
      </c>
      <c r="N17" s="284">
        <f t="shared" si="4"/>
        <v>0</v>
      </c>
      <c r="O17" s="285">
        <f t="shared" si="3"/>
        <v>1.8144525605697195E-2</v>
      </c>
      <c r="P17" s="365"/>
    </row>
    <row r="18" spans="1:16">
      <c r="A18" s="247">
        <v>16</v>
      </c>
      <c r="B18" s="248" t="s">
        <v>174</v>
      </c>
      <c r="C18" s="248" t="s">
        <v>175</v>
      </c>
      <c r="D18" s="248" t="s">
        <v>176</v>
      </c>
      <c r="E18" s="248">
        <v>2</v>
      </c>
      <c r="F18" s="250">
        <v>0</v>
      </c>
      <c r="G18" s="251">
        <v>0</v>
      </c>
      <c r="H18" s="224">
        <f t="shared" si="0"/>
        <v>2</v>
      </c>
      <c r="I18" s="280">
        <v>900</v>
      </c>
      <c r="J18" s="281"/>
      <c r="K18" s="281"/>
      <c r="L18" s="282">
        <f t="shared" si="1"/>
        <v>0</v>
      </c>
      <c r="M18" s="283">
        <f t="shared" si="2"/>
        <v>1800</v>
      </c>
      <c r="N18" s="284">
        <f t="shared" si="4"/>
        <v>0</v>
      </c>
      <c r="O18" s="285">
        <f t="shared" ref="O18:O32" si="5">M18/$M$35</f>
        <v>1.5376716614997623E-3</v>
      </c>
      <c r="P18" s="365"/>
    </row>
    <row r="19" spans="1:16">
      <c r="A19" s="247">
        <v>17</v>
      </c>
      <c r="B19" s="248" t="s">
        <v>177</v>
      </c>
      <c r="C19" s="248" t="s">
        <v>178</v>
      </c>
      <c r="D19" s="248" t="s">
        <v>179</v>
      </c>
      <c r="E19" s="248">
        <v>1</v>
      </c>
      <c r="F19" s="250">
        <v>0</v>
      </c>
      <c r="G19" s="251">
        <v>0</v>
      </c>
      <c r="H19" s="224">
        <f t="shared" si="0"/>
        <v>1</v>
      </c>
      <c r="I19" s="280">
        <v>3365</v>
      </c>
      <c r="J19" s="281"/>
      <c r="K19" s="281"/>
      <c r="L19" s="282">
        <f t="shared" si="1"/>
        <v>0</v>
      </c>
      <c r="M19" s="283">
        <f t="shared" si="2"/>
        <v>3365</v>
      </c>
      <c r="N19" s="284">
        <f t="shared" ref="N19:N34" si="6">G19*I19</f>
        <v>0</v>
      </c>
      <c r="O19" s="285">
        <f t="shared" si="5"/>
        <v>2.8745917449703893E-3</v>
      </c>
      <c r="P19" s="365"/>
    </row>
    <row r="20" spans="1:16">
      <c r="A20" s="247">
        <v>18</v>
      </c>
      <c r="B20" s="248" t="s">
        <v>180</v>
      </c>
      <c r="C20" s="248" t="s">
        <v>181</v>
      </c>
      <c r="D20" s="248"/>
      <c r="E20" s="248">
        <v>2</v>
      </c>
      <c r="F20" s="250">
        <v>0</v>
      </c>
      <c r="G20" s="251">
        <v>0</v>
      </c>
      <c r="H20" s="224">
        <f t="shared" si="0"/>
        <v>2</v>
      </c>
      <c r="I20" s="280">
        <v>8850</v>
      </c>
      <c r="J20" s="281"/>
      <c r="K20" s="281"/>
      <c r="L20" s="282">
        <f t="shared" si="1"/>
        <v>0</v>
      </c>
      <c r="M20" s="283">
        <f t="shared" si="2"/>
        <v>17700</v>
      </c>
      <c r="N20" s="284">
        <f t="shared" si="6"/>
        <v>0</v>
      </c>
      <c r="O20" s="285">
        <f t="shared" si="5"/>
        <v>1.5120438004747664E-2</v>
      </c>
      <c r="P20" s="365"/>
    </row>
    <row r="21" spans="1:16">
      <c r="A21" s="247">
        <v>19</v>
      </c>
      <c r="B21" s="248" t="s">
        <v>182</v>
      </c>
      <c r="C21" s="248" t="s">
        <v>183</v>
      </c>
      <c r="D21" s="248" t="s">
        <v>184</v>
      </c>
      <c r="E21" s="248">
        <v>1</v>
      </c>
      <c r="F21" s="250">
        <v>0</v>
      </c>
      <c r="G21" s="251">
        <v>0</v>
      </c>
      <c r="H21" s="224">
        <f t="shared" si="0"/>
        <v>1</v>
      </c>
      <c r="I21" s="280">
        <v>9735</v>
      </c>
      <c r="J21" s="281"/>
      <c r="K21" s="281"/>
      <c r="L21" s="282">
        <f t="shared" si="1"/>
        <v>0</v>
      </c>
      <c r="M21" s="283">
        <f t="shared" si="2"/>
        <v>9735</v>
      </c>
      <c r="N21" s="284">
        <f t="shared" si="6"/>
        <v>0</v>
      </c>
      <c r="O21" s="285">
        <f t="shared" si="5"/>
        <v>8.3162409026112157E-3</v>
      </c>
      <c r="P21" s="365"/>
    </row>
    <row r="22" spans="1:16">
      <c r="A22" s="247">
        <v>20</v>
      </c>
      <c r="B22" s="248" t="s">
        <v>185</v>
      </c>
      <c r="C22" s="248" t="s">
        <v>186</v>
      </c>
      <c r="D22" s="248" t="s">
        <v>176</v>
      </c>
      <c r="E22" s="248">
        <v>4</v>
      </c>
      <c r="F22" s="250">
        <v>0</v>
      </c>
      <c r="G22" s="251">
        <v>0</v>
      </c>
      <c r="H22" s="224">
        <f t="shared" si="0"/>
        <v>4</v>
      </c>
      <c r="I22" s="231">
        <v>4955</v>
      </c>
      <c r="J22" s="281"/>
      <c r="K22" s="281"/>
      <c r="L22" s="282">
        <f t="shared" si="1"/>
        <v>0</v>
      </c>
      <c r="M22" s="283">
        <f t="shared" si="2"/>
        <v>19820</v>
      </c>
      <c r="N22" s="284">
        <f t="shared" si="6"/>
        <v>0</v>
      </c>
      <c r="O22" s="285">
        <f t="shared" si="5"/>
        <v>1.6931473517180717E-2</v>
      </c>
      <c r="P22" s="365"/>
    </row>
    <row r="23" spans="1:16">
      <c r="A23" s="247">
        <v>21</v>
      </c>
      <c r="B23" s="248" t="s">
        <v>187</v>
      </c>
      <c r="C23" s="248"/>
      <c r="D23" s="248"/>
      <c r="E23" s="248">
        <v>3</v>
      </c>
      <c r="F23" s="250">
        <v>0</v>
      </c>
      <c r="G23" s="251">
        <v>0</v>
      </c>
      <c r="H23" s="224">
        <f t="shared" si="0"/>
        <v>3</v>
      </c>
      <c r="I23" s="280">
        <v>744</v>
      </c>
      <c r="J23" s="281"/>
      <c r="K23" s="281"/>
      <c r="L23" s="282">
        <f t="shared" si="1"/>
        <v>0</v>
      </c>
      <c r="M23" s="283">
        <f t="shared" si="2"/>
        <v>2232</v>
      </c>
      <c r="N23" s="284">
        <f t="shared" si="6"/>
        <v>0</v>
      </c>
      <c r="O23" s="285">
        <f t="shared" si="5"/>
        <v>1.9067128602597053E-3</v>
      </c>
      <c r="P23" s="365"/>
    </row>
    <row r="24" spans="1:16">
      <c r="A24" s="247">
        <v>22</v>
      </c>
      <c r="B24" s="248" t="s">
        <v>188</v>
      </c>
      <c r="C24" s="248" t="s">
        <v>189</v>
      </c>
      <c r="D24" s="248" t="s">
        <v>176</v>
      </c>
      <c r="E24" s="248">
        <v>1</v>
      </c>
      <c r="F24" s="252">
        <v>0</v>
      </c>
      <c r="G24" s="253">
        <v>0</v>
      </c>
      <c r="H24" s="224">
        <f t="shared" si="0"/>
        <v>1</v>
      </c>
      <c r="I24" s="286">
        <v>12000</v>
      </c>
      <c r="J24" s="281"/>
      <c r="K24" s="281"/>
      <c r="L24" s="282">
        <f t="shared" si="1"/>
        <v>0</v>
      </c>
      <c r="M24" s="283">
        <f t="shared" si="2"/>
        <v>12000</v>
      </c>
      <c r="N24" s="284">
        <f t="shared" si="6"/>
        <v>0</v>
      </c>
      <c r="O24" s="285">
        <f t="shared" si="5"/>
        <v>1.0251144409998416E-2</v>
      </c>
      <c r="P24" s="365"/>
    </row>
    <row r="25" spans="1:16">
      <c r="A25" s="247">
        <v>23</v>
      </c>
      <c r="B25" s="248" t="s">
        <v>190</v>
      </c>
      <c r="C25" s="248" t="s">
        <v>191</v>
      </c>
      <c r="D25" s="248"/>
      <c r="E25" s="248">
        <v>4</v>
      </c>
      <c r="F25" s="250">
        <v>0</v>
      </c>
      <c r="G25" s="251">
        <v>0</v>
      </c>
      <c r="H25" s="224">
        <f t="shared" si="0"/>
        <v>4</v>
      </c>
      <c r="I25" s="231">
        <v>531</v>
      </c>
      <c r="J25" s="281"/>
      <c r="K25" s="281"/>
      <c r="L25" s="282">
        <f t="shared" si="1"/>
        <v>0</v>
      </c>
      <c r="M25" s="283">
        <f t="shared" si="2"/>
        <v>2124</v>
      </c>
      <c r="N25" s="284">
        <f t="shared" si="6"/>
        <v>0</v>
      </c>
      <c r="O25" s="285">
        <f t="shared" si="5"/>
        <v>1.8144525605697196E-3</v>
      </c>
      <c r="P25" s="365"/>
    </row>
    <row r="26" spans="1:16">
      <c r="A26" s="247">
        <v>24</v>
      </c>
      <c r="B26" s="248" t="s">
        <v>192</v>
      </c>
      <c r="C26" s="248" t="s">
        <v>191</v>
      </c>
      <c r="D26" s="248"/>
      <c r="E26" s="248">
        <v>4</v>
      </c>
      <c r="F26" s="250">
        <v>0</v>
      </c>
      <c r="G26" s="251">
        <v>0</v>
      </c>
      <c r="H26" s="224">
        <f t="shared" si="0"/>
        <v>4</v>
      </c>
      <c r="I26" s="280">
        <v>266</v>
      </c>
      <c r="J26" s="281"/>
      <c r="K26" s="281"/>
      <c r="L26" s="282">
        <f t="shared" si="1"/>
        <v>0</v>
      </c>
      <c r="M26" s="283">
        <f t="shared" si="2"/>
        <v>1064</v>
      </c>
      <c r="N26" s="284">
        <f t="shared" si="6"/>
        <v>0</v>
      </c>
      <c r="O26" s="285">
        <f t="shared" si="5"/>
        <v>9.0893480435319291E-4</v>
      </c>
      <c r="P26" s="365"/>
    </row>
    <row r="27" spans="1:16">
      <c r="A27" s="247">
        <v>25</v>
      </c>
      <c r="B27" s="248" t="s">
        <v>193</v>
      </c>
      <c r="C27" s="248" t="s">
        <v>191</v>
      </c>
      <c r="D27" s="248"/>
      <c r="E27" s="248">
        <v>1</v>
      </c>
      <c r="F27" s="250">
        <v>0</v>
      </c>
      <c r="G27" s="251">
        <v>0</v>
      </c>
      <c r="H27" s="224">
        <f t="shared" si="0"/>
        <v>1</v>
      </c>
      <c r="I27" s="280">
        <v>2213</v>
      </c>
      <c r="J27" s="281"/>
      <c r="K27" s="281"/>
      <c r="L27" s="282">
        <f t="shared" si="1"/>
        <v>0</v>
      </c>
      <c r="M27" s="283">
        <f t="shared" si="2"/>
        <v>2213</v>
      </c>
      <c r="N27" s="284">
        <f t="shared" si="6"/>
        <v>0</v>
      </c>
      <c r="O27" s="285">
        <f t="shared" si="5"/>
        <v>1.8904818816105411E-3</v>
      </c>
      <c r="P27" s="365"/>
    </row>
    <row r="28" spans="1:16">
      <c r="A28" s="247">
        <v>26</v>
      </c>
      <c r="B28" s="248" t="s">
        <v>194</v>
      </c>
      <c r="C28" s="248" t="s">
        <v>191</v>
      </c>
      <c r="D28" s="248"/>
      <c r="E28" s="248">
        <v>8</v>
      </c>
      <c r="F28" s="250">
        <v>0</v>
      </c>
      <c r="G28" s="251">
        <v>0</v>
      </c>
      <c r="H28" s="224">
        <f t="shared" si="0"/>
        <v>8</v>
      </c>
      <c r="I28" s="280">
        <v>487</v>
      </c>
      <c r="J28" s="281"/>
      <c r="K28" s="281"/>
      <c r="L28" s="282">
        <f t="shared" si="1"/>
        <v>0</v>
      </c>
      <c r="M28" s="283">
        <f t="shared" si="2"/>
        <v>3896</v>
      </c>
      <c r="N28" s="284">
        <f t="shared" si="6"/>
        <v>0</v>
      </c>
      <c r="O28" s="285">
        <f t="shared" si="5"/>
        <v>3.3282048851128189E-3</v>
      </c>
      <c r="P28" s="365"/>
    </row>
    <row r="29" spans="1:16">
      <c r="A29" s="247">
        <v>27</v>
      </c>
      <c r="B29" s="248" t="s">
        <v>195</v>
      </c>
      <c r="C29" s="248" t="s">
        <v>196</v>
      </c>
      <c r="D29" s="248"/>
      <c r="E29" s="248">
        <v>1</v>
      </c>
      <c r="F29" s="250">
        <v>0</v>
      </c>
      <c r="G29" s="251">
        <v>0</v>
      </c>
      <c r="H29" s="224">
        <f t="shared" si="0"/>
        <v>1</v>
      </c>
      <c r="I29" s="280">
        <v>24780</v>
      </c>
      <c r="J29" s="281"/>
      <c r="K29" s="281"/>
      <c r="L29" s="282">
        <f t="shared" si="1"/>
        <v>0</v>
      </c>
      <c r="M29" s="283">
        <f t="shared" si="2"/>
        <v>24780</v>
      </c>
      <c r="N29" s="284">
        <f t="shared" si="6"/>
        <v>0</v>
      </c>
      <c r="O29" s="285">
        <f t="shared" si="5"/>
        <v>2.116861320664673E-2</v>
      </c>
      <c r="P29" s="365"/>
    </row>
    <row r="30" spans="1:16">
      <c r="A30" s="247">
        <v>28</v>
      </c>
      <c r="B30" s="248" t="s">
        <v>197</v>
      </c>
      <c r="C30" s="248"/>
      <c r="D30" s="248"/>
      <c r="E30" s="248">
        <v>1</v>
      </c>
      <c r="F30" s="250">
        <v>0.05</v>
      </c>
      <c r="G30" s="251">
        <v>0</v>
      </c>
      <c r="H30" s="224">
        <f t="shared" si="0"/>
        <v>1.05</v>
      </c>
      <c r="I30" s="280">
        <v>1770</v>
      </c>
      <c r="J30" s="281"/>
      <c r="K30" s="281"/>
      <c r="L30" s="282">
        <f t="shared" si="1"/>
        <v>0</v>
      </c>
      <c r="M30" s="283">
        <f t="shared" si="2"/>
        <v>1858.5</v>
      </c>
      <c r="N30" s="284">
        <f t="shared" si="6"/>
        <v>0</v>
      </c>
      <c r="O30" s="285">
        <f t="shared" si="5"/>
        <v>1.5876459904985048E-3</v>
      </c>
      <c r="P30" s="365"/>
    </row>
    <row r="31" spans="1:16">
      <c r="A31" s="247">
        <v>29</v>
      </c>
      <c r="B31" s="248" t="s">
        <v>198</v>
      </c>
      <c r="C31" s="248"/>
      <c r="D31" s="248"/>
      <c r="E31" s="248">
        <v>8</v>
      </c>
      <c r="F31" s="250">
        <v>0</v>
      </c>
      <c r="G31" s="251">
        <v>0</v>
      </c>
      <c r="H31" s="224">
        <f t="shared" si="0"/>
        <v>8</v>
      </c>
      <c r="I31" s="280">
        <v>177</v>
      </c>
      <c r="J31" s="281"/>
      <c r="K31" s="281"/>
      <c r="L31" s="282">
        <f t="shared" si="1"/>
        <v>0</v>
      </c>
      <c r="M31" s="283">
        <f t="shared" si="2"/>
        <v>1416</v>
      </c>
      <c r="N31" s="284">
        <f t="shared" si="6"/>
        <v>0</v>
      </c>
      <c r="O31" s="285">
        <f t="shared" si="5"/>
        <v>1.2096350403798131E-3</v>
      </c>
      <c r="P31" s="365"/>
    </row>
    <row r="32" spans="1:16">
      <c r="A32" s="247">
        <v>30</v>
      </c>
      <c r="B32" s="248" t="s">
        <v>199</v>
      </c>
      <c r="C32" s="248" t="s">
        <v>200</v>
      </c>
      <c r="D32" s="248"/>
      <c r="E32" s="248">
        <v>1</v>
      </c>
      <c r="F32" s="250">
        <v>0.05</v>
      </c>
      <c r="G32" s="251">
        <v>0</v>
      </c>
      <c r="H32" s="224">
        <f t="shared" si="0"/>
        <v>1.05</v>
      </c>
      <c r="I32" s="280">
        <v>4425</v>
      </c>
      <c r="J32" s="281"/>
      <c r="K32" s="281"/>
      <c r="L32" s="282">
        <f t="shared" si="1"/>
        <v>0</v>
      </c>
      <c r="M32" s="283">
        <f t="shared" si="2"/>
        <v>4646.25</v>
      </c>
      <c r="N32" s="284">
        <f t="shared" si="6"/>
        <v>0</v>
      </c>
      <c r="O32" s="285">
        <f t="shared" si="5"/>
        <v>3.9691149762462619E-3</v>
      </c>
      <c r="P32" s="365"/>
    </row>
    <row r="33" spans="1:16">
      <c r="A33" s="247"/>
      <c r="B33" s="254"/>
      <c r="C33" s="28"/>
      <c r="D33" s="28"/>
      <c r="E33" s="223"/>
      <c r="F33" s="250"/>
      <c r="G33" s="251"/>
      <c r="H33" s="224"/>
      <c r="I33" s="288"/>
      <c r="J33" s="281"/>
      <c r="K33" s="281"/>
      <c r="L33" s="282"/>
      <c r="M33" s="283"/>
      <c r="N33" s="284"/>
      <c r="O33" s="285"/>
      <c r="P33" s="365"/>
    </row>
    <row r="34" spans="1:16">
      <c r="A34" s="255"/>
      <c r="B34" s="256" t="s">
        <v>201</v>
      </c>
      <c r="C34" s="257"/>
      <c r="D34" s="257"/>
      <c r="E34" s="258"/>
      <c r="F34" s="259"/>
      <c r="G34" s="259"/>
      <c r="H34" s="260"/>
      <c r="I34" s="289"/>
      <c r="J34" s="290"/>
      <c r="K34" s="290"/>
      <c r="L34" s="291"/>
      <c r="M34" s="292"/>
      <c r="N34" s="284">
        <f t="shared" si="6"/>
        <v>0</v>
      </c>
      <c r="O34" s="293"/>
      <c r="P34" s="287"/>
    </row>
    <row r="35" spans="1:16" ht="16.2">
      <c r="A35" s="261"/>
      <c r="B35" s="262" t="s">
        <v>43</v>
      </c>
      <c r="C35" s="263"/>
      <c r="D35" s="263"/>
      <c r="E35" s="264">
        <f>SUM(E3:E33)</f>
        <v>17595.400000000001</v>
      </c>
      <c r="F35" s="265"/>
      <c r="G35" s="265"/>
      <c r="H35" s="266">
        <f>SUM(H3:H33)</f>
        <v>18539.727999999999</v>
      </c>
      <c r="I35" s="265"/>
      <c r="J35" s="294"/>
      <c r="K35" s="294"/>
      <c r="L35" s="295"/>
      <c r="M35" s="266">
        <f>SUM(M3:M33)</f>
        <v>1170601.01</v>
      </c>
      <c r="N35" s="266">
        <f>SUM(N3:N33)</f>
        <v>7610</v>
      </c>
      <c r="O35" s="296"/>
    </row>
    <row r="36" spans="1:16">
      <c r="B36" s="267"/>
      <c r="C36" s="268"/>
      <c r="D36" s="268"/>
      <c r="E36" s="269"/>
      <c r="F36" s="270"/>
      <c r="G36" s="270"/>
      <c r="H36" s="271"/>
      <c r="I36" s="270"/>
      <c r="L36" s="237"/>
      <c r="M36" s="297"/>
      <c r="N36" s="297"/>
      <c r="O36" s="240"/>
    </row>
    <row r="37" spans="1:16">
      <c r="B37" s="272" t="s">
        <v>119</v>
      </c>
      <c r="C37" s="273" t="s">
        <v>202</v>
      </c>
      <c r="G37" s="237"/>
      <c r="H37" s="239"/>
      <c r="L37" s="237"/>
      <c r="M37" s="239"/>
      <c r="N37" s="239"/>
      <c r="O37" s="240"/>
    </row>
    <row r="38" spans="1:16" ht="19.2">
      <c r="B38" s="274"/>
      <c r="C38" s="273" t="s">
        <v>203</v>
      </c>
      <c r="D38" s="274"/>
      <c r="E38" s="275"/>
      <c r="F38" s="274"/>
      <c r="G38" s="274"/>
      <c r="H38" s="275"/>
      <c r="L38" s="237"/>
      <c r="M38" s="239"/>
      <c r="N38" s="239"/>
      <c r="O38" s="240"/>
    </row>
  </sheetData>
  <mergeCells count="4">
    <mergeCell ref="P3:P4"/>
    <mergeCell ref="P5:P10"/>
    <mergeCell ref="P11:P12"/>
    <mergeCell ref="P13:P33"/>
  </mergeCells>
  <phoneticPr fontId="30" type="noConversion"/>
  <pageMargins left="0.7" right="0.7" top="0.75" bottom="0.75" header="0.3" footer="0.3"/>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dimension ref="A1:K15"/>
  <sheetViews>
    <sheetView workbookViewId="0">
      <pane xSplit="1" ySplit="2" topLeftCell="B3" activePane="bottomRight" state="frozen"/>
      <selection pane="topRight"/>
      <selection pane="bottomLeft"/>
      <selection pane="bottomRight" activeCell="A13" sqref="A13:K13"/>
    </sheetView>
  </sheetViews>
  <sheetFormatPr defaultColWidth="9" defaultRowHeight="15.6"/>
  <cols>
    <col min="1" max="1" width="5.21875" style="1" customWidth="1"/>
    <col min="2" max="2" width="9" style="2" customWidth="1"/>
    <col min="3" max="3" width="15.109375" style="2" customWidth="1"/>
    <col min="4" max="4" width="12.88671875" style="2" customWidth="1"/>
    <col min="5" max="5" width="13.6640625" style="2" customWidth="1"/>
    <col min="6" max="6" width="7.33203125" style="1" customWidth="1"/>
    <col min="7" max="8" width="9" style="1" customWidth="1"/>
    <col min="9" max="9" width="15.109375" style="1" customWidth="1"/>
    <col min="10" max="10" width="19.21875" style="1" customWidth="1"/>
    <col min="11" max="11" width="13" style="2" customWidth="1"/>
    <col min="12" max="16384" width="9" style="2"/>
  </cols>
  <sheetData>
    <row r="1" spans="1:11">
      <c r="A1" s="5" t="s">
        <v>89</v>
      </c>
      <c r="B1" s="7" t="s">
        <v>121</v>
      </c>
      <c r="C1" s="7" t="s">
        <v>121</v>
      </c>
      <c r="D1" s="7" t="s">
        <v>122</v>
      </c>
      <c r="E1" s="7" t="s">
        <v>121</v>
      </c>
      <c r="F1" s="5"/>
      <c r="G1" s="5" t="s">
        <v>90</v>
      </c>
      <c r="H1" s="5"/>
      <c r="I1" s="5" t="s">
        <v>122</v>
      </c>
      <c r="J1" s="5"/>
      <c r="K1" s="7"/>
    </row>
    <row r="2" spans="1:11" s="15" customFormat="1" ht="32.4">
      <c r="A2" s="206" t="s">
        <v>0</v>
      </c>
      <c r="B2" s="206" t="s">
        <v>123</v>
      </c>
      <c r="C2" s="206" t="s">
        <v>124</v>
      </c>
      <c r="D2" s="206" t="s">
        <v>125</v>
      </c>
      <c r="E2" s="206" t="s">
        <v>204</v>
      </c>
      <c r="F2" s="206" t="s">
        <v>205</v>
      </c>
      <c r="G2" s="206" t="s">
        <v>206</v>
      </c>
      <c r="H2" s="206" t="s">
        <v>128</v>
      </c>
      <c r="I2" s="206" t="s">
        <v>129</v>
      </c>
      <c r="J2" s="206" t="s">
        <v>207</v>
      </c>
      <c r="K2" s="206" t="s">
        <v>135</v>
      </c>
    </row>
    <row r="3" spans="1:11">
      <c r="A3" s="191">
        <v>1</v>
      </c>
      <c r="B3" s="228" t="s">
        <v>208</v>
      </c>
      <c r="C3" s="228" t="s">
        <v>209</v>
      </c>
      <c r="D3" s="229"/>
      <c r="E3" s="229">
        <v>20</v>
      </c>
      <c r="F3" s="5" t="s">
        <v>210</v>
      </c>
      <c r="G3" s="230">
        <v>0.05</v>
      </c>
      <c r="H3" s="5">
        <f>E3*(1+G3)</f>
        <v>21</v>
      </c>
      <c r="I3" s="231">
        <v>45</v>
      </c>
      <c r="J3" s="232">
        <f>H3*I3</f>
        <v>945</v>
      </c>
      <c r="K3" s="233">
        <f>J3/$J$15</f>
        <v>2.3403254166769898E-2</v>
      </c>
    </row>
    <row r="4" spans="1:11">
      <c r="A4" s="191">
        <v>2</v>
      </c>
      <c r="B4" s="228" t="s">
        <v>208</v>
      </c>
      <c r="C4" s="228" t="s">
        <v>211</v>
      </c>
      <c r="D4" s="229"/>
      <c r="E4" s="229">
        <v>20</v>
      </c>
      <c r="F4" s="5" t="s">
        <v>210</v>
      </c>
      <c r="G4" s="230">
        <v>0.05</v>
      </c>
      <c r="H4" s="5">
        <f t="shared" ref="H4:H13" si="0">E4*(1+G4)</f>
        <v>21</v>
      </c>
      <c r="I4" s="231">
        <v>276</v>
      </c>
      <c r="J4" s="232">
        <f t="shared" ref="J4:J13" si="1">H4*I4</f>
        <v>5796</v>
      </c>
      <c r="K4" s="233">
        <f t="shared" ref="K4:K13" si="2">J4/$J$15</f>
        <v>0.14353995888952201</v>
      </c>
    </row>
    <row r="5" spans="1:11">
      <c r="A5" s="191">
        <v>3</v>
      </c>
      <c r="B5" s="228" t="s">
        <v>208</v>
      </c>
      <c r="C5" s="228" t="s">
        <v>212</v>
      </c>
      <c r="D5" s="229"/>
      <c r="E5" s="229">
        <v>10</v>
      </c>
      <c r="F5" s="5" t="s">
        <v>213</v>
      </c>
      <c r="G5" s="230">
        <v>0.05</v>
      </c>
      <c r="H5" s="5">
        <f t="shared" si="0"/>
        <v>10.5</v>
      </c>
      <c r="I5" s="231">
        <v>100</v>
      </c>
      <c r="J5" s="232">
        <f t="shared" si="1"/>
        <v>1050</v>
      </c>
      <c r="K5" s="233">
        <f t="shared" si="2"/>
        <v>2.6003615740855399E-2</v>
      </c>
    </row>
    <row r="6" spans="1:11">
      <c r="A6" s="191">
        <v>4</v>
      </c>
      <c r="B6" s="228" t="s">
        <v>208</v>
      </c>
      <c r="C6" s="228" t="s">
        <v>214</v>
      </c>
      <c r="D6" s="229"/>
      <c r="E6" s="229">
        <v>10</v>
      </c>
      <c r="F6" s="5" t="s">
        <v>213</v>
      </c>
      <c r="G6" s="230">
        <v>0.05</v>
      </c>
      <c r="H6" s="5">
        <f t="shared" si="0"/>
        <v>10.5</v>
      </c>
      <c r="I6" s="231">
        <v>200</v>
      </c>
      <c r="J6" s="232">
        <f t="shared" si="1"/>
        <v>2100</v>
      </c>
      <c r="K6" s="233">
        <f t="shared" si="2"/>
        <v>5.2007231481710797E-2</v>
      </c>
    </row>
    <row r="7" spans="1:11">
      <c r="A7" s="191">
        <v>4</v>
      </c>
      <c r="B7" s="228" t="s">
        <v>208</v>
      </c>
      <c r="C7" s="228" t="s">
        <v>215</v>
      </c>
      <c r="D7" s="229"/>
      <c r="E7" s="229">
        <v>20</v>
      </c>
      <c r="F7" s="5" t="s">
        <v>213</v>
      </c>
      <c r="G7" s="230">
        <v>0.05</v>
      </c>
      <c r="H7" s="5">
        <f t="shared" si="0"/>
        <v>21</v>
      </c>
      <c r="I7" s="231">
        <v>200</v>
      </c>
      <c r="J7" s="232">
        <f t="shared" si="1"/>
        <v>4200</v>
      </c>
      <c r="K7" s="233">
        <f t="shared" si="2"/>
        <v>0.104014462963422</v>
      </c>
    </row>
    <row r="8" spans="1:11">
      <c r="A8" s="191">
        <v>5</v>
      </c>
      <c r="B8" s="228" t="s">
        <v>216</v>
      </c>
      <c r="C8" s="228" t="s">
        <v>217</v>
      </c>
      <c r="D8" s="229"/>
      <c r="E8" s="229">
        <v>120</v>
      </c>
      <c r="F8" s="5" t="s">
        <v>218</v>
      </c>
      <c r="G8" s="230">
        <v>0.05</v>
      </c>
      <c r="H8" s="5">
        <f t="shared" si="0"/>
        <v>126</v>
      </c>
      <c r="I8" s="231">
        <v>70</v>
      </c>
      <c r="J8" s="232">
        <f t="shared" si="1"/>
        <v>8820</v>
      </c>
      <c r="K8" s="233">
        <f t="shared" si="2"/>
        <v>0.21843037222318501</v>
      </c>
    </row>
    <row r="9" spans="1:11">
      <c r="A9" s="191">
        <v>6</v>
      </c>
      <c r="B9" s="228" t="s">
        <v>219</v>
      </c>
      <c r="C9" s="228" t="s">
        <v>220</v>
      </c>
      <c r="D9" s="229"/>
      <c r="E9" s="229">
        <v>30</v>
      </c>
      <c r="F9" s="5" t="s">
        <v>218</v>
      </c>
      <c r="G9" s="230">
        <v>0.02</v>
      </c>
      <c r="H9" s="5">
        <f t="shared" si="0"/>
        <v>30.6</v>
      </c>
      <c r="I9" s="231">
        <v>30</v>
      </c>
      <c r="J9" s="232">
        <f t="shared" si="1"/>
        <v>918</v>
      </c>
      <c r="K9" s="233">
        <f t="shared" si="2"/>
        <v>2.2734589762005E-2</v>
      </c>
    </row>
    <row r="10" spans="1:11">
      <c r="A10" s="191">
        <v>7</v>
      </c>
      <c r="B10" s="228" t="s">
        <v>219</v>
      </c>
      <c r="C10" s="228" t="s">
        <v>221</v>
      </c>
      <c r="D10" s="229"/>
      <c r="E10" s="229">
        <v>2</v>
      </c>
      <c r="F10" s="5" t="s">
        <v>218</v>
      </c>
      <c r="G10" s="230">
        <v>0</v>
      </c>
      <c r="H10" s="5">
        <f t="shared" si="0"/>
        <v>2</v>
      </c>
      <c r="I10" s="231">
        <v>300</v>
      </c>
      <c r="J10" s="232">
        <f t="shared" si="1"/>
        <v>600</v>
      </c>
      <c r="K10" s="233">
        <f t="shared" si="2"/>
        <v>1.4859208994774499E-2</v>
      </c>
    </row>
    <row r="11" spans="1:11">
      <c r="A11" s="191">
        <v>8</v>
      </c>
      <c r="B11" s="228" t="s">
        <v>222</v>
      </c>
      <c r="C11" s="228" t="s">
        <v>222</v>
      </c>
      <c r="D11" s="229"/>
      <c r="E11" s="229">
        <v>50</v>
      </c>
      <c r="F11" s="5" t="s">
        <v>223</v>
      </c>
      <c r="G11" s="230">
        <v>0.05</v>
      </c>
      <c r="H11" s="5">
        <f t="shared" si="0"/>
        <v>52.5</v>
      </c>
      <c r="I11" s="231">
        <v>100</v>
      </c>
      <c r="J11" s="232">
        <f t="shared" si="1"/>
        <v>5250</v>
      </c>
      <c r="K11" s="233">
        <f t="shared" si="2"/>
        <v>0.13001807870427701</v>
      </c>
    </row>
    <row r="12" spans="1:11">
      <c r="A12" s="191">
        <v>9</v>
      </c>
      <c r="B12" s="228" t="s">
        <v>224</v>
      </c>
      <c r="C12" s="228" t="s">
        <v>225</v>
      </c>
      <c r="D12" s="229"/>
      <c r="E12" s="229">
        <v>120</v>
      </c>
      <c r="F12" s="5" t="s">
        <v>210</v>
      </c>
      <c r="G12" s="230">
        <v>0.05</v>
      </c>
      <c r="H12" s="5">
        <f t="shared" si="0"/>
        <v>126</v>
      </c>
      <c r="I12" s="231">
        <v>50</v>
      </c>
      <c r="J12" s="232">
        <f t="shared" si="1"/>
        <v>6300</v>
      </c>
      <c r="K12" s="233">
        <f t="shared" si="2"/>
        <v>0.156021694445132</v>
      </c>
    </row>
    <row r="13" spans="1:11">
      <c r="A13" s="191">
        <v>10</v>
      </c>
      <c r="B13" s="228" t="s">
        <v>226</v>
      </c>
      <c r="C13" s="228"/>
      <c r="D13" s="229"/>
      <c r="E13" s="229">
        <v>200</v>
      </c>
      <c r="F13" s="5" t="s">
        <v>210</v>
      </c>
      <c r="G13" s="230">
        <v>0.1</v>
      </c>
      <c r="H13" s="5">
        <f t="shared" si="0"/>
        <v>220</v>
      </c>
      <c r="I13" s="231">
        <v>20</v>
      </c>
      <c r="J13" s="232">
        <f t="shared" si="1"/>
        <v>4400</v>
      </c>
      <c r="K13" s="233">
        <f t="shared" si="2"/>
        <v>0.10896753262834601</v>
      </c>
    </row>
    <row r="14" spans="1:11">
      <c r="A14" s="191"/>
      <c r="B14" s="7" t="s">
        <v>201</v>
      </c>
      <c r="C14" s="7"/>
      <c r="D14" s="7"/>
      <c r="E14" s="7"/>
      <c r="F14" s="5"/>
      <c r="G14" s="5"/>
      <c r="H14" s="5"/>
      <c r="I14" s="5"/>
      <c r="J14" s="232"/>
      <c r="K14" s="234"/>
    </row>
    <row r="15" spans="1:11">
      <c r="A15" s="199" t="s">
        <v>43</v>
      </c>
      <c r="B15" s="200"/>
      <c r="C15" s="200"/>
      <c r="D15" s="200"/>
      <c r="E15" s="200"/>
      <c r="F15" s="201"/>
      <c r="G15" s="201"/>
      <c r="H15" s="201"/>
      <c r="I15" s="201"/>
      <c r="J15" s="235">
        <f>SUM(J3:J14)</f>
        <v>40379</v>
      </c>
      <c r="K15" s="236"/>
    </row>
  </sheetData>
  <phoneticPr fontId="3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24"/>
  <sheetViews>
    <sheetView workbookViewId="0">
      <pane xSplit="1" ySplit="1" topLeftCell="B2" activePane="bottomRight" state="frozen"/>
      <selection pane="topRight"/>
      <selection pane="bottomLeft"/>
      <selection pane="bottomRight" activeCell="F16" sqref="F16"/>
    </sheetView>
  </sheetViews>
  <sheetFormatPr defaultColWidth="9" defaultRowHeight="15.6"/>
  <cols>
    <col min="1" max="1" width="5.77734375" style="1" customWidth="1"/>
    <col min="2" max="2" width="12.21875" style="216" customWidth="1"/>
    <col min="3" max="3" width="8.88671875" style="217" customWidth="1"/>
    <col min="4" max="4" width="11.109375" style="217" customWidth="1"/>
    <col min="5" max="5" width="11.77734375" style="217" customWidth="1"/>
    <col min="6" max="6" width="13" style="217" customWidth="1"/>
    <col min="7" max="7" width="13.6640625" style="217" customWidth="1"/>
    <col min="8" max="8" width="12" style="217" customWidth="1"/>
    <col min="9" max="9" width="16.109375" style="217" customWidth="1"/>
    <col min="10" max="10" width="14.109375" style="216" customWidth="1"/>
    <col min="11" max="11" width="14.88671875" style="216" customWidth="1"/>
    <col min="12" max="12" width="16.6640625" style="216" customWidth="1"/>
    <col min="13" max="13" width="10.88671875" style="216" customWidth="1"/>
    <col min="14" max="14" width="15" style="2" customWidth="1"/>
    <col min="15" max="16384" width="9" style="2"/>
  </cols>
  <sheetData>
    <row r="1" spans="1:12">
      <c r="A1" s="218" t="s">
        <v>90</v>
      </c>
      <c r="B1" s="219" t="s">
        <v>90</v>
      </c>
      <c r="C1" s="220" t="s">
        <v>90</v>
      </c>
      <c r="D1" s="220" t="s">
        <v>90</v>
      </c>
      <c r="E1" s="220" t="s">
        <v>90</v>
      </c>
      <c r="F1" s="220" t="s">
        <v>90</v>
      </c>
      <c r="G1" s="220"/>
      <c r="H1" s="220"/>
      <c r="I1" s="220"/>
      <c r="J1" s="220" t="s">
        <v>122</v>
      </c>
      <c r="K1" s="220" t="s">
        <v>90</v>
      </c>
      <c r="L1" s="220"/>
    </row>
    <row r="2" spans="1:12" ht="48.6">
      <c r="A2" s="221" t="s">
        <v>0</v>
      </c>
      <c r="B2" s="221" t="s">
        <v>91</v>
      </c>
      <c r="C2" s="222" t="s">
        <v>227</v>
      </c>
      <c r="D2" s="222" t="s">
        <v>228</v>
      </c>
      <c r="E2" s="222" t="s">
        <v>229</v>
      </c>
      <c r="F2" s="222" t="s">
        <v>230</v>
      </c>
      <c r="G2" s="222" t="s">
        <v>231</v>
      </c>
      <c r="H2" s="222" t="s">
        <v>232</v>
      </c>
      <c r="I2" s="222" t="s">
        <v>233</v>
      </c>
      <c r="J2" s="222" t="s">
        <v>234</v>
      </c>
      <c r="K2" s="222" t="s">
        <v>235</v>
      </c>
      <c r="L2" s="222" t="s">
        <v>236</v>
      </c>
    </row>
    <row r="3" spans="1:12">
      <c r="A3" s="5">
        <v>1</v>
      </c>
      <c r="B3" s="8" t="s">
        <v>237</v>
      </c>
      <c r="C3" s="223">
        <v>3</v>
      </c>
      <c r="D3" s="223">
        <v>220</v>
      </c>
      <c r="E3" s="223"/>
      <c r="F3" s="223"/>
      <c r="G3" s="224">
        <f>E3*F3</f>
        <v>0</v>
      </c>
      <c r="H3" s="225">
        <f>C3*D3</f>
        <v>660</v>
      </c>
      <c r="I3" s="225">
        <f>H3*12</f>
        <v>7920</v>
      </c>
      <c r="J3" s="223">
        <v>85</v>
      </c>
      <c r="K3" s="223" t="s">
        <v>238</v>
      </c>
      <c r="L3" s="225">
        <f>I3*J3</f>
        <v>673200</v>
      </c>
    </row>
    <row r="4" spans="1:12">
      <c r="A4" s="5">
        <v>2</v>
      </c>
      <c r="B4" s="8" t="s">
        <v>239</v>
      </c>
      <c r="C4" s="223">
        <v>2</v>
      </c>
      <c r="D4" s="223">
        <v>220</v>
      </c>
      <c r="E4" s="223"/>
      <c r="F4" s="223"/>
      <c r="G4" s="224">
        <f>E4*F4</f>
        <v>0</v>
      </c>
      <c r="H4" s="225">
        <f>C4*D4</f>
        <v>440</v>
      </c>
      <c r="I4" s="225">
        <f>H4*12</f>
        <v>5280</v>
      </c>
      <c r="J4" s="223">
        <v>85</v>
      </c>
      <c r="K4" s="223" t="s">
        <v>238</v>
      </c>
      <c r="L4" s="225">
        <f>I4*J4</f>
        <v>448800</v>
      </c>
    </row>
    <row r="5" spans="1:12">
      <c r="A5" s="5">
        <v>3</v>
      </c>
      <c r="B5" s="8" t="s">
        <v>240</v>
      </c>
      <c r="C5" s="223">
        <v>8</v>
      </c>
      <c r="D5" s="223">
        <v>220</v>
      </c>
      <c r="E5" s="223">
        <f>C5/2</f>
        <v>4</v>
      </c>
      <c r="F5" s="223">
        <v>4</v>
      </c>
      <c r="G5" s="224">
        <f>E5*F5*J5</f>
        <v>928</v>
      </c>
      <c r="H5" s="225">
        <f t="shared" ref="H5:H10" si="0">C5*D5</f>
        <v>1760</v>
      </c>
      <c r="I5" s="225">
        <f t="shared" ref="I5:I10" si="1">H5*12</f>
        <v>21120</v>
      </c>
      <c r="J5" s="223">
        <v>58</v>
      </c>
      <c r="K5" s="223" t="s">
        <v>241</v>
      </c>
      <c r="L5" s="225">
        <f t="shared" ref="L5:L19" si="2">I5*J5</f>
        <v>1224960</v>
      </c>
    </row>
    <row r="6" spans="1:12">
      <c r="A6" s="5">
        <v>4</v>
      </c>
      <c r="B6" s="8" t="s">
        <v>242</v>
      </c>
      <c r="C6" s="223">
        <v>4</v>
      </c>
      <c r="D6" s="223">
        <v>220</v>
      </c>
      <c r="E6" s="223">
        <v>2</v>
      </c>
      <c r="F6" s="223">
        <v>4</v>
      </c>
      <c r="G6" s="224">
        <f t="shared" ref="G6:G19" si="3">E6*F6*J6</f>
        <v>464</v>
      </c>
      <c r="H6" s="225">
        <f t="shared" si="0"/>
        <v>880</v>
      </c>
      <c r="I6" s="225">
        <f t="shared" si="1"/>
        <v>10560</v>
      </c>
      <c r="J6" s="223">
        <v>58</v>
      </c>
      <c r="K6" s="223" t="s">
        <v>241</v>
      </c>
      <c r="L6" s="225">
        <f t="shared" si="2"/>
        <v>612480</v>
      </c>
    </row>
    <row r="7" spans="1:12">
      <c r="A7" s="5">
        <v>5</v>
      </c>
      <c r="B7" s="8" t="s">
        <v>243</v>
      </c>
      <c r="C7" s="223">
        <v>12</v>
      </c>
      <c r="D7" s="223">
        <v>220</v>
      </c>
      <c r="E7" s="223">
        <f t="shared" ref="E7:E17" si="4">C7/2</f>
        <v>6</v>
      </c>
      <c r="F7" s="223">
        <v>4</v>
      </c>
      <c r="G7" s="224">
        <f t="shared" si="3"/>
        <v>1392</v>
      </c>
      <c r="H7" s="225">
        <f t="shared" si="0"/>
        <v>2640</v>
      </c>
      <c r="I7" s="225">
        <f t="shared" si="1"/>
        <v>31680</v>
      </c>
      <c r="J7" s="223">
        <v>58</v>
      </c>
      <c r="K7" s="223" t="s">
        <v>241</v>
      </c>
      <c r="L7" s="225">
        <f t="shared" si="2"/>
        <v>1837440</v>
      </c>
    </row>
    <row r="8" spans="1:12">
      <c r="A8" s="5">
        <v>6</v>
      </c>
      <c r="B8" s="8" t="s">
        <v>244</v>
      </c>
      <c r="C8" s="223">
        <v>4</v>
      </c>
      <c r="D8" s="223">
        <v>220</v>
      </c>
      <c r="E8" s="223">
        <f t="shared" si="4"/>
        <v>2</v>
      </c>
      <c r="F8" s="223">
        <v>4</v>
      </c>
      <c r="G8" s="224">
        <f t="shared" si="3"/>
        <v>464</v>
      </c>
      <c r="H8" s="225">
        <f t="shared" si="0"/>
        <v>880</v>
      </c>
      <c r="I8" s="225">
        <f t="shared" si="1"/>
        <v>10560</v>
      </c>
      <c r="J8" s="223">
        <v>58</v>
      </c>
      <c r="K8" s="223" t="s">
        <v>241</v>
      </c>
      <c r="L8" s="225">
        <f t="shared" si="2"/>
        <v>612480</v>
      </c>
    </row>
    <row r="9" spans="1:12">
      <c r="A9" s="5">
        <v>7</v>
      </c>
      <c r="B9" s="8" t="s">
        <v>245</v>
      </c>
      <c r="C9" s="223">
        <v>12</v>
      </c>
      <c r="D9" s="223">
        <v>220</v>
      </c>
      <c r="E9" s="223">
        <f t="shared" si="4"/>
        <v>6</v>
      </c>
      <c r="F9" s="223">
        <v>4</v>
      </c>
      <c r="G9" s="224">
        <f t="shared" si="3"/>
        <v>1392</v>
      </c>
      <c r="H9" s="225">
        <f t="shared" si="0"/>
        <v>2640</v>
      </c>
      <c r="I9" s="225">
        <f t="shared" si="1"/>
        <v>31680</v>
      </c>
      <c r="J9" s="223">
        <v>58</v>
      </c>
      <c r="K9" s="223" t="s">
        <v>241</v>
      </c>
      <c r="L9" s="225">
        <f t="shared" si="2"/>
        <v>1837440</v>
      </c>
    </row>
    <row r="10" spans="1:12">
      <c r="A10" s="5">
        <v>8</v>
      </c>
      <c r="B10" s="8" t="s">
        <v>100</v>
      </c>
      <c r="C10" s="223">
        <v>8</v>
      </c>
      <c r="D10" s="223">
        <v>220</v>
      </c>
      <c r="E10" s="223">
        <f t="shared" si="4"/>
        <v>4</v>
      </c>
      <c r="F10" s="223">
        <v>4</v>
      </c>
      <c r="G10" s="224">
        <f t="shared" si="3"/>
        <v>928</v>
      </c>
      <c r="H10" s="225">
        <f t="shared" si="0"/>
        <v>1760</v>
      </c>
      <c r="I10" s="225">
        <f t="shared" si="1"/>
        <v>21120</v>
      </c>
      <c r="J10" s="223">
        <v>58</v>
      </c>
      <c r="K10" s="223" t="s">
        <v>241</v>
      </c>
      <c r="L10" s="225">
        <f t="shared" si="2"/>
        <v>1224960</v>
      </c>
    </row>
    <row r="11" spans="1:12">
      <c r="A11" s="5">
        <v>9</v>
      </c>
      <c r="B11" s="8" t="s">
        <v>246</v>
      </c>
      <c r="C11" s="223">
        <v>8</v>
      </c>
      <c r="D11" s="223">
        <v>220</v>
      </c>
      <c r="E11" s="223">
        <f t="shared" si="4"/>
        <v>4</v>
      </c>
      <c r="F11" s="223">
        <v>4</v>
      </c>
      <c r="G11" s="224">
        <f t="shared" si="3"/>
        <v>928</v>
      </c>
      <c r="H11" s="225">
        <f t="shared" ref="H11:H21" si="5">C11*D11</f>
        <v>1760</v>
      </c>
      <c r="I11" s="225">
        <f t="shared" ref="I11:I21" si="6">H11*12</f>
        <v>21120</v>
      </c>
      <c r="J11" s="223">
        <v>58</v>
      </c>
      <c r="K11" s="223" t="s">
        <v>238</v>
      </c>
      <c r="L11" s="225">
        <f t="shared" si="2"/>
        <v>1224960</v>
      </c>
    </row>
    <row r="12" spans="1:12">
      <c r="A12" s="5">
        <v>10</v>
      </c>
      <c r="B12" s="8" t="s">
        <v>103</v>
      </c>
      <c r="C12" s="223">
        <v>4</v>
      </c>
      <c r="D12" s="223">
        <v>220</v>
      </c>
      <c r="E12" s="223">
        <f t="shared" si="4"/>
        <v>2</v>
      </c>
      <c r="F12" s="223">
        <v>4</v>
      </c>
      <c r="G12" s="224">
        <f t="shared" si="3"/>
        <v>464</v>
      </c>
      <c r="H12" s="225">
        <f t="shared" si="5"/>
        <v>880</v>
      </c>
      <c r="I12" s="225">
        <f t="shared" si="6"/>
        <v>10560</v>
      </c>
      <c r="J12" s="223">
        <v>58</v>
      </c>
      <c r="K12" s="223" t="s">
        <v>241</v>
      </c>
      <c r="L12" s="225">
        <f t="shared" si="2"/>
        <v>612480</v>
      </c>
    </row>
    <row r="13" spans="1:12">
      <c r="A13" s="5">
        <v>11</v>
      </c>
      <c r="B13" s="8" t="s">
        <v>247</v>
      </c>
      <c r="C13" s="223">
        <v>16</v>
      </c>
      <c r="D13" s="223">
        <v>220</v>
      </c>
      <c r="E13" s="223">
        <f t="shared" si="4"/>
        <v>8</v>
      </c>
      <c r="F13" s="223">
        <v>4</v>
      </c>
      <c r="G13" s="224">
        <f t="shared" si="3"/>
        <v>1856</v>
      </c>
      <c r="H13" s="225">
        <f t="shared" si="5"/>
        <v>3520</v>
      </c>
      <c r="I13" s="225">
        <f t="shared" si="6"/>
        <v>42240</v>
      </c>
      <c r="J13" s="223">
        <v>58</v>
      </c>
      <c r="K13" s="223" t="s">
        <v>241</v>
      </c>
      <c r="L13" s="225">
        <f t="shared" si="2"/>
        <v>2449920</v>
      </c>
    </row>
    <row r="14" spans="1:12">
      <c r="A14" s="5">
        <v>12</v>
      </c>
      <c r="B14" s="8" t="s">
        <v>248</v>
      </c>
      <c r="C14" s="223">
        <v>4</v>
      </c>
      <c r="D14" s="223">
        <v>220</v>
      </c>
      <c r="E14" s="223">
        <f t="shared" si="4"/>
        <v>2</v>
      </c>
      <c r="F14" s="223">
        <v>4</v>
      </c>
      <c r="G14" s="224">
        <f t="shared" si="3"/>
        <v>464</v>
      </c>
      <c r="H14" s="225">
        <f t="shared" si="5"/>
        <v>880</v>
      </c>
      <c r="I14" s="225">
        <f t="shared" si="6"/>
        <v>10560</v>
      </c>
      <c r="J14" s="223">
        <v>58</v>
      </c>
      <c r="K14" s="223" t="s">
        <v>241</v>
      </c>
      <c r="L14" s="225">
        <f t="shared" si="2"/>
        <v>612480</v>
      </c>
    </row>
    <row r="15" spans="1:12">
      <c r="A15" s="5">
        <v>13</v>
      </c>
      <c r="B15" s="8" t="s">
        <v>106</v>
      </c>
      <c r="C15" s="223">
        <v>4</v>
      </c>
      <c r="D15" s="223">
        <v>220</v>
      </c>
      <c r="E15" s="223">
        <f t="shared" si="4"/>
        <v>2</v>
      </c>
      <c r="F15" s="223">
        <v>4</v>
      </c>
      <c r="G15" s="224">
        <f t="shared" si="3"/>
        <v>464</v>
      </c>
      <c r="H15" s="225">
        <f t="shared" si="5"/>
        <v>880</v>
      </c>
      <c r="I15" s="225">
        <f t="shared" si="6"/>
        <v>10560</v>
      </c>
      <c r="J15" s="223">
        <v>58</v>
      </c>
      <c r="K15" s="223" t="s">
        <v>241</v>
      </c>
      <c r="L15" s="225">
        <f t="shared" si="2"/>
        <v>612480</v>
      </c>
    </row>
    <row r="16" spans="1:12">
      <c r="A16" s="5">
        <v>14</v>
      </c>
      <c r="B16" s="8" t="s">
        <v>249</v>
      </c>
      <c r="C16" s="223">
        <v>10</v>
      </c>
      <c r="D16" s="223">
        <v>220</v>
      </c>
      <c r="E16" s="223">
        <v>0</v>
      </c>
      <c r="F16" s="223">
        <v>4</v>
      </c>
      <c r="G16" s="224">
        <f t="shared" si="3"/>
        <v>0</v>
      </c>
      <c r="H16" s="225">
        <f t="shared" si="5"/>
        <v>2200</v>
      </c>
      <c r="I16" s="225">
        <f t="shared" si="6"/>
        <v>26400</v>
      </c>
      <c r="J16" s="223">
        <v>70</v>
      </c>
      <c r="K16" s="223" t="s">
        <v>238</v>
      </c>
      <c r="L16" s="225">
        <f t="shared" si="2"/>
        <v>1848000</v>
      </c>
    </row>
    <row r="17" spans="1:12">
      <c r="A17" s="5">
        <v>15</v>
      </c>
      <c r="B17" s="8" t="s">
        <v>250</v>
      </c>
      <c r="C17" s="223">
        <v>4</v>
      </c>
      <c r="D17" s="223">
        <v>220</v>
      </c>
      <c r="E17" s="223">
        <f t="shared" si="4"/>
        <v>2</v>
      </c>
      <c r="F17" s="223">
        <v>4</v>
      </c>
      <c r="G17" s="224">
        <f t="shared" si="3"/>
        <v>464</v>
      </c>
      <c r="H17" s="225">
        <f t="shared" si="5"/>
        <v>880</v>
      </c>
      <c r="I17" s="225">
        <f t="shared" si="6"/>
        <v>10560</v>
      </c>
      <c r="J17" s="223">
        <v>58</v>
      </c>
      <c r="K17" s="223" t="s">
        <v>241</v>
      </c>
      <c r="L17" s="225">
        <f t="shared" si="2"/>
        <v>612480</v>
      </c>
    </row>
    <row r="18" spans="1:12">
      <c r="A18" s="5">
        <v>16</v>
      </c>
      <c r="B18" s="8" t="s">
        <v>251</v>
      </c>
      <c r="C18" s="223">
        <v>3</v>
      </c>
      <c r="D18" s="223">
        <v>220</v>
      </c>
      <c r="E18" s="223">
        <v>2</v>
      </c>
      <c r="F18" s="223">
        <v>4</v>
      </c>
      <c r="G18" s="224">
        <f t="shared" si="3"/>
        <v>464</v>
      </c>
      <c r="H18" s="225">
        <f t="shared" si="5"/>
        <v>660</v>
      </c>
      <c r="I18" s="225">
        <f t="shared" si="6"/>
        <v>7920</v>
      </c>
      <c r="J18" s="223">
        <v>58</v>
      </c>
      <c r="K18" s="223" t="s">
        <v>241</v>
      </c>
      <c r="L18" s="225">
        <f t="shared" si="2"/>
        <v>459360</v>
      </c>
    </row>
    <row r="19" spans="1:12">
      <c r="A19" s="5">
        <v>17</v>
      </c>
      <c r="B19" s="8" t="s">
        <v>252</v>
      </c>
      <c r="C19" s="223">
        <v>4</v>
      </c>
      <c r="D19" s="223">
        <v>220</v>
      </c>
      <c r="E19" s="223">
        <v>0</v>
      </c>
      <c r="F19" s="223">
        <v>4</v>
      </c>
      <c r="G19" s="224">
        <f t="shared" si="3"/>
        <v>0</v>
      </c>
      <c r="H19" s="225">
        <f t="shared" si="5"/>
        <v>880</v>
      </c>
      <c r="I19" s="225">
        <f t="shared" si="6"/>
        <v>10560</v>
      </c>
      <c r="J19" s="223">
        <v>58</v>
      </c>
      <c r="K19" s="223" t="s">
        <v>241</v>
      </c>
      <c r="L19" s="225">
        <f t="shared" si="2"/>
        <v>612480</v>
      </c>
    </row>
    <row r="20" spans="1:12">
      <c r="A20" s="5">
        <v>18</v>
      </c>
      <c r="B20" s="8"/>
      <c r="C20" s="223"/>
      <c r="D20" s="223"/>
      <c r="E20" s="223"/>
      <c r="F20" s="223"/>
      <c r="G20" s="224"/>
      <c r="H20" s="225">
        <f t="shared" si="5"/>
        <v>0</v>
      </c>
      <c r="I20" s="225">
        <f t="shared" si="6"/>
        <v>0</v>
      </c>
      <c r="J20" s="223"/>
      <c r="K20" s="223"/>
      <c r="L20" s="225"/>
    </row>
    <row r="21" spans="1:12">
      <c r="A21" s="5"/>
      <c r="B21" s="8" t="s">
        <v>253</v>
      </c>
      <c r="C21" s="223"/>
      <c r="D21" s="223"/>
      <c r="E21" s="223"/>
      <c r="F21" s="223"/>
      <c r="G21" s="224"/>
      <c r="H21" s="225">
        <f t="shared" si="5"/>
        <v>0</v>
      </c>
      <c r="I21" s="225">
        <f t="shared" si="6"/>
        <v>0</v>
      </c>
      <c r="J21" s="223"/>
      <c r="K21" s="223"/>
      <c r="L21" s="225"/>
    </row>
    <row r="22" spans="1:12" ht="16.2">
      <c r="A22" s="226"/>
      <c r="B22" s="36" t="s">
        <v>43</v>
      </c>
      <c r="C22" s="227">
        <f>SUM(C3:C21)</f>
        <v>110</v>
      </c>
      <c r="D22" s="227">
        <f t="shared" ref="D22:L22" si="7">SUM(D3:D21)</f>
        <v>3740</v>
      </c>
      <c r="E22" s="227">
        <f t="shared" si="7"/>
        <v>46</v>
      </c>
      <c r="F22" s="227">
        <f t="shared" si="7"/>
        <v>60</v>
      </c>
      <c r="G22" s="227">
        <f t="shared" si="7"/>
        <v>10672</v>
      </c>
      <c r="H22" s="227">
        <f t="shared" si="7"/>
        <v>24200</v>
      </c>
      <c r="I22" s="227">
        <f t="shared" si="7"/>
        <v>290400</v>
      </c>
      <c r="J22" s="227">
        <f t="shared" si="7"/>
        <v>1052</v>
      </c>
      <c r="K22" s="227">
        <f t="shared" si="7"/>
        <v>0</v>
      </c>
      <c r="L22" s="227">
        <f t="shared" si="7"/>
        <v>17516400</v>
      </c>
    </row>
    <row r="23" spans="1:12">
      <c r="J23" s="217"/>
      <c r="K23" s="217"/>
      <c r="L23" s="217"/>
    </row>
    <row r="24" spans="1:12">
      <c r="A24" s="1" t="s">
        <v>119</v>
      </c>
      <c r="B24" s="20" t="s">
        <v>254</v>
      </c>
      <c r="J24" s="217"/>
      <c r="K24" s="217"/>
      <c r="L24" s="217"/>
    </row>
  </sheetData>
  <phoneticPr fontId="30"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Q36"/>
  <sheetViews>
    <sheetView workbookViewId="0">
      <pane xSplit="1" ySplit="1" topLeftCell="B2" activePane="bottomRight" state="frozen"/>
      <selection pane="topRight"/>
      <selection pane="bottomLeft"/>
      <selection pane="bottomRight" activeCell="D4" sqref="D4"/>
    </sheetView>
  </sheetViews>
  <sheetFormatPr defaultColWidth="9" defaultRowHeight="15.6"/>
  <cols>
    <col min="1" max="1" width="5.77734375" style="1" customWidth="1"/>
    <col min="2" max="2" width="9" style="2"/>
    <col min="3" max="3" width="12.88671875" style="2" customWidth="1"/>
    <col min="4" max="4" width="10.6640625" style="1" customWidth="1"/>
    <col min="5" max="6" width="9.77734375" style="1" customWidth="1"/>
    <col min="7" max="7" width="14.109375" style="1" customWidth="1"/>
    <col min="8" max="8" width="9.77734375" style="1" customWidth="1"/>
    <col min="9" max="9" width="10.88671875" style="1" customWidth="1"/>
    <col min="10" max="10" width="9.77734375" style="1" customWidth="1"/>
    <col min="11" max="11" width="12.6640625" style="1" customWidth="1"/>
    <col min="12" max="12" width="9.109375" style="1" customWidth="1"/>
    <col min="13" max="13" width="16.109375" style="203" customWidth="1"/>
    <col min="14" max="16" width="9" style="2"/>
    <col min="17" max="17" width="19.77734375" style="2" customWidth="1"/>
    <col min="18" max="16384" width="9" style="2"/>
  </cols>
  <sheetData>
    <row r="1" spans="1:17">
      <c r="A1" s="5" t="s">
        <v>89</v>
      </c>
      <c r="B1" s="7" t="s">
        <v>90</v>
      </c>
      <c r="C1" s="7" t="s">
        <v>90</v>
      </c>
      <c r="D1" s="5" t="s">
        <v>90</v>
      </c>
      <c r="E1" s="5" t="s">
        <v>90</v>
      </c>
      <c r="F1" s="5" t="s">
        <v>90</v>
      </c>
      <c r="G1" s="5" t="s">
        <v>90</v>
      </c>
      <c r="H1" s="5" t="s">
        <v>90</v>
      </c>
      <c r="I1" s="5" t="s">
        <v>90</v>
      </c>
      <c r="J1" s="5" t="s">
        <v>122</v>
      </c>
      <c r="K1" s="5"/>
      <c r="L1" s="5" t="s">
        <v>122</v>
      </c>
      <c r="M1" s="5"/>
      <c r="N1" s="5" t="s">
        <v>122</v>
      </c>
      <c r="O1" s="5"/>
      <c r="P1" s="5"/>
      <c r="Q1" s="7"/>
    </row>
    <row r="2" spans="1:17" ht="64.8">
      <c r="A2" s="204" t="s">
        <v>0</v>
      </c>
      <c r="B2" s="205" t="s">
        <v>91</v>
      </c>
      <c r="C2" s="205" t="s">
        <v>255</v>
      </c>
      <c r="D2" s="206" t="s">
        <v>256</v>
      </c>
      <c r="E2" s="206" t="s">
        <v>257</v>
      </c>
      <c r="F2" s="206" t="s">
        <v>258</v>
      </c>
      <c r="G2" s="206" t="s">
        <v>259</v>
      </c>
      <c r="H2" s="206" t="s">
        <v>260</v>
      </c>
      <c r="I2" s="206" t="s">
        <v>261</v>
      </c>
      <c r="J2" s="206" t="s">
        <v>262</v>
      </c>
      <c r="K2" s="206" t="s">
        <v>263</v>
      </c>
      <c r="L2" s="206" t="s">
        <v>264</v>
      </c>
      <c r="M2" s="206" t="s">
        <v>265</v>
      </c>
      <c r="N2" s="206" t="s">
        <v>266</v>
      </c>
      <c r="O2" s="209" t="s">
        <v>267</v>
      </c>
      <c r="P2" s="210" t="s">
        <v>268</v>
      </c>
      <c r="Q2" s="210" t="s">
        <v>269</v>
      </c>
    </row>
    <row r="3" spans="1:17">
      <c r="A3" s="191">
        <v>1</v>
      </c>
      <c r="B3" s="207" t="s">
        <v>242</v>
      </c>
      <c r="C3" s="207" t="s">
        <v>270</v>
      </c>
      <c r="D3" s="208">
        <v>400</v>
      </c>
      <c r="E3" s="208">
        <v>80</v>
      </c>
      <c r="F3" s="208">
        <v>0</v>
      </c>
      <c r="G3" s="208"/>
      <c r="H3" s="208">
        <v>0</v>
      </c>
      <c r="I3" s="208"/>
      <c r="J3" s="208">
        <v>0.98499999999999999</v>
      </c>
      <c r="K3" s="5">
        <f>(D3+E3)*J3</f>
        <v>472.8</v>
      </c>
      <c r="L3" s="208">
        <v>4.6500000000000004</v>
      </c>
      <c r="M3" s="5">
        <f>(F3+G3)*L3</f>
        <v>0</v>
      </c>
      <c r="N3" s="208">
        <v>2</v>
      </c>
      <c r="O3" s="211">
        <f>(H3+I3)*N3</f>
        <v>0</v>
      </c>
      <c r="P3" s="212">
        <f>E3*J3+G3*L3+I3*N3</f>
        <v>78.8</v>
      </c>
      <c r="Q3" s="214">
        <f>K3+M3+O3</f>
        <v>472.8</v>
      </c>
    </row>
    <row r="4" spans="1:17">
      <c r="A4" s="191">
        <v>2</v>
      </c>
      <c r="B4" s="207" t="s">
        <v>242</v>
      </c>
      <c r="C4" s="207" t="s">
        <v>271</v>
      </c>
      <c r="D4" s="208">
        <v>0</v>
      </c>
      <c r="E4" s="208">
        <v>0</v>
      </c>
      <c r="F4" s="208">
        <v>0</v>
      </c>
      <c r="G4" s="208"/>
      <c r="H4" s="208">
        <v>0</v>
      </c>
      <c r="I4" s="208"/>
      <c r="J4" s="208">
        <v>0.98499999999999999</v>
      </c>
      <c r="K4" s="5">
        <f t="shared" ref="K4:K31" si="0">(D4+E4)*J4</f>
        <v>0</v>
      </c>
      <c r="L4" s="208">
        <v>4.6500000000000004</v>
      </c>
      <c r="M4" s="5">
        <f t="shared" ref="M4:M31" si="1">(F4+G4)*L4</f>
        <v>0</v>
      </c>
      <c r="N4" s="208">
        <v>2</v>
      </c>
      <c r="O4" s="211">
        <f t="shared" ref="O4:O22" si="2">(H4+I4)*N4</f>
        <v>0</v>
      </c>
      <c r="P4" s="212">
        <f t="shared" ref="P4:P22" si="3">E4*J4+G4*L4+I4*N4</f>
        <v>0</v>
      </c>
      <c r="Q4" s="214">
        <f t="shared" ref="Q4:Q22" si="4">K4+M4+O4</f>
        <v>0</v>
      </c>
    </row>
    <row r="5" spans="1:17">
      <c r="A5" s="191">
        <v>3</v>
      </c>
      <c r="B5" s="207" t="s">
        <v>243</v>
      </c>
      <c r="C5" s="207" t="s">
        <v>272</v>
      </c>
      <c r="D5" s="208">
        <v>250</v>
      </c>
      <c r="E5" s="208">
        <v>100</v>
      </c>
      <c r="F5" s="208">
        <v>0</v>
      </c>
      <c r="G5" s="208"/>
      <c r="H5" s="208">
        <v>0</v>
      </c>
      <c r="I5" s="208"/>
      <c r="J5" s="208">
        <v>0.98499999999999999</v>
      </c>
      <c r="K5" s="5">
        <f t="shared" si="0"/>
        <v>344.75</v>
      </c>
      <c r="L5" s="208">
        <v>4.6500000000000004</v>
      </c>
      <c r="M5" s="5">
        <f t="shared" si="1"/>
        <v>0</v>
      </c>
      <c r="N5" s="208">
        <v>2</v>
      </c>
      <c r="O5" s="211">
        <f t="shared" si="2"/>
        <v>0</v>
      </c>
      <c r="P5" s="212">
        <f t="shared" si="3"/>
        <v>98.5</v>
      </c>
      <c r="Q5" s="214">
        <f t="shared" si="4"/>
        <v>344.75</v>
      </c>
    </row>
    <row r="6" spans="1:17">
      <c r="A6" s="191">
        <v>4</v>
      </c>
      <c r="B6" s="207" t="s">
        <v>243</v>
      </c>
      <c r="C6" s="207" t="s">
        <v>273</v>
      </c>
      <c r="D6" s="208">
        <v>250</v>
      </c>
      <c r="E6" s="208">
        <v>100</v>
      </c>
      <c r="F6" s="208">
        <v>0</v>
      </c>
      <c r="G6" s="208"/>
      <c r="H6" s="208">
        <v>0</v>
      </c>
      <c r="I6" s="208"/>
      <c r="J6" s="208">
        <v>0.98499999999999999</v>
      </c>
      <c r="K6" s="5">
        <f t="shared" si="0"/>
        <v>344.75</v>
      </c>
      <c r="L6" s="208">
        <v>4.6500000000000004</v>
      </c>
      <c r="M6" s="5">
        <f t="shared" si="1"/>
        <v>0</v>
      </c>
      <c r="N6" s="208">
        <v>2</v>
      </c>
      <c r="O6" s="211">
        <f t="shared" si="2"/>
        <v>0</v>
      </c>
      <c r="P6" s="212">
        <f t="shared" si="3"/>
        <v>98.5</v>
      </c>
      <c r="Q6" s="214">
        <f t="shared" si="4"/>
        <v>344.75</v>
      </c>
    </row>
    <row r="7" spans="1:17">
      <c r="A7" s="191">
        <v>5</v>
      </c>
      <c r="B7" s="207" t="s">
        <v>243</v>
      </c>
      <c r="C7" s="207" t="s">
        <v>274</v>
      </c>
      <c r="D7" s="208">
        <v>250</v>
      </c>
      <c r="E7" s="208">
        <v>100</v>
      </c>
      <c r="F7" s="208">
        <v>0</v>
      </c>
      <c r="G7" s="208"/>
      <c r="H7" s="208">
        <v>0</v>
      </c>
      <c r="I7" s="208"/>
      <c r="J7" s="208">
        <v>0.98499999999999999</v>
      </c>
      <c r="K7" s="5">
        <f t="shared" si="0"/>
        <v>344.75</v>
      </c>
      <c r="L7" s="208">
        <v>4.6500000000000004</v>
      </c>
      <c r="M7" s="5">
        <f t="shared" si="1"/>
        <v>0</v>
      </c>
      <c r="N7" s="208">
        <v>3.3</v>
      </c>
      <c r="O7" s="211">
        <f t="shared" si="2"/>
        <v>0</v>
      </c>
      <c r="P7" s="212">
        <f t="shared" si="3"/>
        <v>98.5</v>
      </c>
      <c r="Q7" s="214">
        <f t="shared" si="4"/>
        <v>344.75</v>
      </c>
    </row>
    <row r="8" spans="1:17">
      <c r="A8" s="191">
        <v>6</v>
      </c>
      <c r="B8" s="207" t="s">
        <v>243</v>
      </c>
      <c r="C8" s="207" t="s">
        <v>275</v>
      </c>
      <c r="D8" s="208">
        <v>0</v>
      </c>
      <c r="E8" s="208">
        <v>0</v>
      </c>
      <c r="F8" s="208">
        <v>0</v>
      </c>
      <c r="G8" s="208"/>
      <c r="H8" s="208">
        <v>0</v>
      </c>
      <c r="I8" s="208"/>
      <c r="J8" s="208">
        <v>0.98499999999999999</v>
      </c>
      <c r="K8" s="5">
        <f t="shared" si="0"/>
        <v>0</v>
      </c>
      <c r="L8" s="208">
        <v>4.6500000000000004</v>
      </c>
      <c r="M8" s="5">
        <f t="shared" si="1"/>
        <v>0</v>
      </c>
      <c r="N8" s="208">
        <v>3.3</v>
      </c>
      <c r="O8" s="211">
        <f t="shared" si="2"/>
        <v>0</v>
      </c>
      <c r="P8" s="212">
        <f t="shared" si="3"/>
        <v>0</v>
      </c>
      <c r="Q8" s="214">
        <f t="shared" si="4"/>
        <v>0</v>
      </c>
    </row>
    <row r="9" spans="1:17">
      <c r="A9" s="191">
        <v>7</v>
      </c>
      <c r="B9" s="207" t="s">
        <v>244</v>
      </c>
      <c r="C9" s="207" t="s">
        <v>276</v>
      </c>
      <c r="D9" s="208">
        <v>500</v>
      </c>
      <c r="E9" s="208">
        <f t="shared" ref="E9:E18" si="5">D9*0.5</f>
        <v>250</v>
      </c>
      <c r="F9" s="208">
        <v>0</v>
      </c>
      <c r="G9" s="208"/>
      <c r="H9" s="208">
        <v>0</v>
      </c>
      <c r="I9" s="208"/>
      <c r="J9" s="208">
        <v>0.98499999999999999</v>
      </c>
      <c r="K9" s="5">
        <f t="shared" si="0"/>
        <v>738.75</v>
      </c>
      <c r="L9" s="208">
        <v>4.6500000000000004</v>
      </c>
      <c r="M9" s="5">
        <f t="shared" si="1"/>
        <v>0</v>
      </c>
      <c r="N9" s="208">
        <v>3.3</v>
      </c>
      <c r="O9" s="211">
        <f t="shared" si="2"/>
        <v>0</v>
      </c>
      <c r="P9" s="212">
        <f t="shared" si="3"/>
        <v>246.25</v>
      </c>
      <c r="Q9" s="214">
        <f t="shared" si="4"/>
        <v>738.75</v>
      </c>
    </row>
    <row r="10" spans="1:17">
      <c r="A10" s="191">
        <v>8</v>
      </c>
      <c r="B10" s="207" t="s">
        <v>244</v>
      </c>
      <c r="C10" s="207" t="s">
        <v>277</v>
      </c>
      <c r="D10" s="208">
        <v>0</v>
      </c>
      <c r="E10" s="208">
        <v>0</v>
      </c>
      <c r="F10" s="208">
        <v>0</v>
      </c>
      <c r="G10" s="208"/>
      <c r="H10" s="208">
        <v>0</v>
      </c>
      <c r="I10" s="208"/>
      <c r="J10" s="208">
        <v>0.98499999999999999</v>
      </c>
      <c r="K10" s="5">
        <f t="shared" si="0"/>
        <v>0</v>
      </c>
      <c r="L10" s="208">
        <v>4.6500000000000004</v>
      </c>
      <c r="M10" s="5">
        <f t="shared" si="1"/>
        <v>0</v>
      </c>
      <c r="N10" s="208">
        <v>3.3</v>
      </c>
      <c r="O10" s="211">
        <f t="shared" si="2"/>
        <v>0</v>
      </c>
      <c r="P10" s="212">
        <f t="shared" si="3"/>
        <v>0</v>
      </c>
      <c r="Q10" s="214">
        <f t="shared" si="4"/>
        <v>0</v>
      </c>
    </row>
    <row r="11" spans="1:17">
      <c r="A11" s="191">
        <v>9</v>
      </c>
      <c r="B11" s="207" t="s">
        <v>244</v>
      </c>
      <c r="C11" s="207" t="s">
        <v>278</v>
      </c>
      <c r="D11" s="208">
        <v>1100</v>
      </c>
      <c r="E11" s="208">
        <v>250</v>
      </c>
      <c r="F11" s="208">
        <v>0</v>
      </c>
      <c r="G11" s="208"/>
      <c r="H11" s="208">
        <v>0</v>
      </c>
      <c r="I11" s="208"/>
      <c r="J11" s="208">
        <v>0.98499999999999999</v>
      </c>
      <c r="K11" s="5">
        <f t="shared" si="0"/>
        <v>1329.75</v>
      </c>
      <c r="L11" s="208">
        <v>4.6500000000000004</v>
      </c>
      <c r="M11" s="5">
        <f t="shared" si="1"/>
        <v>0</v>
      </c>
      <c r="N11" s="208">
        <v>3.3</v>
      </c>
      <c r="O11" s="211">
        <f t="shared" si="2"/>
        <v>0</v>
      </c>
      <c r="P11" s="212">
        <f t="shared" si="3"/>
        <v>246.25</v>
      </c>
      <c r="Q11" s="214">
        <f t="shared" si="4"/>
        <v>1329.75</v>
      </c>
    </row>
    <row r="12" spans="1:17">
      <c r="A12" s="191">
        <v>10</v>
      </c>
      <c r="B12" s="207" t="s">
        <v>245</v>
      </c>
      <c r="C12" s="207" t="s">
        <v>279</v>
      </c>
      <c r="D12" s="208">
        <v>80</v>
      </c>
      <c r="E12" s="208">
        <f t="shared" si="5"/>
        <v>40</v>
      </c>
      <c r="F12" s="208">
        <v>0</v>
      </c>
      <c r="G12" s="208"/>
      <c r="H12" s="208">
        <v>0</v>
      </c>
      <c r="I12" s="208"/>
      <c r="J12" s="208">
        <v>0.98499999999999999</v>
      </c>
      <c r="K12" s="5">
        <f t="shared" si="0"/>
        <v>118.2</v>
      </c>
      <c r="L12" s="208">
        <v>4.6500000000000004</v>
      </c>
      <c r="M12" s="5">
        <f t="shared" si="1"/>
        <v>0</v>
      </c>
      <c r="N12" s="208">
        <v>3.3</v>
      </c>
      <c r="O12" s="211">
        <f t="shared" si="2"/>
        <v>0</v>
      </c>
      <c r="P12" s="212">
        <f t="shared" si="3"/>
        <v>39.4</v>
      </c>
      <c r="Q12" s="214">
        <f t="shared" si="4"/>
        <v>118.2</v>
      </c>
    </row>
    <row r="13" spans="1:17">
      <c r="A13" s="191">
        <v>11</v>
      </c>
      <c r="B13" s="207" t="s">
        <v>245</v>
      </c>
      <c r="C13" s="207" t="s">
        <v>280</v>
      </c>
      <c r="D13" s="208">
        <v>0</v>
      </c>
      <c r="E13" s="208">
        <f t="shared" si="5"/>
        <v>0</v>
      </c>
      <c r="F13" s="208">
        <v>0</v>
      </c>
      <c r="G13" s="208"/>
      <c r="H13" s="208">
        <v>0</v>
      </c>
      <c r="I13" s="208"/>
      <c r="J13" s="208">
        <v>0.98499999999999999</v>
      </c>
      <c r="K13" s="5">
        <f t="shared" si="0"/>
        <v>0</v>
      </c>
      <c r="L13" s="208">
        <v>4.6500000000000004</v>
      </c>
      <c r="M13" s="5">
        <f t="shared" si="1"/>
        <v>0</v>
      </c>
      <c r="N13" s="208">
        <v>3.3</v>
      </c>
      <c r="O13" s="211">
        <f t="shared" si="2"/>
        <v>0</v>
      </c>
      <c r="P13" s="212">
        <f t="shared" si="3"/>
        <v>0</v>
      </c>
      <c r="Q13" s="214">
        <f t="shared" si="4"/>
        <v>0</v>
      </c>
    </row>
    <row r="14" spans="1:17">
      <c r="A14" s="191">
        <v>12</v>
      </c>
      <c r="B14" s="207" t="s">
        <v>245</v>
      </c>
      <c r="C14" s="207" t="s">
        <v>281</v>
      </c>
      <c r="D14" s="208">
        <v>0</v>
      </c>
      <c r="E14" s="208">
        <f t="shared" si="5"/>
        <v>0</v>
      </c>
      <c r="F14" s="208">
        <v>0</v>
      </c>
      <c r="G14" s="208"/>
      <c r="H14" s="208">
        <v>0</v>
      </c>
      <c r="I14" s="208"/>
      <c r="J14" s="208">
        <v>0.98499999999999999</v>
      </c>
      <c r="K14" s="5">
        <f t="shared" si="0"/>
        <v>0</v>
      </c>
      <c r="L14" s="208">
        <v>4.6500000000000004</v>
      </c>
      <c r="M14" s="5">
        <f t="shared" si="1"/>
        <v>0</v>
      </c>
      <c r="N14" s="208">
        <v>3.3</v>
      </c>
      <c r="O14" s="211">
        <f t="shared" si="2"/>
        <v>0</v>
      </c>
      <c r="P14" s="212">
        <f t="shared" si="3"/>
        <v>0</v>
      </c>
      <c r="Q14" s="214">
        <f t="shared" si="4"/>
        <v>0</v>
      </c>
    </row>
    <row r="15" spans="1:17">
      <c r="A15" s="191">
        <v>13</v>
      </c>
      <c r="B15" s="207" t="s">
        <v>100</v>
      </c>
      <c r="C15" s="207" t="s">
        <v>282</v>
      </c>
      <c r="D15" s="208">
        <v>80</v>
      </c>
      <c r="E15" s="208">
        <f t="shared" si="5"/>
        <v>40</v>
      </c>
      <c r="F15" s="208">
        <v>0</v>
      </c>
      <c r="G15" s="208"/>
      <c r="H15" s="208">
        <v>0</v>
      </c>
      <c r="I15" s="208"/>
      <c r="J15" s="208">
        <v>0.98499999999999999</v>
      </c>
      <c r="K15" s="5">
        <f t="shared" si="0"/>
        <v>118.2</v>
      </c>
      <c r="L15" s="208">
        <v>4.6500000000000004</v>
      </c>
      <c r="M15" s="5">
        <f t="shared" si="1"/>
        <v>0</v>
      </c>
      <c r="N15" s="208">
        <v>3.3</v>
      </c>
      <c r="O15" s="211">
        <f t="shared" si="2"/>
        <v>0</v>
      </c>
      <c r="P15" s="212">
        <f t="shared" si="3"/>
        <v>39.4</v>
      </c>
      <c r="Q15" s="214">
        <f t="shared" si="4"/>
        <v>118.2</v>
      </c>
    </row>
    <row r="16" spans="1:17">
      <c r="A16" s="191">
        <v>14</v>
      </c>
      <c r="B16" s="207" t="s">
        <v>100</v>
      </c>
      <c r="C16" s="207" t="s">
        <v>283</v>
      </c>
      <c r="D16" s="208">
        <v>0</v>
      </c>
      <c r="E16" s="208">
        <f t="shared" si="5"/>
        <v>0</v>
      </c>
      <c r="F16" s="208">
        <v>0</v>
      </c>
      <c r="G16" s="208"/>
      <c r="H16" s="208">
        <v>0</v>
      </c>
      <c r="I16" s="208"/>
      <c r="J16" s="208">
        <v>0.98499999999999999</v>
      </c>
      <c r="K16" s="5">
        <f t="shared" si="0"/>
        <v>0</v>
      </c>
      <c r="L16" s="208">
        <v>4.6500000000000004</v>
      </c>
      <c r="M16" s="5">
        <f t="shared" si="1"/>
        <v>0</v>
      </c>
      <c r="N16" s="208">
        <v>3.3</v>
      </c>
      <c r="O16" s="211">
        <f t="shared" si="2"/>
        <v>0</v>
      </c>
      <c r="P16" s="212">
        <f t="shared" si="3"/>
        <v>0</v>
      </c>
      <c r="Q16" s="214">
        <f t="shared" si="4"/>
        <v>0</v>
      </c>
    </row>
    <row r="17" spans="1:17">
      <c r="A17" s="191">
        <v>15</v>
      </c>
      <c r="B17" s="207" t="s">
        <v>246</v>
      </c>
      <c r="C17" s="207" t="s">
        <v>284</v>
      </c>
      <c r="D17" s="208">
        <v>80</v>
      </c>
      <c r="E17" s="208">
        <f t="shared" si="5"/>
        <v>40</v>
      </c>
      <c r="F17" s="208">
        <v>0</v>
      </c>
      <c r="G17" s="208"/>
      <c r="H17" s="208">
        <v>0</v>
      </c>
      <c r="I17" s="208"/>
      <c r="J17" s="208">
        <v>0.98499999999999999</v>
      </c>
      <c r="K17" s="5">
        <f t="shared" si="0"/>
        <v>118.2</v>
      </c>
      <c r="L17" s="208">
        <v>4.6500000000000004</v>
      </c>
      <c r="M17" s="5">
        <f t="shared" si="1"/>
        <v>0</v>
      </c>
      <c r="N17" s="208">
        <v>3.3</v>
      </c>
      <c r="O17" s="211">
        <f t="shared" si="2"/>
        <v>0</v>
      </c>
      <c r="P17" s="212">
        <f t="shared" si="3"/>
        <v>39.4</v>
      </c>
      <c r="Q17" s="214">
        <f t="shared" si="4"/>
        <v>118.2</v>
      </c>
    </row>
    <row r="18" spans="1:17">
      <c r="A18" s="191">
        <v>16</v>
      </c>
      <c r="B18" s="207" t="s">
        <v>246</v>
      </c>
      <c r="C18" s="207" t="s">
        <v>285</v>
      </c>
      <c r="D18" s="208">
        <v>0</v>
      </c>
      <c r="E18" s="208">
        <f t="shared" si="5"/>
        <v>0</v>
      </c>
      <c r="F18" s="208">
        <v>0</v>
      </c>
      <c r="G18" s="208"/>
      <c r="H18" s="208">
        <v>0</v>
      </c>
      <c r="I18" s="208"/>
      <c r="J18" s="208">
        <v>0.98499999999999999</v>
      </c>
      <c r="K18" s="5">
        <f t="shared" si="0"/>
        <v>0</v>
      </c>
      <c r="L18" s="208">
        <v>4.6500000000000004</v>
      </c>
      <c r="M18" s="5">
        <f t="shared" si="1"/>
        <v>0</v>
      </c>
      <c r="N18" s="208">
        <v>3.3</v>
      </c>
      <c r="O18" s="211">
        <f t="shared" si="2"/>
        <v>0</v>
      </c>
      <c r="P18" s="212">
        <f t="shared" si="3"/>
        <v>0</v>
      </c>
      <c r="Q18" s="214">
        <f t="shared" si="4"/>
        <v>0</v>
      </c>
    </row>
    <row r="19" spans="1:17">
      <c r="A19" s="191">
        <v>17</v>
      </c>
      <c r="B19" s="207" t="s">
        <v>103</v>
      </c>
      <c r="C19" s="207" t="s">
        <v>286</v>
      </c>
      <c r="D19" s="208">
        <v>2000</v>
      </c>
      <c r="E19" s="208">
        <v>1000</v>
      </c>
      <c r="F19" s="208">
        <v>120</v>
      </c>
      <c r="G19" s="208"/>
      <c r="H19" s="208">
        <v>2400</v>
      </c>
      <c r="I19" s="208"/>
      <c r="J19" s="208">
        <v>0.98499999999999999</v>
      </c>
      <c r="K19" s="5">
        <f t="shared" si="0"/>
        <v>2955</v>
      </c>
      <c r="L19" s="208">
        <v>4.6500000000000004</v>
      </c>
      <c r="M19" s="5">
        <f t="shared" si="1"/>
        <v>558</v>
      </c>
      <c r="N19" s="208">
        <v>3.3</v>
      </c>
      <c r="O19" s="211">
        <f t="shared" si="2"/>
        <v>7920</v>
      </c>
      <c r="P19" s="212">
        <f t="shared" si="3"/>
        <v>985</v>
      </c>
      <c r="Q19" s="214">
        <f t="shared" si="4"/>
        <v>11433</v>
      </c>
    </row>
    <row r="20" spans="1:17">
      <c r="A20" s="191">
        <v>18</v>
      </c>
      <c r="B20" s="207" t="s">
        <v>287</v>
      </c>
      <c r="C20" s="207" t="s">
        <v>288</v>
      </c>
      <c r="D20" s="208">
        <v>3200</v>
      </c>
      <c r="E20" s="208">
        <v>100</v>
      </c>
      <c r="F20" s="208">
        <v>40</v>
      </c>
      <c r="G20" s="208"/>
      <c r="H20" s="208">
        <v>0</v>
      </c>
      <c r="I20" s="208"/>
      <c r="J20" s="208">
        <v>0.98499999999999999</v>
      </c>
      <c r="K20" s="5">
        <f t="shared" si="0"/>
        <v>3250.5</v>
      </c>
      <c r="L20" s="208">
        <v>4.6500000000000004</v>
      </c>
      <c r="M20" s="5">
        <f t="shared" si="1"/>
        <v>186</v>
      </c>
      <c r="N20" s="208">
        <v>3.3</v>
      </c>
      <c r="O20" s="211">
        <f t="shared" si="2"/>
        <v>0</v>
      </c>
      <c r="P20" s="212">
        <f t="shared" si="3"/>
        <v>98.5</v>
      </c>
      <c r="Q20" s="214">
        <f t="shared" si="4"/>
        <v>3436.5</v>
      </c>
    </row>
    <row r="21" spans="1:17">
      <c r="A21" s="191">
        <v>19</v>
      </c>
      <c r="B21" s="207" t="s">
        <v>106</v>
      </c>
      <c r="C21" s="207" t="s">
        <v>288</v>
      </c>
      <c r="D21" s="208">
        <v>3200</v>
      </c>
      <c r="E21" s="208">
        <v>200</v>
      </c>
      <c r="F21" s="208">
        <v>40</v>
      </c>
      <c r="G21" s="208"/>
      <c r="H21" s="208">
        <v>0</v>
      </c>
      <c r="I21" s="208"/>
      <c r="J21" s="208">
        <v>0.98499999999999999</v>
      </c>
      <c r="K21" s="5">
        <f t="shared" si="0"/>
        <v>3349</v>
      </c>
      <c r="L21" s="208">
        <v>4.6500000000000004</v>
      </c>
      <c r="M21" s="5">
        <f t="shared" si="1"/>
        <v>186</v>
      </c>
      <c r="N21" s="208">
        <v>3.3</v>
      </c>
      <c r="O21" s="211">
        <f t="shared" si="2"/>
        <v>0</v>
      </c>
      <c r="P21" s="212">
        <f t="shared" si="3"/>
        <v>197</v>
      </c>
      <c r="Q21" s="214">
        <f t="shared" si="4"/>
        <v>3535</v>
      </c>
    </row>
    <row r="22" spans="1:17">
      <c r="A22" s="191">
        <v>20</v>
      </c>
      <c r="B22" s="207" t="s">
        <v>247</v>
      </c>
      <c r="C22" s="207" t="s">
        <v>282</v>
      </c>
      <c r="D22" s="208">
        <v>80</v>
      </c>
      <c r="E22" s="208">
        <v>40</v>
      </c>
      <c r="F22" s="208">
        <v>0</v>
      </c>
      <c r="G22" s="208"/>
      <c r="H22" s="208">
        <v>0</v>
      </c>
      <c r="I22" s="208"/>
      <c r="J22" s="208">
        <v>0.98499999999999999</v>
      </c>
      <c r="K22" s="5">
        <f t="shared" si="0"/>
        <v>118.2</v>
      </c>
      <c r="L22" s="208">
        <v>4.6500000000000004</v>
      </c>
      <c r="M22" s="5">
        <f t="shared" si="1"/>
        <v>0</v>
      </c>
      <c r="N22" s="208">
        <v>3.3</v>
      </c>
      <c r="O22" s="211">
        <f t="shared" si="2"/>
        <v>0</v>
      </c>
      <c r="P22" s="212">
        <f t="shared" si="3"/>
        <v>39.4</v>
      </c>
      <c r="Q22" s="214">
        <f t="shared" si="4"/>
        <v>118.2</v>
      </c>
    </row>
    <row r="23" spans="1:17">
      <c r="A23" s="191">
        <v>21</v>
      </c>
      <c r="B23" s="207" t="s">
        <v>108</v>
      </c>
      <c r="C23" s="207" t="s">
        <v>289</v>
      </c>
      <c r="D23" s="208">
        <v>8</v>
      </c>
      <c r="E23" s="208"/>
      <c r="F23" s="208">
        <v>0</v>
      </c>
      <c r="G23" s="208"/>
      <c r="H23" s="208">
        <v>0</v>
      </c>
      <c r="I23" s="208"/>
      <c r="J23" s="208">
        <v>0.98499999999999999</v>
      </c>
      <c r="K23" s="5">
        <f t="shared" si="0"/>
        <v>7.88</v>
      </c>
      <c r="L23" s="208">
        <v>4.6500000000000004</v>
      </c>
      <c r="M23" s="5">
        <f t="shared" si="1"/>
        <v>0</v>
      </c>
      <c r="N23" s="208">
        <v>3.3</v>
      </c>
      <c r="O23" s="211">
        <f t="shared" ref="O23:O31" si="6">(H23+I23)*N23</f>
        <v>0</v>
      </c>
      <c r="P23" s="212">
        <f t="shared" ref="P23:P31" si="7">E23*J23+G23*L23+I23*N23</f>
        <v>0</v>
      </c>
      <c r="Q23" s="214">
        <f t="shared" ref="Q23:Q31" si="8">K23+M23+O23</f>
        <v>7.88</v>
      </c>
    </row>
    <row r="24" spans="1:17">
      <c r="A24" s="191">
        <v>22</v>
      </c>
      <c r="B24" s="207" t="s">
        <v>108</v>
      </c>
      <c r="C24" s="207" t="s">
        <v>290</v>
      </c>
      <c r="D24" s="208">
        <v>240</v>
      </c>
      <c r="E24" s="208">
        <v>120</v>
      </c>
      <c r="F24" s="208">
        <v>4</v>
      </c>
      <c r="G24" s="208"/>
      <c r="H24" s="208">
        <v>0</v>
      </c>
      <c r="I24" s="208"/>
      <c r="J24" s="208">
        <v>0.98499999999999999</v>
      </c>
      <c r="K24" s="5">
        <f t="shared" si="0"/>
        <v>354.6</v>
      </c>
      <c r="L24" s="208">
        <v>4.6500000000000004</v>
      </c>
      <c r="M24" s="5">
        <f t="shared" si="1"/>
        <v>18.600000000000001</v>
      </c>
      <c r="N24" s="208">
        <v>3.3</v>
      </c>
      <c r="O24" s="211">
        <f t="shared" si="6"/>
        <v>0</v>
      </c>
      <c r="P24" s="212">
        <f t="shared" si="7"/>
        <v>118.2</v>
      </c>
      <c r="Q24" s="214">
        <f t="shared" si="8"/>
        <v>373.2</v>
      </c>
    </row>
    <row r="25" spans="1:17">
      <c r="A25" s="191">
        <v>23</v>
      </c>
      <c r="B25" s="207" t="s">
        <v>108</v>
      </c>
      <c r="C25" s="207" t="s">
        <v>291</v>
      </c>
      <c r="D25" s="208">
        <v>240</v>
      </c>
      <c r="E25" s="208">
        <v>120</v>
      </c>
      <c r="F25" s="208">
        <v>4</v>
      </c>
      <c r="G25" s="208"/>
      <c r="H25" s="208">
        <v>0</v>
      </c>
      <c r="I25" s="208"/>
      <c r="J25" s="208">
        <v>0.98499999999999999</v>
      </c>
      <c r="K25" s="5">
        <f t="shared" si="0"/>
        <v>354.6</v>
      </c>
      <c r="L25" s="208">
        <v>4.6500000000000004</v>
      </c>
      <c r="M25" s="5">
        <f t="shared" si="1"/>
        <v>18.600000000000001</v>
      </c>
      <c r="N25" s="208">
        <v>3.3</v>
      </c>
      <c r="O25" s="211">
        <f t="shared" si="6"/>
        <v>0</v>
      </c>
      <c r="P25" s="212">
        <f t="shared" si="7"/>
        <v>118.2</v>
      </c>
      <c r="Q25" s="214">
        <f t="shared" si="8"/>
        <v>373.2</v>
      </c>
    </row>
    <row r="26" spans="1:17">
      <c r="A26" s="191">
        <v>24</v>
      </c>
      <c r="B26" s="207" t="s">
        <v>108</v>
      </c>
      <c r="C26" s="207" t="s">
        <v>292</v>
      </c>
      <c r="D26" s="208">
        <v>240</v>
      </c>
      <c r="E26" s="208">
        <v>120</v>
      </c>
      <c r="F26" s="208">
        <v>4</v>
      </c>
      <c r="G26" s="208"/>
      <c r="H26" s="208">
        <v>0</v>
      </c>
      <c r="I26" s="208"/>
      <c r="J26" s="208">
        <v>0.98499999999999999</v>
      </c>
      <c r="K26" s="5">
        <f t="shared" si="0"/>
        <v>354.6</v>
      </c>
      <c r="L26" s="208">
        <v>4.6500000000000004</v>
      </c>
      <c r="M26" s="5">
        <f t="shared" si="1"/>
        <v>18.600000000000001</v>
      </c>
      <c r="N26" s="208">
        <v>3.3</v>
      </c>
      <c r="O26" s="211">
        <f t="shared" si="6"/>
        <v>0</v>
      </c>
      <c r="P26" s="212">
        <f t="shared" si="7"/>
        <v>118.2</v>
      </c>
      <c r="Q26" s="214">
        <f t="shared" si="8"/>
        <v>373.2</v>
      </c>
    </row>
    <row r="27" spans="1:17">
      <c r="A27" s="191">
        <v>25</v>
      </c>
      <c r="B27" s="207" t="s">
        <v>108</v>
      </c>
      <c r="C27" s="207" t="s">
        <v>293</v>
      </c>
      <c r="D27" s="208">
        <v>240</v>
      </c>
      <c r="E27" s="208">
        <v>120</v>
      </c>
      <c r="F27" s="208">
        <v>4</v>
      </c>
      <c r="G27" s="208"/>
      <c r="H27" s="208">
        <v>0</v>
      </c>
      <c r="I27" s="208"/>
      <c r="J27" s="208">
        <v>0.98499999999999999</v>
      </c>
      <c r="K27" s="5">
        <f t="shared" si="0"/>
        <v>354.6</v>
      </c>
      <c r="L27" s="208">
        <v>4.6500000000000004</v>
      </c>
      <c r="M27" s="5">
        <f t="shared" si="1"/>
        <v>18.600000000000001</v>
      </c>
      <c r="N27" s="208">
        <v>3.3</v>
      </c>
      <c r="O27" s="211">
        <f t="shared" si="6"/>
        <v>0</v>
      </c>
      <c r="P27" s="212">
        <f t="shared" si="7"/>
        <v>118.2</v>
      </c>
      <c r="Q27" s="214">
        <f t="shared" si="8"/>
        <v>373.2</v>
      </c>
    </row>
    <row r="28" spans="1:17">
      <c r="A28" s="191">
        <v>26</v>
      </c>
      <c r="B28" s="207" t="s">
        <v>108</v>
      </c>
      <c r="C28" s="207" t="s">
        <v>294</v>
      </c>
      <c r="D28" s="208">
        <v>240</v>
      </c>
      <c r="E28" s="208">
        <v>120</v>
      </c>
      <c r="F28" s="208">
        <v>4</v>
      </c>
      <c r="G28" s="208"/>
      <c r="H28" s="208">
        <v>0</v>
      </c>
      <c r="I28" s="208"/>
      <c r="J28" s="208">
        <v>0.98499999999999999</v>
      </c>
      <c r="K28" s="5">
        <f t="shared" si="0"/>
        <v>354.6</v>
      </c>
      <c r="L28" s="208">
        <v>4.6500000000000004</v>
      </c>
      <c r="M28" s="5">
        <f t="shared" si="1"/>
        <v>18.600000000000001</v>
      </c>
      <c r="N28" s="208">
        <v>3.3</v>
      </c>
      <c r="O28" s="211">
        <f t="shared" si="6"/>
        <v>0</v>
      </c>
      <c r="P28" s="212">
        <f t="shared" si="7"/>
        <v>118.2</v>
      </c>
      <c r="Q28" s="214">
        <f t="shared" si="8"/>
        <v>373.2</v>
      </c>
    </row>
    <row r="29" spans="1:17">
      <c r="A29" s="191">
        <v>27</v>
      </c>
      <c r="B29" s="207" t="s">
        <v>108</v>
      </c>
      <c r="C29" s="207" t="s">
        <v>295</v>
      </c>
      <c r="D29" s="208">
        <v>3360</v>
      </c>
      <c r="E29" s="208"/>
      <c r="F29" s="208">
        <v>24</v>
      </c>
      <c r="G29" s="208"/>
      <c r="H29" s="208">
        <v>0</v>
      </c>
      <c r="I29" s="208"/>
      <c r="J29" s="208">
        <v>0.98499999999999999</v>
      </c>
      <c r="K29" s="5">
        <f t="shared" si="0"/>
        <v>3309.6</v>
      </c>
      <c r="L29" s="208">
        <v>4.6500000000000004</v>
      </c>
      <c r="M29" s="5">
        <f t="shared" si="1"/>
        <v>111.6</v>
      </c>
      <c r="N29" s="208">
        <v>3.3</v>
      </c>
      <c r="O29" s="211">
        <f t="shared" si="6"/>
        <v>0</v>
      </c>
      <c r="P29" s="212">
        <f t="shared" si="7"/>
        <v>0</v>
      </c>
      <c r="Q29" s="214">
        <f t="shared" si="8"/>
        <v>3421.2</v>
      </c>
    </row>
    <row r="30" spans="1:17">
      <c r="A30" s="191">
        <v>28</v>
      </c>
      <c r="B30" s="207" t="s">
        <v>296</v>
      </c>
      <c r="C30" s="207" t="s">
        <v>297</v>
      </c>
      <c r="D30" s="208">
        <v>2400</v>
      </c>
      <c r="E30" s="208"/>
      <c r="F30" s="208">
        <v>0</v>
      </c>
      <c r="G30" s="208"/>
      <c r="H30" s="208">
        <v>0</v>
      </c>
      <c r="I30" s="208"/>
      <c r="J30" s="208">
        <v>0.98499999999999999</v>
      </c>
      <c r="K30" s="5">
        <f t="shared" si="0"/>
        <v>2364</v>
      </c>
      <c r="L30" s="208">
        <v>4.6500000000000004</v>
      </c>
      <c r="M30" s="5">
        <f t="shared" si="1"/>
        <v>0</v>
      </c>
      <c r="N30" s="208">
        <v>3.3</v>
      </c>
      <c r="O30" s="211">
        <f t="shared" si="6"/>
        <v>0</v>
      </c>
      <c r="P30" s="212">
        <f t="shared" si="7"/>
        <v>0</v>
      </c>
      <c r="Q30" s="214">
        <f t="shared" si="8"/>
        <v>2364</v>
      </c>
    </row>
    <row r="31" spans="1:17">
      <c r="A31" s="191">
        <v>29</v>
      </c>
      <c r="B31" s="207" t="s">
        <v>224</v>
      </c>
      <c r="C31" s="207" t="s">
        <v>224</v>
      </c>
      <c r="D31" s="208">
        <v>60</v>
      </c>
      <c r="E31" s="208"/>
      <c r="F31" s="208">
        <v>0</v>
      </c>
      <c r="G31" s="208"/>
      <c r="H31" s="208">
        <v>0</v>
      </c>
      <c r="I31" s="208"/>
      <c r="J31" s="208">
        <v>0.98499999999999999</v>
      </c>
      <c r="K31" s="5">
        <f t="shared" si="0"/>
        <v>59.1</v>
      </c>
      <c r="L31" s="208">
        <v>4.6500000000000004</v>
      </c>
      <c r="M31" s="5">
        <f t="shared" si="1"/>
        <v>0</v>
      </c>
      <c r="N31" s="208">
        <v>3.3</v>
      </c>
      <c r="O31" s="211">
        <f t="shared" si="6"/>
        <v>0</v>
      </c>
      <c r="P31" s="212">
        <f t="shared" si="7"/>
        <v>0</v>
      </c>
      <c r="Q31" s="214">
        <f t="shared" si="8"/>
        <v>59.1</v>
      </c>
    </row>
    <row r="32" spans="1:17">
      <c r="A32" s="191">
        <v>30</v>
      </c>
      <c r="B32" s="207"/>
      <c r="C32" s="207"/>
      <c r="D32" s="208"/>
      <c r="E32" s="208"/>
      <c r="F32" s="208"/>
      <c r="G32" s="208"/>
      <c r="H32" s="208"/>
      <c r="I32" s="208"/>
      <c r="J32" s="208"/>
      <c r="K32" s="5"/>
      <c r="L32" s="208"/>
      <c r="M32" s="5"/>
      <c r="N32" s="208"/>
      <c r="O32" s="211"/>
      <c r="P32" s="212"/>
      <c r="Q32" s="214"/>
    </row>
    <row r="33" spans="1:17">
      <c r="A33" s="191"/>
      <c r="B33" s="7" t="s">
        <v>298</v>
      </c>
      <c r="C33" s="7"/>
      <c r="D33" s="5"/>
      <c r="E33" s="5"/>
      <c r="F33" s="5"/>
      <c r="G33" s="5"/>
      <c r="H33" s="5"/>
      <c r="I33" s="5"/>
      <c r="J33" s="5"/>
      <c r="K33" s="5"/>
      <c r="L33" s="5"/>
      <c r="M33" s="5"/>
      <c r="N33" s="5"/>
      <c r="O33" s="211"/>
      <c r="P33" s="212"/>
      <c r="Q33" s="214"/>
    </row>
    <row r="34" spans="1:17" ht="19.2">
      <c r="A34" s="199" t="s">
        <v>299</v>
      </c>
      <c r="B34" s="200"/>
      <c r="C34" s="200"/>
      <c r="D34" s="201">
        <f>SUM(D3:D31)</f>
        <v>18498</v>
      </c>
      <c r="E34" s="201"/>
      <c r="F34" s="201">
        <f>SUM(F3:F31)</f>
        <v>244</v>
      </c>
      <c r="G34" s="201"/>
      <c r="H34" s="201">
        <f>SUM(H3:H31)</f>
        <v>2400</v>
      </c>
      <c r="I34" s="201"/>
      <c r="J34" s="201"/>
      <c r="K34" s="201">
        <f>SUM(K3:K31)</f>
        <v>21116.43</v>
      </c>
      <c r="L34" s="201"/>
      <c r="M34" s="201">
        <f>SUM(M3:M31)</f>
        <v>1134.5999999999999</v>
      </c>
      <c r="N34" s="201"/>
      <c r="O34" s="213">
        <f>SUM(O3:O31)</f>
        <v>7920</v>
      </c>
      <c r="P34" s="213">
        <f>SUM(P3:P31)</f>
        <v>2895.9</v>
      </c>
      <c r="Q34" s="215">
        <f>SUM(Q3:Q31)</f>
        <v>30171.03</v>
      </c>
    </row>
    <row r="35" spans="1:17">
      <c r="M35" s="1"/>
      <c r="N35" s="1"/>
      <c r="O35" s="1"/>
      <c r="P35" s="1"/>
    </row>
    <row r="36" spans="1:17">
      <c r="A36" s="19" t="s">
        <v>300</v>
      </c>
      <c r="M36" s="1"/>
      <c r="N36" s="1"/>
      <c r="O36" s="1"/>
      <c r="P36" s="1"/>
    </row>
  </sheetData>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50"/>
  <sheetViews>
    <sheetView workbookViewId="0">
      <pane xSplit="1" ySplit="2" topLeftCell="B36" activePane="bottomRight" state="frozen"/>
      <selection pane="topRight"/>
      <selection pane="bottomLeft"/>
      <selection pane="bottomRight" activeCell="I40" sqref="I40"/>
    </sheetView>
  </sheetViews>
  <sheetFormatPr defaultColWidth="9" defaultRowHeight="15.6"/>
  <cols>
    <col min="1" max="1" width="5.21875" style="1" customWidth="1"/>
    <col min="2" max="2" width="13.33203125" style="2" customWidth="1"/>
    <col min="3" max="3" width="20.44140625" style="2" customWidth="1"/>
    <col min="4" max="4" width="14.88671875" style="1" customWidth="1"/>
    <col min="5" max="5" width="14.88671875" style="2" customWidth="1"/>
    <col min="6" max="6" width="14.88671875" style="1" customWidth="1"/>
    <col min="7" max="7" width="14.88671875" style="2" customWidth="1"/>
    <col min="8" max="8" width="14.88671875" style="1" customWidth="1"/>
    <col min="9" max="16384" width="9" style="2"/>
  </cols>
  <sheetData>
    <row r="1" spans="1:8">
      <c r="A1" s="182" t="s">
        <v>89</v>
      </c>
      <c r="B1" s="183" t="s">
        <v>90</v>
      </c>
      <c r="C1" s="183" t="s">
        <v>90</v>
      </c>
      <c r="D1" s="184" t="s">
        <v>122</v>
      </c>
      <c r="E1" s="183" t="s">
        <v>90</v>
      </c>
      <c r="F1" s="184" t="s">
        <v>90</v>
      </c>
      <c r="G1" s="183"/>
      <c r="H1" s="185"/>
    </row>
    <row r="2" spans="1:8" s="181" customFormat="1" ht="32.4">
      <c r="A2" s="186" t="s">
        <v>0</v>
      </c>
      <c r="B2" s="187" t="s">
        <v>301</v>
      </c>
      <c r="C2" s="187" t="s">
        <v>302</v>
      </c>
      <c r="D2" s="188" t="s">
        <v>303</v>
      </c>
      <c r="E2" s="189" t="s">
        <v>304</v>
      </c>
      <c r="F2" s="188" t="s">
        <v>305</v>
      </c>
      <c r="G2" s="189" t="s">
        <v>306</v>
      </c>
      <c r="H2" s="190" t="s">
        <v>307</v>
      </c>
    </row>
    <row r="3" spans="1:8">
      <c r="A3" s="191">
        <v>1</v>
      </c>
      <c r="B3" s="192" t="s">
        <v>308</v>
      </c>
      <c r="C3" s="192" t="s">
        <v>309</v>
      </c>
      <c r="D3" s="193">
        <v>3000</v>
      </c>
      <c r="E3" s="192" t="s">
        <v>310</v>
      </c>
      <c r="F3" s="193">
        <v>1</v>
      </c>
      <c r="G3" s="194" t="s">
        <v>311</v>
      </c>
      <c r="H3" s="195">
        <f>D3*F3*12</f>
        <v>36000</v>
      </c>
    </row>
    <row r="4" spans="1:8">
      <c r="A4" s="191">
        <v>2</v>
      </c>
      <c r="B4" s="192" t="s">
        <v>308</v>
      </c>
      <c r="C4" s="192" t="s">
        <v>312</v>
      </c>
      <c r="D4" s="193">
        <v>1500</v>
      </c>
      <c r="E4" s="193" t="s">
        <v>313</v>
      </c>
      <c r="F4" s="193">
        <v>4</v>
      </c>
      <c r="G4" s="194" t="s">
        <v>311</v>
      </c>
      <c r="H4" s="195">
        <f>D4*F4*4</f>
        <v>24000</v>
      </c>
    </row>
    <row r="5" spans="1:8">
      <c r="A5" s="191">
        <v>3</v>
      </c>
      <c r="B5" s="192" t="s">
        <v>308</v>
      </c>
      <c r="C5" s="192" t="s">
        <v>314</v>
      </c>
      <c r="D5" s="193">
        <v>200</v>
      </c>
      <c r="E5" s="193" t="s">
        <v>313</v>
      </c>
      <c r="F5" s="193">
        <v>1</v>
      </c>
      <c r="G5" s="196" t="s">
        <v>210</v>
      </c>
      <c r="H5" s="195">
        <f>D5*F5*4</f>
        <v>800</v>
      </c>
    </row>
    <row r="6" spans="1:8">
      <c r="A6" s="191">
        <v>4</v>
      </c>
      <c r="B6" s="192" t="s">
        <v>315</v>
      </c>
      <c r="C6" s="192" t="s">
        <v>309</v>
      </c>
      <c r="D6" s="193">
        <v>3000</v>
      </c>
      <c r="E6" s="192" t="s">
        <v>310</v>
      </c>
      <c r="F6" s="193">
        <v>1</v>
      </c>
      <c r="G6" s="194" t="s">
        <v>311</v>
      </c>
      <c r="H6" s="195">
        <f>D6*F6*12</f>
        <v>36000</v>
      </c>
    </row>
    <row r="7" spans="1:8">
      <c r="A7" s="191">
        <v>5</v>
      </c>
      <c r="B7" s="192" t="s">
        <v>315</v>
      </c>
      <c r="C7" s="192" t="s">
        <v>312</v>
      </c>
      <c r="D7" s="193">
        <v>1500</v>
      </c>
      <c r="E7" s="193" t="s">
        <v>313</v>
      </c>
      <c r="F7" s="193">
        <v>4</v>
      </c>
      <c r="G7" s="194" t="s">
        <v>311</v>
      </c>
      <c r="H7" s="195">
        <f>D7*F7*4</f>
        <v>24000</v>
      </c>
    </row>
    <row r="8" spans="1:8">
      <c r="A8" s="191">
        <v>6</v>
      </c>
      <c r="B8" s="192" t="s">
        <v>315</v>
      </c>
      <c r="C8" s="192" t="s">
        <v>314</v>
      </c>
      <c r="D8" s="193">
        <v>200</v>
      </c>
      <c r="E8" s="193" t="s">
        <v>313</v>
      </c>
      <c r="F8" s="193">
        <v>1</v>
      </c>
      <c r="G8" s="196" t="s">
        <v>210</v>
      </c>
      <c r="H8" s="195">
        <f>D8*F8*4</f>
        <v>800</v>
      </c>
    </row>
    <row r="9" spans="1:8">
      <c r="A9" s="191">
        <v>7</v>
      </c>
      <c r="B9" s="192" t="s">
        <v>316</v>
      </c>
      <c r="C9" s="192" t="s">
        <v>312</v>
      </c>
      <c r="D9" s="193">
        <v>1500</v>
      </c>
      <c r="E9" s="192" t="s">
        <v>313</v>
      </c>
      <c r="F9" s="193">
        <v>4</v>
      </c>
      <c r="G9" s="194" t="s">
        <v>311</v>
      </c>
      <c r="H9" s="195">
        <f>D9*F9*4</f>
        <v>24000</v>
      </c>
    </row>
    <row r="10" spans="1:8">
      <c r="A10" s="191">
        <v>8</v>
      </c>
      <c r="B10" s="192" t="s">
        <v>316</v>
      </c>
      <c r="C10" s="192" t="s">
        <v>314</v>
      </c>
      <c r="D10" s="193">
        <v>200</v>
      </c>
      <c r="E10" s="193" t="s">
        <v>313</v>
      </c>
      <c r="F10" s="193">
        <v>4</v>
      </c>
      <c r="G10" s="196" t="s">
        <v>210</v>
      </c>
      <c r="H10" s="195">
        <f>D10*F10*4</f>
        <v>3200</v>
      </c>
    </row>
    <row r="11" spans="1:8">
      <c r="A11" s="191">
        <v>9</v>
      </c>
      <c r="B11" s="192" t="s">
        <v>317</v>
      </c>
      <c r="C11" s="192" t="s">
        <v>318</v>
      </c>
      <c r="D11" s="193">
        <v>5000</v>
      </c>
      <c r="E11" s="192" t="s">
        <v>319</v>
      </c>
      <c r="F11" s="193">
        <v>20</v>
      </c>
      <c r="G11" s="194" t="s">
        <v>311</v>
      </c>
      <c r="H11" s="195">
        <f>D11*F11*2</f>
        <v>200000</v>
      </c>
    </row>
    <row r="12" spans="1:8">
      <c r="A12" s="191">
        <v>10</v>
      </c>
      <c r="B12" s="192" t="s">
        <v>317</v>
      </c>
      <c r="C12" s="192" t="s">
        <v>320</v>
      </c>
      <c r="D12" s="193">
        <v>12000</v>
      </c>
      <c r="E12" s="192" t="s">
        <v>321</v>
      </c>
      <c r="F12" s="193">
        <v>1</v>
      </c>
      <c r="G12" s="194" t="s">
        <v>311</v>
      </c>
      <c r="H12" s="195">
        <f>D12*F12</f>
        <v>12000</v>
      </c>
    </row>
    <row r="13" spans="1:8">
      <c r="A13" s="191">
        <v>11</v>
      </c>
      <c r="B13" s="192" t="s">
        <v>317</v>
      </c>
      <c r="C13" s="192" t="s">
        <v>322</v>
      </c>
      <c r="D13" s="193">
        <v>5000</v>
      </c>
      <c r="E13" s="192" t="s">
        <v>321</v>
      </c>
      <c r="F13" s="193">
        <v>2</v>
      </c>
      <c r="G13" s="194" t="s">
        <v>311</v>
      </c>
      <c r="H13" s="195">
        <f>D13*F13*1</f>
        <v>10000</v>
      </c>
    </row>
    <row r="14" spans="1:8">
      <c r="A14" s="191">
        <v>12</v>
      </c>
      <c r="B14" s="192" t="s">
        <v>317</v>
      </c>
      <c r="C14" s="192" t="s">
        <v>314</v>
      </c>
      <c r="D14" s="193">
        <v>200</v>
      </c>
      <c r="E14" s="193" t="s">
        <v>313</v>
      </c>
      <c r="F14" s="193">
        <v>4</v>
      </c>
      <c r="G14" s="196" t="s">
        <v>210</v>
      </c>
      <c r="H14" s="195">
        <f>D14*F14*4</f>
        <v>3200</v>
      </c>
    </row>
    <row r="15" spans="1:8">
      <c r="A15" s="191">
        <v>13</v>
      </c>
      <c r="B15" s="192" t="s">
        <v>323</v>
      </c>
      <c r="C15" s="192" t="s">
        <v>318</v>
      </c>
      <c r="D15" s="193">
        <v>30000</v>
      </c>
      <c r="E15" s="192" t="s">
        <v>319</v>
      </c>
      <c r="F15" s="193">
        <v>2</v>
      </c>
      <c r="G15" s="194" t="s">
        <v>311</v>
      </c>
      <c r="H15" s="195">
        <f>D15*F15*2</f>
        <v>120000</v>
      </c>
    </row>
    <row r="16" spans="1:8">
      <c r="A16" s="191">
        <v>14</v>
      </c>
      <c r="B16" s="192" t="s">
        <v>323</v>
      </c>
      <c r="C16" s="192" t="s">
        <v>324</v>
      </c>
      <c r="D16" s="193">
        <v>4000</v>
      </c>
      <c r="E16" s="192" t="s">
        <v>321</v>
      </c>
      <c r="F16" s="193">
        <v>6</v>
      </c>
      <c r="G16" s="194" t="s">
        <v>311</v>
      </c>
      <c r="H16" s="195">
        <f>D16*F16*1</f>
        <v>24000</v>
      </c>
    </row>
    <row r="17" spans="1:8">
      <c r="A17" s="191">
        <v>15</v>
      </c>
      <c r="B17" s="192" t="s">
        <v>323</v>
      </c>
      <c r="C17" s="192" t="s">
        <v>322</v>
      </c>
      <c r="D17" s="193">
        <v>5000</v>
      </c>
      <c r="E17" s="192" t="s">
        <v>321</v>
      </c>
      <c r="F17" s="193">
        <v>2</v>
      </c>
      <c r="G17" s="194" t="s">
        <v>311</v>
      </c>
      <c r="H17" s="195">
        <f>D17*F17*1</f>
        <v>10000</v>
      </c>
    </row>
    <row r="18" spans="1:8">
      <c r="A18" s="191">
        <v>16</v>
      </c>
      <c r="B18" s="192" t="s">
        <v>323</v>
      </c>
      <c r="C18" s="192" t="s">
        <v>314</v>
      </c>
      <c r="D18" s="193">
        <v>200</v>
      </c>
      <c r="E18" s="193" t="s">
        <v>313</v>
      </c>
      <c r="F18" s="193">
        <v>4</v>
      </c>
      <c r="G18" s="196" t="s">
        <v>210</v>
      </c>
      <c r="H18" s="195">
        <f>D18*F18*4</f>
        <v>3200</v>
      </c>
    </row>
    <row r="19" spans="1:8">
      <c r="A19" s="191">
        <v>17</v>
      </c>
      <c r="B19" s="192" t="s">
        <v>325</v>
      </c>
      <c r="C19" s="192" t="s">
        <v>318</v>
      </c>
      <c r="D19" s="193">
        <v>200000</v>
      </c>
      <c r="E19" s="192" t="s">
        <v>321</v>
      </c>
      <c r="F19" s="193">
        <v>1</v>
      </c>
      <c r="G19" s="194" t="s">
        <v>311</v>
      </c>
      <c r="H19" s="195">
        <f>D19*F19*1</f>
        <v>200000</v>
      </c>
    </row>
    <row r="20" spans="1:8">
      <c r="A20" s="191">
        <v>18</v>
      </c>
      <c r="B20" s="192" t="s">
        <v>325</v>
      </c>
      <c r="C20" s="192" t="s">
        <v>324</v>
      </c>
      <c r="D20" s="193">
        <v>4000</v>
      </c>
      <c r="E20" s="192" t="s">
        <v>321</v>
      </c>
      <c r="F20" s="193">
        <v>6</v>
      </c>
      <c r="G20" s="194" t="s">
        <v>311</v>
      </c>
      <c r="H20" s="195">
        <f>D20*F20*1</f>
        <v>24000</v>
      </c>
    </row>
    <row r="21" spans="1:8">
      <c r="A21" s="191">
        <v>19</v>
      </c>
      <c r="B21" s="192" t="s">
        <v>325</v>
      </c>
      <c r="C21" s="192" t="s">
        <v>322</v>
      </c>
      <c r="D21" s="193">
        <v>5000</v>
      </c>
      <c r="E21" s="192" t="s">
        <v>321</v>
      </c>
      <c r="F21" s="193">
        <v>2</v>
      </c>
      <c r="G21" s="194" t="s">
        <v>311</v>
      </c>
      <c r="H21" s="195">
        <f>D21*F21*1</f>
        <v>10000</v>
      </c>
    </row>
    <row r="22" spans="1:8">
      <c r="A22" s="191">
        <v>20</v>
      </c>
      <c r="B22" s="192" t="s">
        <v>325</v>
      </c>
      <c r="C22" s="192" t="s">
        <v>314</v>
      </c>
      <c r="D22" s="193">
        <v>200</v>
      </c>
      <c r="E22" s="193" t="s">
        <v>313</v>
      </c>
      <c r="F22" s="193">
        <v>4</v>
      </c>
      <c r="G22" s="196" t="s">
        <v>210</v>
      </c>
      <c r="H22" s="195">
        <f t="shared" ref="H22:H25" si="0">D22*F22*4</f>
        <v>3200</v>
      </c>
    </row>
    <row r="23" spans="1:8">
      <c r="A23" s="191">
        <v>21</v>
      </c>
      <c r="B23" s="192" t="s">
        <v>326</v>
      </c>
      <c r="C23" s="192" t="s">
        <v>314</v>
      </c>
      <c r="D23" s="193">
        <v>200</v>
      </c>
      <c r="E23" s="193" t="s">
        <v>313</v>
      </c>
      <c r="F23" s="193">
        <v>16</v>
      </c>
      <c r="G23" s="197" t="s">
        <v>210</v>
      </c>
      <c r="H23" s="195">
        <f t="shared" si="0"/>
        <v>12800</v>
      </c>
    </row>
    <row r="24" spans="1:8">
      <c r="A24" s="191">
        <v>22</v>
      </c>
      <c r="B24" s="193" t="s">
        <v>286</v>
      </c>
      <c r="C24" s="192" t="s">
        <v>327</v>
      </c>
      <c r="D24" s="193">
        <v>15000</v>
      </c>
      <c r="E24" s="192" t="s">
        <v>313</v>
      </c>
      <c r="F24" s="193">
        <v>1</v>
      </c>
      <c r="G24" s="194" t="s">
        <v>311</v>
      </c>
      <c r="H24" s="195">
        <f t="shared" si="0"/>
        <v>60000</v>
      </c>
    </row>
    <row r="25" spans="1:8">
      <c r="A25" s="191">
        <v>23</v>
      </c>
      <c r="B25" s="193" t="s">
        <v>286</v>
      </c>
      <c r="C25" s="192" t="s">
        <v>314</v>
      </c>
      <c r="D25" s="193">
        <v>200</v>
      </c>
      <c r="E25" s="193" t="s">
        <v>313</v>
      </c>
      <c r="F25" s="193">
        <v>4</v>
      </c>
      <c r="G25" s="197" t="s">
        <v>210</v>
      </c>
      <c r="H25" s="195">
        <f t="shared" si="0"/>
        <v>3200</v>
      </c>
    </row>
    <row r="26" spans="1:8">
      <c r="A26" s="191">
        <v>24</v>
      </c>
      <c r="B26" s="193" t="s">
        <v>286</v>
      </c>
      <c r="C26" s="192" t="s">
        <v>328</v>
      </c>
      <c r="D26" s="193">
        <v>100</v>
      </c>
      <c r="E26" s="192" t="s">
        <v>310</v>
      </c>
      <c r="F26" s="193">
        <v>100</v>
      </c>
      <c r="G26" s="197" t="s">
        <v>210</v>
      </c>
      <c r="H26" s="195">
        <f>D26*F26*12</f>
        <v>120000</v>
      </c>
    </row>
    <row r="27" spans="1:8">
      <c r="A27" s="191">
        <v>25</v>
      </c>
      <c r="B27" s="193" t="s">
        <v>286</v>
      </c>
      <c r="C27" s="192" t="s">
        <v>329</v>
      </c>
      <c r="D27" s="193">
        <v>5000</v>
      </c>
      <c r="E27" s="192" t="s">
        <v>319</v>
      </c>
      <c r="F27" s="193">
        <v>2</v>
      </c>
      <c r="G27" s="194" t="s">
        <v>311</v>
      </c>
      <c r="H27" s="195">
        <f>D27*F27*2</f>
        <v>20000</v>
      </c>
    </row>
    <row r="28" spans="1:8">
      <c r="A28" s="191">
        <v>26</v>
      </c>
      <c r="B28" s="193" t="s">
        <v>288</v>
      </c>
      <c r="C28" s="192" t="s">
        <v>314</v>
      </c>
      <c r="D28" s="193">
        <v>200</v>
      </c>
      <c r="E28" s="193" t="s">
        <v>313</v>
      </c>
      <c r="F28" s="193">
        <v>4</v>
      </c>
      <c r="G28" s="197" t="s">
        <v>210</v>
      </c>
      <c r="H28" s="195">
        <f>D28*F28*4</f>
        <v>3200</v>
      </c>
    </row>
    <row r="29" spans="1:8">
      <c r="A29" s="191">
        <v>27</v>
      </c>
      <c r="B29" s="193" t="s">
        <v>288</v>
      </c>
      <c r="C29" s="192" t="s">
        <v>330</v>
      </c>
      <c r="D29" s="193">
        <v>3000</v>
      </c>
      <c r="E29" s="192" t="s">
        <v>310</v>
      </c>
      <c r="F29" s="193">
        <v>2</v>
      </c>
      <c r="G29" s="194" t="s">
        <v>311</v>
      </c>
      <c r="H29" s="195">
        <f>D29*F29*12</f>
        <v>72000</v>
      </c>
    </row>
    <row r="30" spans="1:8">
      <c r="A30" s="191">
        <v>28</v>
      </c>
      <c r="B30" s="193" t="s">
        <v>288</v>
      </c>
      <c r="C30" s="192" t="s">
        <v>328</v>
      </c>
      <c r="D30" s="193">
        <v>100</v>
      </c>
      <c r="E30" s="192" t="s">
        <v>310</v>
      </c>
      <c r="F30" s="193">
        <v>50</v>
      </c>
      <c r="G30" s="197" t="s">
        <v>210</v>
      </c>
      <c r="H30" s="195">
        <f>D30*F30*12</f>
        <v>60000</v>
      </c>
    </row>
    <row r="31" spans="1:8">
      <c r="A31" s="191">
        <v>29</v>
      </c>
      <c r="B31" s="193" t="s">
        <v>288</v>
      </c>
      <c r="C31" s="192" t="s">
        <v>329</v>
      </c>
      <c r="D31" s="193">
        <v>5000</v>
      </c>
      <c r="E31" s="192" t="s">
        <v>319</v>
      </c>
      <c r="F31" s="193">
        <v>1</v>
      </c>
      <c r="G31" s="194" t="s">
        <v>311</v>
      </c>
      <c r="H31" s="195">
        <f>D31*F31*2</f>
        <v>10000</v>
      </c>
    </row>
    <row r="32" spans="1:8">
      <c r="A32" s="191">
        <v>30</v>
      </c>
      <c r="B32" s="193" t="s">
        <v>106</v>
      </c>
      <c r="C32" s="192" t="s">
        <v>314</v>
      </c>
      <c r="D32" s="193">
        <v>200</v>
      </c>
      <c r="E32" s="193" t="s">
        <v>313</v>
      </c>
      <c r="F32" s="193">
        <v>4</v>
      </c>
      <c r="G32" s="197" t="s">
        <v>210</v>
      </c>
      <c r="H32" s="195">
        <f>D32*F32*4</f>
        <v>3200</v>
      </c>
    </row>
    <row r="33" spans="1:8">
      <c r="A33" s="191">
        <v>31</v>
      </c>
      <c r="B33" s="193" t="s">
        <v>106</v>
      </c>
      <c r="C33" s="192" t="s">
        <v>328</v>
      </c>
      <c r="D33" s="193">
        <v>100</v>
      </c>
      <c r="E33" s="192" t="s">
        <v>310</v>
      </c>
      <c r="F33" s="193">
        <v>50</v>
      </c>
      <c r="G33" s="197" t="s">
        <v>210</v>
      </c>
      <c r="H33" s="195">
        <f>D33*F33*12</f>
        <v>60000</v>
      </c>
    </row>
    <row r="34" spans="1:8">
      <c r="A34" s="191">
        <v>32</v>
      </c>
      <c r="B34" s="193" t="s">
        <v>106</v>
      </c>
      <c r="C34" s="192" t="s">
        <v>329</v>
      </c>
      <c r="D34" s="193">
        <v>5000</v>
      </c>
      <c r="E34" s="192" t="s">
        <v>319</v>
      </c>
      <c r="F34" s="193">
        <v>1</v>
      </c>
      <c r="G34" s="194" t="s">
        <v>311</v>
      </c>
      <c r="H34" s="195">
        <f>D34*F34*2</f>
        <v>10000</v>
      </c>
    </row>
    <row r="35" spans="1:8">
      <c r="A35" s="191">
        <v>33</v>
      </c>
      <c r="B35" s="193" t="s">
        <v>289</v>
      </c>
      <c r="C35" s="192" t="s">
        <v>331</v>
      </c>
      <c r="D35" s="193">
        <v>2000</v>
      </c>
      <c r="E35" s="193" t="s">
        <v>313</v>
      </c>
      <c r="F35" s="193">
        <v>1</v>
      </c>
      <c r="G35" s="194" t="s">
        <v>311</v>
      </c>
      <c r="H35" s="195">
        <f>D35*F35*4</f>
        <v>8000</v>
      </c>
    </row>
    <row r="36" spans="1:8">
      <c r="A36" s="191">
        <v>34</v>
      </c>
      <c r="B36" s="193" t="s">
        <v>289</v>
      </c>
      <c r="C36" s="192" t="s">
        <v>332</v>
      </c>
      <c r="D36" s="193">
        <v>2000</v>
      </c>
      <c r="E36" s="192" t="s">
        <v>313</v>
      </c>
      <c r="F36" s="193">
        <v>1</v>
      </c>
      <c r="G36" s="194" t="s">
        <v>311</v>
      </c>
      <c r="H36" s="195">
        <f>D36*F36*4</f>
        <v>8000</v>
      </c>
    </row>
    <row r="37" spans="1:8">
      <c r="A37" s="191">
        <v>35</v>
      </c>
      <c r="B37" s="192" t="s">
        <v>333</v>
      </c>
      <c r="C37" s="192" t="s">
        <v>290</v>
      </c>
      <c r="D37" s="193">
        <v>5000</v>
      </c>
      <c r="E37" s="192" t="s">
        <v>319</v>
      </c>
      <c r="F37" s="193">
        <v>1</v>
      </c>
      <c r="G37" s="194" t="s">
        <v>311</v>
      </c>
      <c r="H37" s="195">
        <f t="shared" ref="H37:H46" si="1">D37*F37*2</f>
        <v>10000</v>
      </c>
    </row>
    <row r="38" spans="1:8">
      <c r="A38" s="191">
        <v>36</v>
      </c>
      <c r="B38" s="192" t="s">
        <v>333</v>
      </c>
      <c r="C38" s="193" t="s">
        <v>291</v>
      </c>
      <c r="D38" s="193">
        <v>5000</v>
      </c>
      <c r="E38" s="192" t="s">
        <v>319</v>
      </c>
      <c r="F38" s="193">
        <v>1</v>
      </c>
      <c r="G38" s="194" t="s">
        <v>311</v>
      </c>
      <c r="H38" s="195">
        <f t="shared" si="1"/>
        <v>10000</v>
      </c>
    </row>
    <row r="39" spans="1:8">
      <c r="A39" s="191">
        <v>37</v>
      </c>
      <c r="B39" s="192" t="s">
        <v>333</v>
      </c>
      <c r="C39" s="193" t="s">
        <v>292</v>
      </c>
      <c r="D39" s="193">
        <v>5000</v>
      </c>
      <c r="E39" s="192" t="s">
        <v>319</v>
      </c>
      <c r="F39" s="193">
        <v>1</v>
      </c>
      <c r="G39" s="194" t="s">
        <v>311</v>
      </c>
      <c r="H39" s="195">
        <f t="shared" si="1"/>
        <v>10000</v>
      </c>
    </row>
    <row r="40" spans="1:8">
      <c r="A40" s="191">
        <v>38</v>
      </c>
      <c r="B40" s="192" t="s">
        <v>333</v>
      </c>
      <c r="C40" s="193" t="s">
        <v>293</v>
      </c>
      <c r="D40" s="193">
        <v>10000</v>
      </c>
      <c r="E40" s="192" t="s">
        <v>319</v>
      </c>
      <c r="F40" s="193">
        <v>1</v>
      </c>
      <c r="G40" s="194" t="s">
        <v>311</v>
      </c>
      <c r="H40" s="195">
        <f t="shared" si="1"/>
        <v>20000</v>
      </c>
    </row>
    <row r="41" spans="1:8">
      <c r="A41" s="191">
        <v>39</v>
      </c>
      <c r="B41" s="192" t="s">
        <v>333</v>
      </c>
      <c r="C41" s="193" t="s">
        <v>294</v>
      </c>
      <c r="D41" s="193">
        <v>20000</v>
      </c>
      <c r="E41" s="192" t="s">
        <v>319</v>
      </c>
      <c r="F41" s="193">
        <v>1</v>
      </c>
      <c r="G41" s="194" t="s">
        <v>311</v>
      </c>
      <c r="H41" s="195">
        <f t="shared" si="1"/>
        <v>40000</v>
      </c>
    </row>
    <row r="42" spans="1:8">
      <c r="A42" s="191">
        <v>40</v>
      </c>
      <c r="B42" s="193" t="s">
        <v>295</v>
      </c>
      <c r="C42" s="192" t="s">
        <v>334</v>
      </c>
      <c r="D42" s="193">
        <v>2000</v>
      </c>
      <c r="E42" s="192" t="s">
        <v>319</v>
      </c>
      <c r="F42" s="193">
        <v>10</v>
      </c>
      <c r="G42" s="194" t="s">
        <v>311</v>
      </c>
      <c r="H42" s="195">
        <f t="shared" si="1"/>
        <v>40000</v>
      </c>
    </row>
    <row r="43" spans="1:8">
      <c r="A43" s="191">
        <v>41</v>
      </c>
      <c r="B43" s="192" t="s">
        <v>295</v>
      </c>
      <c r="C43" s="192" t="s">
        <v>335</v>
      </c>
      <c r="D43" s="193">
        <v>500</v>
      </c>
      <c r="E43" s="192" t="s">
        <v>319</v>
      </c>
      <c r="F43" s="193">
        <v>8</v>
      </c>
      <c r="G43" s="194" t="s">
        <v>311</v>
      </c>
      <c r="H43" s="195">
        <f t="shared" si="1"/>
        <v>8000</v>
      </c>
    </row>
    <row r="44" spans="1:8">
      <c r="A44" s="191">
        <v>42</v>
      </c>
      <c r="B44" s="192" t="s">
        <v>295</v>
      </c>
      <c r="C44" s="192" t="s">
        <v>331</v>
      </c>
      <c r="D44" s="193">
        <v>5000</v>
      </c>
      <c r="E44" s="192" t="s">
        <v>319</v>
      </c>
      <c r="F44" s="193">
        <v>2</v>
      </c>
      <c r="G44" s="194" t="s">
        <v>311</v>
      </c>
      <c r="H44" s="195">
        <f t="shared" si="1"/>
        <v>20000</v>
      </c>
    </row>
    <row r="45" spans="1:8">
      <c r="A45" s="191">
        <v>43</v>
      </c>
      <c r="B45" s="193" t="s">
        <v>297</v>
      </c>
      <c r="C45" s="192" t="s">
        <v>312</v>
      </c>
      <c r="D45" s="193">
        <v>1500</v>
      </c>
      <c r="E45" s="192" t="s">
        <v>319</v>
      </c>
      <c r="F45" s="193">
        <v>4</v>
      </c>
      <c r="G45" s="194" t="s">
        <v>311</v>
      </c>
      <c r="H45" s="195">
        <f t="shared" si="1"/>
        <v>12000</v>
      </c>
    </row>
    <row r="46" spans="1:8">
      <c r="A46" s="191">
        <v>44</v>
      </c>
      <c r="B46" s="193" t="s">
        <v>297</v>
      </c>
      <c r="C46" s="192" t="s">
        <v>331</v>
      </c>
      <c r="D46" s="193">
        <v>2000</v>
      </c>
      <c r="E46" s="192" t="s">
        <v>319</v>
      </c>
      <c r="F46" s="193">
        <v>4</v>
      </c>
      <c r="G46" s="194" t="s">
        <v>311</v>
      </c>
      <c r="H46" s="195">
        <f t="shared" si="1"/>
        <v>16000</v>
      </c>
    </row>
    <row r="47" spans="1:8">
      <c r="A47" s="191">
        <v>45</v>
      </c>
      <c r="B47" s="193" t="s">
        <v>297</v>
      </c>
      <c r="C47" s="192" t="s">
        <v>336</v>
      </c>
      <c r="D47" s="193">
        <v>5000</v>
      </c>
      <c r="E47" s="192" t="s">
        <v>321</v>
      </c>
      <c r="F47" s="193">
        <v>4</v>
      </c>
      <c r="G47" s="194" t="s">
        <v>311</v>
      </c>
      <c r="H47" s="195">
        <f>D47*F47*1</f>
        <v>20000</v>
      </c>
    </row>
    <row r="48" spans="1:8">
      <c r="A48" s="191">
        <v>46</v>
      </c>
      <c r="B48" s="193" t="s">
        <v>224</v>
      </c>
      <c r="C48" s="193" t="s">
        <v>224</v>
      </c>
      <c r="D48" s="193">
        <v>4000</v>
      </c>
      <c r="E48" s="193" t="s">
        <v>313</v>
      </c>
      <c r="F48" s="193">
        <v>1</v>
      </c>
      <c r="G48" s="194" t="s">
        <v>311</v>
      </c>
      <c r="H48" s="195">
        <f t="shared" ref="H48" si="2">D48*F48*4</f>
        <v>16000</v>
      </c>
    </row>
    <row r="49" spans="1:8">
      <c r="A49" s="191"/>
      <c r="B49" s="7" t="s">
        <v>298</v>
      </c>
      <c r="C49" s="7"/>
      <c r="D49" s="5"/>
      <c r="E49" s="7"/>
      <c r="F49" s="5"/>
      <c r="G49" s="7"/>
      <c r="H49" s="198"/>
    </row>
    <row r="50" spans="1:8">
      <c r="A50" s="199" t="s">
        <v>43</v>
      </c>
      <c r="B50" s="200"/>
      <c r="C50" s="200"/>
      <c r="D50" s="201"/>
      <c r="E50" s="200"/>
      <c r="F50" s="201"/>
      <c r="G50" s="200"/>
      <c r="H50" s="202">
        <f>SUM(H3:H49)</f>
        <v>1440800</v>
      </c>
    </row>
  </sheetData>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总汇</vt:lpstr>
      <vt:lpstr>换线费用</vt:lpstr>
      <vt:lpstr>基本信息</vt:lpstr>
      <vt:lpstr>年产能</vt:lpstr>
      <vt:lpstr>主材</vt:lpstr>
      <vt:lpstr>辅料</vt:lpstr>
      <vt:lpstr>直接人工</vt:lpstr>
      <vt:lpstr>能耗</vt:lpstr>
      <vt:lpstr>设备维保</vt:lpstr>
      <vt:lpstr>专有设备</vt:lpstr>
      <vt:lpstr>非专设备、工装、检具</vt:lpstr>
      <vt:lpstr>厂房</vt:lpstr>
      <vt:lpstr>物流</vt:lpstr>
      <vt:lpstr>说明页</vt:lpstr>
      <vt:lpstr>职责</vt:lpstr>
      <vt:lpstr>变更</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luwen</cp:lastModifiedBy>
  <dcterms:created xsi:type="dcterms:W3CDTF">2006-09-16T00:00:00Z</dcterms:created>
  <dcterms:modified xsi:type="dcterms:W3CDTF">2022-12-07T07:40:25Z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09E1076A244D4277B702DFCE91937B55</vt:lpwstr>
  </property>
  <property fmtid="{D5CDD505-2E9C-101B-9397-08002B2CF9AE}" pid="3" name="KSOProductBuildVer">
    <vt:lpwstr>2052-11.1.0.12651</vt:lpwstr>
  </property>
</Properties>
</file>