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kso_000\Desktop\"/>
    </mc:Choice>
  </mc:AlternateContent>
  <bookViews>
    <workbookView xWindow="0" yWindow="0" windowWidth="24000" windowHeight="10890" tabRatio="873" activeTab="16"/>
  </bookViews>
  <sheets>
    <sheet name="예1" sheetId="1" r:id="rId1"/>
    <sheet name="예제2" sheetId="2" r:id="rId2"/>
    <sheet name="예3" sheetId="9" r:id="rId3"/>
    <sheet name="예4" sheetId="10" r:id="rId4"/>
    <sheet name="예5" sheetId="3" r:id="rId5"/>
    <sheet name="예6" sheetId="4" r:id="rId6"/>
    <sheet name="예7" sheetId="5" r:id="rId7"/>
    <sheet name="예8" sheetId="6" r:id="rId8"/>
    <sheet name="예9" sheetId="7" r:id="rId9"/>
    <sheet name="예10" sheetId="8" r:id="rId10"/>
    <sheet name="예11" sheetId="11" r:id="rId11"/>
    <sheet name="예12" sheetId="12" r:id="rId12"/>
    <sheet name="예13" sheetId="13" r:id="rId13"/>
    <sheet name="예14" sheetId="14" r:id="rId14"/>
    <sheet name="예15" sheetId="15" r:id="rId15"/>
    <sheet name="예16" sheetId="16" r:id="rId16"/>
    <sheet name="예17" sheetId="17" r:id="rId17"/>
  </sheets>
  <calcPr calcId="162913"/>
</workbook>
</file>

<file path=xl/calcChain.xml><?xml version="1.0" encoding="utf-8"?>
<calcChain xmlns="http://schemas.openxmlformats.org/spreadsheetml/2006/main">
  <c r="D10" i="15" l="1"/>
  <c r="D11" i="15"/>
  <c r="D12" i="15"/>
  <c r="D13" i="15"/>
  <c r="D14" i="15"/>
  <c r="D9" i="15"/>
  <c r="C10" i="15"/>
  <c r="C11" i="15"/>
  <c r="C12" i="15"/>
  <c r="C13" i="15"/>
  <c r="C14" i="15"/>
  <c r="C9" i="15"/>
  <c r="D2" i="13"/>
  <c r="J12" i="13"/>
  <c r="F12" i="13"/>
  <c r="K12" i="13" s="1"/>
  <c r="E12" i="13"/>
  <c r="J11" i="13"/>
  <c r="F11" i="13"/>
  <c r="K11" i="13" s="1"/>
  <c r="E11" i="13"/>
  <c r="J10" i="13"/>
  <c r="F10" i="13"/>
  <c r="G10" i="13" s="1"/>
  <c r="E10" i="13"/>
  <c r="J9" i="13"/>
  <c r="F9" i="13"/>
  <c r="K9" i="13" s="1"/>
  <c r="E9" i="13"/>
  <c r="K8" i="13"/>
  <c r="J8" i="13"/>
  <c r="F8" i="13"/>
  <c r="G8" i="13" s="1"/>
  <c r="E8" i="13"/>
  <c r="J7" i="13"/>
  <c r="F7" i="13"/>
  <c r="K7" i="13" s="1"/>
  <c r="E7" i="13"/>
  <c r="J6" i="13"/>
  <c r="F6" i="13"/>
  <c r="G6" i="13" s="1"/>
  <c r="E6" i="13"/>
  <c r="J5" i="13"/>
  <c r="F5" i="13"/>
  <c r="G5" i="13" s="1"/>
  <c r="E5" i="13"/>
  <c r="K4" i="13"/>
  <c r="J4" i="13"/>
  <c r="G4" i="13"/>
  <c r="F4" i="13"/>
  <c r="E4" i="13"/>
  <c r="C5" i="14"/>
  <c r="E9" i="15"/>
  <c r="E8" i="15"/>
  <c r="C5" i="15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9" i="13" l="1"/>
  <c r="K5" i="13"/>
  <c r="G7" i="13"/>
  <c r="G11" i="13"/>
  <c r="K6" i="13"/>
  <c r="K10" i="13"/>
  <c r="G12" i="13"/>
  <c r="E10" i="15"/>
  <c r="E11" i="15" s="1"/>
  <c r="E12" i="15" s="1"/>
  <c r="E13" i="15" s="1"/>
  <c r="E14" i="15" s="1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H6" i="11"/>
  <c r="H7" i="11"/>
  <c r="H8" i="11"/>
  <c r="H9" i="11"/>
  <c r="G6" i="11"/>
  <c r="G7" i="11"/>
  <c r="G8" i="11"/>
  <c r="G9" i="11"/>
  <c r="H5" i="11"/>
  <c r="G5" i="11"/>
  <c r="F6" i="11" l="1"/>
  <c r="F7" i="11"/>
  <c r="F8" i="11"/>
  <c r="F9" i="11"/>
  <c r="E6" i="11"/>
  <c r="E7" i="11"/>
  <c r="E8" i="11"/>
  <c r="E9" i="11"/>
  <c r="F5" i="11"/>
  <c r="E5" i="11"/>
  <c r="D6" i="11"/>
  <c r="D7" i="11"/>
  <c r="D8" i="11"/>
  <c r="D9" i="11"/>
  <c r="D5" i="11"/>
  <c r="D4" i="10"/>
  <c r="D5" i="10"/>
  <c r="D6" i="10"/>
  <c r="D7" i="10"/>
  <c r="D8" i="10"/>
  <c r="E4" i="10"/>
  <c r="E5" i="10"/>
  <c r="E6" i="10"/>
  <c r="E7" i="10"/>
  <c r="E8" i="10"/>
  <c r="E3" i="10"/>
  <c r="D3" i="10"/>
  <c r="E4" i="9"/>
  <c r="E5" i="9"/>
  <c r="E6" i="9"/>
  <c r="E7" i="9"/>
  <c r="E8" i="9"/>
  <c r="E3" i="9"/>
  <c r="D4" i="9"/>
  <c r="D5" i="9"/>
  <c r="D6" i="9"/>
  <c r="D7" i="9"/>
  <c r="D8" i="9"/>
  <c r="D3" i="9"/>
  <c r="E6" i="2"/>
  <c r="E7" i="2"/>
  <c r="E8" i="2"/>
  <c r="E9" i="2"/>
  <c r="E10" i="2"/>
  <c r="D6" i="2"/>
  <c r="D7" i="2"/>
  <c r="D8" i="2"/>
  <c r="D9" i="2"/>
  <c r="D10" i="2"/>
  <c r="E5" i="2"/>
  <c r="D5" i="2"/>
  <c r="I11" i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15" i="7"/>
  <c r="G7" i="7"/>
  <c r="H7" i="7" s="1"/>
  <c r="G8" i="7"/>
  <c r="I8" i="7" s="1"/>
  <c r="G9" i="7"/>
  <c r="H9" i="7" s="1"/>
  <c r="G10" i="7"/>
  <c r="H10" i="7" s="1"/>
  <c r="G11" i="7"/>
  <c r="H11" i="7" s="1"/>
  <c r="G12" i="7"/>
  <c r="I12" i="7" s="1"/>
  <c r="G13" i="7"/>
  <c r="H13" i="7" s="1"/>
  <c r="G14" i="7"/>
  <c r="H14" i="7" s="1"/>
  <c r="G15" i="7"/>
  <c r="H15" i="7" s="1"/>
  <c r="G16" i="7"/>
  <c r="I16" i="7" s="1"/>
  <c r="G17" i="7"/>
  <c r="H17" i="7" s="1"/>
  <c r="G6" i="7"/>
  <c r="H6" i="7" s="1"/>
  <c r="H5" i="6"/>
  <c r="H9" i="6"/>
  <c r="G11" i="6"/>
  <c r="H11" i="6" s="1"/>
  <c r="G10" i="6"/>
  <c r="H10" i="6" s="1"/>
  <c r="G9" i="6"/>
  <c r="G8" i="6"/>
  <c r="H8" i="6" s="1"/>
  <c r="G7" i="6"/>
  <c r="H7" i="6" s="1"/>
  <c r="G6" i="6"/>
  <c r="H6" i="6" s="1"/>
  <c r="G5" i="6"/>
  <c r="G4" i="6"/>
  <c r="H4" i="6" s="1"/>
  <c r="G3" i="6"/>
  <c r="H3" i="6" s="1"/>
  <c r="F5" i="5"/>
  <c r="F6" i="5"/>
  <c r="F7" i="5"/>
  <c r="F8" i="5"/>
  <c r="F9" i="5"/>
  <c r="F10" i="5"/>
  <c r="F11" i="5"/>
  <c r="F12" i="5"/>
  <c r="F13" i="5"/>
  <c r="F14" i="5"/>
  <c r="E5" i="5"/>
  <c r="E6" i="5"/>
  <c r="E7" i="5"/>
  <c r="E8" i="5"/>
  <c r="E9" i="5"/>
  <c r="E10" i="5"/>
  <c r="E11" i="5"/>
  <c r="E12" i="5"/>
  <c r="E13" i="5"/>
  <c r="E14" i="5"/>
  <c r="F4" i="5"/>
  <c r="E4" i="5"/>
  <c r="D5" i="5"/>
  <c r="D6" i="5"/>
  <c r="D7" i="5"/>
  <c r="D8" i="5"/>
  <c r="D9" i="5"/>
  <c r="D10" i="5"/>
  <c r="D11" i="5"/>
  <c r="D12" i="5"/>
  <c r="D13" i="5"/>
  <c r="D14" i="5"/>
  <c r="D4" i="5"/>
  <c r="I4" i="4"/>
  <c r="I5" i="4"/>
  <c r="I6" i="4"/>
  <c r="I7" i="4"/>
  <c r="I8" i="4"/>
  <c r="I9" i="4"/>
  <c r="I10" i="4"/>
  <c r="I11" i="4"/>
  <c r="I3" i="4"/>
  <c r="E4" i="4"/>
  <c r="E5" i="4"/>
  <c r="E6" i="4"/>
  <c r="E7" i="4"/>
  <c r="E8" i="4"/>
  <c r="E9" i="4"/>
  <c r="E10" i="4"/>
  <c r="E11" i="4"/>
  <c r="E3" i="4"/>
  <c r="D4" i="4"/>
  <c r="D5" i="4"/>
  <c r="D6" i="4"/>
  <c r="D7" i="4"/>
  <c r="D8" i="4"/>
  <c r="D9" i="4"/>
  <c r="D10" i="4"/>
  <c r="D11" i="4"/>
  <c r="D3" i="4"/>
  <c r="H16" i="7" l="1"/>
  <c r="H12" i="7"/>
  <c r="H8" i="7"/>
  <c r="I7" i="7"/>
  <c r="I11" i="7"/>
  <c r="I14" i="7"/>
  <c r="I10" i="7"/>
  <c r="I6" i="7"/>
  <c r="I17" i="7"/>
  <c r="I13" i="7"/>
  <c r="I9" i="7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<sst xmlns="http://schemas.openxmlformats.org/spreadsheetml/2006/main" count="407" uniqueCount="287">
  <si>
    <t>영업점</t>
    <phoneticPr fontId="1" type="noConversion"/>
  </si>
  <si>
    <t>강남점</t>
    <phoneticPr fontId="1" type="noConversion"/>
  </si>
  <si>
    <t>공항점</t>
    <phoneticPr fontId="1" type="noConversion"/>
  </si>
  <si>
    <t>분기</t>
    <phoneticPr fontId="1" type="noConversion"/>
  </si>
  <si>
    <t>매출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</si>
  <si>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</si>
  <si>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</si>
  <si>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</si>
  <si>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상반기</t>
    <phoneticPr fontId="1" type="noConversion"/>
  </si>
  <si>
    <t>하반기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</si>
  <si>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</si>
  <si>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</si>
  <si>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</si>
  <si>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</si>
  <si>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</si>
  <si>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</si>
  <si>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</si>
  <si>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</si>
  <si>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</si>
  <si>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</si>
  <si>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</si>
  <si>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</si>
  <si>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</si>
  <si>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유민지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</si>
  <si>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</si>
  <si>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</si>
  <si>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</si>
  <si>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</si>
  <si>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</si>
  <si>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</si>
  <si>
    <t>성명</t>
  </si>
  <si>
    <t>성명</t>
    <phoneticPr fontId="1" type="noConversion"/>
  </si>
  <si>
    <t>이민상</t>
    <phoneticPr fontId="1" type="noConversion"/>
  </si>
  <si>
    <t>허이상</t>
    <phoneticPr fontId="1" type="noConversion"/>
  </si>
  <si>
    <t>가문정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</si>
  <si>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</si>
  <si>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</si>
  <si>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</si>
  <si>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</si>
  <si>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</si>
  <si>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</si>
  <si>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</si>
  <si>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</si>
  <si>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</si>
  <si>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</si>
  <si>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</si>
  <si>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</si>
  <si>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</si>
  <si>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</si>
  <si>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</si>
  <si>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</si>
  <si>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</si>
  <si>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</si>
  <si>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</si>
  <si>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</si>
  <si>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</si>
  <si>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k0598</t>
    <phoneticPr fontId="1" type="noConversion"/>
  </si>
  <si>
    <t>기존 전화번호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</si>
  <si>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</si>
  <si>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</si>
  <si>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</si>
  <si>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</si>
  <si>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019-122-9876</t>
    <phoneticPr fontId="1" type="noConversion"/>
  </si>
  <si>
    <t>011-672-9898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</si>
  <si>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</si>
  <si>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</si>
  <si>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</si>
  <si>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</si>
  <si>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</si>
  <si>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기존코드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</si>
  <si>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</si>
  <si>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</si>
  <si>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</si>
  <si>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</si>
  <si>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</si>
  <si>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</si>
  <si>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</si>
  <si>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</si>
  <si>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</si>
  <si>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</si>
  <si>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변경 전화번호</t>
    <phoneticPr fontId="1" type="noConversion"/>
  </si>
  <si>
    <t>변경코드</t>
    <phoneticPr fontId="1" type="noConversion"/>
  </si>
  <si>
    <t>변경코드2</t>
    <phoneticPr fontId="1" type="noConversion"/>
  </si>
  <si>
    <t>성적그래프</t>
    <phoneticPr fontId="1" type="noConversion"/>
  </si>
  <si>
    <t>제품</t>
  </si>
  <si>
    <t>제품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</si>
  <si>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</si>
  <si>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</si>
  <si>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</si>
  <si>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단가</t>
    <phoneticPr fontId="1" type="noConversion"/>
  </si>
  <si>
    <t>사번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</si>
  <si>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</si>
  <si>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</si>
  <si>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</si>
  <si>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</si>
  <si>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</si>
  <si>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</si>
  <si>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</si>
  <si>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</si>
  <si>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</si>
  <si>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</si>
  <si>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</si>
  <si>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</si>
  <si>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이름</t>
    <phoneticPr fontId="1" type="noConversion"/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</si>
  <si>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</si>
  <si>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</si>
  <si>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</si>
  <si>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</si>
  <si>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</si>
  <si>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</si>
  <si>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</si>
  <si>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</si>
  <si>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</si>
  <si>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</si>
  <si>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</si>
  <si>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</si>
  <si>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</si>
  <si>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</si>
  <si>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</si>
  <si>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</si>
  <si>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</si>
  <si>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</si>
  <si>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강남점</t>
    <phoneticPr fontId="1" type="noConversion"/>
  </si>
  <si>
    <t>교대점</t>
    <phoneticPr fontId="1" type="noConversion"/>
  </si>
  <si>
    <t>명동점</t>
    <phoneticPr fontId="1" type="noConversion"/>
  </si>
  <si>
    <t>교대점</t>
    <phoneticPr fontId="1" type="noConversion"/>
  </si>
  <si>
    <t>상반기</t>
    <phoneticPr fontId="1" type="noConversion"/>
  </si>
  <si>
    <t>하반기</t>
    <phoneticPr fontId="1" type="noConversion"/>
  </si>
  <si>
    <t>상반기</t>
    <phoneticPr fontId="1" type="noConversion"/>
  </si>
  <si>
    <t>하반기</t>
    <phoneticPr fontId="1" type="noConversion"/>
  </si>
  <si>
    <t>과장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</si>
  <si>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</si>
  <si>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</si>
  <si>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</si>
  <si>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</si>
  <si>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</si>
  <si>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</si>
  <si>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</si>
  <si>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과장</t>
    <phoneticPr fontId="1" type="noConversion"/>
  </si>
  <si>
    <t>부장</t>
    <phoneticPr fontId="1" type="noConversion"/>
  </si>
  <si>
    <t>과장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</si>
  <si>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</si>
  <si>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</si>
  <si>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</si>
  <si>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접수번호</t>
    <phoneticPr fontId="1" type="noConversion"/>
  </si>
  <si>
    <t>수강생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</si>
  <si>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</si>
  <si>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</si>
  <si>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</si>
  <si>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</si>
  <si>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</si>
  <si>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</si>
  <si>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</si>
  <si>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</si>
  <si>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</si>
  <si>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</si>
  <si>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</si>
  <si>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</si>
  <si>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</si>
  <si>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05월 15일</t>
    <phoneticPr fontId="1" type="noConversion"/>
  </si>
  <si>
    <t>05월 16일</t>
  </si>
  <si>
    <t>05월 15일</t>
    <phoneticPr fontId="1" type="noConversion"/>
  </si>
  <si>
    <t>05월 17일</t>
  </si>
  <si>
    <t>05월 16일</t>
    <phoneticPr fontId="1" type="noConversion"/>
  </si>
  <si>
    <t>05월 18일</t>
  </si>
  <si>
    <t>05월 19일</t>
  </si>
  <si>
    <t>05월 18일</t>
    <phoneticPr fontId="1" type="noConversion"/>
  </si>
  <si>
    <t>근무년수</t>
    <phoneticPr fontId="1" type="noConversion"/>
  </si>
  <si>
    <t>초과수당</t>
    <phoneticPr fontId="1" type="noConversion"/>
  </si>
  <si>
    <t>초과수당</t>
    <phoneticPr fontId="1" type="noConversion"/>
  </si>
  <si>
    <t>현재날짜</t>
    <phoneticPr fontId="1" type="noConversion"/>
  </si>
  <si>
    <t>성명</t>
    <phoneticPr fontId="1" type="noConversion"/>
  </si>
  <si>
    <t>입사일</t>
    <phoneticPr fontId="1" type="noConversion"/>
  </si>
  <si>
    <t>근무년수</t>
    <phoneticPr fontId="1" type="noConversion"/>
  </si>
  <si>
    <t>근무일수</t>
    <phoneticPr fontId="1" type="noConversion"/>
  </si>
  <si>
    <t>근무월수</t>
    <phoneticPr fontId="1" type="noConversion"/>
  </si>
  <si>
    <t>근무 년/월수</t>
  </si>
  <si>
    <t>근무 년/월/일수</t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</si>
  <si>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</si>
  <si>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</si>
  <si>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</si>
  <si>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</si>
  <si>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직급</t>
  </si>
  <si>
    <t>출장지</t>
  </si>
  <si>
    <t>출장비(일)</t>
  </si>
  <si>
    <t>출장일수</t>
  </si>
  <si>
    <t>출장비</t>
  </si>
  <si>
    <t>연구원</t>
  </si>
  <si>
    <t>주임</t>
  </si>
  <si>
    <t>선임</t>
  </si>
  <si>
    <t>책임</t>
  </si>
  <si>
    <t>임원</t>
  </si>
  <si>
    <t>강숙자</t>
  </si>
  <si>
    <t>부산</t>
  </si>
  <si>
    <t>경기</t>
  </si>
  <si>
    <t>김복희</t>
  </si>
  <si>
    <t>대구</t>
  </si>
  <si>
    <t>대전</t>
  </si>
  <si>
    <t>강명희</t>
  </si>
  <si>
    <t>광주</t>
  </si>
  <si>
    <t>최정식</t>
  </si>
  <si>
    <t>김나연</t>
  </si>
  <si>
    <t>울산</t>
  </si>
  <si>
    <t>윤민지</t>
  </si>
  <si>
    <t>이태성</t>
  </si>
  <si>
    <t>박주연</t>
  </si>
  <si>
    <t>최수정</t>
  </si>
  <si>
    <t>김은희</t>
  </si>
  <si>
    <t>박정희</t>
  </si>
  <si>
    <t>최정수</t>
  </si>
  <si>
    <t>이태민</t>
  </si>
  <si>
    <t>05월 20일</t>
    <phoneticPr fontId="1" type="noConversion"/>
  </si>
  <si>
    <t>05월 18일</t>
    <phoneticPr fontId="1" type="noConversion"/>
  </si>
  <si>
    <t>날짜</t>
    <phoneticPr fontId="6" type="noConversion"/>
  </si>
  <si>
    <t>요일1</t>
    <phoneticPr fontId="1" type="noConversion"/>
  </si>
  <si>
    <t>요일2</t>
    <phoneticPr fontId="1" type="noConversion"/>
  </si>
  <si>
    <t>요일3</t>
    <phoneticPr fontId="1" type="noConversion"/>
  </si>
  <si>
    <t>요일4</t>
    <phoneticPr fontId="1" type="noConversion"/>
  </si>
  <si>
    <t>날짜</t>
  </si>
  <si>
    <t>총비용</t>
  </si>
  <si>
    <t>수량</t>
  </si>
  <si>
    <t>단가 1</t>
  </si>
  <si>
    <t>단가 2</t>
  </si>
  <si>
    <t>ES001</t>
  </si>
  <si>
    <t>ES002</t>
  </si>
  <si>
    <t/>
  </si>
  <si>
    <t>ES003</t>
  </si>
  <si>
    <t>ES004</t>
  </si>
  <si>
    <t>ES005</t>
  </si>
  <si>
    <t>ES006</t>
  </si>
  <si>
    <t>ES007</t>
  </si>
  <si>
    <t>성명</t>
    <phoneticPr fontId="6" type="noConversion"/>
  </si>
  <si>
    <t>이민상</t>
    <phoneticPr fontId="6" type="noConversion"/>
  </si>
  <si>
    <t>허이상</t>
    <phoneticPr fontId="6" type="noConversion"/>
  </si>
  <si>
    <t>강문정</t>
    <phoneticPr fontId="6" type="noConversion"/>
  </si>
  <si>
    <t>문은경</t>
    <phoneticPr fontId="6" type="noConversion"/>
  </si>
  <si>
    <t>한경희</t>
    <phoneticPr fontId="6" type="noConversion"/>
  </si>
  <si>
    <t>이충성</t>
    <phoneticPr fontId="6" type="noConversion"/>
  </si>
  <si>
    <t>김태민</t>
    <phoneticPr fontId="6" type="noConversion"/>
  </si>
  <si>
    <t>우지훈</t>
    <phoneticPr fontId="6" type="noConversion"/>
  </si>
  <si>
    <t>김태성</t>
    <phoneticPr fontId="6" type="noConversion"/>
  </si>
  <si>
    <t>레포트</t>
    <phoneticPr fontId="6" type="noConversion"/>
  </si>
  <si>
    <t>중간</t>
    <phoneticPr fontId="6" type="noConversion"/>
  </si>
  <si>
    <t>기말</t>
    <phoneticPr fontId="6" type="noConversion"/>
  </si>
  <si>
    <t>합계</t>
    <phoneticPr fontId="6" type="noConversion"/>
  </si>
  <si>
    <t>성적</t>
    <phoneticPr fontId="6" type="noConversion"/>
  </si>
  <si>
    <t>금액</t>
    <phoneticPr fontId="6" type="noConversion"/>
  </si>
  <si>
    <t>금리</t>
    <phoneticPr fontId="6" type="noConversion"/>
  </si>
  <si>
    <t>할부개월</t>
    <phoneticPr fontId="6" type="noConversion"/>
  </si>
  <si>
    <t>매월 상환액</t>
    <phoneticPr fontId="6" type="noConversion"/>
  </si>
  <si>
    <t>회차</t>
    <phoneticPr fontId="6" type="noConversion"/>
  </si>
  <si>
    <t>원금</t>
    <phoneticPr fontId="6" type="noConversion"/>
  </si>
  <si>
    <t>이자</t>
    <phoneticPr fontId="6" type="noConversion"/>
  </si>
  <si>
    <t>잔액</t>
    <phoneticPr fontId="6" type="noConversion"/>
  </si>
  <si>
    <t>오늘 날짜 :</t>
    <phoneticPr fontId="1" type="noConversion"/>
  </si>
  <si>
    <t>성명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</si>
  <si>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</si>
  <si>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</si>
  <si>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</si>
  <si>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</si>
  <si>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</si>
  <si>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기본급</t>
    <phoneticPr fontId="1" type="noConversion"/>
  </si>
  <si>
    <t>입사일</t>
    <phoneticPr fontId="1" type="noConversion"/>
  </si>
  <si>
    <t>근무년수</t>
    <phoneticPr fontId="1" type="noConversion"/>
  </si>
  <si>
    <t>이번달 생일</t>
    <phoneticPr fontId="1" type="noConversion"/>
  </si>
  <si>
    <t>김희철</t>
    <phoneticPr fontId="1" type="noConversion"/>
  </si>
  <si>
    <t>교육팀</t>
    <phoneticPr fontId="1" type="noConversion"/>
  </si>
  <si>
    <t>861219-1******</t>
  </si>
  <si>
    <t>강만희</t>
    <phoneticPr fontId="1" type="noConversion"/>
  </si>
  <si>
    <t>영업팀</t>
    <phoneticPr fontId="1" type="noConversion"/>
  </si>
  <si>
    <t>871014-1******</t>
  </si>
  <si>
    <t>한은숙</t>
    <phoneticPr fontId="1" type="noConversion"/>
  </si>
  <si>
    <t>010119-4******</t>
  </si>
  <si>
    <t>김지범</t>
    <phoneticPr fontId="1" type="noConversion"/>
  </si>
  <si>
    <t>기획팀</t>
    <phoneticPr fontId="1" type="noConversion"/>
  </si>
  <si>
    <t>860320-1******</t>
    <phoneticPr fontId="1" type="noConversion"/>
  </si>
  <si>
    <t>김성주</t>
    <phoneticPr fontId="1" type="noConversion"/>
  </si>
  <si>
    <t>020919-3******</t>
  </si>
  <si>
    <t>유재석</t>
    <phoneticPr fontId="1" type="noConversion"/>
  </si>
  <si>
    <t>홍보팀</t>
    <phoneticPr fontId="1" type="noConversion"/>
  </si>
  <si>
    <t>000215-3******</t>
    <phoneticPr fontId="1" type="noConversion"/>
  </si>
  <si>
    <t>박재은</t>
    <phoneticPr fontId="1" type="noConversion"/>
  </si>
  <si>
    <t>631025-2******</t>
  </si>
  <si>
    <t>노홍수</t>
    <phoneticPr fontId="1" type="noConversion"/>
  </si>
  <si>
    <t>650315-1******</t>
  </si>
  <si>
    <t>정진희</t>
    <phoneticPr fontId="1" type="noConversion"/>
  </si>
  <si>
    <t>670725-2******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</si>
</sst>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년&quot;"/>
    <numFmt numFmtId="177" formatCode="_-* #,##0\ _F_-;\-* #,##0\ _F_-;_-* &quot;-&quot;\ _F_-;_-@_-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_ * #,##0_ ;_ * \-#,##0_ ;_ * &quot;-&quot;_ ;_ @_ "/>
    <numFmt numFmtId="182" formatCode="General\ &quot;년&quot;"/>
    <numFmt numFmtId="183" formatCode="yyyy&quot;년&quot;\ m&quot;월&quot;\ d&quot;일&quot;;@"/>
    <numFmt numFmtId="184" formatCode="mm&quot;월&quot;dd&quot;일&quot;;@"/>
    <numFmt numFmtId="185" formatCode="General\ &quot;세&quot;"/>
    <numFmt numFmtId="186" formatCode="&quot;₩&quot;#,##0"/>
    <numFmt numFmtId="187" formatCode="mm&quot;월&quot;\ dd&quot;일&quot;"/>
    <numFmt numFmtId="188" formatCode="&quot;₩&quot;#,##0;[Red]&quot;₩&quot;#,##0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  <scheme val="maj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9" fillId="0" borderId="0"/>
    <xf numFmtId="0" fontId="10" fillId="5" borderId="0" applyNumberFormat="0" applyBorder="0" applyAlignment="0" applyProtection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5" fillId="0" borderId="0">
      <alignment vertical="center"/>
    </xf>
    <xf numFmtId="0" fontId="11" fillId="0" borderId="0"/>
    <xf numFmtId="0" fontId="5" fillId="0" borderId="0"/>
    <xf numFmtId="0" fontId="13" fillId="0" borderId="0">
      <alignment vertical="center"/>
    </xf>
    <xf numFmtId="0" fontId="12" fillId="0" borderId="0">
      <alignment vertical="center"/>
    </xf>
    <xf numFmtId="0" fontId="13" fillId="0" borderId="2" applyNumberFormat="0" applyFont="0" applyFill="0" applyProtection="0">
      <alignment horizontal="center" vertical="center" wrapText="1"/>
    </xf>
    <xf numFmtId="0" fontId="5" fillId="0" borderId="0"/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4" fillId="0" borderId="0" xfId="23" applyFont="1" applyBorder="1" applyAlignment="1">
      <alignment vertical="center"/>
    </xf>
    <xf numFmtId="41" fontId="14" fillId="0" borderId="0" xfId="15" applyFont="1" applyBorder="1" applyAlignment="1">
      <alignment vertical="center"/>
    </xf>
    <xf numFmtId="0" fontId="14" fillId="0" borderId="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NumberFormat="1" applyFont="1">
      <alignment vertical="center"/>
    </xf>
    <xf numFmtId="0" fontId="14" fillId="0" borderId="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0" xfId="0" applyNumberFormat="1" applyFont="1" applyBorder="1">
      <alignment vertical="center"/>
    </xf>
    <xf numFmtId="0" fontId="17" fillId="0" borderId="0" xfId="6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4" fillId="0" borderId="3" xfId="23" applyFont="1" applyFill="1" applyBorder="1" applyAlignment="1">
      <alignment horizontal="center" vertical="center"/>
    </xf>
    <xf numFmtId="0" fontId="7" fillId="0" borderId="3" xfId="6" applyFont="1" applyBorder="1" applyAlignment="1">
      <alignment horizontal="center" vertical="center"/>
    </xf>
    <xf numFmtId="0" fontId="14" fillId="0" borderId="3" xfId="23" applyFont="1" applyBorder="1" applyAlignment="1">
      <alignment horizontal="center" vertical="center"/>
    </xf>
    <xf numFmtId="41" fontId="14" fillId="0" borderId="3" xfId="15" applyFont="1" applyBorder="1" applyAlignment="1">
      <alignment horizontal="center" vertical="center"/>
    </xf>
    <xf numFmtId="41" fontId="14" fillId="0" borderId="3" xfId="15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3" xfId="6" applyFont="1" applyFill="1" applyBorder="1" applyAlignment="1">
      <alignment horizontal="center" vertical="center"/>
    </xf>
    <xf numFmtId="183" fontId="15" fillId="0" borderId="3" xfId="6" applyNumberFormat="1" applyFont="1" applyFill="1" applyBorder="1" applyAlignment="1">
      <alignment horizontal="center" vertical="center"/>
    </xf>
    <xf numFmtId="184" fontId="15" fillId="0" borderId="3" xfId="6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>
      <alignment vertical="center"/>
    </xf>
    <xf numFmtId="0" fontId="14" fillId="0" borderId="3" xfId="24" applyFont="1" applyFill="1" applyBorder="1" applyAlignment="1">
      <alignment horizontal="center" vertical="center"/>
    </xf>
    <xf numFmtId="0" fontId="14" fillId="0" borderId="3" xfId="5" applyFont="1" applyFill="1" applyBorder="1" applyAlignment="1">
      <alignment horizontal="center" vertical="center"/>
    </xf>
    <xf numFmtId="14" fontId="14" fillId="0" borderId="3" xfId="5" applyNumberFormat="1" applyFont="1" applyFill="1" applyBorder="1" applyAlignment="1">
      <alignment horizontal="center" vertical="center"/>
    </xf>
    <xf numFmtId="185" fontId="14" fillId="0" borderId="3" xfId="5" applyNumberFormat="1" applyFont="1" applyFill="1" applyBorder="1" applyAlignment="1">
      <alignment horizontal="center" vertical="center"/>
    </xf>
    <xf numFmtId="186" fontId="14" fillId="0" borderId="3" xfId="1" applyNumberFormat="1" applyFont="1" applyFill="1" applyBorder="1" applyAlignment="1">
      <alignment horizontal="center" vertical="center"/>
    </xf>
    <xf numFmtId="182" fontId="14" fillId="0" borderId="3" xfId="5" applyNumberFormat="1" applyFont="1" applyFill="1" applyBorder="1" applyAlignment="1">
      <alignment horizontal="center" vertical="center"/>
    </xf>
    <xf numFmtId="0" fontId="17" fillId="0" borderId="3" xfId="6" applyFont="1" applyFill="1" applyBorder="1" applyAlignment="1">
      <alignment horizontal="center" vertical="center"/>
    </xf>
    <xf numFmtId="188" fontId="17" fillId="0" borderId="3" xfId="6" applyNumberFormat="1" applyFont="1" applyFill="1" applyBorder="1" applyAlignment="1">
      <alignment horizontal="center" vertical="center"/>
    </xf>
    <xf numFmtId="10" fontId="17" fillId="0" borderId="3" xfId="6" applyNumberFormat="1" applyFont="1" applyFill="1" applyBorder="1" applyAlignment="1">
      <alignment horizontal="center" vertical="center"/>
    </xf>
    <xf numFmtId="6" fontId="17" fillId="0" borderId="3" xfId="6" applyNumberFormat="1" applyFont="1" applyFill="1" applyBorder="1">
      <alignment vertical="center"/>
    </xf>
    <xf numFmtId="0" fontId="17" fillId="0" borderId="3" xfId="6" applyFont="1" applyFill="1" applyBorder="1">
      <alignment vertical="center"/>
    </xf>
    <xf numFmtId="188" fontId="17" fillId="0" borderId="3" xfId="6" applyNumberFormat="1" applyFont="1" applyFill="1" applyBorder="1">
      <alignment vertical="center"/>
    </xf>
    <xf numFmtId="0" fontId="14" fillId="0" borderId="3" xfId="28" applyFont="1" applyFill="1" applyBorder="1" applyAlignment="1">
      <alignment horizontal="center"/>
    </xf>
    <xf numFmtId="0" fontId="15" fillId="0" borderId="3" xfId="4" applyFont="1" applyFill="1" applyBorder="1" applyAlignment="1">
      <alignment horizontal="center" vertical="center"/>
    </xf>
    <xf numFmtId="187" fontId="16" fillId="0" borderId="3" xfId="3" applyNumberFormat="1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3" xfId="2" applyNumberFormat="1" applyFont="1" applyFill="1" applyBorder="1" applyAlignment="1">
      <alignment horizontal="center" vertical="center"/>
    </xf>
    <xf numFmtId="0" fontId="14" fillId="0" borderId="3" xfId="5" applyNumberFormat="1" applyFont="1" applyFill="1" applyBorder="1" applyAlignment="1">
      <alignment horizontal="center" vertical="center"/>
    </xf>
  </cellXfs>
  <cellStyles count="29">
    <cellStyle name="20% - 강조색5" xfId="5" builtinId="46"/>
    <cellStyle name="Comma [0]_laroux_1" xfId="8"/>
    <cellStyle name="Comma_laroux" xfId="9"/>
    <cellStyle name="Currency [0]_laroux" xfId="10"/>
    <cellStyle name="Currency_laroux" xfId="11"/>
    <cellStyle name="Normal_laroux_1" xfId="12"/>
    <cellStyle name="강조색1 2" xfId="13"/>
    <cellStyle name="강조색5" xfId="4" builtinId="45"/>
    <cellStyle name="백분율" xfId="2" builtinId="5"/>
    <cellStyle name="백분율 2" xfId="14"/>
    <cellStyle name="쉼표 [0]" xfId="1" builtinId="6"/>
    <cellStyle name="쉼표 [0] 2" xfId="7"/>
    <cellStyle name="쉼표 [0] 3" xfId="15"/>
    <cellStyle name="쉼표 [0] 3 2" xfId="16"/>
    <cellStyle name="쉼표 [0] 4" xfId="17"/>
    <cellStyle name="쉼표 [0] 5" xfId="18"/>
    <cellStyle name="출력" xfId="3" builtinId="21"/>
    <cellStyle name="콤마 [0]_97계약" xfId="19"/>
    <cellStyle name="콤마_97계약" xfId="20"/>
    <cellStyle name="통화 [0] 2" xfId="21"/>
    <cellStyle name="표준" xfId="0" builtinId="0"/>
    <cellStyle name="표준 2" xfId="6"/>
    <cellStyle name="표준 2 2" xfId="22"/>
    <cellStyle name="표준 3" xfId="23"/>
    <cellStyle name="표준 3 2" xfId="24"/>
    <cellStyle name="표준 4" xfId="25"/>
    <cellStyle name="표준 5" xfId="26"/>
    <cellStyle name="표준_기본작업-3" xfId="28"/>
    <cellStyle name="회색테두리" xfId="27"/>
  </cellStyles>
  <dxfs count="2">
    <dxf>
      <font>
        <b val="0"/>
        <i val="0"/>
        <condense val="0"/>
        <extend val="0"/>
        <color indexed="12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E24" sqref="E24"/>
    </sheetView>
  </sheetViews>
  <sheetFormatPr defaultRowHeight="16.5"/>
  <sheetData>
    <row r="2" spans="1:9">
      <c r="A2" s="13" t="s">
        <v>0</v>
      </c>
      <c r="B2" s="13" t="s">
        <v>3</v>
      </c>
      <c r="C2" s="13" t="s">
        <v>4</v>
      </c>
      <c r="D2" s="6"/>
      <c r="E2" s="6"/>
      <c r="F2" s="13" t="s">
        <v>0</v>
      </c>
      <c r="G2" s="13" t="s">
        <v>10</v>
      </c>
      <c r="H2" s="13" t="s">
        <v>11</v>
      </c>
      <c r="I2" s="13" t="s">
        <v>12</v>
      </c>
    </row>
    <row r="3" spans="1:9">
      <c r="A3" s="13" t="s">
        <v>119</v>
      </c>
      <c r="B3" s="13" t="s">
        <v>126</v>
      </c>
      <c r="C3" s="13">
        <v>4057</v>
      </c>
      <c r="D3" s="6"/>
      <c r="E3" s="6"/>
      <c r="F3" s="13" t="s">
        <v>1</v>
      </c>
      <c r="G3" s="13">
        <f ca="1">SUMIF($A$3:$C$16,F3,$C$3:$C$16)</f>
        <v>13476</v>
      </c>
      <c r="H3" s="13">
        <f>COUNTIF($A$3:$C$16,F3)</f>
        <v>3</v>
      </c>
      <c r="I3" s="13">
        <f ca="1">ROUND(AVERAGEIF($A$3:$C$16,F3,$C$3:$C$16),0)</f>
        <v>4492</v>
      </c>
    </row>
    <row r="4" spans="1:9">
      <c r="A4" s="13" t="s">
        <v>120</v>
      </c>
      <c r="B4" s="13" t="s">
        <v>127</v>
      </c>
      <c r="C4" s="13">
        <v>4994</v>
      </c>
      <c r="D4" s="6"/>
      <c r="E4" s="6"/>
      <c r="F4" s="13" t="s">
        <v>2</v>
      </c>
      <c r="G4" s="13">
        <f t="shared" ref="G4:G7" ca="1" si="0">SUMIF($A$3:$C$16,F4,$C$3:$C$16)</f>
        <v>19950</v>
      </c>
      <c r="H4" s="13">
        <f t="shared" ref="H4:H7" si="1">COUNTIF($A$3:$C$16,F4)</f>
        <v>4</v>
      </c>
      <c r="I4" s="13">
        <f t="shared" ref="I4:I7" ca="1" si="2">ROUND(AVERAGEIF($A$3:$C$16,F4,$C$3:$C$16),0)</f>
        <v>4988</v>
      </c>
    </row>
    <row r="5" spans="1:9">
      <c r="A5" s="13" t="s">
        <v>120</v>
      </c>
      <c r="B5" s="13" t="s">
        <v>128</v>
      </c>
      <c r="C5" s="13">
        <v>3103</v>
      </c>
      <c r="D5" s="6"/>
      <c r="E5" s="6"/>
      <c r="F5" s="13" t="s">
        <v>5</v>
      </c>
      <c r="G5" s="13">
        <f t="shared" ca="1" si="0"/>
        <v>23824</v>
      </c>
      <c r="H5" s="13">
        <f t="shared" si="1"/>
        <v>3</v>
      </c>
      <c r="I5" s="13">
        <f t="shared" ca="1" si="2"/>
        <v>7941</v>
      </c>
    </row>
    <row r="6" spans="1:9">
      <c r="A6" s="13" t="s">
        <v>119</v>
      </c>
      <c r="B6" s="13" t="s">
        <v>129</v>
      </c>
      <c r="C6" s="13">
        <v>6946</v>
      </c>
      <c r="D6" s="6"/>
      <c r="E6" s="6"/>
      <c r="F6" s="13" t="s">
        <v>6</v>
      </c>
      <c r="G6" s="13">
        <f t="shared" ca="1" si="0"/>
        <v>3339</v>
      </c>
      <c r="H6" s="13">
        <f t="shared" si="1"/>
        <v>2</v>
      </c>
      <c r="I6" s="13">
        <f t="shared" ca="1" si="2"/>
        <v>1670</v>
      </c>
    </row>
    <row r="7" spans="1:9">
      <c r="A7" s="13" t="s">
        <v>121</v>
      </c>
      <c r="B7" s="13" t="s">
        <v>126</v>
      </c>
      <c r="C7" s="13">
        <v>8710</v>
      </c>
      <c r="D7" s="6"/>
      <c r="E7" s="6"/>
      <c r="F7" s="13" t="s">
        <v>7</v>
      </c>
      <c r="G7" s="13">
        <f t="shared" ca="1" si="0"/>
        <v>3778</v>
      </c>
      <c r="H7" s="13">
        <f t="shared" si="1"/>
        <v>2</v>
      </c>
      <c r="I7" s="13">
        <f t="shared" ca="1" si="2"/>
        <v>1889</v>
      </c>
    </row>
    <row r="8" spans="1:9">
      <c r="A8" s="13" t="s">
        <v>122</v>
      </c>
      <c r="B8" s="13" t="s">
        <v>129</v>
      </c>
      <c r="C8" s="13">
        <v>2473</v>
      </c>
      <c r="D8" s="6"/>
      <c r="E8" s="6"/>
      <c r="F8" s="6"/>
      <c r="G8" s="6"/>
      <c r="H8" s="6"/>
      <c r="I8" s="6"/>
    </row>
    <row r="9" spans="1:9">
      <c r="A9" s="13" t="s">
        <v>123</v>
      </c>
      <c r="B9" s="13" t="s">
        <v>128</v>
      </c>
      <c r="C9" s="13">
        <v>729</v>
      </c>
      <c r="D9" s="6"/>
      <c r="E9" s="13" t="s">
        <v>0</v>
      </c>
      <c r="F9" s="13" t="s">
        <v>13</v>
      </c>
      <c r="G9" s="13" t="s">
        <v>10</v>
      </c>
      <c r="H9" s="13" t="s">
        <v>11</v>
      </c>
      <c r="I9" s="13" t="s">
        <v>12</v>
      </c>
    </row>
    <row r="10" spans="1:9">
      <c r="A10" s="13" t="s">
        <v>121</v>
      </c>
      <c r="B10" s="13" t="s">
        <v>9</v>
      </c>
      <c r="C10" s="13">
        <v>6572</v>
      </c>
      <c r="D10" s="6"/>
      <c r="E10" s="13" t="s">
        <v>1</v>
      </c>
      <c r="F10" s="14" t="s">
        <v>8</v>
      </c>
      <c r="G10" s="13">
        <f>SUMIFS($C$3:$C$16,$A$3:$A$16,E10,$B$3:$B$16,$F$10)</f>
        <v>4057</v>
      </c>
      <c r="H10" s="13">
        <f>COUNTIFS($A$3:$A$16,E10,$B$3:$B$16,$F$10)</f>
        <v>1</v>
      </c>
      <c r="I10" s="13">
        <f>ROUND(AVERAGEIFS($C$3:$C$16,$A$3:$A$16,E10,$B$3:$B$16,$F$10),0)</f>
        <v>4057</v>
      </c>
    </row>
    <row r="11" spans="1:9">
      <c r="A11" s="13" t="s">
        <v>120</v>
      </c>
      <c r="B11" s="13" t="s">
        <v>126</v>
      </c>
      <c r="C11" s="13">
        <v>3898</v>
      </c>
      <c r="D11" s="6"/>
      <c r="E11" s="13" t="s">
        <v>2</v>
      </c>
      <c r="F11" s="14"/>
      <c r="G11" s="13">
        <f t="shared" ref="G11:G14" si="3">SUMIFS($C$3:$C$16,$A$3:$A$16,E11,$B$3:$B$16,$F$10)</f>
        <v>7001</v>
      </c>
      <c r="H11" s="13">
        <f t="shared" ref="H11:H14" si="4">COUNTIFS($A$3:$A$16,E11,$B$3:$B$16,$F$10)</f>
        <v>2</v>
      </c>
      <c r="I11" s="13">
        <f t="shared" ref="I11:I14" si="5">ROUND(AVERAGEIFS($C$3:$C$16,$A$3:$A$16,E11,$B$3:$B$16,$F$10),0)</f>
        <v>3501</v>
      </c>
    </row>
    <row r="12" spans="1:9">
      <c r="A12" s="13" t="s">
        <v>124</v>
      </c>
      <c r="B12" s="13" t="s">
        <v>126</v>
      </c>
      <c r="C12" s="13">
        <v>3079</v>
      </c>
      <c r="D12" s="6"/>
      <c r="E12" s="13" t="s">
        <v>5</v>
      </c>
      <c r="F12" s="14"/>
      <c r="G12" s="13">
        <f t="shared" si="3"/>
        <v>17252</v>
      </c>
      <c r="H12" s="13">
        <f t="shared" si="4"/>
        <v>2</v>
      </c>
      <c r="I12" s="13">
        <f t="shared" si="5"/>
        <v>8626</v>
      </c>
    </row>
    <row r="13" spans="1:9">
      <c r="A13" s="13" t="s">
        <v>120</v>
      </c>
      <c r="B13" s="13" t="s">
        <v>129</v>
      </c>
      <c r="C13" s="13">
        <v>7955</v>
      </c>
      <c r="D13" s="6"/>
      <c r="E13" s="13" t="s">
        <v>6</v>
      </c>
      <c r="F13" s="14"/>
      <c r="G13" s="13">
        <f t="shared" si="3"/>
        <v>729</v>
      </c>
      <c r="H13" s="13">
        <f t="shared" si="4"/>
        <v>1</v>
      </c>
      <c r="I13" s="13">
        <f t="shared" si="5"/>
        <v>729</v>
      </c>
    </row>
    <row r="14" spans="1:9">
      <c r="A14" s="13" t="s">
        <v>125</v>
      </c>
      <c r="B14" s="13" t="s">
        <v>129</v>
      </c>
      <c r="C14" s="13">
        <v>2610</v>
      </c>
      <c r="D14" s="6"/>
      <c r="E14" s="13" t="s">
        <v>7</v>
      </c>
      <c r="F14" s="14"/>
      <c r="G14" s="13">
        <f t="shared" si="3"/>
        <v>3079</v>
      </c>
      <c r="H14" s="13">
        <f t="shared" si="4"/>
        <v>1</v>
      </c>
      <c r="I14" s="13">
        <f t="shared" si="5"/>
        <v>3079</v>
      </c>
    </row>
    <row r="15" spans="1:9">
      <c r="A15" s="13" t="s">
        <v>121</v>
      </c>
      <c r="B15" s="13" t="s">
        <v>126</v>
      </c>
      <c r="C15" s="13">
        <v>8542</v>
      </c>
      <c r="D15" s="6"/>
      <c r="E15" s="6"/>
      <c r="F15" s="6"/>
      <c r="G15" s="6"/>
      <c r="H15" s="6"/>
      <c r="I15" s="6"/>
    </row>
    <row r="16" spans="1:9">
      <c r="A16" s="13" t="s">
        <v>124</v>
      </c>
      <c r="B16" s="13" t="s">
        <v>127</v>
      </c>
      <c r="C16" s="13">
        <v>699</v>
      </c>
      <c r="D16" s="6"/>
      <c r="E16" s="6"/>
      <c r="F16" s="6"/>
      <c r="G16" s="6"/>
      <c r="H16" s="6"/>
      <c r="I16" s="6"/>
    </row>
  </sheetData>
  <mergeCells count="1">
    <mergeCell ref="F10:F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2" sqref="B2:F12"/>
    </sheetView>
  </sheetViews>
  <sheetFormatPr defaultRowHeight="16.5"/>
  <cols>
    <col min="1" max="4" width="9" style="6"/>
    <col min="5" max="6" width="11.125" style="6" bestFit="1" customWidth="1"/>
    <col min="7" max="16384" width="9" style="6"/>
  </cols>
  <sheetData>
    <row r="2" spans="2:6">
      <c r="B2" s="13" t="s">
        <v>144</v>
      </c>
      <c r="C2" s="13" t="s">
        <v>145</v>
      </c>
      <c r="D2" s="13" t="s">
        <v>146</v>
      </c>
      <c r="E2" s="13" t="s">
        <v>147</v>
      </c>
      <c r="F2" s="13" t="s">
        <v>148</v>
      </c>
    </row>
    <row r="3" spans="2:6">
      <c r="B3" s="13">
        <v>1</v>
      </c>
      <c r="C3" s="13" t="s">
        <v>149</v>
      </c>
      <c r="D3" s="13" t="s">
        <v>159</v>
      </c>
      <c r="E3" s="21">
        <f ca="1">DATE(YEAR(TODAY()), LEFT(D3,2), MID(D3,5,2))</f>
        <v>42139</v>
      </c>
      <c r="F3" s="21" t="str">
        <f>"2011-" &amp; LEFT(D3,2) &amp; "-" &amp; MID(D3,5,2)</f>
        <v>2011-05-15</v>
      </c>
    </row>
    <row r="4" spans="2:6">
      <c r="B4" s="13">
        <v>2</v>
      </c>
      <c r="C4" s="13" t="s">
        <v>150</v>
      </c>
      <c r="D4" s="13" t="s">
        <v>161</v>
      </c>
      <c r="E4" s="21">
        <f t="shared" ref="E4:E12" ca="1" si="0">DATE(YEAR(TODAY()), LEFT(D4,2), MID(D4,5,2))</f>
        <v>42139</v>
      </c>
      <c r="F4" s="21" t="str">
        <f t="shared" ref="F4:F12" si="1">"2011-" &amp; LEFT(D4,2) &amp; "-" &amp; MID(D4,5,2)</f>
        <v>2011-05-15</v>
      </c>
    </row>
    <row r="5" spans="2:6">
      <c r="B5" s="13">
        <v>3</v>
      </c>
      <c r="C5" s="13" t="s">
        <v>151</v>
      </c>
      <c r="D5" s="13" t="s">
        <v>160</v>
      </c>
      <c r="E5" s="21">
        <f t="shared" ca="1" si="0"/>
        <v>42140</v>
      </c>
      <c r="F5" s="21" t="str">
        <f t="shared" si="1"/>
        <v>2011-05-16</v>
      </c>
    </row>
    <row r="6" spans="2:6">
      <c r="B6" s="13">
        <v>4</v>
      </c>
      <c r="C6" s="13" t="s">
        <v>152</v>
      </c>
      <c r="D6" s="13" t="s">
        <v>163</v>
      </c>
      <c r="E6" s="21">
        <f t="shared" ca="1" si="0"/>
        <v>42140</v>
      </c>
      <c r="F6" s="21" t="str">
        <f t="shared" si="1"/>
        <v>2011-05-16</v>
      </c>
    </row>
    <row r="7" spans="2:6">
      <c r="B7" s="13">
        <v>5</v>
      </c>
      <c r="C7" s="13" t="s">
        <v>153</v>
      </c>
      <c r="D7" s="13" t="s">
        <v>162</v>
      </c>
      <c r="E7" s="21">
        <f t="shared" ca="1" si="0"/>
        <v>42141</v>
      </c>
      <c r="F7" s="21" t="str">
        <f t="shared" si="1"/>
        <v>2011-05-17</v>
      </c>
    </row>
    <row r="8" spans="2:6">
      <c r="B8" s="13">
        <v>6</v>
      </c>
      <c r="C8" s="13" t="s">
        <v>154</v>
      </c>
      <c r="D8" s="13" t="s">
        <v>212</v>
      </c>
      <c r="E8" s="21">
        <f t="shared" ca="1" si="0"/>
        <v>42142</v>
      </c>
      <c r="F8" s="21" t="str">
        <f t="shared" si="1"/>
        <v>2011-05-18</v>
      </c>
    </row>
    <row r="9" spans="2:6">
      <c r="B9" s="13">
        <v>7</v>
      </c>
      <c r="C9" s="13" t="s">
        <v>155</v>
      </c>
      <c r="D9" s="13" t="s">
        <v>164</v>
      </c>
      <c r="E9" s="21">
        <f t="shared" ca="1" si="0"/>
        <v>42142</v>
      </c>
      <c r="F9" s="21" t="str">
        <f t="shared" si="1"/>
        <v>2011-05-18</v>
      </c>
    </row>
    <row r="10" spans="2:6">
      <c r="B10" s="13">
        <v>8</v>
      </c>
      <c r="C10" s="13" t="s">
        <v>156</v>
      </c>
      <c r="D10" s="13" t="s">
        <v>166</v>
      </c>
      <c r="E10" s="21">
        <f t="shared" ca="1" si="0"/>
        <v>42142</v>
      </c>
      <c r="F10" s="21" t="str">
        <f t="shared" si="1"/>
        <v>2011-05-18</v>
      </c>
    </row>
    <row r="11" spans="2:6">
      <c r="B11" s="13">
        <v>9</v>
      </c>
      <c r="C11" s="13" t="s">
        <v>157</v>
      </c>
      <c r="D11" s="13" t="s">
        <v>165</v>
      </c>
      <c r="E11" s="21">
        <f t="shared" ca="1" si="0"/>
        <v>42143</v>
      </c>
      <c r="F11" s="21" t="str">
        <f t="shared" si="1"/>
        <v>2011-05-19</v>
      </c>
    </row>
    <row r="12" spans="2:6">
      <c r="B12" s="13">
        <v>10</v>
      </c>
      <c r="C12" s="13" t="s">
        <v>158</v>
      </c>
      <c r="D12" s="13" t="s">
        <v>211</v>
      </c>
      <c r="E12" s="21">
        <f t="shared" ca="1" si="0"/>
        <v>42144</v>
      </c>
      <c r="F12" s="21" t="str">
        <f t="shared" si="1"/>
        <v>2011-05-20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G18" sqref="G18"/>
    </sheetView>
  </sheetViews>
  <sheetFormatPr defaultRowHeight="16.5"/>
  <cols>
    <col min="1" max="2" width="9" style="6"/>
    <col min="3" max="3" width="11.125" style="6" bestFit="1" customWidth="1"/>
    <col min="4" max="5" width="9" style="6"/>
    <col min="6" max="6" width="12.5" style="6" bestFit="1" customWidth="1"/>
    <col min="7" max="7" width="15.375" style="6" bestFit="1" customWidth="1"/>
    <col min="8" max="8" width="15.875" style="6" bestFit="1" customWidth="1"/>
    <col min="9" max="16384" width="9" style="6"/>
  </cols>
  <sheetData>
    <row r="1" spans="2:8">
      <c r="D1" s="25"/>
    </row>
    <row r="2" spans="2:8">
      <c r="B2" s="13" t="s">
        <v>170</v>
      </c>
      <c r="C2" s="22">
        <v>40464</v>
      </c>
      <c r="D2" s="26"/>
      <c r="E2" s="25"/>
      <c r="F2" s="25"/>
      <c r="G2" s="25"/>
      <c r="H2" s="25"/>
    </row>
    <row r="3" spans="2:8">
      <c r="B3" s="25"/>
      <c r="C3" s="25"/>
      <c r="D3" s="27"/>
      <c r="E3" s="25"/>
      <c r="F3" s="25"/>
      <c r="G3" s="25"/>
      <c r="H3" s="25"/>
    </row>
    <row r="4" spans="2:8">
      <c r="B4" s="13" t="s">
        <v>171</v>
      </c>
      <c r="C4" s="13" t="s">
        <v>172</v>
      </c>
      <c r="D4" s="13" t="s">
        <v>173</v>
      </c>
      <c r="E4" s="13" t="s">
        <v>175</v>
      </c>
      <c r="F4" s="13" t="s">
        <v>174</v>
      </c>
      <c r="G4" s="23" t="s">
        <v>176</v>
      </c>
      <c r="H4" s="23" t="s">
        <v>177</v>
      </c>
    </row>
    <row r="5" spans="2:8">
      <c r="B5" s="13" t="s">
        <v>32</v>
      </c>
      <c r="C5" s="22">
        <v>36661</v>
      </c>
      <c r="D5" s="13">
        <f>DATEDIF(C5,$C$2,"Y")</f>
        <v>10</v>
      </c>
      <c r="E5" s="13">
        <f>DATEDIF(C5,$C$2,"m")</f>
        <v>124</v>
      </c>
      <c r="F5" s="13">
        <f>DATEDIF(C5,$C$2,"d")</f>
        <v>3803</v>
      </c>
      <c r="G5" s="24" t="str">
        <f>DATEDIF(C5,$C$2,"Y")&amp;"년 "&amp;DATEDIF(C5,$C$2,"YM")&amp;"개월"</f>
        <v>10년 4개월</v>
      </c>
      <c r="H5" s="24" t="str">
        <f>DATEDIF(C5,$C$2,"Y")&amp;"년 "&amp;DATEDIF(C5,$C$2,"YM")&amp;"개월 " &amp; DATEDIF(C5,$C$2,"MD") &amp; "일"</f>
        <v>10년 4개월 28일</v>
      </c>
    </row>
    <row r="6" spans="2:8">
      <c r="B6" s="13" t="s">
        <v>178</v>
      </c>
      <c r="C6" s="22">
        <v>36320</v>
      </c>
      <c r="D6" s="13">
        <f t="shared" ref="D6:D9" si="0">DATEDIF(C6,$C$2,"Y")</f>
        <v>11</v>
      </c>
      <c r="E6" s="13">
        <f t="shared" ref="E6:E9" si="1">DATEDIF(C6,$C$2,"m")</f>
        <v>136</v>
      </c>
      <c r="F6" s="13">
        <f t="shared" ref="F6:F9" si="2">DATEDIF(C6,$C$2,"d")</f>
        <v>4144</v>
      </c>
      <c r="G6" s="24" t="str">
        <f t="shared" ref="G6:G9" si="3">DATEDIF(C6,$C$2,"Y")&amp;"년 "&amp;DATEDIF(C6,$C$2,"YM")&amp;"개월"</f>
        <v>11년 4개월</v>
      </c>
      <c r="H6" s="24" t="str">
        <f t="shared" ref="H6:H9" si="4">DATEDIF(C6,$C$2,"Y")&amp;"년 "&amp;DATEDIF(C6,$C$2,"YM")&amp;"개월 " &amp; DATEDIF(C6,$C$2,"MD") &amp; "일"</f>
        <v>11년 4개월 4일</v>
      </c>
    </row>
    <row r="7" spans="2:8">
      <c r="B7" s="13" t="s">
        <v>179</v>
      </c>
      <c r="C7" s="22">
        <v>36255</v>
      </c>
      <c r="D7" s="13">
        <f t="shared" si="0"/>
        <v>11</v>
      </c>
      <c r="E7" s="13">
        <f t="shared" si="1"/>
        <v>138</v>
      </c>
      <c r="F7" s="13">
        <f t="shared" si="2"/>
        <v>4209</v>
      </c>
      <c r="G7" s="24" t="str">
        <f t="shared" si="3"/>
        <v>11년 6개월</v>
      </c>
      <c r="H7" s="24" t="str">
        <f t="shared" si="4"/>
        <v>11년 6개월 8일</v>
      </c>
    </row>
    <row r="8" spans="2:8">
      <c r="B8" s="13" t="s">
        <v>180</v>
      </c>
      <c r="C8" s="22">
        <v>35556</v>
      </c>
      <c r="D8" s="13">
        <f t="shared" si="0"/>
        <v>13</v>
      </c>
      <c r="E8" s="13">
        <f t="shared" si="1"/>
        <v>161</v>
      </c>
      <c r="F8" s="13">
        <f t="shared" si="2"/>
        <v>4908</v>
      </c>
      <c r="G8" s="24" t="str">
        <f t="shared" si="3"/>
        <v>13년 5개월</v>
      </c>
      <c r="H8" s="24" t="str">
        <f t="shared" si="4"/>
        <v>13년 5개월 7일</v>
      </c>
    </row>
    <row r="9" spans="2:8">
      <c r="B9" s="13" t="s">
        <v>181</v>
      </c>
      <c r="C9" s="22">
        <v>34949</v>
      </c>
      <c r="D9" s="13">
        <f t="shared" si="0"/>
        <v>15</v>
      </c>
      <c r="E9" s="13">
        <f t="shared" si="1"/>
        <v>181</v>
      </c>
      <c r="F9" s="13">
        <f t="shared" si="2"/>
        <v>5515</v>
      </c>
      <c r="G9" s="24" t="str">
        <f t="shared" si="3"/>
        <v>15년 1개월</v>
      </c>
      <c r="H9" s="24" t="str">
        <f t="shared" si="4"/>
        <v>15년 1개월 6일</v>
      </c>
    </row>
    <row r="10" spans="2:8">
      <c r="G10" s="5"/>
      <c r="H10" s="5"/>
    </row>
    <row r="11" spans="2:8">
      <c r="G11" s="5"/>
      <c r="H11" s="5"/>
    </row>
    <row r="12" spans="2:8">
      <c r="G12" s="5"/>
      <c r="H12" s="5"/>
    </row>
    <row r="13" spans="2:8">
      <c r="G13" s="5"/>
      <c r="H13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2" sqref="B2:F12"/>
    </sheetView>
  </sheetViews>
  <sheetFormatPr defaultRowHeight="16.5"/>
  <cols>
    <col min="2" max="2" width="16" bestFit="1" customWidth="1"/>
  </cols>
  <sheetData>
    <row r="2" spans="2:6">
      <c r="B2" s="28" t="s">
        <v>213</v>
      </c>
      <c r="C2" s="28" t="s">
        <v>214</v>
      </c>
      <c r="D2" s="28" t="s">
        <v>215</v>
      </c>
      <c r="E2" s="28" t="s">
        <v>216</v>
      </c>
      <c r="F2" s="28" t="s">
        <v>217</v>
      </c>
    </row>
    <row r="3" spans="2:6">
      <c r="B3" s="29">
        <v>40603</v>
      </c>
      <c r="C3" s="30" t="str">
        <f>CHOOSE(WEEKDAY(B3,2), "월","화","수","목","금","토","일")</f>
        <v>화</v>
      </c>
      <c r="D3" s="30" t="str">
        <f>TEXT(B3,"aaa")</f>
        <v>화</v>
      </c>
      <c r="E3" s="30" t="str">
        <f>TEXT(B3,"ddd")</f>
        <v>Tue</v>
      </c>
      <c r="F3" s="30" t="str">
        <f>CHOOSE(WEEKDAY(B3), "일요일", "월요일","화요일","수요일","목요일","금요일","토요일")</f>
        <v>화요일</v>
      </c>
    </row>
    <row r="4" spans="2:6">
      <c r="B4" s="29">
        <v>40604</v>
      </c>
      <c r="C4" s="30" t="str">
        <f t="shared" ref="C4:C12" si="0">CHOOSE(WEEKDAY(B4,2), "월","화","수","목","금","토","일")</f>
        <v>수</v>
      </c>
      <c r="D4" s="30" t="str">
        <f t="shared" ref="D4:D12" si="1">TEXT(B4,"aaa")</f>
        <v>수</v>
      </c>
      <c r="E4" s="30" t="str">
        <f t="shared" ref="E4:E12" si="2">TEXT(B4,"ddd")</f>
        <v>Wed</v>
      </c>
      <c r="F4" s="30" t="str">
        <f t="shared" ref="F4:F12" si="3">CHOOSE(WEEKDAY(B4), "일요일", "월요일","화요일","수요일","목요일","금요일","토요일")</f>
        <v>수요일</v>
      </c>
    </row>
    <row r="5" spans="2:6">
      <c r="B5" s="29">
        <v>40605</v>
      </c>
      <c r="C5" s="30" t="str">
        <f t="shared" si="0"/>
        <v>목</v>
      </c>
      <c r="D5" s="30" t="str">
        <f t="shared" si="1"/>
        <v>목</v>
      </c>
      <c r="E5" s="30" t="str">
        <f t="shared" si="2"/>
        <v>Thu</v>
      </c>
      <c r="F5" s="30" t="str">
        <f t="shared" si="3"/>
        <v>목요일</v>
      </c>
    </row>
    <row r="6" spans="2:6">
      <c r="B6" s="29">
        <v>40606</v>
      </c>
      <c r="C6" s="30" t="str">
        <f t="shared" si="0"/>
        <v>금</v>
      </c>
      <c r="D6" s="30" t="str">
        <f t="shared" si="1"/>
        <v>금</v>
      </c>
      <c r="E6" s="30" t="str">
        <f t="shared" si="2"/>
        <v>Fri</v>
      </c>
      <c r="F6" s="30" t="str">
        <f t="shared" si="3"/>
        <v>금요일</v>
      </c>
    </row>
    <row r="7" spans="2:6">
      <c r="B7" s="29">
        <v>40607</v>
      </c>
      <c r="C7" s="30" t="str">
        <f t="shared" si="0"/>
        <v>토</v>
      </c>
      <c r="D7" s="30" t="str">
        <f t="shared" si="1"/>
        <v>토</v>
      </c>
      <c r="E7" s="30" t="str">
        <f t="shared" si="2"/>
        <v>Sat</v>
      </c>
      <c r="F7" s="30" t="str">
        <f t="shared" si="3"/>
        <v>토요일</v>
      </c>
    </row>
    <row r="8" spans="2:6">
      <c r="B8" s="29">
        <v>40608</v>
      </c>
      <c r="C8" s="30" t="str">
        <f t="shared" si="0"/>
        <v>일</v>
      </c>
      <c r="D8" s="30" t="str">
        <f t="shared" si="1"/>
        <v>일</v>
      </c>
      <c r="E8" s="30" t="str">
        <f t="shared" si="2"/>
        <v>Sun</v>
      </c>
      <c r="F8" s="30" t="str">
        <f t="shared" si="3"/>
        <v>일요일</v>
      </c>
    </row>
    <row r="9" spans="2:6">
      <c r="B9" s="29">
        <v>40609</v>
      </c>
      <c r="C9" s="30" t="str">
        <f t="shared" si="0"/>
        <v>월</v>
      </c>
      <c r="D9" s="30" t="str">
        <f t="shared" si="1"/>
        <v>월</v>
      </c>
      <c r="E9" s="30" t="str">
        <f t="shared" si="2"/>
        <v>Mon</v>
      </c>
      <c r="F9" s="30" t="str">
        <f t="shared" si="3"/>
        <v>월요일</v>
      </c>
    </row>
    <row r="10" spans="2:6">
      <c r="B10" s="29">
        <v>40610</v>
      </c>
      <c r="C10" s="30" t="str">
        <f t="shared" si="0"/>
        <v>화</v>
      </c>
      <c r="D10" s="30" t="str">
        <f t="shared" si="1"/>
        <v>화</v>
      </c>
      <c r="E10" s="30" t="str">
        <f t="shared" si="2"/>
        <v>Tue</v>
      </c>
      <c r="F10" s="30" t="str">
        <f t="shared" si="3"/>
        <v>화요일</v>
      </c>
    </row>
    <row r="11" spans="2:6">
      <c r="B11" s="29">
        <v>40611</v>
      </c>
      <c r="C11" s="30" t="str">
        <f t="shared" si="0"/>
        <v>수</v>
      </c>
      <c r="D11" s="30" t="str">
        <f t="shared" si="1"/>
        <v>수</v>
      </c>
      <c r="E11" s="30" t="str">
        <f t="shared" si="2"/>
        <v>Wed</v>
      </c>
      <c r="F11" s="30" t="str">
        <f t="shared" si="3"/>
        <v>수요일</v>
      </c>
    </row>
    <row r="12" spans="2:6">
      <c r="B12" s="29">
        <v>40612</v>
      </c>
      <c r="C12" s="30" t="str">
        <f t="shared" si="0"/>
        <v>목</v>
      </c>
      <c r="D12" s="30" t="str">
        <f t="shared" si="1"/>
        <v>목</v>
      </c>
      <c r="E12" s="30" t="str">
        <f t="shared" si="2"/>
        <v>Thu</v>
      </c>
      <c r="F12" s="30" t="str">
        <f t="shared" si="3"/>
        <v>목요일</v>
      </c>
    </row>
  </sheetData>
  <phoneticPr fontId="1" type="noConversion"/>
  <conditionalFormatting sqref="B3:F12">
    <cfRule type="expression" dxfId="1" priority="1" stopIfTrue="1">
      <formula>AND(#REF!=#REF!,#REF!=#REF!)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I19" sqref="I19"/>
    </sheetView>
  </sheetViews>
  <sheetFormatPr defaultRowHeight="16.5"/>
  <cols>
    <col min="1" max="3" width="9" style="10"/>
    <col min="4" max="4" width="14.25" style="10" bestFit="1" customWidth="1"/>
    <col min="5" max="5" width="9" style="10"/>
    <col min="6" max="6" width="11.125" style="10" bestFit="1" customWidth="1"/>
    <col min="7" max="7" width="9.125" style="10" bestFit="1" customWidth="1"/>
    <col min="8" max="8" width="10.75" style="10" bestFit="1" customWidth="1"/>
    <col min="9" max="9" width="11.25" style="10" bestFit="1" customWidth="1"/>
    <col min="10" max="10" width="9.125" style="10" bestFit="1" customWidth="1"/>
    <col min="11" max="11" width="14.25" style="10" customWidth="1"/>
    <col min="12" max="16384" width="9" style="10"/>
  </cols>
  <sheetData>
    <row r="2" spans="2:11">
      <c r="B2" s="31" t="s">
        <v>254</v>
      </c>
      <c r="C2" s="31"/>
      <c r="D2" s="32">
        <f ca="1">TODAY()</f>
        <v>42263</v>
      </c>
      <c r="E2" s="33"/>
      <c r="F2" s="33"/>
      <c r="G2" s="33"/>
      <c r="H2" s="33"/>
      <c r="I2" s="33"/>
      <c r="J2" s="33"/>
      <c r="K2" s="33"/>
    </row>
    <row r="3" spans="2:11">
      <c r="B3" s="23" t="s">
        <v>255</v>
      </c>
      <c r="C3" s="23" t="s">
        <v>256</v>
      </c>
      <c r="D3" s="23" t="s">
        <v>257</v>
      </c>
      <c r="E3" s="23" t="s">
        <v>258</v>
      </c>
      <c r="F3" s="23" t="s">
        <v>259</v>
      </c>
      <c r="G3" s="23" t="s">
        <v>260</v>
      </c>
      <c r="H3" s="23" t="s">
        <v>261</v>
      </c>
      <c r="I3" s="23" t="s">
        <v>262</v>
      </c>
      <c r="J3" s="23" t="s">
        <v>263</v>
      </c>
      <c r="K3" s="23" t="s">
        <v>264</v>
      </c>
    </row>
    <row r="4" spans="2:11">
      <c r="B4" s="23" t="s">
        <v>265</v>
      </c>
      <c r="C4" s="23" t="s">
        <v>266</v>
      </c>
      <c r="D4" s="34" t="s">
        <v>267</v>
      </c>
      <c r="E4" s="35" t="str">
        <f>IF(OR(MID(D4,8,1)="1", MID(D4,8,1)="3"),"남","여")</f>
        <v>남</v>
      </c>
      <c r="F4" s="36">
        <f>DATE(CHOOSE(MID(D4,8,1),1900,1900,2000,2000)+LEFT(D4,2),MID(D4,3,2),MID(D4,5,2))</f>
        <v>31765</v>
      </c>
      <c r="G4" s="37">
        <f ca="1">YEAR(TODAY()) - YEAR(F4)</f>
        <v>29</v>
      </c>
      <c r="H4" s="38">
        <v>1340000</v>
      </c>
      <c r="I4" s="32">
        <v>34770</v>
      </c>
      <c r="J4" s="39">
        <f ca="1">DATEDIF(I4,TODAY(),"y")</f>
        <v>20</v>
      </c>
      <c r="K4" s="39" t="str">
        <f>IF(MONTH(F4) = MONTH($C$2),"★"," ")</f>
        <v xml:space="preserve"> </v>
      </c>
    </row>
    <row r="5" spans="2:11">
      <c r="B5" s="23" t="s">
        <v>268</v>
      </c>
      <c r="C5" s="23" t="s">
        <v>269</v>
      </c>
      <c r="D5" s="34" t="s">
        <v>270</v>
      </c>
      <c r="E5" s="35" t="str">
        <f t="shared" ref="E5:E12" si="0">IF(OR(MID(D5,8,1)="1", MID(D5,8,1)="3"),"남","여")</f>
        <v>남</v>
      </c>
      <c r="F5" s="36">
        <f t="shared" ref="F5:F12" si="1">DATE(CHOOSE(MID(D5,8,1),1900,1900,2000,2000)+LEFT(D5,2),MID(D5,3,2),MID(D5,5,2))</f>
        <v>32064</v>
      </c>
      <c r="G5" s="37">
        <f t="shared" ref="G5:G12" ca="1" si="2">YEAR(TODAY()) - YEAR(F5)</f>
        <v>28</v>
      </c>
      <c r="H5" s="38">
        <v>1810000</v>
      </c>
      <c r="I5" s="32">
        <v>35494</v>
      </c>
      <c r="J5" s="39">
        <f t="shared" ref="J5:J12" ca="1" si="3">DATEDIF(I5,TODAY(),"y")</f>
        <v>18</v>
      </c>
      <c r="K5" s="39" t="str">
        <f t="shared" ref="K5:K12" si="4">IF(MONTH(F5) = MONTH($C$2),"★"," ")</f>
        <v xml:space="preserve"> </v>
      </c>
    </row>
    <row r="6" spans="2:11">
      <c r="B6" s="23" t="s">
        <v>271</v>
      </c>
      <c r="C6" s="23" t="s">
        <v>266</v>
      </c>
      <c r="D6" s="34" t="s">
        <v>272</v>
      </c>
      <c r="E6" s="35" t="str">
        <f t="shared" si="0"/>
        <v>여</v>
      </c>
      <c r="F6" s="36">
        <f t="shared" si="1"/>
        <v>36910</v>
      </c>
      <c r="G6" s="37">
        <f t="shared" ca="1" si="2"/>
        <v>14</v>
      </c>
      <c r="H6" s="38">
        <v>2160000</v>
      </c>
      <c r="I6" s="32">
        <v>36229</v>
      </c>
      <c r="J6" s="39">
        <f t="shared" ca="1" si="3"/>
        <v>16</v>
      </c>
      <c r="K6" s="39" t="str">
        <f t="shared" si="4"/>
        <v>★</v>
      </c>
    </row>
    <row r="7" spans="2:11">
      <c r="B7" s="23" t="s">
        <v>273</v>
      </c>
      <c r="C7" s="23" t="s">
        <v>274</v>
      </c>
      <c r="D7" s="34" t="s">
        <v>275</v>
      </c>
      <c r="E7" s="35" t="str">
        <f t="shared" si="0"/>
        <v>남</v>
      </c>
      <c r="F7" s="36">
        <f t="shared" si="1"/>
        <v>31491</v>
      </c>
      <c r="G7" s="37">
        <f t="shared" ca="1" si="2"/>
        <v>29</v>
      </c>
      <c r="H7" s="38">
        <v>2460000</v>
      </c>
      <c r="I7" s="32">
        <v>35859</v>
      </c>
      <c r="J7" s="39">
        <f t="shared" ca="1" si="3"/>
        <v>17</v>
      </c>
      <c r="K7" s="39" t="str">
        <f t="shared" si="4"/>
        <v xml:space="preserve"> </v>
      </c>
    </row>
    <row r="8" spans="2:11">
      <c r="B8" s="23" t="s">
        <v>276</v>
      </c>
      <c r="C8" s="23" t="s">
        <v>266</v>
      </c>
      <c r="D8" s="34" t="s">
        <v>277</v>
      </c>
      <c r="E8" s="35" t="str">
        <f t="shared" si="0"/>
        <v>남</v>
      </c>
      <c r="F8" s="36">
        <f t="shared" si="1"/>
        <v>37518</v>
      </c>
      <c r="G8" s="37">
        <f t="shared" ca="1" si="2"/>
        <v>13</v>
      </c>
      <c r="H8" s="38">
        <v>2030000</v>
      </c>
      <c r="I8" s="32">
        <v>37334</v>
      </c>
      <c r="J8" s="39">
        <f t="shared" ca="1" si="3"/>
        <v>13</v>
      </c>
      <c r="K8" s="39" t="str">
        <f t="shared" si="4"/>
        <v xml:space="preserve"> </v>
      </c>
    </row>
    <row r="9" spans="2:11">
      <c r="B9" s="23" t="s">
        <v>278</v>
      </c>
      <c r="C9" s="23" t="s">
        <v>279</v>
      </c>
      <c r="D9" s="34" t="s">
        <v>280</v>
      </c>
      <c r="E9" s="35" t="str">
        <f t="shared" si="0"/>
        <v>남</v>
      </c>
      <c r="F9" s="36">
        <f t="shared" si="1"/>
        <v>36571</v>
      </c>
      <c r="G9" s="37">
        <f t="shared" ca="1" si="2"/>
        <v>15</v>
      </c>
      <c r="H9" s="38">
        <v>2390000</v>
      </c>
      <c r="I9" s="32">
        <v>36617</v>
      </c>
      <c r="J9" s="39">
        <f t="shared" ca="1" si="3"/>
        <v>15</v>
      </c>
      <c r="K9" s="39" t="str">
        <f t="shared" si="4"/>
        <v xml:space="preserve"> </v>
      </c>
    </row>
    <row r="10" spans="2:11">
      <c r="B10" s="23" t="s">
        <v>281</v>
      </c>
      <c r="C10" s="23" t="s">
        <v>269</v>
      </c>
      <c r="D10" s="34" t="s">
        <v>282</v>
      </c>
      <c r="E10" s="35" t="str">
        <f t="shared" si="0"/>
        <v>여</v>
      </c>
      <c r="F10" s="36">
        <f t="shared" si="1"/>
        <v>23309</v>
      </c>
      <c r="G10" s="37">
        <f t="shared" ca="1" si="2"/>
        <v>52</v>
      </c>
      <c r="H10" s="38">
        <v>1750000</v>
      </c>
      <c r="I10" s="32">
        <v>38483</v>
      </c>
      <c r="J10" s="39">
        <f t="shared" ca="1" si="3"/>
        <v>10</v>
      </c>
      <c r="K10" s="39" t="str">
        <f t="shared" si="4"/>
        <v xml:space="preserve"> </v>
      </c>
    </row>
    <row r="11" spans="2:11">
      <c r="B11" s="23" t="s">
        <v>283</v>
      </c>
      <c r="C11" s="23" t="s">
        <v>274</v>
      </c>
      <c r="D11" s="34" t="s">
        <v>284</v>
      </c>
      <c r="E11" s="35" t="str">
        <f t="shared" si="0"/>
        <v>남</v>
      </c>
      <c r="F11" s="36">
        <f t="shared" si="1"/>
        <v>23816</v>
      </c>
      <c r="G11" s="37">
        <f t="shared" ca="1" si="2"/>
        <v>50</v>
      </c>
      <c r="H11" s="38">
        <v>2150000</v>
      </c>
      <c r="I11" s="32">
        <v>38048</v>
      </c>
      <c r="J11" s="39">
        <f t="shared" ca="1" si="3"/>
        <v>11</v>
      </c>
      <c r="K11" s="39" t="str">
        <f t="shared" si="4"/>
        <v xml:space="preserve"> </v>
      </c>
    </row>
    <row r="12" spans="2:11">
      <c r="B12" s="23" t="s">
        <v>285</v>
      </c>
      <c r="C12" s="23" t="s">
        <v>279</v>
      </c>
      <c r="D12" s="34" t="s">
        <v>286</v>
      </c>
      <c r="E12" s="35" t="str">
        <f t="shared" si="0"/>
        <v>여</v>
      </c>
      <c r="F12" s="36">
        <f t="shared" si="1"/>
        <v>24678</v>
      </c>
      <c r="G12" s="37">
        <f t="shared" ca="1" si="2"/>
        <v>48</v>
      </c>
      <c r="H12" s="38">
        <v>1960000</v>
      </c>
      <c r="I12" s="32">
        <v>35491</v>
      </c>
      <c r="J12" s="39">
        <f t="shared" ca="1" si="3"/>
        <v>18</v>
      </c>
      <c r="K12" s="39" t="str">
        <f t="shared" si="4"/>
        <v xml:space="preserve"> </v>
      </c>
    </row>
  </sheetData>
  <mergeCells count="1">
    <mergeCell ref="B2:C2"/>
  </mergeCells>
  <phoneticPr fontId="1" type="noConversion"/>
  <conditionalFormatting sqref="D4:D12">
    <cfRule type="expression" dxfId="0" priority="1" stopIfTrue="1">
      <formula>$C4="여자"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F21" sqref="F21"/>
    </sheetView>
  </sheetViews>
  <sheetFormatPr defaultRowHeight="16.5"/>
  <cols>
    <col min="2" max="2" width="11.625" bestFit="1" customWidth="1"/>
    <col min="3" max="3" width="11.75" bestFit="1" customWidth="1"/>
  </cols>
  <sheetData>
    <row r="2" spans="2:3">
      <c r="B2" s="40" t="s">
        <v>246</v>
      </c>
      <c r="C2" s="41">
        <v>10000000</v>
      </c>
    </row>
    <row r="3" spans="2:3">
      <c r="B3" s="40" t="s">
        <v>247</v>
      </c>
      <c r="C3" s="42">
        <v>6.6500000000000004E-2</v>
      </c>
    </row>
    <row r="4" spans="2:3">
      <c r="B4" s="40" t="s">
        <v>248</v>
      </c>
      <c r="C4" s="40">
        <v>6</v>
      </c>
    </row>
    <row r="5" spans="2:3">
      <c r="B5" s="40" t="s">
        <v>249</v>
      </c>
      <c r="C5" s="43">
        <f>PMT(C3/12,C4,-C2,0)</f>
        <v>1699141.9256894775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7" sqref="B7:E14"/>
    </sheetView>
  </sheetViews>
  <sheetFormatPr defaultRowHeight="16.5"/>
  <cols>
    <col min="1" max="1" width="9" style="7"/>
    <col min="2" max="2" width="11.625" style="7" bestFit="1" customWidth="1"/>
    <col min="3" max="3" width="12.5" style="7" bestFit="1" customWidth="1"/>
    <col min="4" max="4" width="9.125" style="7" bestFit="1" customWidth="1"/>
    <col min="5" max="5" width="13.125" style="7" bestFit="1" customWidth="1"/>
    <col min="6" max="16384" width="9" style="7"/>
  </cols>
  <sheetData>
    <row r="1" spans="1:8">
      <c r="A1" s="8"/>
      <c r="B1" s="8"/>
      <c r="C1" s="8"/>
      <c r="D1" s="8"/>
      <c r="E1" s="8"/>
      <c r="F1" s="8"/>
      <c r="G1" s="11"/>
      <c r="H1" s="11"/>
    </row>
    <row r="2" spans="1:8">
      <c r="A2" s="8"/>
      <c r="B2" s="40" t="s">
        <v>246</v>
      </c>
      <c r="C2" s="41">
        <v>10000000</v>
      </c>
      <c r="D2" s="12"/>
      <c r="E2" s="12"/>
      <c r="F2" s="8"/>
      <c r="G2" s="11"/>
      <c r="H2" s="11"/>
    </row>
    <row r="3" spans="1:8">
      <c r="A3" s="8"/>
      <c r="B3" s="40" t="s">
        <v>247</v>
      </c>
      <c r="C3" s="42">
        <v>6.6500000000000004E-2</v>
      </c>
      <c r="D3" s="12"/>
      <c r="E3" s="12"/>
      <c r="F3" s="8"/>
      <c r="G3" s="11"/>
      <c r="H3" s="11"/>
    </row>
    <row r="4" spans="1:8">
      <c r="A4" s="8"/>
      <c r="B4" s="40" t="s">
        <v>248</v>
      </c>
      <c r="C4" s="40">
        <v>6</v>
      </c>
      <c r="D4" s="12"/>
      <c r="E4" s="12"/>
      <c r="F4" s="8"/>
      <c r="G4" s="11"/>
      <c r="H4" s="11"/>
    </row>
    <row r="5" spans="1:8">
      <c r="A5" s="8"/>
      <c r="B5" s="40" t="s">
        <v>249</v>
      </c>
      <c r="C5" s="43">
        <f>PMT(C3/12,C4,-C2,0)</f>
        <v>1699141.9256894775</v>
      </c>
      <c r="D5" s="12"/>
      <c r="E5" s="12"/>
      <c r="F5" s="8"/>
      <c r="G5" s="11"/>
      <c r="H5" s="11"/>
    </row>
    <row r="6" spans="1:8">
      <c r="A6" s="8"/>
      <c r="B6" s="12"/>
      <c r="C6" s="12"/>
      <c r="D6" s="12"/>
      <c r="E6" s="12"/>
      <c r="F6" s="8"/>
      <c r="G6" s="11"/>
      <c r="H6" s="11"/>
    </row>
    <row r="7" spans="1:8">
      <c r="A7" s="8"/>
      <c r="B7" s="40" t="s">
        <v>250</v>
      </c>
      <c r="C7" s="40" t="s">
        <v>251</v>
      </c>
      <c r="D7" s="40" t="s">
        <v>252</v>
      </c>
      <c r="E7" s="40" t="s">
        <v>253</v>
      </c>
      <c r="F7" s="8"/>
      <c r="G7" s="11"/>
      <c r="H7" s="11"/>
    </row>
    <row r="8" spans="1:8">
      <c r="A8" s="8"/>
      <c r="B8" s="40">
        <v>0</v>
      </c>
      <c r="C8" s="44"/>
      <c r="D8" s="44"/>
      <c r="E8" s="45">
        <f>C2</f>
        <v>10000000</v>
      </c>
      <c r="F8" s="8"/>
      <c r="G8" s="11"/>
      <c r="H8" s="11"/>
    </row>
    <row r="9" spans="1:8">
      <c r="A9" s="8"/>
      <c r="B9" s="40">
        <v>1</v>
      </c>
      <c r="C9" s="43">
        <f>IFERROR(PPMT($C$3/12,B9,$C$4,-$C$2,0)," ")</f>
        <v>1643725.259022811</v>
      </c>
      <c r="D9" s="43">
        <f>IFERROR(IPMT($C$3/12,B9,$C$4,-$C$2,0)," ")</f>
        <v>55416.666666666672</v>
      </c>
      <c r="E9" s="43">
        <f>IFERROR(E8-C9," ")</f>
        <v>8356274.7409771886</v>
      </c>
      <c r="F9" s="8"/>
      <c r="G9" s="11"/>
      <c r="H9" s="11"/>
    </row>
    <row r="10" spans="1:8">
      <c r="A10" s="8"/>
      <c r="B10" s="40">
        <v>2</v>
      </c>
      <c r="C10" s="43">
        <f t="shared" ref="C10:C14" si="0">IFERROR(PPMT($C$3/12,B10,$C$4,-$C$2,0)," ")</f>
        <v>1652834.2364998953</v>
      </c>
      <c r="D10" s="43">
        <f t="shared" ref="D10:D14" si="1">IFERROR(IPMT($C$3/12,B10,$C$4,-$C$2,0)," ")</f>
        <v>46307.689189581921</v>
      </c>
      <c r="E10" s="43">
        <f t="shared" ref="E10:E14" si="2">IFERROR(E9-C10," ")</f>
        <v>6703440.5044772932</v>
      </c>
      <c r="F10" s="8"/>
      <c r="G10" s="11"/>
      <c r="H10" s="11"/>
    </row>
    <row r="11" spans="1:8">
      <c r="A11" s="8"/>
      <c r="B11" s="40">
        <v>3</v>
      </c>
      <c r="C11" s="43">
        <f t="shared" si="0"/>
        <v>1661993.6928938325</v>
      </c>
      <c r="D11" s="43">
        <f t="shared" si="1"/>
        <v>37148.232795645003</v>
      </c>
      <c r="E11" s="43">
        <f t="shared" si="2"/>
        <v>5041446.8115834612</v>
      </c>
      <c r="F11" s="8"/>
      <c r="G11" s="11"/>
      <c r="H11" s="11"/>
    </row>
    <row r="12" spans="1:8">
      <c r="A12" s="8"/>
      <c r="B12" s="40">
        <v>4</v>
      </c>
      <c r="C12" s="43">
        <f t="shared" si="0"/>
        <v>1671203.9079419526</v>
      </c>
      <c r="D12" s="43">
        <f t="shared" si="1"/>
        <v>27938.017747525009</v>
      </c>
      <c r="E12" s="43">
        <f t="shared" si="2"/>
        <v>3370242.9036415089</v>
      </c>
      <c r="F12" s="8"/>
      <c r="G12" s="11"/>
      <c r="H12" s="11"/>
    </row>
    <row r="13" spans="1:8">
      <c r="A13" s="8"/>
      <c r="B13" s="40">
        <v>5</v>
      </c>
      <c r="C13" s="43">
        <f t="shared" si="0"/>
        <v>1680465.1629317976</v>
      </c>
      <c r="D13" s="43">
        <f t="shared" si="1"/>
        <v>18676.762757680026</v>
      </c>
      <c r="E13" s="43">
        <f t="shared" si="2"/>
        <v>1689777.7407097113</v>
      </c>
      <c r="F13" s="8"/>
      <c r="G13" s="11"/>
      <c r="H13" s="11"/>
    </row>
    <row r="14" spans="1:8">
      <c r="A14" s="8"/>
      <c r="B14" s="40">
        <v>6</v>
      </c>
      <c r="C14" s="43">
        <f t="shared" si="0"/>
        <v>1689777.7407097111</v>
      </c>
      <c r="D14" s="43">
        <f t="shared" si="1"/>
        <v>9364.1849797663162</v>
      </c>
      <c r="E14" s="43">
        <f t="shared" si="2"/>
        <v>2.3283064365386963E-10</v>
      </c>
      <c r="F14" s="8"/>
      <c r="G14" s="11"/>
      <c r="H14" s="11"/>
    </row>
    <row r="15" spans="1:8">
      <c r="A15" s="8"/>
      <c r="B15" s="8"/>
      <c r="C15" s="8"/>
      <c r="D15" s="8"/>
      <c r="E15" s="8"/>
      <c r="F15" s="8"/>
      <c r="G15" s="11"/>
      <c r="H15" s="11"/>
    </row>
    <row r="16" spans="1:8">
      <c r="A16" s="11"/>
      <c r="B16" s="11"/>
      <c r="C16" s="11"/>
      <c r="D16" s="11"/>
      <c r="E16" s="11"/>
      <c r="F16" s="11"/>
      <c r="G16" s="11"/>
      <c r="H16" s="11"/>
    </row>
    <row r="17" spans="1:8">
      <c r="A17" s="11"/>
      <c r="B17" s="11"/>
      <c r="C17" s="11"/>
      <c r="D17" s="11"/>
      <c r="E17" s="11"/>
      <c r="F17" s="11"/>
      <c r="G17" s="11"/>
      <c r="H17" s="11"/>
    </row>
    <row r="18" spans="1:8">
      <c r="A18" s="11"/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1"/>
      <c r="B20" s="11"/>
      <c r="C20" s="11"/>
      <c r="D20" s="11"/>
      <c r="E20" s="11"/>
      <c r="F20" s="11"/>
      <c r="G20" s="11"/>
      <c r="H20" s="1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B2" sqref="B2:G11"/>
    </sheetView>
  </sheetViews>
  <sheetFormatPr defaultRowHeight="16.5"/>
  <sheetData>
    <row r="2" spans="1:7">
      <c r="A2" s="10"/>
      <c r="B2" s="46" t="s">
        <v>231</v>
      </c>
      <c r="C2" s="23" t="s">
        <v>241</v>
      </c>
      <c r="D2" s="23" t="s">
        <v>242</v>
      </c>
      <c r="E2" s="23" t="s">
        <v>243</v>
      </c>
      <c r="F2" s="23" t="s">
        <v>244</v>
      </c>
      <c r="G2" s="23" t="s">
        <v>245</v>
      </c>
    </row>
    <row r="3" spans="1:7">
      <c r="A3" s="10"/>
      <c r="B3" s="46" t="s">
        <v>232</v>
      </c>
      <c r="C3" s="23">
        <v>20</v>
      </c>
      <c r="D3" s="23">
        <v>40</v>
      </c>
      <c r="E3" s="23">
        <v>40</v>
      </c>
      <c r="F3" s="23">
        <f>SUM(C3:E3)</f>
        <v>100</v>
      </c>
      <c r="G3" s="23" t="str">
        <f>IF(AND(D3&gt;= 35, E3&gt;= 35  ),"우수",IF(OR(D3&gt;= 35, E3&gt;= 35  ),"보통","미흡"))</f>
        <v>우수</v>
      </c>
    </row>
    <row r="4" spans="1:7">
      <c r="A4" s="10"/>
      <c r="B4" s="46" t="s">
        <v>233</v>
      </c>
      <c r="C4" s="23">
        <v>15</v>
      </c>
      <c r="D4" s="23">
        <v>30</v>
      </c>
      <c r="E4" s="23">
        <v>20</v>
      </c>
      <c r="F4" s="23">
        <f t="shared" ref="F4:F11" si="0">SUM(C4:E4)</f>
        <v>65</v>
      </c>
      <c r="G4" s="23" t="str">
        <f t="shared" ref="G4:G11" si="1">IF(AND(D4&gt;= 35, E4&gt;= 35  ),"우수",IF(OR(D4&gt;= 35, E4&gt;= 35  ),"보통","미흡"))</f>
        <v>미흡</v>
      </c>
    </row>
    <row r="5" spans="1:7">
      <c r="A5" s="10"/>
      <c r="B5" s="46" t="s">
        <v>234</v>
      </c>
      <c r="C5" s="23">
        <v>18</v>
      </c>
      <c r="D5" s="23">
        <v>25</v>
      </c>
      <c r="E5" s="23">
        <v>30</v>
      </c>
      <c r="F5" s="23">
        <f t="shared" si="0"/>
        <v>73</v>
      </c>
      <c r="G5" s="23" t="str">
        <f t="shared" si="1"/>
        <v>미흡</v>
      </c>
    </row>
    <row r="6" spans="1:7">
      <c r="A6" s="10"/>
      <c r="B6" s="46" t="s">
        <v>235</v>
      </c>
      <c r="C6" s="23">
        <v>14</v>
      </c>
      <c r="D6" s="23">
        <v>35</v>
      </c>
      <c r="E6" s="23">
        <v>34</v>
      </c>
      <c r="F6" s="23">
        <f t="shared" si="0"/>
        <v>83</v>
      </c>
      <c r="G6" s="23" t="str">
        <f t="shared" si="1"/>
        <v>보통</v>
      </c>
    </row>
    <row r="7" spans="1:7">
      <c r="A7" s="10"/>
      <c r="B7" s="46" t="s">
        <v>236</v>
      </c>
      <c r="C7" s="23">
        <v>19</v>
      </c>
      <c r="D7" s="23">
        <v>40</v>
      </c>
      <c r="E7" s="23">
        <v>38</v>
      </c>
      <c r="F7" s="23">
        <f t="shared" si="0"/>
        <v>97</v>
      </c>
      <c r="G7" s="23" t="str">
        <f t="shared" si="1"/>
        <v>우수</v>
      </c>
    </row>
    <row r="8" spans="1:7">
      <c r="A8" s="10"/>
      <c r="B8" s="46" t="s">
        <v>237</v>
      </c>
      <c r="C8" s="23">
        <v>20</v>
      </c>
      <c r="D8" s="23">
        <v>40</v>
      </c>
      <c r="E8" s="23">
        <v>36</v>
      </c>
      <c r="F8" s="23">
        <f t="shared" si="0"/>
        <v>96</v>
      </c>
      <c r="G8" s="23" t="str">
        <f t="shared" si="1"/>
        <v>우수</v>
      </c>
    </row>
    <row r="9" spans="1:7">
      <c r="A9" s="10"/>
      <c r="B9" s="46" t="s">
        <v>238</v>
      </c>
      <c r="C9" s="23">
        <v>20</v>
      </c>
      <c r="D9" s="23">
        <v>28</v>
      </c>
      <c r="E9" s="23">
        <v>25</v>
      </c>
      <c r="F9" s="23">
        <f t="shared" si="0"/>
        <v>73</v>
      </c>
      <c r="G9" s="23" t="str">
        <f t="shared" si="1"/>
        <v>미흡</v>
      </c>
    </row>
    <row r="10" spans="1:7">
      <c r="A10" s="10"/>
      <c r="B10" s="46" t="s">
        <v>239</v>
      </c>
      <c r="C10" s="23">
        <v>19</v>
      </c>
      <c r="D10" s="23">
        <v>40</v>
      </c>
      <c r="E10" s="23">
        <v>35</v>
      </c>
      <c r="F10" s="23">
        <f t="shared" si="0"/>
        <v>94</v>
      </c>
      <c r="G10" s="23" t="str">
        <f t="shared" si="1"/>
        <v>우수</v>
      </c>
    </row>
    <row r="11" spans="1:7">
      <c r="A11" s="10"/>
      <c r="B11" s="46" t="s">
        <v>240</v>
      </c>
      <c r="C11" s="23">
        <v>18</v>
      </c>
      <c r="D11" s="23">
        <v>34</v>
      </c>
      <c r="E11" s="23">
        <v>40</v>
      </c>
      <c r="F11" s="23">
        <f t="shared" si="0"/>
        <v>92</v>
      </c>
      <c r="G11" s="23" t="str">
        <f t="shared" si="1"/>
        <v>보통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K14" sqref="K14"/>
    </sheetView>
  </sheetViews>
  <sheetFormatPr defaultRowHeight="16.5"/>
  <cols>
    <col min="1" max="16384" width="9" style="9"/>
  </cols>
  <sheetData>
    <row r="2" spans="2:7">
      <c r="B2" s="47" t="s">
        <v>218</v>
      </c>
      <c r="C2" s="47" t="s">
        <v>84</v>
      </c>
      <c r="D2" s="47" t="s">
        <v>219</v>
      </c>
      <c r="E2" s="47" t="s">
        <v>220</v>
      </c>
      <c r="F2" s="47" t="s">
        <v>221</v>
      </c>
      <c r="G2" s="47" t="s">
        <v>222</v>
      </c>
    </row>
    <row r="3" spans="2:7">
      <c r="B3" s="48">
        <v>40756</v>
      </c>
      <c r="C3" s="49" t="s">
        <v>223</v>
      </c>
      <c r="D3" s="50">
        <v>254000</v>
      </c>
      <c r="E3" s="51">
        <v>50</v>
      </c>
      <c r="F3" s="52">
        <v>5080</v>
      </c>
      <c r="G3" s="52">
        <v>5080</v>
      </c>
    </row>
    <row r="4" spans="2:7">
      <c r="B4" s="48">
        <v>40757</v>
      </c>
      <c r="C4" s="49" t="s">
        <v>224</v>
      </c>
      <c r="D4" s="50">
        <v>32590</v>
      </c>
      <c r="E4" s="51"/>
      <c r="F4" s="52" t="e">
        <v>#DIV/0!</v>
      </c>
      <c r="G4" s="52" t="s">
        <v>225</v>
      </c>
    </row>
    <row r="5" spans="2:7">
      <c r="B5" s="48">
        <v>40758</v>
      </c>
      <c r="C5" s="49" t="s">
        <v>226</v>
      </c>
      <c r="D5" s="50">
        <v>2936500</v>
      </c>
      <c r="E5" s="51">
        <v>40</v>
      </c>
      <c r="F5" s="52">
        <v>73412.5</v>
      </c>
      <c r="G5" s="52">
        <v>73412.5</v>
      </c>
    </row>
    <row r="6" spans="2:7">
      <c r="B6" s="48">
        <v>40759</v>
      </c>
      <c r="C6" s="49" t="s">
        <v>227</v>
      </c>
      <c r="D6" s="50">
        <v>154000</v>
      </c>
      <c r="E6" s="51">
        <v>50</v>
      </c>
      <c r="F6" s="52">
        <v>3080</v>
      </c>
      <c r="G6" s="52">
        <v>3080</v>
      </c>
    </row>
    <row r="7" spans="2:7">
      <c r="B7" s="48">
        <v>40760</v>
      </c>
      <c r="C7" s="49" t="s">
        <v>228</v>
      </c>
      <c r="D7" s="50">
        <v>670000</v>
      </c>
      <c r="E7" s="51"/>
      <c r="F7" s="52" t="e">
        <v>#DIV/0!</v>
      </c>
      <c r="G7" s="52" t="s">
        <v>225</v>
      </c>
    </row>
    <row r="8" spans="2:7">
      <c r="B8" s="48">
        <v>40761</v>
      </c>
      <c r="C8" s="49" t="s">
        <v>229</v>
      </c>
      <c r="D8" s="50">
        <v>250000</v>
      </c>
      <c r="E8" s="51"/>
      <c r="F8" s="52" t="e">
        <v>#DIV/0!</v>
      </c>
      <c r="G8" s="52" t="s">
        <v>225</v>
      </c>
    </row>
    <row r="9" spans="2:7">
      <c r="B9" s="48">
        <v>40762</v>
      </c>
      <c r="C9" s="49" t="s">
        <v>230</v>
      </c>
      <c r="D9" s="50">
        <v>1453200</v>
      </c>
      <c r="E9" s="51">
        <v>50</v>
      </c>
      <c r="F9" s="52">
        <v>29064</v>
      </c>
      <c r="G9" s="52">
        <v>29064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workbookViewId="0">
      <selection activeCell="E13" sqref="E13"/>
    </sheetView>
  </sheetViews>
  <sheetFormatPr defaultRowHeight="16.5"/>
  <cols>
    <col min="1" max="16384" width="9" style="6"/>
  </cols>
  <sheetData>
    <row r="4" spans="2:5">
      <c r="B4" s="13" t="s">
        <v>14</v>
      </c>
      <c r="C4" s="13" t="s">
        <v>15</v>
      </c>
      <c r="D4" s="13" t="s">
        <v>16</v>
      </c>
      <c r="E4" s="13" t="s">
        <v>17</v>
      </c>
    </row>
    <row r="5" spans="2:5">
      <c r="B5" s="13" t="s">
        <v>18</v>
      </c>
      <c r="C5" s="13" t="s">
        <v>130</v>
      </c>
      <c r="D5" s="13">
        <f>VLOOKUP(C5,$B$14:$D$18,2,FALSE)</f>
        <v>1500000</v>
      </c>
      <c r="E5" s="13">
        <f>VLOOKUP(C5,$B$14:$D$18,3,FALSE)</f>
        <v>400000</v>
      </c>
    </row>
    <row r="6" spans="2:5">
      <c r="B6" s="13" t="s">
        <v>19</v>
      </c>
      <c r="C6" s="13" t="s">
        <v>25</v>
      </c>
      <c r="D6" s="13">
        <f t="shared" ref="D6:D10" si="0">VLOOKUP(C6,$B$14:$D$18,2,FALSE)</f>
        <v>1850000</v>
      </c>
      <c r="E6" s="13">
        <f t="shared" ref="E6:E10" si="1">VLOOKUP(C6,$B$14:$D$18,3,FALSE)</f>
        <v>500000</v>
      </c>
    </row>
    <row r="7" spans="2:5">
      <c r="B7" s="13" t="s">
        <v>20</v>
      </c>
      <c r="C7" s="13" t="s">
        <v>131</v>
      </c>
      <c r="D7" s="13">
        <f t="shared" si="0"/>
        <v>1500000</v>
      </c>
      <c r="E7" s="13">
        <f t="shared" si="1"/>
        <v>400000</v>
      </c>
    </row>
    <row r="8" spans="2:5">
      <c r="B8" s="13" t="s">
        <v>21</v>
      </c>
      <c r="C8" s="13" t="s">
        <v>26</v>
      </c>
      <c r="D8" s="13">
        <f t="shared" si="0"/>
        <v>2530000</v>
      </c>
      <c r="E8" s="13">
        <f t="shared" si="1"/>
        <v>1000000</v>
      </c>
    </row>
    <row r="9" spans="2:5">
      <c r="B9" s="13" t="s">
        <v>22</v>
      </c>
      <c r="C9" s="13" t="s">
        <v>132</v>
      </c>
      <c r="D9" s="13">
        <f t="shared" si="0"/>
        <v>1200000</v>
      </c>
      <c r="E9" s="13">
        <f t="shared" si="1"/>
        <v>250000</v>
      </c>
    </row>
    <row r="10" spans="2:5">
      <c r="B10" s="13" t="s">
        <v>23</v>
      </c>
      <c r="C10" s="13" t="s">
        <v>133</v>
      </c>
      <c r="D10" s="13">
        <f t="shared" si="0"/>
        <v>1350000</v>
      </c>
      <c r="E10" s="13">
        <f t="shared" si="1"/>
        <v>350000</v>
      </c>
    </row>
    <row r="13" spans="2:5">
      <c r="B13" s="13" t="s">
        <v>29</v>
      </c>
      <c r="C13" s="13" t="s">
        <v>16</v>
      </c>
      <c r="D13" s="13" t="s">
        <v>17</v>
      </c>
    </row>
    <row r="14" spans="2:5">
      <c r="B14" s="13" t="s">
        <v>27</v>
      </c>
      <c r="C14" s="13">
        <v>1200000</v>
      </c>
      <c r="D14" s="13">
        <v>250000</v>
      </c>
    </row>
    <row r="15" spans="2:5">
      <c r="B15" s="13" t="s">
        <v>28</v>
      </c>
      <c r="C15" s="13">
        <v>1350000</v>
      </c>
      <c r="D15" s="13">
        <v>350000</v>
      </c>
    </row>
    <row r="16" spans="2:5">
      <c r="B16" s="13" t="s">
        <v>24</v>
      </c>
      <c r="C16" s="13">
        <v>1500000</v>
      </c>
      <c r="D16" s="13">
        <v>400000</v>
      </c>
    </row>
    <row r="17" spans="2:4">
      <c r="B17" s="13" t="s">
        <v>25</v>
      </c>
      <c r="C17" s="13">
        <v>1850000</v>
      </c>
      <c r="D17" s="13">
        <v>500000</v>
      </c>
    </row>
    <row r="18" spans="2:4">
      <c r="B18" s="13" t="s">
        <v>26</v>
      </c>
      <c r="C18" s="13">
        <v>2530000</v>
      </c>
      <c r="D18" s="13">
        <v>1000000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10" sqref="B10:G12"/>
    </sheetView>
  </sheetViews>
  <sheetFormatPr defaultRowHeight="16.5"/>
  <cols>
    <col min="1" max="16384" width="9" style="6"/>
  </cols>
  <sheetData>
    <row r="2" spans="2:7">
      <c r="B2" s="13" t="s">
        <v>134</v>
      </c>
      <c r="C2" s="13" t="s">
        <v>135</v>
      </c>
      <c r="D2" s="13" t="s">
        <v>136</v>
      </c>
      <c r="E2" s="13" t="s">
        <v>137</v>
      </c>
    </row>
    <row r="3" spans="2:7">
      <c r="B3" s="13" t="s">
        <v>18</v>
      </c>
      <c r="C3" s="13" t="s">
        <v>138</v>
      </c>
      <c r="D3" s="13">
        <f>HLOOKUP(C3,$B$10:$G$12,2,FALSE)</f>
        <v>1500000</v>
      </c>
      <c r="E3" s="13">
        <f>HLOOKUP(C3,$B$10:$G$12,3,FALSE)</f>
        <v>400000</v>
      </c>
    </row>
    <row r="4" spans="2:7">
      <c r="B4" s="13" t="s">
        <v>19</v>
      </c>
      <c r="C4" s="13" t="s">
        <v>139</v>
      </c>
      <c r="D4" s="13">
        <f t="shared" ref="D4:D8" si="0">HLOOKUP(C4,$B$10:$G$12,2,FALSE)</f>
        <v>1850000</v>
      </c>
      <c r="E4" s="13">
        <f t="shared" ref="E4:E8" si="1">HLOOKUP(C4,$B$10:$G$12,3,FALSE)</f>
        <v>500000</v>
      </c>
    </row>
    <row r="5" spans="2:7">
      <c r="B5" s="13" t="s">
        <v>20</v>
      </c>
      <c r="C5" s="13" t="s">
        <v>140</v>
      </c>
      <c r="D5" s="13">
        <f t="shared" si="0"/>
        <v>1500000</v>
      </c>
      <c r="E5" s="13">
        <f t="shared" si="1"/>
        <v>400000</v>
      </c>
    </row>
    <row r="6" spans="2:7">
      <c r="B6" s="13" t="s">
        <v>21</v>
      </c>
      <c r="C6" s="13" t="s">
        <v>141</v>
      </c>
      <c r="D6" s="13">
        <f t="shared" si="0"/>
        <v>2530000</v>
      </c>
      <c r="E6" s="13">
        <f t="shared" si="1"/>
        <v>1000000</v>
      </c>
    </row>
    <row r="7" spans="2:7">
      <c r="B7" s="13" t="s">
        <v>22</v>
      </c>
      <c r="C7" s="13" t="s">
        <v>142</v>
      </c>
      <c r="D7" s="13">
        <f t="shared" si="0"/>
        <v>1200000</v>
      </c>
      <c r="E7" s="13">
        <f t="shared" si="1"/>
        <v>250000</v>
      </c>
    </row>
    <row r="8" spans="2:7">
      <c r="B8" s="13" t="s">
        <v>23</v>
      </c>
      <c r="C8" s="13" t="s">
        <v>143</v>
      </c>
      <c r="D8" s="13">
        <f t="shared" si="0"/>
        <v>1350000</v>
      </c>
      <c r="E8" s="13">
        <f t="shared" si="1"/>
        <v>350000</v>
      </c>
    </row>
    <row r="10" spans="2:7">
      <c r="B10" s="13" t="s">
        <v>135</v>
      </c>
      <c r="C10" s="13" t="s">
        <v>142</v>
      </c>
      <c r="D10" s="13" t="s">
        <v>143</v>
      </c>
      <c r="E10" s="13" t="s">
        <v>138</v>
      </c>
      <c r="F10" s="13" t="s">
        <v>139</v>
      </c>
      <c r="G10" s="13" t="s">
        <v>141</v>
      </c>
    </row>
    <row r="11" spans="2:7">
      <c r="B11" s="13" t="s">
        <v>136</v>
      </c>
      <c r="C11" s="13">
        <v>1200000</v>
      </c>
      <c r="D11" s="13">
        <v>1350000</v>
      </c>
      <c r="E11" s="13">
        <v>1500000</v>
      </c>
      <c r="F11" s="13">
        <v>1850000</v>
      </c>
      <c r="G11" s="13">
        <v>2530000</v>
      </c>
    </row>
    <row r="12" spans="2:7">
      <c r="B12" s="13" t="s">
        <v>137</v>
      </c>
      <c r="C12" s="13">
        <v>250000</v>
      </c>
      <c r="D12" s="13">
        <v>350000</v>
      </c>
      <c r="E12" s="13">
        <v>400000</v>
      </c>
      <c r="F12" s="13">
        <v>500000</v>
      </c>
      <c r="G12" s="13">
        <v>1000000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0" activeCellId="1" sqref="B2:E8 B10:D15"/>
    </sheetView>
  </sheetViews>
  <sheetFormatPr defaultRowHeight="16.5"/>
  <cols>
    <col min="1" max="16384" width="9" style="6"/>
  </cols>
  <sheetData>
    <row r="2" spans="2:5">
      <c r="B2" s="13" t="s">
        <v>134</v>
      </c>
      <c r="C2" s="13" t="s">
        <v>167</v>
      </c>
      <c r="D2" s="13" t="s">
        <v>17</v>
      </c>
      <c r="E2" s="13" t="s">
        <v>168</v>
      </c>
    </row>
    <row r="3" spans="2:5">
      <c r="B3" s="13" t="s">
        <v>18</v>
      </c>
      <c r="C3" s="15">
        <v>2</v>
      </c>
      <c r="D3" s="13">
        <f>IFERROR(VLOOKUP(C3,$B$11:$D$15,2,1),0)</f>
        <v>0</v>
      </c>
      <c r="E3" s="13">
        <f>IFERROR(VLOOKUP(C3,$B$11:$D$15,3,1),0)</f>
        <v>0</v>
      </c>
    </row>
    <row r="4" spans="2:5">
      <c r="B4" s="13" t="s">
        <v>19</v>
      </c>
      <c r="C4" s="15">
        <v>5</v>
      </c>
      <c r="D4" s="13">
        <f t="shared" ref="D4:D8" si="0">IFERROR(VLOOKUP(C4,$B$11:$D$15,2,1),0)</f>
        <v>250000</v>
      </c>
      <c r="E4" s="13">
        <f t="shared" ref="E4:E8" si="1">IFERROR(VLOOKUP(C4,$B$11:$D$15,3,1),0)</f>
        <v>3500</v>
      </c>
    </row>
    <row r="5" spans="2:5">
      <c r="B5" s="13" t="s">
        <v>20</v>
      </c>
      <c r="C5" s="15">
        <v>16</v>
      </c>
      <c r="D5" s="13">
        <f t="shared" si="0"/>
        <v>400000</v>
      </c>
      <c r="E5" s="13">
        <f t="shared" si="1"/>
        <v>5500</v>
      </c>
    </row>
    <row r="6" spans="2:5">
      <c r="B6" s="13" t="s">
        <v>21</v>
      </c>
      <c r="C6" s="15">
        <v>22</v>
      </c>
      <c r="D6" s="13">
        <f t="shared" si="0"/>
        <v>500000</v>
      </c>
      <c r="E6" s="13">
        <f t="shared" si="1"/>
        <v>6000</v>
      </c>
    </row>
    <row r="7" spans="2:5">
      <c r="B7" s="13" t="s">
        <v>22</v>
      </c>
      <c r="C7" s="15">
        <v>26</v>
      </c>
      <c r="D7" s="13">
        <f t="shared" si="0"/>
        <v>1000000</v>
      </c>
      <c r="E7" s="13">
        <f t="shared" si="1"/>
        <v>7000</v>
      </c>
    </row>
    <row r="8" spans="2:5">
      <c r="B8" s="13" t="s">
        <v>23</v>
      </c>
      <c r="C8" s="15">
        <v>8</v>
      </c>
      <c r="D8" s="13">
        <f t="shared" si="0"/>
        <v>250000</v>
      </c>
      <c r="E8" s="13">
        <f t="shared" si="1"/>
        <v>3500</v>
      </c>
    </row>
    <row r="10" spans="2:5">
      <c r="B10" s="13" t="s">
        <v>167</v>
      </c>
      <c r="C10" s="13" t="s">
        <v>17</v>
      </c>
      <c r="D10" s="13" t="s">
        <v>169</v>
      </c>
    </row>
    <row r="11" spans="2:5">
      <c r="B11" s="15">
        <v>5</v>
      </c>
      <c r="C11" s="13">
        <v>250000</v>
      </c>
      <c r="D11" s="13">
        <v>3500</v>
      </c>
    </row>
    <row r="12" spans="2:5">
      <c r="B12" s="15">
        <v>10</v>
      </c>
      <c r="C12" s="13">
        <v>350000</v>
      </c>
      <c r="D12" s="13">
        <v>4500</v>
      </c>
    </row>
    <row r="13" spans="2:5">
      <c r="B13" s="15">
        <v>15</v>
      </c>
      <c r="C13" s="13">
        <v>400000</v>
      </c>
      <c r="D13" s="13">
        <v>5500</v>
      </c>
    </row>
    <row r="14" spans="2:5">
      <c r="B14" s="15">
        <v>20</v>
      </c>
      <c r="C14" s="13">
        <v>500000</v>
      </c>
      <c r="D14" s="13">
        <v>6000</v>
      </c>
    </row>
    <row r="15" spans="2:5">
      <c r="B15" s="15">
        <v>25</v>
      </c>
      <c r="C15" s="13">
        <v>1000000</v>
      </c>
      <c r="D15" s="13">
        <v>7000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H2" activeCellId="1" sqref="A2:F15 H2:M8"/>
    </sheetView>
  </sheetViews>
  <sheetFormatPr defaultRowHeight="16.5"/>
  <sheetData>
    <row r="2" spans="1:13">
      <c r="A2" s="16" t="s">
        <v>30</v>
      </c>
      <c r="B2" s="16" t="s">
        <v>182</v>
      </c>
      <c r="C2" s="16" t="s">
        <v>183</v>
      </c>
      <c r="D2" s="16" t="s">
        <v>184</v>
      </c>
      <c r="E2" s="16" t="s">
        <v>185</v>
      </c>
      <c r="F2" s="16" t="s">
        <v>186</v>
      </c>
      <c r="G2" s="4"/>
      <c r="H2" s="19"/>
      <c r="I2" s="20" t="s">
        <v>187</v>
      </c>
      <c r="J2" s="20" t="s">
        <v>188</v>
      </c>
      <c r="K2" s="20" t="s">
        <v>189</v>
      </c>
      <c r="L2" s="20" t="s">
        <v>190</v>
      </c>
      <c r="M2" s="20" t="s">
        <v>191</v>
      </c>
    </row>
    <row r="3" spans="1:13" ht="17.25">
      <c r="A3" s="17" t="s">
        <v>192</v>
      </c>
      <c r="B3" s="18" t="s">
        <v>189</v>
      </c>
      <c r="C3" s="18" t="s">
        <v>193</v>
      </c>
      <c r="D3" s="19">
        <v>50000</v>
      </c>
      <c r="E3" s="18">
        <v>2</v>
      </c>
      <c r="F3" s="19">
        <v>100000</v>
      </c>
      <c r="G3" s="2"/>
      <c r="H3" s="20" t="s">
        <v>194</v>
      </c>
      <c r="I3" s="19">
        <v>10000</v>
      </c>
      <c r="J3" s="19">
        <v>13000</v>
      </c>
      <c r="K3" s="19">
        <v>16000</v>
      </c>
      <c r="L3" s="19">
        <v>19000</v>
      </c>
      <c r="M3" s="19">
        <v>22000</v>
      </c>
    </row>
    <row r="4" spans="1:13" ht="17.25">
      <c r="A4" s="17" t="s">
        <v>195</v>
      </c>
      <c r="B4" s="18" t="s">
        <v>188</v>
      </c>
      <c r="C4" s="18" t="s">
        <v>196</v>
      </c>
      <c r="D4" s="19">
        <v>33000</v>
      </c>
      <c r="E4" s="18">
        <v>3</v>
      </c>
      <c r="F4" s="19">
        <v>99000</v>
      </c>
      <c r="G4" s="2"/>
      <c r="H4" s="20" t="s">
        <v>197</v>
      </c>
      <c r="I4" s="19">
        <v>22000</v>
      </c>
      <c r="J4" s="19">
        <v>25000</v>
      </c>
      <c r="K4" s="19">
        <v>28000</v>
      </c>
      <c r="L4" s="19">
        <v>31000</v>
      </c>
      <c r="M4" s="19">
        <v>34000</v>
      </c>
    </row>
    <row r="5" spans="1:13" ht="17.25">
      <c r="A5" s="17" t="s">
        <v>198</v>
      </c>
      <c r="B5" s="18" t="s">
        <v>187</v>
      </c>
      <c r="C5" s="18" t="s">
        <v>199</v>
      </c>
      <c r="D5" s="19">
        <v>25000</v>
      </c>
      <c r="E5" s="18">
        <v>4</v>
      </c>
      <c r="F5" s="19">
        <v>100000</v>
      </c>
      <c r="G5" s="2"/>
      <c r="H5" s="20" t="s">
        <v>199</v>
      </c>
      <c r="I5" s="19">
        <v>25000</v>
      </c>
      <c r="J5" s="19">
        <v>30000</v>
      </c>
      <c r="K5" s="19">
        <v>35000</v>
      </c>
      <c r="L5" s="19">
        <v>40000</v>
      </c>
      <c r="M5" s="19">
        <v>45000</v>
      </c>
    </row>
    <row r="6" spans="1:13" ht="17.25">
      <c r="A6" s="17" t="s">
        <v>200</v>
      </c>
      <c r="B6" s="18" t="s">
        <v>189</v>
      </c>
      <c r="C6" s="18" t="s">
        <v>197</v>
      </c>
      <c r="D6" s="19">
        <v>28000</v>
      </c>
      <c r="E6" s="18">
        <v>5</v>
      </c>
      <c r="F6" s="19">
        <v>140000</v>
      </c>
      <c r="G6" s="2"/>
      <c r="H6" s="20" t="s">
        <v>196</v>
      </c>
      <c r="I6" s="19">
        <v>30000</v>
      </c>
      <c r="J6" s="19">
        <v>33000</v>
      </c>
      <c r="K6" s="19">
        <v>36000</v>
      </c>
      <c r="L6" s="19">
        <v>39000</v>
      </c>
      <c r="M6" s="19">
        <v>42000</v>
      </c>
    </row>
    <row r="7" spans="1:13" ht="17.25">
      <c r="A7" s="17" t="s">
        <v>201</v>
      </c>
      <c r="B7" s="18" t="s">
        <v>191</v>
      </c>
      <c r="C7" s="18" t="s">
        <v>202</v>
      </c>
      <c r="D7" s="19">
        <v>47000</v>
      </c>
      <c r="E7" s="18">
        <v>3</v>
      </c>
      <c r="F7" s="19">
        <v>141000</v>
      </c>
      <c r="G7" s="2"/>
      <c r="H7" s="20" t="s">
        <v>202</v>
      </c>
      <c r="I7" s="19">
        <v>35000</v>
      </c>
      <c r="J7" s="19">
        <v>38000</v>
      </c>
      <c r="K7" s="19">
        <v>41000</v>
      </c>
      <c r="L7" s="19">
        <v>44000</v>
      </c>
      <c r="M7" s="19">
        <v>47000</v>
      </c>
    </row>
    <row r="8" spans="1:13" ht="17.25">
      <c r="A8" s="17" t="s">
        <v>203</v>
      </c>
      <c r="B8" s="18" t="s">
        <v>190</v>
      </c>
      <c r="C8" s="18" t="s">
        <v>197</v>
      </c>
      <c r="D8" s="19">
        <v>31000</v>
      </c>
      <c r="E8" s="18">
        <v>4</v>
      </c>
      <c r="F8" s="19">
        <v>124000</v>
      </c>
      <c r="G8" s="2"/>
      <c r="H8" s="20" t="s">
        <v>193</v>
      </c>
      <c r="I8" s="19">
        <v>40000</v>
      </c>
      <c r="J8" s="19">
        <v>45000</v>
      </c>
      <c r="K8" s="19">
        <v>50000</v>
      </c>
      <c r="L8" s="19">
        <v>55000</v>
      </c>
      <c r="M8" s="19">
        <v>60000</v>
      </c>
    </row>
    <row r="9" spans="1:13">
      <c r="A9" s="18" t="s">
        <v>204</v>
      </c>
      <c r="B9" s="18" t="s">
        <v>190</v>
      </c>
      <c r="C9" s="18" t="s">
        <v>194</v>
      </c>
      <c r="D9" s="19">
        <v>19000</v>
      </c>
      <c r="E9" s="18">
        <v>1</v>
      </c>
      <c r="F9" s="19">
        <v>19000</v>
      </c>
      <c r="G9" s="2"/>
      <c r="H9" s="3"/>
      <c r="I9" s="3"/>
      <c r="J9" s="3"/>
      <c r="K9" s="3"/>
      <c r="L9" s="3"/>
      <c r="M9" s="3"/>
    </row>
    <row r="10" spans="1:13">
      <c r="A10" s="18" t="s">
        <v>205</v>
      </c>
      <c r="B10" s="18" t="s">
        <v>188</v>
      </c>
      <c r="C10" s="18" t="s">
        <v>202</v>
      </c>
      <c r="D10" s="19">
        <v>38000</v>
      </c>
      <c r="E10" s="18">
        <v>3</v>
      </c>
      <c r="F10" s="19">
        <v>114000</v>
      </c>
      <c r="G10" s="2"/>
      <c r="H10" s="3"/>
      <c r="I10" s="3"/>
      <c r="J10" s="3"/>
      <c r="K10" s="3"/>
      <c r="L10" s="3"/>
      <c r="M10" s="3"/>
    </row>
    <row r="11" spans="1:13">
      <c r="A11" s="18" t="s">
        <v>206</v>
      </c>
      <c r="B11" s="18" t="s">
        <v>187</v>
      </c>
      <c r="C11" s="18" t="s">
        <v>197</v>
      </c>
      <c r="D11" s="19">
        <v>22000</v>
      </c>
      <c r="E11" s="18">
        <v>2</v>
      </c>
      <c r="F11" s="19">
        <v>44000</v>
      </c>
      <c r="G11" s="2"/>
      <c r="H11" s="3"/>
      <c r="I11" s="3"/>
      <c r="J11" s="3"/>
      <c r="K11" s="3"/>
      <c r="L11" s="3"/>
      <c r="M11" s="3"/>
    </row>
    <row r="12" spans="1:13">
      <c r="A12" s="18" t="s">
        <v>207</v>
      </c>
      <c r="B12" s="18" t="s">
        <v>189</v>
      </c>
      <c r="C12" s="18" t="s">
        <v>194</v>
      </c>
      <c r="D12" s="19">
        <v>16000</v>
      </c>
      <c r="E12" s="18">
        <v>5</v>
      </c>
      <c r="F12" s="19">
        <v>80000</v>
      </c>
      <c r="G12" s="2"/>
      <c r="H12" s="3"/>
      <c r="I12" s="3"/>
      <c r="J12" s="3"/>
      <c r="K12" s="3"/>
      <c r="L12" s="3"/>
      <c r="M12" s="3"/>
    </row>
    <row r="13" spans="1:13">
      <c r="A13" s="18" t="s">
        <v>208</v>
      </c>
      <c r="B13" s="18" t="s">
        <v>191</v>
      </c>
      <c r="C13" s="18" t="s">
        <v>202</v>
      </c>
      <c r="D13" s="19">
        <v>47000</v>
      </c>
      <c r="E13" s="18">
        <v>3</v>
      </c>
      <c r="F13" s="19">
        <v>141000</v>
      </c>
      <c r="G13" s="2"/>
      <c r="H13" s="3"/>
      <c r="I13" s="3"/>
      <c r="J13" s="3"/>
      <c r="K13" s="3"/>
      <c r="L13" s="3"/>
      <c r="M13" s="3"/>
    </row>
    <row r="14" spans="1:13">
      <c r="A14" s="18" t="s">
        <v>209</v>
      </c>
      <c r="B14" s="18" t="s">
        <v>190</v>
      </c>
      <c r="C14" s="18" t="s">
        <v>193</v>
      </c>
      <c r="D14" s="19">
        <v>55000</v>
      </c>
      <c r="E14" s="18">
        <v>4</v>
      </c>
      <c r="F14" s="19">
        <v>220000</v>
      </c>
      <c r="G14" s="2"/>
      <c r="H14" s="3"/>
      <c r="I14" s="3"/>
      <c r="J14" s="3"/>
      <c r="K14" s="3"/>
      <c r="L14" s="3"/>
      <c r="M14" s="3"/>
    </row>
    <row r="15" spans="1:13">
      <c r="A15" s="18" t="s">
        <v>210</v>
      </c>
      <c r="B15" s="18" t="s">
        <v>189</v>
      </c>
      <c r="C15" s="18" t="s">
        <v>196</v>
      </c>
      <c r="D15" s="19">
        <v>36000</v>
      </c>
      <c r="E15" s="18">
        <v>1</v>
      </c>
      <c r="F15" s="19">
        <v>36000</v>
      </c>
      <c r="G15" s="2"/>
      <c r="H15" s="3"/>
      <c r="I15" s="3"/>
      <c r="J15" s="3"/>
      <c r="K15" s="3"/>
      <c r="L15" s="3"/>
      <c r="M15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B2" sqref="B2:I11"/>
    </sheetView>
  </sheetViews>
  <sheetFormatPr defaultRowHeight="16.5"/>
  <cols>
    <col min="1" max="16384" width="9" style="6"/>
  </cols>
  <sheetData>
    <row r="2" spans="2:9">
      <c r="B2" s="13" t="s">
        <v>31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</row>
    <row r="3" spans="2:9">
      <c r="B3" s="13" t="s">
        <v>32</v>
      </c>
      <c r="C3" s="13" t="s">
        <v>48</v>
      </c>
      <c r="D3" s="13" t="str">
        <f>IF(LEFT(C3,1)="C","컴공과",IF(LEFT(C3,1)="E","영어과","국어과"))</f>
        <v>컴공과</v>
      </c>
      <c r="E3" s="13" t="str">
        <f>"20" &amp; MID(C3,2,2) &amp; "년도"</f>
        <v>2008년도</v>
      </c>
      <c r="F3" s="13">
        <v>20</v>
      </c>
      <c r="G3" s="13">
        <v>40</v>
      </c>
      <c r="H3" s="13">
        <v>40</v>
      </c>
      <c r="I3" s="13">
        <f>SUM(F3:H3)</f>
        <v>100</v>
      </c>
    </row>
    <row r="4" spans="2:9">
      <c r="B4" s="13" t="s">
        <v>33</v>
      </c>
      <c r="C4" s="13" t="s">
        <v>49</v>
      </c>
      <c r="D4" s="13" t="str">
        <f t="shared" ref="D4:D11" si="0">IF(LEFT(C4,1)="C","컴공과",IF(LEFT(C4,1)="E","영어과","국어과"))</f>
        <v>영어과</v>
      </c>
      <c r="E4" s="13" t="str">
        <f t="shared" ref="E4:E11" si="1">"20" &amp; MID(C4,2,2) &amp; "년도"</f>
        <v>2006년도</v>
      </c>
      <c r="F4" s="13">
        <v>15</v>
      </c>
      <c r="G4" s="13">
        <v>30</v>
      </c>
      <c r="H4" s="13">
        <v>20</v>
      </c>
      <c r="I4" s="13">
        <f t="shared" ref="I4:I11" si="2">SUM(F4:H4)</f>
        <v>65</v>
      </c>
    </row>
    <row r="5" spans="2:9">
      <c r="B5" s="13" t="s">
        <v>34</v>
      </c>
      <c r="C5" s="13" t="s">
        <v>50</v>
      </c>
      <c r="D5" s="13" t="str">
        <f t="shared" si="0"/>
        <v>컴공과</v>
      </c>
      <c r="E5" s="13" t="str">
        <f t="shared" si="1"/>
        <v>2010년도</v>
      </c>
      <c r="F5" s="13">
        <v>18</v>
      </c>
      <c r="G5" s="13">
        <v>25</v>
      </c>
      <c r="H5" s="13">
        <v>30</v>
      </c>
      <c r="I5" s="13">
        <f t="shared" si="2"/>
        <v>73</v>
      </c>
    </row>
    <row r="6" spans="2:9">
      <c r="B6" s="13" t="s">
        <v>35</v>
      </c>
      <c r="C6" s="13" t="s">
        <v>51</v>
      </c>
      <c r="D6" s="13" t="str">
        <f t="shared" si="0"/>
        <v>영어과</v>
      </c>
      <c r="E6" s="13" t="str">
        <f t="shared" si="1"/>
        <v>2004년도</v>
      </c>
      <c r="F6" s="13">
        <v>14</v>
      </c>
      <c r="G6" s="13">
        <v>35</v>
      </c>
      <c r="H6" s="13">
        <v>34</v>
      </c>
      <c r="I6" s="13">
        <f t="shared" si="2"/>
        <v>83</v>
      </c>
    </row>
    <row r="7" spans="2:9">
      <c r="B7" s="13" t="s">
        <v>36</v>
      </c>
      <c r="C7" s="13" t="s">
        <v>56</v>
      </c>
      <c r="D7" s="13" t="str">
        <f t="shared" si="0"/>
        <v>국어과</v>
      </c>
      <c r="E7" s="13" t="str">
        <f t="shared" si="1"/>
        <v>2005년도</v>
      </c>
      <c r="F7" s="13">
        <v>19</v>
      </c>
      <c r="G7" s="13">
        <v>40</v>
      </c>
      <c r="H7" s="13">
        <v>38</v>
      </c>
      <c r="I7" s="13">
        <f t="shared" si="2"/>
        <v>97</v>
      </c>
    </row>
    <row r="8" spans="2:9">
      <c r="B8" s="13" t="s">
        <v>37</v>
      </c>
      <c r="C8" s="13" t="s">
        <v>52</v>
      </c>
      <c r="D8" s="13" t="str">
        <f t="shared" si="0"/>
        <v>국어과</v>
      </c>
      <c r="E8" s="13" t="str">
        <f t="shared" si="1"/>
        <v>2010년도</v>
      </c>
      <c r="F8" s="13">
        <v>20</v>
      </c>
      <c r="G8" s="13">
        <v>40</v>
      </c>
      <c r="H8" s="13">
        <v>36</v>
      </c>
      <c r="I8" s="13">
        <f t="shared" si="2"/>
        <v>96</v>
      </c>
    </row>
    <row r="9" spans="2:9">
      <c r="B9" s="13" t="s">
        <v>38</v>
      </c>
      <c r="C9" s="13" t="s">
        <v>53</v>
      </c>
      <c r="D9" s="13" t="str">
        <f t="shared" si="0"/>
        <v>영어과</v>
      </c>
      <c r="E9" s="13" t="str">
        <f t="shared" si="1"/>
        <v>2009년도</v>
      </c>
      <c r="F9" s="13">
        <v>20</v>
      </c>
      <c r="G9" s="13">
        <v>28</v>
      </c>
      <c r="H9" s="13">
        <v>25</v>
      </c>
      <c r="I9" s="13">
        <f t="shared" si="2"/>
        <v>73</v>
      </c>
    </row>
    <row r="10" spans="2:9">
      <c r="B10" s="13" t="s">
        <v>39</v>
      </c>
      <c r="C10" s="13" t="s">
        <v>54</v>
      </c>
      <c r="D10" s="13" t="str">
        <f t="shared" si="0"/>
        <v>국어과</v>
      </c>
      <c r="E10" s="13" t="str">
        <f t="shared" si="1"/>
        <v>2008년도</v>
      </c>
      <c r="F10" s="13">
        <v>19</v>
      </c>
      <c r="G10" s="13">
        <v>40</v>
      </c>
      <c r="H10" s="13">
        <v>35</v>
      </c>
      <c r="I10" s="13">
        <f t="shared" si="2"/>
        <v>94</v>
      </c>
    </row>
    <row r="11" spans="2:9">
      <c r="B11" s="13" t="s">
        <v>40</v>
      </c>
      <c r="C11" s="13" t="s">
        <v>55</v>
      </c>
      <c r="D11" s="13" t="str">
        <f t="shared" si="0"/>
        <v>컴공과</v>
      </c>
      <c r="E11" s="13" t="str">
        <f t="shared" si="1"/>
        <v>2010년도</v>
      </c>
      <c r="F11" s="13">
        <v>18</v>
      </c>
      <c r="G11" s="13">
        <v>34</v>
      </c>
      <c r="H11" s="13">
        <v>40</v>
      </c>
      <c r="I11" s="13">
        <f t="shared" si="2"/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D3" activeCellId="1" sqref="A3:B14 D3:F14"/>
    </sheetView>
  </sheetViews>
  <sheetFormatPr defaultRowHeight="16.5"/>
  <cols>
    <col min="1" max="1" width="13.75" style="6" bestFit="1" customWidth="1"/>
    <col min="2" max="3" width="9" style="6"/>
    <col min="4" max="4" width="13.75" style="6" bestFit="1" customWidth="1"/>
    <col min="5" max="16384" width="9" style="6"/>
  </cols>
  <sheetData>
    <row r="3" spans="1:6">
      <c r="A3" s="13" t="s">
        <v>57</v>
      </c>
      <c r="B3" s="13" t="s">
        <v>69</v>
      </c>
      <c r="D3" s="13" t="s">
        <v>80</v>
      </c>
      <c r="E3" s="13" t="s">
        <v>81</v>
      </c>
      <c r="F3" s="13" t="s">
        <v>82</v>
      </c>
    </row>
    <row r="4" spans="1:6">
      <c r="A4" s="13" t="s">
        <v>58</v>
      </c>
      <c r="B4" s="13" t="s">
        <v>70</v>
      </c>
      <c r="D4" s="13" t="str">
        <f>REPLACE(A4,1,3,"010")</f>
        <v>010-123-4567</v>
      </c>
      <c r="E4" s="13" t="str">
        <f>SUBSTITUTE(B4,0,3,1)</f>
        <v>AAA-310</v>
      </c>
      <c r="F4" s="13" t="str">
        <f>SUBSTITUTE(B4,0,3)</f>
        <v>AAA-313</v>
      </c>
    </row>
    <row r="5" spans="1:6">
      <c r="A5" s="13" t="s">
        <v>59</v>
      </c>
      <c r="B5" s="13" t="s">
        <v>71</v>
      </c>
      <c r="D5" s="13" t="str">
        <f t="shared" ref="D5:D14" si="0">REPLACE(A5,1,3,"010")</f>
        <v>010-455-7890</v>
      </c>
      <c r="E5" s="13" t="str">
        <f t="shared" ref="E5:E14" si="1">SUBSTITUTE(B5,0,3,1)</f>
        <v>AAA-390</v>
      </c>
      <c r="F5" s="13" t="str">
        <f t="shared" ref="F5:F14" si="2">SUBSTITUTE(B5,0,3)</f>
        <v>AAA-393</v>
      </c>
    </row>
    <row r="6" spans="1:6">
      <c r="A6" s="13" t="s">
        <v>60</v>
      </c>
      <c r="B6" s="13" t="s">
        <v>72</v>
      </c>
      <c r="D6" s="13" t="str">
        <f t="shared" si="0"/>
        <v>010-789-0234</v>
      </c>
      <c r="E6" s="13" t="str">
        <f t="shared" si="1"/>
        <v>AAE-301</v>
      </c>
      <c r="F6" s="13" t="str">
        <f t="shared" si="2"/>
        <v>AAE-331</v>
      </c>
    </row>
    <row r="7" spans="1:6">
      <c r="A7" s="13" t="s">
        <v>61</v>
      </c>
      <c r="B7" s="13" t="s">
        <v>73</v>
      </c>
      <c r="D7" s="13" t="str">
        <f t="shared" si="0"/>
        <v>010-456-1212</v>
      </c>
      <c r="E7" s="13" t="str">
        <f t="shared" si="1"/>
        <v>AEA-305</v>
      </c>
      <c r="F7" s="13" t="str">
        <f t="shared" si="2"/>
        <v>AEA-335</v>
      </c>
    </row>
    <row r="8" spans="1:6">
      <c r="A8" s="13" t="s">
        <v>62</v>
      </c>
      <c r="B8" s="13" t="s">
        <v>74</v>
      </c>
      <c r="D8" s="13" t="str">
        <f t="shared" si="0"/>
        <v>010-122-9876</v>
      </c>
      <c r="E8" s="13" t="str">
        <f t="shared" si="1"/>
        <v>AAA-312</v>
      </c>
      <c r="F8" s="13" t="str">
        <f t="shared" si="2"/>
        <v>AAA-312</v>
      </c>
    </row>
    <row r="9" spans="1:6">
      <c r="A9" s="13" t="s">
        <v>63</v>
      </c>
      <c r="B9" s="13" t="s">
        <v>75</v>
      </c>
      <c r="D9" s="13" t="str">
        <f t="shared" si="0"/>
        <v>010-672-9898</v>
      </c>
      <c r="E9" s="13" t="str">
        <f t="shared" si="1"/>
        <v>AAB-310</v>
      </c>
      <c r="F9" s="13" t="str">
        <f t="shared" si="2"/>
        <v>AAB-313</v>
      </c>
    </row>
    <row r="10" spans="1:6">
      <c r="A10" s="13" t="s">
        <v>64</v>
      </c>
      <c r="B10" s="13" t="s">
        <v>76</v>
      </c>
      <c r="D10" s="13" t="str">
        <f t="shared" si="0"/>
        <v>010-610-3456</v>
      </c>
      <c r="E10" s="13" t="str">
        <f t="shared" si="1"/>
        <v>ABA-380</v>
      </c>
      <c r="F10" s="13" t="str">
        <f t="shared" si="2"/>
        <v>ABA-383</v>
      </c>
    </row>
    <row r="11" spans="1:6">
      <c r="A11" s="13" t="s">
        <v>65</v>
      </c>
      <c r="B11" s="13" t="s">
        <v>77</v>
      </c>
      <c r="D11" s="13" t="str">
        <f t="shared" si="0"/>
        <v>010-757-7456</v>
      </c>
      <c r="E11" s="13" t="str">
        <f t="shared" si="1"/>
        <v>ABA-380</v>
      </c>
      <c r="F11" s="13" t="str">
        <f t="shared" si="2"/>
        <v>ABA-383</v>
      </c>
    </row>
    <row r="12" spans="1:6">
      <c r="A12" s="13" t="s">
        <v>66</v>
      </c>
      <c r="B12" s="13" t="s">
        <v>78</v>
      </c>
      <c r="D12" s="13" t="str">
        <f t="shared" si="0"/>
        <v>010-889-9090</v>
      </c>
      <c r="E12" s="13" t="str">
        <f t="shared" si="1"/>
        <v>ABA-370</v>
      </c>
      <c r="F12" s="13" t="str">
        <f t="shared" si="2"/>
        <v>ABA-373</v>
      </c>
    </row>
    <row r="13" spans="1:6">
      <c r="A13" s="13" t="s">
        <v>67</v>
      </c>
      <c r="B13" s="13" t="s">
        <v>79</v>
      </c>
      <c r="D13" s="13" t="str">
        <f t="shared" si="0"/>
        <v>010-456-4545</v>
      </c>
      <c r="E13" s="13" t="str">
        <f t="shared" si="1"/>
        <v>ABE-305</v>
      </c>
      <c r="F13" s="13" t="str">
        <f t="shared" si="2"/>
        <v>ABE-335</v>
      </c>
    </row>
    <row r="14" spans="1:6">
      <c r="A14" s="13" t="s">
        <v>68</v>
      </c>
      <c r="B14" s="13" t="s">
        <v>74</v>
      </c>
      <c r="D14" s="13" t="str">
        <f t="shared" si="0"/>
        <v>010-346-0909</v>
      </c>
      <c r="E14" s="13" t="str">
        <f t="shared" si="1"/>
        <v>AAA-312</v>
      </c>
      <c r="F14" s="13" t="str">
        <f t="shared" si="2"/>
        <v>AAA-312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B2" sqref="B2:H11"/>
    </sheetView>
  </sheetViews>
  <sheetFormatPr defaultRowHeight="16.5"/>
  <cols>
    <col min="1" max="7" width="9" style="1"/>
    <col min="8" max="8" width="21.375" style="1" bestFit="1" customWidth="1"/>
    <col min="9" max="9" width="9" style="1" customWidth="1"/>
    <col min="10" max="16384" width="9" style="1"/>
  </cols>
  <sheetData>
    <row r="2" spans="2:8">
      <c r="B2" s="13" t="s">
        <v>31</v>
      </c>
      <c r="C2" s="13" t="s">
        <v>41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83</v>
      </c>
    </row>
    <row r="3" spans="2:8">
      <c r="B3" s="13" t="s">
        <v>32</v>
      </c>
      <c r="C3" s="13" t="s">
        <v>48</v>
      </c>
      <c r="D3" s="13">
        <v>20</v>
      </c>
      <c r="E3" s="13">
        <v>40</v>
      </c>
      <c r="F3" s="13">
        <v>40</v>
      </c>
      <c r="G3" s="13">
        <f>SUM(D3:F3)</f>
        <v>100</v>
      </c>
      <c r="H3" s="13" t="str">
        <f t="shared" ref="H3:H11" si="0">REPT("★",INT(G3/10))</f>
        <v>★★★★★★★★★★</v>
      </c>
    </row>
    <row r="4" spans="2:8">
      <c r="B4" s="13" t="s">
        <v>33</v>
      </c>
      <c r="C4" s="13" t="s">
        <v>49</v>
      </c>
      <c r="D4" s="13">
        <v>15</v>
      </c>
      <c r="E4" s="13">
        <v>30</v>
      </c>
      <c r="F4" s="13">
        <v>20</v>
      </c>
      <c r="G4" s="13">
        <f t="shared" ref="G4:G11" si="1">SUM(D4:F4)</f>
        <v>65</v>
      </c>
      <c r="H4" s="13" t="str">
        <f t="shared" si="0"/>
        <v>★★★★★★</v>
      </c>
    </row>
    <row r="5" spans="2:8">
      <c r="B5" s="13" t="s">
        <v>34</v>
      </c>
      <c r="C5" s="13" t="s">
        <v>50</v>
      </c>
      <c r="D5" s="13">
        <v>18</v>
      </c>
      <c r="E5" s="13">
        <v>25</v>
      </c>
      <c r="F5" s="13">
        <v>30</v>
      </c>
      <c r="G5" s="13">
        <f t="shared" si="1"/>
        <v>73</v>
      </c>
      <c r="H5" s="13" t="str">
        <f t="shared" si="0"/>
        <v>★★★★★★★</v>
      </c>
    </row>
    <row r="6" spans="2:8">
      <c r="B6" s="13" t="s">
        <v>35</v>
      </c>
      <c r="C6" s="13" t="s">
        <v>51</v>
      </c>
      <c r="D6" s="13">
        <v>14</v>
      </c>
      <c r="E6" s="13">
        <v>35</v>
      </c>
      <c r="F6" s="13">
        <v>34</v>
      </c>
      <c r="G6" s="13">
        <f t="shared" si="1"/>
        <v>83</v>
      </c>
      <c r="H6" s="13" t="str">
        <f t="shared" si="0"/>
        <v>★★★★★★★★</v>
      </c>
    </row>
    <row r="7" spans="2:8">
      <c r="B7" s="13" t="s">
        <v>36</v>
      </c>
      <c r="C7" s="13" t="s">
        <v>56</v>
      </c>
      <c r="D7" s="13">
        <v>19</v>
      </c>
      <c r="E7" s="13">
        <v>40</v>
      </c>
      <c r="F7" s="13">
        <v>38</v>
      </c>
      <c r="G7" s="13">
        <f t="shared" si="1"/>
        <v>97</v>
      </c>
      <c r="H7" s="13" t="str">
        <f t="shared" si="0"/>
        <v>★★★★★★★★★</v>
      </c>
    </row>
    <row r="8" spans="2:8">
      <c r="B8" s="13" t="s">
        <v>37</v>
      </c>
      <c r="C8" s="13" t="s">
        <v>52</v>
      </c>
      <c r="D8" s="13">
        <v>20</v>
      </c>
      <c r="E8" s="13">
        <v>40</v>
      </c>
      <c r="F8" s="13">
        <v>36</v>
      </c>
      <c r="G8" s="13">
        <f t="shared" si="1"/>
        <v>96</v>
      </c>
      <c r="H8" s="13" t="str">
        <f t="shared" si="0"/>
        <v>★★★★★★★★★</v>
      </c>
    </row>
    <row r="9" spans="2:8">
      <c r="B9" s="13" t="s">
        <v>38</v>
      </c>
      <c r="C9" s="13" t="s">
        <v>53</v>
      </c>
      <c r="D9" s="13">
        <v>20</v>
      </c>
      <c r="E9" s="13">
        <v>28</v>
      </c>
      <c r="F9" s="13">
        <v>25</v>
      </c>
      <c r="G9" s="13">
        <f t="shared" si="1"/>
        <v>73</v>
      </c>
      <c r="H9" s="13" t="str">
        <f t="shared" si="0"/>
        <v>★★★★★★★</v>
      </c>
    </row>
    <row r="10" spans="2:8">
      <c r="B10" s="13" t="s">
        <v>39</v>
      </c>
      <c r="C10" s="13" t="s">
        <v>54</v>
      </c>
      <c r="D10" s="13">
        <v>19</v>
      </c>
      <c r="E10" s="13">
        <v>40</v>
      </c>
      <c r="F10" s="13">
        <v>35</v>
      </c>
      <c r="G10" s="13">
        <f t="shared" si="1"/>
        <v>94</v>
      </c>
      <c r="H10" s="13" t="str">
        <f t="shared" si="0"/>
        <v>★★★★★★★★★</v>
      </c>
    </row>
    <row r="11" spans="2:8">
      <c r="B11" s="13" t="s">
        <v>40</v>
      </c>
      <c r="C11" s="13" t="s">
        <v>55</v>
      </c>
      <c r="D11" s="13">
        <v>18</v>
      </c>
      <c r="E11" s="13">
        <v>34</v>
      </c>
      <c r="F11" s="13">
        <v>40</v>
      </c>
      <c r="G11" s="13">
        <f t="shared" si="1"/>
        <v>92</v>
      </c>
      <c r="H11" s="13" t="str">
        <f t="shared" si="0"/>
        <v>★★★★★★★★★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B5" sqref="B5:I17"/>
    </sheetView>
  </sheetViews>
  <sheetFormatPr defaultRowHeight="16.5"/>
  <cols>
    <col min="1" max="6" width="9" style="6"/>
    <col min="7" max="7" width="9.5" style="6" bestFit="1" customWidth="1"/>
    <col min="8" max="8" width="9" style="6"/>
    <col min="9" max="9" width="25.5" style="6" bestFit="1" customWidth="1"/>
    <col min="10" max="16384" width="9" style="6"/>
  </cols>
  <sheetData>
    <row r="2" spans="2:9">
      <c r="B2" s="13" t="s">
        <v>85</v>
      </c>
      <c r="C2" s="13" t="s">
        <v>86</v>
      </c>
      <c r="D2" s="13" t="s">
        <v>87</v>
      </c>
      <c r="E2" s="13" t="s">
        <v>88</v>
      </c>
    </row>
    <row r="3" spans="2:9">
      <c r="B3" s="13" t="s">
        <v>89</v>
      </c>
      <c r="C3" s="13">
        <v>3100000</v>
      </c>
      <c r="D3" s="13">
        <v>550000</v>
      </c>
      <c r="E3" s="13">
        <v>1700000</v>
      </c>
    </row>
    <row r="5" spans="2:9">
      <c r="B5" s="13" t="s">
        <v>90</v>
      </c>
      <c r="C5" s="13" t="s">
        <v>103</v>
      </c>
      <c r="D5" s="13" t="s">
        <v>86</v>
      </c>
      <c r="E5" s="13" t="s">
        <v>87</v>
      </c>
      <c r="F5" s="13" t="s">
        <v>88</v>
      </c>
      <c r="G5" s="13" t="s">
        <v>116</v>
      </c>
      <c r="H5" s="13" t="s">
        <v>117</v>
      </c>
      <c r="I5" s="13" t="s">
        <v>118</v>
      </c>
    </row>
    <row r="6" spans="2:9">
      <c r="B6" s="13" t="s">
        <v>91</v>
      </c>
      <c r="C6" s="13" t="s">
        <v>104</v>
      </c>
      <c r="D6" s="13">
        <v>10</v>
      </c>
      <c r="E6" s="13">
        <v>13</v>
      </c>
      <c r="F6" s="13">
        <v>8</v>
      </c>
      <c r="G6" s="13">
        <f>D6*$C$3+E6*$D$3+F6*$E$3</f>
        <v>51750000</v>
      </c>
      <c r="H6" s="13">
        <f>RANK(G6,$G$6:$G$17)</f>
        <v>11</v>
      </c>
      <c r="I6" s="13" t="str">
        <f>REPT("■",RANK(G6,$G$6:$G$17,2))</f>
        <v>■■</v>
      </c>
    </row>
    <row r="7" spans="2:9">
      <c r="B7" s="13" t="s">
        <v>92</v>
      </c>
      <c r="C7" s="13" t="s">
        <v>105</v>
      </c>
      <c r="D7" s="13">
        <v>15</v>
      </c>
      <c r="E7" s="13">
        <v>10</v>
      </c>
      <c r="F7" s="13">
        <v>28</v>
      </c>
      <c r="G7" s="13">
        <f t="shared" ref="G7:G17" si="0">D7*$C$3+E7*$D$3+F7*$E$3</f>
        <v>99600000</v>
      </c>
      <c r="H7" s="13">
        <f t="shared" ref="H7:H17" si="1">RANK(G7,$G$6:$G$17)</f>
        <v>2</v>
      </c>
      <c r="I7" s="13" t="str">
        <f t="shared" ref="I7:I17" si="2">REPT("■",RANK(G7,$G$6:$G$17,2))</f>
        <v>■■■■■■■■■■■</v>
      </c>
    </row>
    <row r="8" spans="2:9">
      <c r="B8" s="13" t="s">
        <v>93</v>
      </c>
      <c r="C8" s="13" t="s">
        <v>106</v>
      </c>
      <c r="D8" s="13">
        <v>10</v>
      </c>
      <c r="E8" s="13">
        <v>3</v>
      </c>
      <c r="F8" s="13">
        <v>23</v>
      </c>
      <c r="G8" s="13">
        <f t="shared" si="0"/>
        <v>71750000</v>
      </c>
      <c r="H8" s="13">
        <f t="shared" si="1"/>
        <v>8</v>
      </c>
      <c r="I8" s="13" t="str">
        <f t="shared" si="2"/>
        <v>■■■■■</v>
      </c>
    </row>
    <row r="9" spans="2:9">
      <c r="B9" s="13" t="s">
        <v>94</v>
      </c>
      <c r="C9" s="13" t="s">
        <v>107</v>
      </c>
      <c r="D9" s="13">
        <v>12</v>
      </c>
      <c r="E9" s="13">
        <v>12</v>
      </c>
      <c r="F9" s="13">
        <v>25</v>
      </c>
      <c r="G9" s="13">
        <f t="shared" si="0"/>
        <v>86300000</v>
      </c>
      <c r="H9" s="13">
        <f t="shared" si="1"/>
        <v>6</v>
      </c>
      <c r="I9" s="13" t="str">
        <f t="shared" si="2"/>
        <v>■■■■■■■</v>
      </c>
    </row>
    <row r="10" spans="2:9">
      <c r="B10" s="13" t="s">
        <v>95</v>
      </c>
      <c r="C10" s="13" t="s">
        <v>108</v>
      </c>
      <c r="D10" s="13">
        <v>11</v>
      </c>
      <c r="E10" s="13">
        <v>15</v>
      </c>
      <c r="F10" s="13">
        <v>30</v>
      </c>
      <c r="G10" s="13">
        <f t="shared" si="0"/>
        <v>93350000</v>
      </c>
      <c r="H10" s="13">
        <f t="shared" si="1"/>
        <v>3</v>
      </c>
      <c r="I10" s="13" t="str">
        <f t="shared" si="2"/>
        <v>■■■■■■■■■■</v>
      </c>
    </row>
    <row r="11" spans="2:9">
      <c r="B11" s="13" t="s">
        <v>96</v>
      </c>
      <c r="C11" s="13" t="s">
        <v>109</v>
      </c>
      <c r="D11" s="13">
        <v>5</v>
      </c>
      <c r="E11" s="13">
        <v>21</v>
      </c>
      <c r="F11" s="13">
        <v>16</v>
      </c>
      <c r="G11" s="13">
        <f t="shared" si="0"/>
        <v>54250000</v>
      </c>
      <c r="H11" s="13">
        <f t="shared" si="1"/>
        <v>10</v>
      </c>
      <c r="I11" s="13" t="str">
        <f t="shared" si="2"/>
        <v>■■■</v>
      </c>
    </row>
    <row r="12" spans="2:9">
      <c r="B12" s="13" t="s">
        <v>97</v>
      </c>
      <c r="C12" s="13" t="s">
        <v>110</v>
      </c>
      <c r="D12" s="13">
        <v>10</v>
      </c>
      <c r="E12" s="13">
        <v>18</v>
      </c>
      <c r="F12" s="13">
        <v>18</v>
      </c>
      <c r="G12" s="13">
        <f t="shared" si="0"/>
        <v>71500000</v>
      </c>
      <c r="H12" s="13">
        <f t="shared" si="1"/>
        <v>9</v>
      </c>
      <c r="I12" s="13" t="str">
        <f t="shared" si="2"/>
        <v>■■■■</v>
      </c>
    </row>
    <row r="13" spans="2:9">
      <c r="B13" s="13" t="s">
        <v>98</v>
      </c>
      <c r="C13" s="13" t="s">
        <v>111</v>
      </c>
      <c r="D13" s="13">
        <v>15</v>
      </c>
      <c r="E13" s="13">
        <v>20</v>
      </c>
      <c r="F13" s="13">
        <v>20</v>
      </c>
      <c r="G13" s="13">
        <f t="shared" si="0"/>
        <v>91500000</v>
      </c>
      <c r="H13" s="13">
        <f t="shared" si="1"/>
        <v>5</v>
      </c>
      <c r="I13" s="13" t="str">
        <f t="shared" si="2"/>
        <v>■■■■■■■■</v>
      </c>
    </row>
    <row r="14" spans="2:9">
      <c r="B14" s="13" t="s">
        <v>99</v>
      </c>
      <c r="C14" s="13" t="s">
        <v>112</v>
      </c>
      <c r="D14" s="13">
        <v>20</v>
      </c>
      <c r="E14" s="13">
        <v>15</v>
      </c>
      <c r="F14" s="13">
        <v>21</v>
      </c>
      <c r="G14" s="13">
        <f t="shared" si="0"/>
        <v>105950000</v>
      </c>
      <c r="H14" s="13">
        <f t="shared" si="1"/>
        <v>1</v>
      </c>
      <c r="I14" s="13" t="str">
        <f t="shared" si="2"/>
        <v>■■■■■■■■■■■■</v>
      </c>
    </row>
    <row r="15" spans="2:9">
      <c r="B15" s="13" t="s">
        <v>100</v>
      </c>
      <c r="C15" s="13" t="s">
        <v>113</v>
      </c>
      <c r="D15" s="13">
        <v>10</v>
      </c>
      <c r="E15" s="13">
        <v>15</v>
      </c>
      <c r="F15" s="13">
        <v>25</v>
      </c>
      <c r="G15" s="13">
        <f t="shared" si="0"/>
        <v>81750000</v>
      </c>
      <c r="H15" s="13">
        <f t="shared" si="1"/>
        <v>7</v>
      </c>
      <c r="I15" s="13" t="str">
        <f t="shared" si="2"/>
        <v>■■■■■■</v>
      </c>
    </row>
    <row r="16" spans="2:9">
      <c r="B16" s="13" t="s">
        <v>101</v>
      </c>
      <c r="C16" s="13" t="s">
        <v>114</v>
      </c>
      <c r="D16" s="13">
        <v>5</v>
      </c>
      <c r="E16" s="13">
        <v>5</v>
      </c>
      <c r="F16" s="13">
        <v>10</v>
      </c>
      <c r="G16" s="13">
        <f t="shared" si="0"/>
        <v>35250000</v>
      </c>
      <c r="H16" s="13">
        <f t="shared" si="1"/>
        <v>12</v>
      </c>
      <c r="I16" s="13" t="str">
        <f t="shared" si="2"/>
        <v>■</v>
      </c>
    </row>
    <row r="17" spans="2:9">
      <c r="B17" s="13" t="s">
        <v>102</v>
      </c>
      <c r="C17" s="13" t="s">
        <v>115</v>
      </c>
      <c r="D17" s="13">
        <v>20</v>
      </c>
      <c r="E17" s="13">
        <v>10</v>
      </c>
      <c r="F17" s="13">
        <v>15</v>
      </c>
      <c r="G17" s="13">
        <f t="shared" si="0"/>
        <v>93000000</v>
      </c>
      <c r="H17" s="13">
        <f t="shared" si="1"/>
        <v>4</v>
      </c>
      <c r="I17" s="13" t="str">
        <f t="shared" si="2"/>
        <v>■■■■■■■■■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예1</vt:lpstr>
      <vt:lpstr>예제2</vt:lpstr>
      <vt:lpstr>예3</vt:lpstr>
      <vt:lpstr>예4</vt:lpstr>
      <vt:lpstr>예5</vt:lpstr>
      <vt:lpstr>예6</vt:lpstr>
      <vt:lpstr>예7</vt:lpstr>
      <vt:lpstr>예8</vt:lpstr>
      <vt:lpstr>예9</vt:lpstr>
      <vt:lpstr>예10</vt:lpstr>
      <vt:lpstr>예11</vt:lpstr>
      <vt:lpstr>예12</vt:lpstr>
      <vt:lpstr>예13</vt:lpstr>
      <vt:lpstr>예14</vt:lpstr>
      <vt:lpstr>예15</vt:lpstr>
      <vt:lpstr>예16</vt:lpstr>
      <vt:lpstr>예17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sky</cp:lastModifiedBy>
  <dcterms:created xsi:type="dcterms:W3CDTF">2015-09-15T04:41:29Z</dcterms:created>
  <dcterms:modified xsi:type="dcterms:W3CDTF">2015-09-16T12:45:02Z</dcterms:modified>
</cp:coreProperties>
</file>