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讲师\张志绮\Excel部分\就业班\"/>
    </mc:Choice>
  </mc:AlternateContent>
  <xr:revisionPtr revIDLastSave="0" documentId="13_ncr:1_{E07CED2B-AE93-4AB4-9516-3F7F1A44FF8B}" xr6:coauthVersionLast="45" xr6:coauthVersionMax="45" xr10:uidLastSave="{00000000-0000-0000-0000-000000000000}"/>
  <bookViews>
    <workbookView xWindow="-120" yWindow="-120" windowWidth="20730" windowHeight="11760" activeTab="3" xr2:uid="{00000000-000D-0000-FFFF-FFFF00000000}"/>
  </bookViews>
  <sheets>
    <sheet name="员工信息" sheetId="9" r:id="rId1"/>
    <sheet name="2019年11月" sheetId="14" r:id="rId2"/>
    <sheet name="图表准备区" sheetId="17" r:id="rId3"/>
    <sheet name="结果呈现" sheetId="15" r:id="rId4"/>
  </sheets>
  <definedNames>
    <definedName name="_xlnm._FilterDatabase" localSheetId="1" hidden="1">'2019年11月'!$A$1:$R$31</definedName>
    <definedName name="_xlnm._FilterDatabase" localSheetId="0" hidden="1">员工信息!$A$1:$C$27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4" l="1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" i="14"/>
  <c r="R3" i="14" l="1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" i="14"/>
  <c r="M3" i="14"/>
  <c r="O3" i="14" s="1"/>
  <c r="M4" i="14"/>
  <c r="O4" i="14" s="1"/>
  <c r="M5" i="14"/>
  <c r="M6" i="14"/>
  <c r="O6" i="14" s="1"/>
  <c r="M7" i="14"/>
  <c r="O7" i="14" s="1"/>
  <c r="M8" i="14"/>
  <c r="O8" i="14" s="1"/>
  <c r="M9" i="14"/>
  <c r="M10" i="14"/>
  <c r="O10" i="14" s="1"/>
  <c r="M11" i="14"/>
  <c r="O11" i="14" s="1"/>
  <c r="M12" i="14"/>
  <c r="O12" i="14" s="1"/>
  <c r="M13" i="14"/>
  <c r="M14" i="14"/>
  <c r="O14" i="14" s="1"/>
  <c r="M15" i="14"/>
  <c r="O15" i="14" s="1"/>
  <c r="M16" i="14"/>
  <c r="O16" i="14" s="1"/>
  <c r="M17" i="14"/>
  <c r="M18" i="14"/>
  <c r="O18" i="14" s="1"/>
  <c r="M19" i="14"/>
  <c r="O19" i="14" s="1"/>
  <c r="M20" i="14"/>
  <c r="O20" i="14" s="1"/>
  <c r="M21" i="14"/>
  <c r="M22" i="14"/>
  <c r="O22" i="14" s="1"/>
  <c r="M23" i="14"/>
  <c r="O23" i="14" s="1"/>
  <c r="M24" i="14"/>
  <c r="O24" i="14" s="1"/>
  <c r="M25" i="14"/>
  <c r="M26" i="14"/>
  <c r="O26" i="14" s="1"/>
  <c r="M27" i="14"/>
  <c r="O27" i="14" s="1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M2" i="14"/>
  <c r="N2" i="14" s="1"/>
  <c r="L2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" i="14"/>
  <c r="H28" i="14" l="1"/>
  <c r="N12" i="14"/>
  <c r="N4" i="14"/>
  <c r="N20" i="14"/>
  <c r="N27" i="14"/>
  <c r="N19" i="14"/>
  <c r="N11" i="14"/>
  <c r="N3" i="14"/>
  <c r="N24" i="14"/>
  <c r="N16" i="14"/>
  <c r="N8" i="14"/>
  <c r="I28" i="14"/>
  <c r="N23" i="14"/>
  <c r="N15" i="14"/>
  <c r="N7" i="14"/>
  <c r="P15" i="14"/>
  <c r="P7" i="14"/>
  <c r="O25" i="14"/>
  <c r="O21" i="14"/>
  <c r="O17" i="14"/>
  <c r="O13" i="14"/>
  <c r="O9" i="14"/>
  <c r="O5" i="14"/>
  <c r="N26" i="14"/>
  <c r="N22" i="14"/>
  <c r="N18" i="14"/>
  <c r="N14" i="14"/>
  <c r="N10" i="14"/>
  <c r="N6" i="14"/>
  <c r="O2" i="14"/>
  <c r="P14" i="14"/>
  <c r="M28" i="14"/>
  <c r="N25" i="14"/>
  <c r="N21" i="14"/>
  <c r="N17" i="14"/>
  <c r="N13" i="14"/>
  <c r="N9" i="14"/>
  <c r="N5" i="14"/>
  <c r="Q7" i="14" l="1"/>
  <c r="P6" i="14"/>
  <c r="Q6" i="14"/>
  <c r="P11" i="14"/>
  <c r="Q11" i="14" s="1"/>
  <c r="P4" i="14"/>
  <c r="Q4" i="14" s="1"/>
  <c r="P10" i="14"/>
  <c r="Q10" i="14"/>
  <c r="P19" i="14"/>
  <c r="Q19" i="14" s="1"/>
  <c r="P12" i="14"/>
  <c r="Q12" i="14" s="1"/>
  <c r="Q14" i="14"/>
  <c r="P8" i="14"/>
  <c r="Q8" i="14" s="1"/>
  <c r="P23" i="14"/>
  <c r="Q23" i="14" s="1"/>
  <c r="P24" i="14"/>
  <c r="Q24" i="14" s="1"/>
  <c r="P27" i="14"/>
  <c r="Q27" i="14"/>
  <c r="P22" i="14"/>
  <c r="Q22" i="14" s="1"/>
  <c r="P26" i="14"/>
  <c r="Q26" i="14" s="1"/>
  <c r="Q15" i="14"/>
  <c r="P21" i="14"/>
  <c r="Q21" i="14" s="1"/>
  <c r="P18" i="14"/>
  <c r="Q18" i="14" s="1"/>
  <c r="P16" i="14"/>
  <c r="Q16" i="14" s="1"/>
  <c r="P3" i="14"/>
  <c r="Q3" i="14" s="1"/>
  <c r="P20" i="14"/>
  <c r="Q20" i="14" s="1"/>
  <c r="P17" i="14"/>
  <c r="Q17" i="14" s="1"/>
  <c r="N28" i="14"/>
  <c r="O28" i="14"/>
  <c r="P25" i="14"/>
  <c r="Q25" i="14" s="1"/>
  <c r="P9" i="14"/>
  <c r="Q9" i="14" s="1"/>
  <c r="P13" i="14"/>
  <c r="Q13" i="14" s="1"/>
  <c r="P5" i="14"/>
  <c r="Q5" i="14" s="1"/>
  <c r="P29" i="14"/>
  <c r="P2" i="14"/>
  <c r="Q2" i="14" s="1"/>
  <c r="P28" i="14" l="1"/>
  <c r="Q28" i="14" s="1"/>
  <c r="P30" i="14" l="1"/>
</calcChain>
</file>

<file path=xl/sharedStrings.xml><?xml version="1.0" encoding="utf-8"?>
<sst xmlns="http://schemas.openxmlformats.org/spreadsheetml/2006/main" count="138" uniqueCount="93">
  <si>
    <t>出勤</t>
  </si>
  <si>
    <t>病</t>
  </si>
  <si>
    <t>事</t>
  </si>
  <si>
    <t>平时加班</t>
  </si>
  <si>
    <t>周末加班</t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</si>
  <si>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</si>
  <si>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</si>
  <si>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</si>
  <si>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</si>
  <si>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</si>
  <si>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</si>
  <si>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</si>
  <si>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</si>
  <si>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E</t>
  </si>
  <si>
    <t>E</t>
    <phoneticPr fontId="1" type="noConversion"/>
  </si>
  <si>
    <t>F</t>
  </si>
  <si>
    <t>F</t>
    <phoneticPr fontId="1" type="noConversion"/>
  </si>
  <si>
    <t>G</t>
  </si>
  <si>
    <t>G</t>
    <phoneticPr fontId="1" type="noConversion"/>
  </si>
  <si>
    <t>H</t>
  </si>
  <si>
    <t>H</t>
    <phoneticPr fontId="1" type="noConversion"/>
  </si>
  <si>
    <t>I</t>
  </si>
  <si>
    <t>I</t>
    <phoneticPr fontId="1" type="noConversion"/>
  </si>
  <si>
    <t>J</t>
  </si>
  <si>
    <t>J</t>
    <phoneticPr fontId="1" type="noConversion"/>
  </si>
  <si>
    <t>K</t>
  </si>
  <si>
    <t>K</t>
    <phoneticPr fontId="1" type="noConversion"/>
  </si>
  <si>
    <t>L</t>
  </si>
  <si>
    <t>L</t>
    <phoneticPr fontId="1" type="noConversion"/>
  </si>
  <si>
    <t>M</t>
  </si>
  <si>
    <t>M</t>
    <phoneticPr fontId="1" type="noConversion"/>
  </si>
  <si>
    <t>N</t>
  </si>
  <si>
    <t>N</t>
    <phoneticPr fontId="1" type="noConversion"/>
  </si>
  <si>
    <t>O</t>
  </si>
  <si>
    <t>O</t>
    <phoneticPr fontId="1" type="noConversion"/>
  </si>
  <si>
    <t>P</t>
  </si>
  <si>
    <t>P</t>
    <phoneticPr fontId="1" type="noConversion"/>
  </si>
  <si>
    <t>Q</t>
  </si>
  <si>
    <t>Q</t>
    <phoneticPr fontId="1" type="noConversion"/>
  </si>
  <si>
    <t>R</t>
  </si>
  <si>
    <t>R</t>
    <phoneticPr fontId="1" type="noConversion"/>
  </si>
  <si>
    <t>S</t>
  </si>
  <si>
    <t>S</t>
    <phoneticPr fontId="1" type="noConversion"/>
  </si>
  <si>
    <t>T</t>
  </si>
  <si>
    <t>T</t>
    <phoneticPr fontId="1" type="noConversion"/>
  </si>
  <si>
    <t>U</t>
  </si>
  <si>
    <t>U</t>
    <phoneticPr fontId="1" type="noConversion"/>
  </si>
  <si>
    <t>V</t>
  </si>
  <si>
    <t>V</t>
    <phoneticPr fontId="1" type="noConversion"/>
  </si>
  <si>
    <t>W</t>
  </si>
  <si>
    <t>W</t>
    <phoneticPr fontId="1" type="noConversion"/>
  </si>
  <si>
    <t>X</t>
  </si>
  <si>
    <t>X</t>
    <phoneticPr fontId="1" type="noConversion"/>
  </si>
  <si>
    <t>Y</t>
  </si>
  <si>
    <t>Y</t>
    <phoneticPr fontId="1" type="noConversion"/>
  </si>
  <si>
    <t>Z</t>
  </si>
  <si>
    <t>Z</t>
    <phoneticPr fontId="1" type="noConversion"/>
  </si>
  <si>
    <t>部门</t>
    <phoneticPr fontId="1" type="noConversion"/>
  </si>
  <si>
    <t>行政部</t>
  </si>
  <si>
    <t>财务部</t>
  </si>
  <si>
    <t>生产一部</t>
  </si>
  <si>
    <t>生产二部</t>
  </si>
  <si>
    <t>员工姓名</t>
    <phoneticPr fontId="1" type="noConversion"/>
  </si>
  <si>
    <t>行标签</t>
  </si>
  <si>
    <t>总计</t>
  </si>
  <si>
    <t>姓名</t>
  </si>
  <si>
    <t>月薪</t>
    <phoneticPr fontId="1" type="noConversion"/>
  </si>
  <si>
    <t>出勤率</t>
    <phoneticPr fontId="1" type="noConversion"/>
  </si>
  <si>
    <t>加班强度比率</t>
    <phoneticPr fontId="1" type="noConversion"/>
  </si>
  <si>
    <t>YTD累计病假</t>
    <phoneticPr fontId="1" type="noConversion"/>
  </si>
  <si>
    <t>每日工资</t>
    <phoneticPr fontId="1" type="noConversion"/>
  </si>
  <si>
    <t>当月有效工作天数</t>
    <phoneticPr fontId="1" type="noConversion"/>
  </si>
  <si>
    <t>当月实际工作天数调整比例</t>
    <phoneticPr fontId="1" type="noConversion"/>
  </si>
  <si>
    <t>当月基础工资</t>
    <phoneticPr fontId="1" type="noConversion"/>
  </si>
  <si>
    <t>平时加班费</t>
    <phoneticPr fontId="1" type="noConversion"/>
  </si>
  <si>
    <t>周末加班费</t>
    <phoneticPr fontId="1" type="noConversion"/>
  </si>
  <si>
    <t>月工资</t>
    <phoneticPr fontId="1" type="noConversion"/>
  </si>
  <si>
    <t>公司层面</t>
    <phoneticPr fontId="1" type="noConversion"/>
  </si>
  <si>
    <t>平均值</t>
    <phoneticPr fontId="1" type="noConversion"/>
  </si>
  <si>
    <t>汇总值</t>
    <phoneticPr fontId="1" type="noConversion"/>
  </si>
  <si>
    <t>部门层面</t>
    <phoneticPr fontId="1" type="noConversion"/>
  </si>
  <si>
    <t>生产部门工资汇总</t>
    <phoneticPr fontId="1" type="noConversion"/>
  </si>
  <si>
    <t>直接生产人员工资比率</t>
  </si>
  <si>
    <t>直接生产人员工资比率</t>
    <phoneticPr fontId="1" type="noConversion"/>
  </si>
  <si>
    <t>总体出勤率</t>
    <phoneticPr fontId="1" type="noConversion"/>
  </si>
  <si>
    <t>总体加班强度</t>
    <phoneticPr fontId="1" type="noConversion"/>
  </si>
  <si>
    <t>加班费占比</t>
    <phoneticPr fontId="1" type="noConversion"/>
  </si>
  <si>
    <t>总加班费占比</t>
    <phoneticPr fontId="1" type="noConversion"/>
  </si>
  <si>
    <t>平均值项:出勤率</t>
  </si>
  <si>
    <t>平均值项:加班强度比率</t>
  </si>
  <si>
    <t>求和项:月工资</t>
  </si>
  <si>
    <t>平均值项:加班费占比</t>
  </si>
  <si>
    <t>月工资总额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</si>
</sst>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10" fontId="4" fillId="0" borderId="1" xfId="1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9" fontId="0" fillId="0" borderId="0" xfId="0" applyNumberFormat="1"/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10" fontId="4" fillId="0" borderId="4" xfId="1" applyNumberFormat="1" applyFont="1" applyBorder="1" applyAlignment="1">
      <alignment horizontal="center"/>
    </xf>
    <xf numFmtId="10" fontId="4" fillId="0" borderId="0" xfId="0" applyNumberFormat="1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177" fontId="4" fillId="0" borderId="0" xfId="0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4"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[2.4综合案例员工考勤表.xlsx]图表准备区!数据透视表2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出勤率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图表准备区!$C$2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图表准备区!$B$3:$B$7</c:f>
              <c:strCache>
                <c:ptCount val="4"/>
                <c:pt idx="0">
                  <c:v>生产一部</c:v>
                </c:pt>
                <c:pt idx="1">
                  <c:v>财务部</c:v>
                </c:pt>
                <c:pt idx="2">
                  <c:v>生产二部</c:v>
                </c:pt>
                <c:pt idx="3">
                  <c:v>行政部</c:v>
                </c:pt>
              </c:strCache>
            </c:strRef>
          </c:cat>
          <c:val>
            <c:numRef>
              <c:f>图表准备区!$C$3:$C$7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0.99404761904761907</c:v>
                </c:pt>
                <c:pt idx="3">
                  <c:v>0.98095238095238102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C-42EC-B583-116BE309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049904"/>
        <c:axId val="670085648"/>
      </c:barChart>
      <c:catAx>
        <c:axId val="727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70085648"/>
        <c:crosses val="autoZero"/>
        <c:auto val="1"/>
        <c:lblAlgn val="ctr"/>
        <c:lblOffset val="100"/>
        <c:noMultiLvlLbl val="0"/>
      </c:catAx>
      <c:valAx>
        <c:axId val="67008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2704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[2.4综合案例员工考勤表.xlsx]图表准备区!数据透视表3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100"/>
              <a:t>加班强度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图表准备区!$C$20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图表准备区!$B$21:$B$25</c:f>
              <c:strCache>
                <c:ptCount val="4"/>
                <c:pt idx="0">
                  <c:v>生产二部</c:v>
                </c:pt>
                <c:pt idx="1">
                  <c:v>生产一部</c:v>
                </c:pt>
                <c:pt idx="2">
                  <c:v>财务部</c:v>
                </c:pt>
                <c:pt idx="3">
                  <c:v>行政部</c:v>
                </c:pt>
              </c:strCache>
            </c:strRef>
          </c:cat>
          <c:val>
            <c:numRef>
              <c:f>图表准备区!$C$21:$C$25</c:f>
              <c:numCache>
                <c:formatCode>0%</c:formatCode>
                <c:ptCount val="4"/>
                <c:pt idx="0">
                  <c:v>9.6726190476190466E-2</c:v>
                </c:pt>
                <c:pt idx="1">
                  <c:v>8.7797619047619055E-2</c:v>
                </c:pt>
                <c:pt idx="2">
                  <c:v>8.3333333333333343E-2</c:v>
                </c:pt>
                <c:pt idx="3">
                  <c:v>7.6785714285714277E-2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E-43BF-8AC7-9C41B89AA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735920"/>
        <c:axId val="670087728"/>
      </c:barChart>
      <c:catAx>
        <c:axId val="5067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70087728"/>
        <c:crosses val="autoZero"/>
        <c:auto val="1"/>
        <c:lblAlgn val="ctr"/>
        <c:lblOffset val="100"/>
        <c:noMultiLvlLbl val="0"/>
      </c:catAx>
      <c:valAx>
        <c:axId val="6700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067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[2.4综合案例员工考勤表.xlsx]图表准备区!数据透视表4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050"/>
              <a:t>加班费占比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图表准备区!$M$2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图表准备区!$L$3:$L$7</c:f>
              <c:strCache>
                <c:ptCount val="4"/>
                <c:pt idx="0">
                  <c:v>生产二部</c:v>
                </c:pt>
                <c:pt idx="1">
                  <c:v>生产一部</c:v>
                </c:pt>
                <c:pt idx="2">
                  <c:v>财务部</c:v>
                </c:pt>
                <c:pt idx="3">
                  <c:v>行政部</c:v>
                </c:pt>
              </c:strCache>
            </c:strRef>
          </c:cat>
          <c:val>
            <c:numRef>
              <c:f>图表准备区!$M$3:$M$7</c:f>
              <c:numCache>
                <c:formatCode>0.00%</c:formatCode>
                <c:ptCount val="4"/>
                <c:pt idx="0">
                  <c:v>0.13247010020801905</c:v>
                </c:pt>
                <c:pt idx="1">
                  <c:v>0.12175708678029382</c:v>
                </c:pt>
                <c:pt idx="2">
                  <c:v>0.11438242006777852</c:v>
                </c:pt>
                <c:pt idx="3">
                  <c:v>0.10785456748395597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3-48BB-B472-E8BDDCABF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192048"/>
        <c:axId val="670088976"/>
      </c:barChart>
      <c:catAx>
        <c:axId val="5161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70088976"/>
        <c:crosses val="autoZero"/>
        <c:auto val="1"/>
        <c:lblAlgn val="ctr"/>
        <c:lblOffset val="100"/>
        <c:noMultiLvlLbl val="0"/>
      </c:catAx>
      <c:valAx>
        <c:axId val="6700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161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[2.4综合案例员工考勤表.xlsx]图表准备区!数据透视表5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050"/>
              <a:t>月工资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图表准备区!$M$21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图表准备区!$L$22:$L$26</c:f>
              <c:strCache>
                <c:ptCount val="4"/>
                <c:pt idx="0">
                  <c:v>生产二部</c:v>
                </c:pt>
                <c:pt idx="1">
                  <c:v>行政部</c:v>
                </c:pt>
                <c:pt idx="2">
                  <c:v>财务部</c:v>
                </c:pt>
                <c:pt idx="3">
                  <c:v>生产一部</c:v>
                </c:pt>
              </c:strCache>
            </c:strRef>
          </c:cat>
          <c:val>
            <c:numRef>
              <c:f>图表准备区!$M$22:$M$26</c:f>
              <c:numCache>
                <c:formatCode>General</c:formatCode>
                <c:ptCount val="4"/>
                <c:pt idx="0">
                  <c:v>54123.563218390809</c:v>
                </c:pt>
                <c:pt idx="1">
                  <c:v>53408.730158730163</c:v>
                </c:pt>
                <c:pt idx="2">
                  <c:v>41068.965517241377</c:v>
                </c:pt>
                <c:pt idx="3">
                  <c:v>28451.14942528736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9-432B-8D35-B19D6F3F9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017792"/>
        <c:axId val="670107696"/>
      </c:barChart>
      <c:catAx>
        <c:axId val="7350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70107696"/>
        <c:crosses val="autoZero"/>
        <c:auto val="1"/>
        <c:lblAlgn val="ctr"/>
        <c:lblOffset val="100"/>
        <c:noMultiLvlLbl val="0"/>
      </c:catAx>
      <c:valAx>
        <c:axId val="6701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3501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[2.4综合案例员工考勤表.xlsx]图表准备区!数据透视表2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050"/>
              <a:t>出勤率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图表准备区!$C$2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图表准备区!$B$3:$B$7</c:f>
              <c:strCache>
                <c:ptCount val="4"/>
                <c:pt idx="0">
                  <c:v>生产一部</c:v>
                </c:pt>
                <c:pt idx="1">
                  <c:v>财务部</c:v>
                </c:pt>
                <c:pt idx="2">
                  <c:v>生产二部</c:v>
                </c:pt>
                <c:pt idx="3">
                  <c:v>行政部</c:v>
                </c:pt>
              </c:strCache>
            </c:strRef>
          </c:cat>
          <c:val>
            <c:numRef>
              <c:f>图表准备区!$C$3:$C$7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0.99404761904761907</c:v>
                </c:pt>
                <c:pt idx="3">
                  <c:v>0.98095238095238102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2-4152-9E77-2AED80285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049904"/>
        <c:axId val="670085648"/>
      </c:barChart>
      <c:catAx>
        <c:axId val="727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70085648"/>
        <c:crosses val="autoZero"/>
        <c:auto val="1"/>
        <c:lblAlgn val="ctr"/>
        <c:lblOffset val="100"/>
        <c:noMultiLvlLbl val="0"/>
      </c:catAx>
      <c:valAx>
        <c:axId val="67008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2704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[2.4综合案例员工考勤表.xlsx]图表准备区!数据透视表3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050"/>
              <a:t>加班强度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图表准备区!$C$20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图表准备区!$B$21:$B$25</c:f>
              <c:strCache>
                <c:ptCount val="4"/>
                <c:pt idx="0">
                  <c:v>生产二部</c:v>
                </c:pt>
                <c:pt idx="1">
                  <c:v>生产一部</c:v>
                </c:pt>
                <c:pt idx="2">
                  <c:v>财务部</c:v>
                </c:pt>
                <c:pt idx="3">
                  <c:v>行政部</c:v>
                </c:pt>
              </c:strCache>
            </c:strRef>
          </c:cat>
          <c:val>
            <c:numRef>
              <c:f>图表准备区!$C$21:$C$25</c:f>
              <c:numCache>
                <c:formatCode>0%</c:formatCode>
                <c:ptCount val="4"/>
                <c:pt idx="0">
                  <c:v>9.6726190476190466E-2</c:v>
                </c:pt>
                <c:pt idx="1">
                  <c:v>8.7797619047619055E-2</c:v>
                </c:pt>
                <c:pt idx="2">
                  <c:v>8.3333333333333343E-2</c:v>
                </c:pt>
                <c:pt idx="3">
                  <c:v>7.6785714285714277E-2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D-47EA-98A1-FB72C148D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735920"/>
        <c:axId val="670087728"/>
      </c:barChart>
      <c:catAx>
        <c:axId val="5067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70087728"/>
        <c:crosses val="autoZero"/>
        <c:auto val="1"/>
        <c:lblAlgn val="ctr"/>
        <c:lblOffset val="100"/>
        <c:noMultiLvlLbl val="0"/>
      </c:catAx>
      <c:valAx>
        <c:axId val="67008772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067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[2.4综合案例员工考勤表.xlsx]图表准备区!数据透视表4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050"/>
              <a:t>加班费占比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图表准备区!$M$2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图表准备区!$L$3:$L$7</c:f>
              <c:strCache>
                <c:ptCount val="4"/>
                <c:pt idx="0">
                  <c:v>生产二部</c:v>
                </c:pt>
                <c:pt idx="1">
                  <c:v>生产一部</c:v>
                </c:pt>
                <c:pt idx="2">
                  <c:v>财务部</c:v>
                </c:pt>
                <c:pt idx="3">
                  <c:v>行政部</c:v>
                </c:pt>
              </c:strCache>
            </c:strRef>
          </c:cat>
          <c:val>
            <c:numRef>
              <c:f>图表准备区!$M$3:$M$7</c:f>
              <c:numCache>
                <c:formatCode>0.00%</c:formatCode>
                <c:ptCount val="4"/>
                <c:pt idx="0">
                  <c:v>0.13247010020801905</c:v>
                </c:pt>
                <c:pt idx="1">
                  <c:v>0.12175708678029382</c:v>
                </c:pt>
                <c:pt idx="2">
                  <c:v>0.11438242006777852</c:v>
                </c:pt>
                <c:pt idx="3">
                  <c:v>0.10785456748395597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0-46A2-A43C-3468B894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192048"/>
        <c:axId val="670088976"/>
      </c:barChart>
      <c:catAx>
        <c:axId val="5161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70088976"/>
        <c:crosses val="autoZero"/>
        <c:auto val="1"/>
        <c:lblAlgn val="ctr"/>
        <c:lblOffset val="100"/>
        <c:noMultiLvlLbl val="0"/>
      </c:catAx>
      <c:valAx>
        <c:axId val="6700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161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[2.4综合案例员工考勤表.xlsx]图表准备区!数据透视表5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050"/>
              <a:t>月工资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图表准备区!$M$21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图表准备区!$L$22:$L$26</c:f>
              <c:strCache>
                <c:ptCount val="4"/>
                <c:pt idx="0">
                  <c:v>生产二部</c:v>
                </c:pt>
                <c:pt idx="1">
                  <c:v>行政部</c:v>
                </c:pt>
                <c:pt idx="2">
                  <c:v>财务部</c:v>
                </c:pt>
                <c:pt idx="3">
                  <c:v>生产一部</c:v>
                </c:pt>
              </c:strCache>
            </c:strRef>
          </c:cat>
          <c:val>
            <c:numRef>
              <c:f>图表准备区!$M$22:$M$26</c:f>
              <c:numCache>
                <c:formatCode>General</c:formatCode>
                <c:ptCount val="4"/>
                <c:pt idx="0">
                  <c:v>54123.563218390809</c:v>
                </c:pt>
                <c:pt idx="1">
                  <c:v>53408.730158730163</c:v>
                </c:pt>
                <c:pt idx="2">
                  <c:v>41068.965517241377</c:v>
                </c:pt>
                <c:pt idx="3">
                  <c:v>28451.14942528736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9-49EF-BF4F-AE289C905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017792"/>
        <c:axId val="670107696"/>
      </c:barChart>
      <c:catAx>
        <c:axId val="7350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70107696"/>
        <c:crosses val="autoZero"/>
        <c:auto val="1"/>
        <c:lblAlgn val="ctr"/>
        <c:lblOffset val="100"/>
        <c:noMultiLvlLbl val="0"/>
      </c:catAx>
      <c:valAx>
        <c:axId val="6701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3501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image" Target="../media/image3.emf"/><Relationship Id="rId7" Type="http://schemas.openxmlformats.org/officeDocument/2006/relationships/chart" Target="../charts/chart7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4.emf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142875</xdr:rowOff>
    </xdr:from>
    <xdr:to>
      <xdr:col>10</xdr:col>
      <xdr:colOff>85725</xdr:colOff>
      <xdr:row>15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B180C3-5148-4346-9E26-C8CBFC159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17</xdr:row>
      <xdr:rowOff>47625</xdr:rowOff>
    </xdr:from>
    <xdr:to>
      <xdr:col>10</xdr:col>
      <xdr:colOff>0</xdr:colOff>
      <xdr:row>32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BC8876A-345F-49DF-9451-CB255C096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1</xdr:row>
      <xdr:rowOff>142875</xdr:rowOff>
    </xdr:from>
    <xdr:to>
      <xdr:col>17</xdr:col>
      <xdr:colOff>495300</xdr:colOff>
      <xdr:row>16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C69DE0F-A164-425F-A868-79158FB53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228600</xdr:colOff>
      <xdr:row>19</xdr:row>
      <xdr:rowOff>19050</xdr:rowOff>
    </xdr:from>
    <xdr:to>
      <xdr:col>17</xdr:col>
      <xdr:colOff>209550</xdr:colOff>
      <xdr:row>34</xdr:row>
      <xdr:rowOff>47625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ED5E36D-5C89-467E-B7EC-BE34EBF4B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0</xdr:row>
      <xdr:rowOff>66675</xdr:rowOff>
    </xdr:from>
    <xdr:to>
      <xdr:col>11</xdr:col>
      <xdr:colOff>295275</xdr:colOff>
      <xdr:row>26</xdr:row>
      <xdr:rowOff>66675</xdr:rowOff>
    </xdr:to>
    <xdr:sp macro="" textlink="">
      <xdr:nvSpPr>
        <xdr:cNvPr id="10" name="矩形: 圆角 9">
          <a:extLst>
            <a:ext uri="{FF2B5EF4-FFF2-40B4-BE49-F238E27FC236}">
              <a16:creationId xmlns:a16="http://schemas.microsoft.com/office/drawing/2014/main" id="{6B114EE2-716F-49C1-854E-4EFBEFEAC704}"/>
            </a:ext>
          </a:extLst>
        </xdr:cNvPr>
        <xdr:cNvSpPr/>
      </xdr:nvSpPr>
      <xdr:spPr>
        <a:xfrm>
          <a:off x="1047749" y="66675"/>
          <a:ext cx="7143751" cy="4733925"/>
        </a:xfrm>
        <a:prstGeom prst="roundRect">
          <a:avLst>
            <a:gd name="adj" fmla="val 6097"/>
          </a:avLst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</xdr:row>
          <xdr:rowOff>0</xdr:rowOff>
        </xdr:from>
        <xdr:to>
          <xdr:col>4</xdr:col>
          <xdr:colOff>1000125</xdr:colOff>
          <xdr:row>3</xdr:row>
          <xdr:rowOff>28575</xdr:rowOff>
        </xdr:to>
        <xdr:pic>
          <xdr:nvPicPr>
            <xdr:cNvPr id="4" name="图片 3">
              <a:extLst>
                <a:ext uri="{FF2B5EF4-FFF2-40B4-BE49-F238E27FC236}">
                  <a16:creationId xmlns:a16="http://schemas.microsoft.com/office/drawing/2014/main" id="{F5D1922D-959F-4E2F-9FF2-829134689D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2019年11月'!$I$28" spid="_x0000_s719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562225" y="390525"/>
              <a:ext cx="990600" cy="209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781050</xdr:colOff>
          <xdr:row>3</xdr:row>
          <xdr:rowOff>28575</xdr:rowOff>
        </xdr:to>
        <xdr:pic>
          <xdr:nvPicPr>
            <xdr:cNvPr id="6" name="图片 5">
              <a:extLst>
                <a:ext uri="{FF2B5EF4-FFF2-40B4-BE49-F238E27FC236}">
                  <a16:creationId xmlns:a16="http://schemas.microsoft.com/office/drawing/2014/main" id="{FF4EBE19-78D7-40A4-9A6B-32047D7F8C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2019年11月'!$H$28" spid="_x0000_s719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38275" y="390525"/>
              <a:ext cx="723900" cy="209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352425</xdr:colOff>
          <xdr:row>2</xdr:row>
          <xdr:rowOff>9525</xdr:rowOff>
        </xdr:from>
        <xdr:to>
          <xdr:col>10</xdr:col>
          <xdr:colOff>1362075</xdr:colOff>
          <xdr:row>3</xdr:row>
          <xdr:rowOff>38100</xdr:rowOff>
        </xdr:to>
        <xdr:pic>
          <xdr:nvPicPr>
            <xdr:cNvPr id="8" name="图片 7">
              <a:extLst>
                <a:ext uri="{FF2B5EF4-FFF2-40B4-BE49-F238E27FC236}">
                  <a16:creationId xmlns:a16="http://schemas.microsoft.com/office/drawing/2014/main" id="{60BF6DB1-FD9C-4CC4-A99F-BF30C283AAF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2019年11月'!$P$30" spid="_x0000_s719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105650" y="400050"/>
              <a:ext cx="1390650" cy="209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600075</xdr:colOff>
      <xdr:row>4</xdr:row>
      <xdr:rowOff>95250</xdr:rowOff>
    </xdr:from>
    <xdr:to>
      <xdr:col>6</xdr:col>
      <xdr:colOff>542925</xdr:colOff>
      <xdr:row>14</xdr:row>
      <xdr:rowOff>28575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CF60101-3484-48AA-8678-18D4F5609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361950</xdr:colOff>
      <xdr:row>3</xdr:row>
      <xdr:rowOff>85725</xdr:rowOff>
    </xdr:from>
    <xdr:to>
      <xdr:col>11</xdr:col>
      <xdr:colOff>304800</xdr:colOff>
      <xdr:row>3</xdr:row>
      <xdr:rowOff>85725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92721CB5-2187-4CAA-A65E-0E597E720EA1}"/>
            </a:ext>
          </a:extLst>
        </xdr:cNvPr>
        <xdr:cNvCxnSpPr/>
      </xdr:nvCxnSpPr>
      <xdr:spPr>
        <a:xfrm>
          <a:off x="1047750" y="657225"/>
          <a:ext cx="7153275" cy="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790575</xdr:colOff>
      <xdr:row>4</xdr:row>
      <xdr:rowOff>95251</xdr:rowOff>
    </xdr:from>
    <xdr:to>
      <xdr:col>11</xdr:col>
      <xdr:colOff>9525</xdr:colOff>
      <xdr:row>14</xdr:row>
      <xdr:rowOff>19051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C67DF2A-721B-4B5B-BC8D-5CD9D358B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</xdr:colOff>
          <xdr:row>2</xdr:row>
          <xdr:rowOff>9525</xdr:rowOff>
        </xdr:from>
        <xdr:to>
          <xdr:col>7</xdr:col>
          <xdr:colOff>190500</xdr:colOff>
          <xdr:row>3</xdr:row>
          <xdr:rowOff>38100</xdr:rowOff>
        </xdr:to>
        <xdr:pic>
          <xdr:nvPicPr>
            <xdr:cNvPr id="15" name="图片 14">
              <a:extLst>
                <a:ext uri="{FF2B5EF4-FFF2-40B4-BE49-F238E27FC236}">
                  <a16:creationId xmlns:a16="http://schemas.microsoft.com/office/drawing/2014/main" id="{342B7C56-E4D8-45DA-BA71-B193C0FAF80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2019年11月'!$Q$28" spid="_x0000_s719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3657600" y="400050"/>
              <a:ext cx="1390650" cy="209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600075</xdr:colOff>
      <xdr:row>14</xdr:row>
      <xdr:rowOff>95250</xdr:rowOff>
    </xdr:from>
    <xdr:to>
      <xdr:col>6</xdr:col>
      <xdr:colOff>542925</xdr:colOff>
      <xdr:row>25</xdr:row>
      <xdr:rowOff>19050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37518EA-AB0F-439F-BB61-6B198F36B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</xdr:row>
          <xdr:rowOff>0</xdr:rowOff>
        </xdr:from>
        <xdr:to>
          <xdr:col>9</xdr:col>
          <xdr:colOff>238125</xdr:colOff>
          <xdr:row>3</xdr:row>
          <xdr:rowOff>38100</xdr:rowOff>
        </xdr:to>
        <xdr:pic>
          <xdr:nvPicPr>
            <xdr:cNvPr id="17" name="图片 16">
              <a:extLst>
                <a:ext uri="{FF2B5EF4-FFF2-40B4-BE49-F238E27FC236}">
                  <a16:creationId xmlns:a16="http://schemas.microsoft.com/office/drawing/2014/main" id="{2EE6B9F9-BDA7-4351-8D6E-01A6E05E078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2019年11月'!$P$28" spid="_x0000_s7196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4962525" y="390525"/>
              <a:ext cx="1400175" cy="2190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6</xdr:col>
      <xdr:colOff>800100</xdr:colOff>
      <xdr:row>14</xdr:row>
      <xdr:rowOff>104775</xdr:rowOff>
    </xdr:from>
    <xdr:to>
      <xdr:col>10</xdr:col>
      <xdr:colOff>1381125</xdr:colOff>
      <xdr:row>25</xdr:row>
      <xdr:rowOff>9525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6251F785-A2AE-4E7D-8769-B568DB8C4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916.667265393517" createdVersion="6" refreshedVersion="6" minRefreshableVersion="3" recordCount="26" xr:uid="{2A4C69D7-CAE3-455A-B091-33D451B339E4}">
  <cacheSource type="worksheet">
    <worksheetSource ref="A1:R27" sheet="2019年11月"/>
  </cacheSource>
  <cacheFields count="18">
    <cacheField name="姓名" numFmtId="0">
      <sharedItems/>
    </cacheField>
    <cacheField name="出勤" numFmtId="0">
      <sharedItems containsSemiMixedTypes="0" containsString="0" containsNumber="1" containsInteger="1" minValue="20" maxValue="21"/>
    </cacheField>
    <cacheField name="病" numFmtId="0">
      <sharedItems containsSemiMixedTypes="0" containsString="0" containsNumber="1" containsInteger="1" minValue="0" maxValue="1"/>
    </cacheField>
    <cacheField name="事" numFmtId="0">
      <sharedItems containsSemiMixedTypes="0" containsString="0" containsNumber="1" containsInteger="1" minValue="0" maxValue="1"/>
    </cacheField>
    <cacheField name="平时加班" numFmtId="0">
      <sharedItems containsSemiMixedTypes="0" containsString="0" containsNumber="1" containsInteger="1" minValue="0" maxValue="19"/>
    </cacheField>
    <cacheField name="周末加班" numFmtId="0">
      <sharedItems containsSemiMixedTypes="0" containsString="0" containsNumber="1" containsInteger="1" minValue="4" maxValue="8"/>
    </cacheField>
    <cacheField name="YTD累计病假" numFmtId="0">
      <sharedItems containsSemiMixedTypes="0" containsString="0" containsNumber="1" containsInteger="1" minValue="1" maxValue="5"/>
    </cacheField>
    <cacheField name="出勤率" numFmtId="10">
      <sharedItems containsSemiMixedTypes="0" containsString="0" containsNumber="1" minValue="0.95238095238095233" maxValue="1"/>
    </cacheField>
    <cacheField name="加班强度比率" numFmtId="10">
      <sharedItems containsSemiMixedTypes="0" containsString="0" containsNumber="1" minValue="2.3809523809523808E-2" maxValue="0.13690476190476192"/>
    </cacheField>
    <cacheField name="每日工资" numFmtId="0">
      <sharedItems containsSemiMixedTypes="0" containsString="0" containsNumber="1" minValue="137.93103448275863" maxValue="551.72413793103453"/>
    </cacheField>
    <cacheField name="当月有效工作天数" numFmtId="0">
      <sharedItems containsSemiMixedTypes="0" containsString="0" containsNumber="1" containsInteger="1" minValue="20" maxValue="21"/>
    </cacheField>
    <cacheField name="当月实际工作天数调整比例" numFmtId="0">
      <sharedItems containsSemiMixedTypes="0" containsString="0" containsNumber="1" minValue="1.0357142857142858" maxValue="1.0357142857142858"/>
    </cacheField>
    <cacheField name="当月基础工资" numFmtId="2">
      <sharedItems containsSemiMixedTypes="0" containsString="0" containsNumber="1" minValue="3000.0000000000005" maxValue="12000.000000000002"/>
    </cacheField>
    <cacheField name="平时加班费" numFmtId="2">
      <sharedItems containsSemiMixedTypes="0" containsString="0" containsNumber="1" minValue="0" maxValue="1965.5172413793107"/>
    </cacheField>
    <cacheField name="周末加班费" numFmtId="2">
      <sharedItems containsSemiMixedTypes="0" containsString="0" containsNumber="1" minValue="137.93103448275863" maxValue="551.72413793103453"/>
    </cacheField>
    <cacheField name="月工资" numFmtId="176">
      <sharedItems containsSemiMixedTypes="0" containsString="0" containsNumber="1" minValue="3189.6551724137935" maxValue="14517.241379310346"/>
    </cacheField>
    <cacheField name="加班费占比" numFmtId="10">
      <sharedItems containsSemiMixedTypes="0" containsString="0" containsNumber="1" minValue="4.3956043956043959E-2" maxValue="0.17339667458432304"/>
    </cacheField>
    <cacheField name="部门" numFmtId="0">
      <sharedItems count="4">
        <s v="生产二部"/>
        <s v="行政部"/>
        <s v="财务部"/>
        <s v="生产一部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A"/>
    <n v="20"/>
    <n v="1"/>
    <n v="0"/>
    <n v="0"/>
    <n v="8"/>
    <n v="2"/>
    <n v="0.95238095238095233"/>
    <n v="4.7619047619047616E-2"/>
    <n v="229.88505747126436"/>
    <n v="21"/>
    <n v="1.0357142857142858"/>
    <n v="5000"/>
    <n v="0"/>
    <n v="459.77011494252872"/>
    <n v="5459.7701149425284"/>
    <n v="8.4210526315789472E-2"/>
    <x v="0"/>
  </r>
  <r>
    <s v="B"/>
    <n v="20"/>
    <n v="1"/>
    <n v="0"/>
    <n v="0"/>
    <n v="4"/>
    <n v="3"/>
    <n v="0.95238095238095233"/>
    <n v="2.3809523809523808E-2"/>
    <n v="183.90804597701148"/>
    <n v="21"/>
    <n v="1.0357142857142858"/>
    <n v="4000"/>
    <n v="0"/>
    <n v="183.90804597701148"/>
    <n v="4183.9080459770112"/>
    <n v="4.3956043956043959E-2"/>
    <x v="1"/>
  </r>
  <r>
    <s v="C"/>
    <n v="21"/>
    <n v="0"/>
    <n v="0"/>
    <n v="0"/>
    <n v="4"/>
    <n v="5"/>
    <n v="1"/>
    <n v="2.3809523809523808E-2"/>
    <n v="367.81609195402297"/>
    <n v="21"/>
    <n v="1.0357142857142858"/>
    <n v="8000"/>
    <n v="0"/>
    <n v="367.81609195402297"/>
    <n v="8367.8160919540223"/>
    <n v="4.3956043956043959E-2"/>
    <x v="2"/>
  </r>
  <r>
    <s v="D"/>
    <n v="20"/>
    <n v="1"/>
    <n v="0"/>
    <n v="2"/>
    <n v="4"/>
    <n v="1"/>
    <n v="0.95238095238095233"/>
    <n v="3.5714285714285712E-2"/>
    <n v="137.93103448275863"/>
    <n v="21"/>
    <n v="1.0357142857142858"/>
    <n v="3000.0000000000005"/>
    <n v="51.724137931034491"/>
    <n v="137.93103448275863"/>
    <n v="3189.6551724137935"/>
    <n v="5.9459459459459463E-2"/>
    <x v="1"/>
  </r>
  <r>
    <s v="E"/>
    <n v="21"/>
    <n v="0"/>
    <n v="0"/>
    <n v="11"/>
    <n v="4"/>
    <n v="3"/>
    <n v="1"/>
    <n v="8.9285714285714288E-2"/>
    <n v="275.86206896551727"/>
    <n v="21"/>
    <n v="1.0357142857142858"/>
    <n v="6000.0000000000009"/>
    <n v="568.96551724137942"/>
    <n v="275.86206896551727"/>
    <n v="6844.8275862068976"/>
    <n v="0.12342569269521411"/>
    <x v="3"/>
  </r>
  <r>
    <s v="F"/>
    <n v="21"/>
    <n v="0"/>
    <n v="0"/>
    <n v="15"/>
    <n v="4"/>
    <n v="3"/>
    <n v="1"/>
    <n v="0.1130952380952381"/>
    <n v="275.86206896551727"/>
    <n v="21"/>
    <n v="1.0357142857142858"/>
    <n v="6000.0000000000009"/>
    <n v="775.86206896551732"/>
    <n v="275.86206896551727"/>
    <n v="7051.7241379310353"/>
    <n v="0.1491442542787286"/>
    <x v="0"/>
  </r>
  <r>
    <s v="G"/>
    <n v="21"/>
    <n v="0"/>
    <n v="0"/>
    <n v="9"/>
    <n v="4"/>
    <n v="2"/>
    <n v="1"/>
    <n v="7.7380952380952384E-2"/>
    <n v="137.93103448275863"/>
    <n v="21"/>
    <n v="1.0357142857142858"/>
    <n v="3000.0000000000005"/>
    <n v="232.7586206896552"/>
    <n v="137.93103448275863"/>
    <n v="3370.6896551724144"/>
    <n v="0.10997442455242966"/>
    <x v="1"/>
  </r>
  <r>
    <s v="H"/>
    <n v="21"/>
    <n v="0"/>
    <n v="0"/>
    <n v="5"/>
    <n v="4"/>
    <n v="3"/>
    <n v="1"/>
    <n v="5.3571428571428568E-2"/>
    <n v="367.81609195402297"/>
    <n v="21"/>
    <n v="1.0357142857142858"/>
    <n v="8000"/>
    <n v="344.82758620689651"/>
    <n v="367.81609195402297"/>
    <n v="8712.6436781609191"/>
    <n v="8.1794195250659632E-2"/>
    <x v="0"/>
  </r>
  <r>
    <s v="I"/>
    <n v="21"/>
    <n v="0"/>
    <n v="0"/>
    <n v="11"/>
    <n v="4"/>
    <n v="3"/>
    <n v="1"/>
    <n v="8.9285714285714288E-2"/>
    <n v="229.88505747126436"/>
    <n v="21"/>
    <n v="1.0357142857142858"/>
    <n v="5000"/>
    <n v="474.13793103448268"/>
    <n v="229.88505747126436"/>
    <n v="5704.022988505747"/>
    <n v="0.12342569269521408"/>
    <x v="3"/>
  </r>
  <r>
    <s v="J"/>
    <n v="20"/>
    <n v="0"/>
    <n v="1"/>
    <n v="8"/>
    <n v="4"/>
    <n v="1"/>
    <n v="0.95238095238095233"/>
    <n v="7.1428571428571425E-2"/>
    <n v="459.77011494252872"/>
    <n v="20"/>
    <n v="1.0357142857142858"/>
    <n v="9523.8095238095248"/>
    <n v="656.81444991789817"/>
    <n v="437.87629994526549"/>
    <n v="10618.500273672687"/>
    <n v="0.10309278350515463"/>
    <x v="1"/>
  </r>
  <r>
    <s v="K"/>
    <n v="21"/>
    <n v="0"/>
    <n v="0"/>
    <n v="11"/>
    <n v="4"/>
    <n v="3"/>
    <n v="1"/>
    <n v="8.9285714285714288E-2"/>
    <n v="367.81609195402297"/>
    <n v="21"/>
    <n v="1.0357142857142858"/>
    <n v="8000"/>
    <n v="758.62068965517233"/>
    <n v="367.81609195402297"/>
    <n v="9126.4367816091944"/>
    <n v="0.12342569269521411"/>
    <x v="2"/>
  </r>
  <r>
    <s v="L"/>
    <n v="21"/>
    <n v="0"/>
    <n v="0"/>
    <n v="6"/>
    <n v="4"/>
    <n v="4"/>
    <n v="1"/>
    <n v="5.9523809523809521E-2"/>
    <n v="183.90804597701148"/>
    <n v="21"/>
    <n v="1.0357142857142858"/>
    <n v="4000"/>
    <n v="206.89655172413791"/>
    <n v="183.90804597701148"/>
    <n v="4390.8045977011489"/>
    <n v="8.9005235602094251E-2"/>
    <x v="1"/>
  </r>
  <r>
    <s v="M"/>
    <n v="21"/>
    <n v="0"/>
    <n v="0"/>
    <n v="9"/>
    <n v="6"/>
    <n v="3"/>
    <n v="1"/>
    <n v="8.9285714285714288E-2"/>
    <n v="275.86206896551727"/>
    <n v="21"/>
    <n v="1.0357142857142858"/>
    <n v="6000.0000000000009"/>
    <n v="465.51724137931041"/>
    <n v="413.79310344827593"/>
    <n v="6879.3103448275879"/>
    <n v="0.12781954887218044"/>
    <x v="0"/>
  </r>
  <r>
    <s v="N"/>
    <n v="21"/>
    <n v="0"/>
    <n v="0"/>
    <n v="10"/>
    <n v="4"/>
    <n v="5"/>
    <n v="1"/>
    <n v="8.3333333333333329E-2"/>
    <n v="367.81609195402297"/>
    <n v="21"/>
    <n v="1.0357142857142858"/>
    <n v="8000"/>
    <n v="689.65517241379303"/>
    <n v="367.81609195402297"/>
    <n v="9057.4712643678158"/>
    <n v="0.116751269035533"/>
    <x v="2"/>
  </r>
  <r>
    <s v="O"/>
    <n v="21"/>
    <n v="0"/>
    <n v="0"/>
    <n v="10"/>
    <n v="4"/>
    <n v="4"/>
    <n v="1"/>
    <n v="8.3333333333333329E-2"/>
    <n v="367.81609195402297"/>
    <n v="21"/>
    <n v="1.0357142857142858"/>
    <n v="8000"/>
    <n v="689.65517241379303"/>
    <n v="367.81609195402297"/>
    <n v="9057.4712643678158"/>
    <n v="0.116751269035533"/>
    <x v="3"/>
  </r>
  <r>
    <s v="P"/>
    <n v="21"/>
    <n v="0"/>
    <n v="0"/>
    <n v="10"/>
    <n v="4"/>
    <n v="3"/>
    <n v="1"/>
    <n v="8.3333333333333329E-2"/>
    <n v="275.86206896551727"/>
    <n v="21"/>
    <n v="1.0357142857142858"/>
    <n v="6000.0000000000009"/>
    <n v="517.24137931034488"/>
    <n v="275.86206896551727"/>
    <n v="6793.1034482758632"/>
    <n v="0.11675126903553298"/>
    <x v="1"/>
  </r>
  <r>
    <s v="Q"/>
    <n v="21"/>
    <n v="0"/>
    <n v="0"/>
    <n v="15"/>
    <n v="4"/>
    <n v="1"/>
    <n v="1"/>
    <n v="0.1130952380952381"/>
    <n v="229.88505747126436"/>
    <n v="21"/>
    <n v="1.0357142857142858"/>
    <n v="5000"/>
    <n v="646.55172413793093"/>
    <n v="229.88505747126436"/>
    <n v="5876.4367816091954"/>
    <n v="0.1491442542787286"/>
    <x v="0"/>
  </r>
  <r>
    <s v="R"/>
    <n v="20"/>
    <n v="1"/>
    <n v="0"/>
    <n v="10"/>
    <n v="4"/>
    <n v="5"/>
    <n v="0.95238095238095233"/>
    <n v="8.3333333333333329E-2"/>
    <n v="275.86206896551727"/>
    <n v="21"/>
    <n v="1.0357142857142858"/>
    <n v="6000.0000000000009"/>
    <n v="517.24137931034488"/>
    <n v="275.86206896551727"/>
    <n v="6793.1034482758632"/>
    <n v="0.11675126903553298"/>
    <x v="1"/>
  </r>
  <r>
    <s v="S"/>
    <n v="21"/>
    <n v="0"/>
    <n v="0"/>
    <n v="14"/>
    <n v="4"/>
    <n v="4"/>
    <n v="1"/>
    <n v="0.10714285714285714"/>
    <n v="275.86206896551727"/>
    <n v="21"/>
    <n v="1.0357142857142858"/>
    <n v="6000.0000000000009"/>
    <n v="724.1379310344829"/>
    <n v="275.86206896551727"/>
    <n v="7000.0000000000009"/>
    <n v="0.14285714285714288"/>
    <x v="0"/>
  </r>
  <r>
    <s v="T"/>
    <n v="21"/>
    <n v="0"/>
    <n v="0"/>
    <n v="10"/>
    <n v="4"/>
    <n v="3"/>
    <n v="1"/>
    <n v="8.3333333333333329E-2"/>
    <n v="183.90804597701148"/>
    <n v="21"/>
    <n v="1.0357142857142858"/>
    <n v="4000"/>
    <n v="344.82758620689651"/>
    <n v="183.90804597701148"/>
    <n v="4528.7356321839079"/>
    <n v="0.116751269035533"/>
    <x v="1"/>
  </r>
  <r>
    <s v="U"/>
    <n v="21"/>
    <n v="0"/>
    <n v="0"/>
    <n v="19"/>
    <n v="4"/>
    <n v="4"/>
    <n v="1"/>
    <n v="0.13690476190476192"/>
    <n v="551.72413793103453"/>
    <n v="21"/>
    <n v="1.0357142857142858"/>
    <n v="12000.000000000002"/>
    <n v="1965.5172413793107"/>
    <n v="551.72413793103453"/>
    <n v="14517.241379310346"/>
    <n v="0.17339667458432304"/>
    <x v="2"/>
  </r>
  <r>
    <s v="V"/>
    <n v="21"/>
    <n v="0"/>
    <n v="0"/>
    <n v="11"/>
    <n v="4"/>
    <n v="3"/>
    <n v="1"/>
    <n v="8.9285714285714288E-2"/>
    <n v="275.86206896551727"/>
    <n v="21"/>
    <n v="1.0357142857142858"/>
    <n v="6000.0000000000009"/>
    <n v="568.96551724137942"/>
    <n v="275.86206896551727"/>
    <n v="6844.8275862068976"/>
    <n v="0.12342569269521411"/>
    <x v="3"/>
  </r>
  <r>
    <s v="W"/>
    <n v="21"/>
    <n v="0"/>
    <n v="0"/>
    <n v="17"/>
    <n v="5"/>
    <n v="5"/>
    <n v="1"/>
    <n v="0.13095238095238096"/>
    <n v="275.86206896551727"/>
    <n v="21"/>
    <n v="1.0357142857142858"/>
    <n v="6000.0000000000009"/>
    <n v="879.31034482758639"/>
    <n v="344.82758620689657"/>
    <n v="7224.1379310344837"/>
    <n v="0.16945107398568021"/>
    <x v="0"/>
  </r>
  <r>
    <s v="X"/>
    <n v="21"/>
    <n v="0"/>
    <n v="0"/>
    <n v="18"/>
    <n v="4"/>
    <n v="1"/>
    <n v="1"/>
    <n v="0.13095238095238096"/>
    <n v="183.90804597701148"/>
    <n v="21"/>
    <n v="1.0357142857142858"/>
    <n v="4000"/>
    <n v="620.68965517241372"/>
    <n v="183.90804597701148"/>
    <n v="4804.5977011494251"/>
    <n v="0.16746411483253587"/>
    <x v="1"/>
  </r>
  <r>
    <s v="Y"/>
    <n v="21"/>
    <n v="0"/>
    <n v="0"/>
    <n v="16"/>
    <n v="4"/>
    <n v="4"/>
    <n v="1"/>
    <n v="0.11904761904761904"/>
    <n v="229.88505747126436"/>
    <n v="21"/>
    <n v="1.0357142857142858"/>
    <n v="5000"/>
    <n v="689.65517241379303"/>
    <n v="229.88505747126436"/>
    <n v="5919.5402298850577"/>
    <n v="0.1553398058252427"/>
    <x v="0"/>
  </r>
  <r>
    <s v="Z"/>
    <n v="21"/>
    <n v="0"/>
    <n v="0"/>
    <n v="16"/>
    <n v="4"/>
    <n v="3"/>
    <n v="1"/>
    <n v="0.11904761904761904"/>
    <n v="183.90804597701148"/>
    <n v="21"/>
    <n v="1.0357142857142858"/>
    <n v="4000"/>
    <n v="551.72413793103442"/>
    <n v="183.90804597701148"/>
    <n v="4735.6321839080456"/>
    <n v="0.1553398058252427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17FF19-D5AD-408C-9012-15537FCE0F17}" name="数据透视表5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L21:M26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  <pivotField showAll="0"/>
    <pivotField showAll="0"/>
    <pivotField showAll="0"/>
    <pivotField numFmtId="2" showAll="0"/>
    <pivotField numFmtId="2" showAll="0"/>
    <pivotField numFmtId="2" showAll="0"/>
    <pivotField dataField="1" numFmtId="176" showAll="0"/>
    <pivotField numFmtId="10" showAll="0"/>
    <pivotField axis="axisRow" showAll="0" sortType="de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7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求和项:月工资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793F7-754B-449A-A96D-C4158E437F99}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L2:M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  <pivotField showAll="0"/>
    <pivotField showAll="0"/>
    <pivotField showAll="0"/>
    <pivotField numFmtId="2" showAll="0"/>
    <pivotField numFmtId="2" showAll="0"/>
    <pivotField numFmtId="2" showAll="0"/>
    <pivotField numFmtId="176" showAll="0"/>
    <pivotField dataField="1" numFmtId="10" showAll="0"/>
    <pivotField axis="axisRow" showAll="0" sortType="de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7"/>
  </rowFields>
  <rowItems count="5">
    <i>
      <x v="2"/>
    </i>
    <i>
      <x v="3"/>
    </i>
    <i>
      <x/>
    </i>
    <i>
      <x v="1"/>
    </i>
    <i t="grand">
      <x/>
    </i>
  </rowItems>
  <colItems count="1">
    <i/>
  </colItems>
  <dataFields count="1">
    <dataField name="平均值项:加班费占比" fld="16" subtotal="average" baseField="17" baseItem="0"/>
  </dataFields>
  <formats count="2">
    <format dxfId="1">
      <pivotArea collapsedLevelsAreSubtotals="1" fieldPosition="0">
        <references count="1">
          <reference field="17" count="0"/>
        </references>
      </pivotArea>
    </format>
    <format dxfId="0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51396-DAAB-4C39-BF60-14668B7EBBB6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B20:C25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numFmtId="10" showAll="0"/>
    <pivotField dataField="1" numFmtId="10" showAll="0"/>
    <pivotField showAll="0"/>
    <pivotField showAll="0"/>
    <pivotField showAll="0"/>
    <pivotField numFmtId="2" showAll="0"/>
    <pivotField numFmtId="2" showAll="0"/>
    <pivotField numFmtId="2" showAll="0"/>
    <pivotField numFmtId="176" showAll="0"/>
    <pivotField numFmtId="10" showAll="0"/>
    <pivotField axis="axisRow" showAll="0" sortType="de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7"/>
  </rowFields>
  <rowItems count="5">
    <i>
      <x v="2"/>
    </i>
    <i>
      <x v="3"/>
    </i>
    <i>
      <x/>
    </i>
    <i>
      <x v="1"/>
    </i>
    <i t="grand">
      <x/>
    </i>
  </rowItems>
  <colItems count="1">
    <i/>
  </colItems>
  <dataFields count="1">
    <dataField name="平均值项:加班强度比率" fld="8" subtotal="average" baseField="16" baseItem="1"/>
  </dataFields>
  <formats count="1">
    <format dxfId="2">
      <pivotArea collapsedLevelsAreSubtotals="1" fieldPosition="0">
        <references count="1">
          <reference field="17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E7350-D195-4DD7-ADFF-BBFDDF7E206C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4">
  <location ref="B2:C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numFmtId="10" showAll="0"/>
    <pivotField showAll="0"/>
    <pivotField showAll="0"/>
    <pivotField showAll="0"/>
    <pivotField numFmtId="2" showAll="0"/>
    <pivotField numFmtId="2" showAll="0"/>
    <pivotField numFmtId="2" showAll="0"/>
    <pivotField numFmtId="176" showAll="0"/>
    <pivotField numFmtId="10" showAll="0"/>
    <pivotField axis="axisRow" showAll="0" sortType="de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7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平均值项:出勤率" fld="7" subtotal="average" baseField="16" baseItem="0"/>
  </dataFields>
  <formats count="1">
    <format dxfId="3">
      <pivotArea collapsedLevelsAreSubtotals="1" fieldPosition="0">
        <references count="1">
          <reference field="17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C765-E5C6-4405-9161-31FAD77458BE}">
  <dimension ref="A1:C27"/>
  <sheetViews>
    <sheetView workbookViewId="0">
      <selection sqref="A1:C1"/>
    </sheetView>
  </sheetViews>
  <sheetFormatPr defaultRowHeight="14.25" x14ac:dyDescent="0.2"/>
  <cols>
    <col min="3" max="3" width="9" style="10"/>
  </cols>
  <sheetData>
    <row r="1" spans="1:3" ht="15" x14ac:dyDescent="0.25">
      <c r="A1" s="6" t="s">
        <v>57</v>
      </c>
      <c r="B1" s="6" t="s">
        <v>62</v>
      </c>
      <c r="C1" s="9" t="s">
        <v>66</v>
      </c>
    </row>
    <row r="2" spans="1:3" ht="16.5" x14ac:dyDescent="0.3">
      <c r="A2" s="7" t="s">
        <v>61</v>
      </c>
      <c r="B2" s="7" t="s">
        <v>6</v>
      </c>
      <c r="C2" s="1">
        <v>5000</v>
      </c>
    </row>
    <row r="3" spans="1:3" ht="16.5" x14ac:dyDescent="0.3">
      <c r="A3" s="7" t="s">
        <v>58</v>
      </c>
      <c r="B3" s="7" t="s">
        <v>8</v>
      </c>
      <c r="C3" s="1">
        <v>4000</v>
      </c>
    </row>
    <row r="4" spans="1:3" ht="16.5" x14ac:dyDescent="0.3">
      <c r="A4" s="7" t="s">
        <v>59</v>
      </c>
      <c r="B4" s="7" t="s">
        <v>10</v>
      </c>
      <c r="C4" s="1">
        <v>8000</v>
      </c>
    </row>
    <row r="5" spans="1:3" ht="16.5" x14ac:dyDescent="0.3">
      <c r="A5" s="7" t="s">
        <v>58</v>
      </c>
      <c r="B5" s="7" t="s">
        <v>12</v>
      </c>
      <c r="C5" s="1">
        <v>3000</v>
      </c>
    </row>
    <row r="6" spans="1:3" ht="16.5" x14ac:dyDescent="0.3">
      <c r="A6" s="7" t="s">
        <v>60</v>
      </c>
      <c r="B6" s="7" t="s">
        <v>14</v>
      </c>
      <c r="C6" s="1">
        <v>6000</v>
      </c>
    </row>
    <row r="7" spans="1:3" ht="16.5" x14ac:dyDescent="0.3">
      <c r="A7" s="7" t="s">
        <v>61</v>
      </c>
      <c r="B7" s="8" t="s">
        <v>16</v>
      </c>
      <c r="C7" s="1">
        <v>6000</v>
      </c>
    </row>
    <row r="8" spans="1:3" ht="16.5" x14ac:dyDescent="0.3">
      <c r="A8" s="7" t="s">
        <v>58</v>
      </c>
      <c r="B8" s="8" t="s">
        <v>18</v>
      </c>
      <c r="C8" s="1">
        <v>3000</v>
      </c>
    </row>
    <row r="9" spans="1:3" ht="16.5" x14ac:dyDescent="0.3">
      <c r="A9" s="7" t="s">
        <v>61</v>
      </c>
      <c r="B9" s="8" t="s">
        <v>20</v>
      </c>
      <c r="C9" s="1">
        <v>8000</v>
      </c>
    </row>
    <row r="10" spans="1:3" ht="16.5" x14ac:dyDescent="0.3">
      <c r="A10" s="7" t="s">
        <v>60</v>
      </c>
      <c r="B10" s="8" t="s">
        <v>22</v>
      </c>
      <c r="C10" s="1">
        <v>5000</v>
      </c>
    </row>
    <row r="11" spans="1:3" ht="16.5" x14ac:dyDescent="0.3">
      <c r="A11" s="7" t="s">
        <v>58</v>
      </c>
      <c r="B11" s="8" t="s">
        <v>24</v>
      </c>
      <c r="C11" s="1">
        <v>10000</v>
      </c>
    </row>
    <row r="12" spans="1:3" ht="16.5" x14ac:dyDescent="0.3">
      <c r="A12" s="7" t="s">
        <v>59</v>
      </c>
      <c r="B12" s="8" t="s">
        <v>26</v>
      </c>
      <c r="C12" s="1">
        <v>8000</v>
      </c>
    </row>
    <row r="13" spans="1:3" ht="16.5" x14ac:dyDescent="0.3">
      <c r="A13" s="7" t="s">
        <v>58</v>
      </c>
      <c r="B13" s="8" t="s">
        <v>28</v>
      </c>
      <c r="C13" s="1">
        <v>4000</v>
      </c>
    </row>
    <row r="14" spans="1:3" ht="16.5" x14ac:dyDescent="0.3">
      <c r="A14" s="7" t="s">
        <v>61</v>
      </c>
      <c r="B14" s="8" t="s">
        <v>30</v>
      </c>
      <c r="C14" s="1">
        <v>6000</v>
      </c>
    </row>
    <row r="15" spans="1:3" ht="16.5" x14ac:dyDescent="0.3">
      <c r="A15" s="7" t="s">
        <v>59</v>
      </c>
      <c r="B15" s="8" t="s">
        <v>32</v>
      </c>
      <c r="C15" s="1">
        <v>8000</v>
      </c>
    </row>
    <row r="16" spans="1:3" ht="16.5" x14ac:dyDescent="0.3">
      <c r="A16" s="7" t="s">
        <v>60</v>
      </c>
      <c r="B16" s="8" t="s">
        <v>34</v>
      </c>
      <c r="C16" s="1">
        <v>8000</v>
      </c>
    </row>
    <row r="17" spans="1:3" ht="16.5" x14ac:dyDescent="0.3">
      <c r="A17" s="7" t="s">
        <v>58</v>
      </c>
      <c r="B17" s="8" t="s">
        <v>36</v>
      </c>
      <c r="C17" s="1">
        <v>6000</v>
      </c>
    </row>
    <row r="18" spans="1:3" ht="16.5" x14ac:dyDescent="0.3">
      <c r="A18" s="7" t="s">
        <v>61</v>
      </c>
      <c r="B18" s="8" t="s">
        <v>38</v>
      </c>
      <c r="C18" s="1">
        <v>5000</v>
      </c>
    </row>
    <row r="19" spans="1:3" ht="16.5" x14ac:dyDescent="0.3">
      <c r="A19" s="7" t="s">
        <v>58</v>
      </c>
      <c r="B19" s="8" t="s">
        <v>40</v>
      </c>
      <c r="C19" s="1">
        <v>6000</v>
      </c>
    </row>
    <row r="20" spans="1:3" ht="16.5" x14ac:dyDescent="0.3">
      <c r="A20" s="7" t="s">
        <v>61</v>
      </c>
      <c r="B20" s="8" t="s">
        <v>42</v>
      </c>
      <c r="C20" s="1">
        <v>6000</v>
      </c>
    </row>
    <row r="21" spans="1:3" ht="16.5" x14ac:dyDescent="0.3">
      <c r="A21" s="7" t="s">
        <v>58</v>
      </c>
      <c r="B21" s="8" t="s">
        <v>44</v>
      </c>
      <c r="C21" s="1">
        <v>4000</v>
      </c>
    </row>
    <row r="22" spans="1:3" ht="16.5" x14ac:dyDescent="0.3">
      <c r="A22" s="7" t="s">
        <v>59</v>
      </c>
      <c r="B22" s="8" t="s">
        <v>46</v>
      </c>
      <c r="C22" s="1">
        <v>12000</v>
      </c>
    </row>
    <row r="23" spans="1:3" ht="16.5" x14ac:dyDescent="0.3">
      <c r="A23" s="7" t="s">
        <v>60</v>
      </c>
      <c r="B23" s="8" t="s">
        <v>48</v>
      </c>
      <c r="C23" s="1">
        <v>6000</v>
      </c>
    </row>
    <row r="24" spans="1:3" ht="16.5" x14ac:dyDescent="0.3">
      <c r="A24" s="7" t="s">
        <v>61</v>
      </c>
      <c r="B24" s="8" t="s">
        <v>50</v>
      </c>
      <c r="C24" s="1">
        <v>6000</v>
      </c>
    </row>
    <row r="25" spans="1:3" ht="16.5" x14ac:dyDescent="0.3">
      <c r="A25" s="7" t="s">
        <v>58</v>
      </c>
      <c r="B25" s="8" t="s">
        <v>52</v>
      </c>
      <c r="C25" s="1">
        <v>4000</v>
      </c>
    </row>
    <row r="26" spans="1:3" ht="16.5" x14ac:dyDescent="0.3">
      <c r="A26" s="7" t="s">
        <v>61</v>
      </c>
      <c r="B26" s="8" t="s">
        <v>54</v>
      </c>
      <c r="C26" s="1">
        <v>5000</v>
      </c>
    </row>
    <row r="27" spans="1:3" ht="16.5" x14ac:dyDescent="0.3">
      <c r="A27" s="7" t="s">
        <v>58</v>
      </c>
      <c r="B27" s="8" t="s">
        <v>56</v>
      </c>
      <c r="C27" s="1">
        <v>4000</v>
      </c>
    </row>
  </sheetData>
  <autoFilter ref="A1:C27" xr:uid="{B985F5B8-E0FC-4E55-A71B-9AD8E60A8F8A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56F5-DB64-4C06-81F5-C0F6BEF5EF11}">
  <dimension ref="A1:R34"/>
  <sheetViews>
    <sheetView showGridLines="0" workbookViewId="0">
      <selection activeCell="K3" sqref="K3"/>
    </sheetView>
  </sheetViews>
  <sheetFormatPr defaultRowHeight="14.25" x14ac:dyDescent="0.2"/>
  <cols>
    <col min="7" max="7" width="12.5" bestFit="1" customWidth="1"/>
    <col min="8" max="8" width="9.5" bestFit="1" customWidth="1"/>
    <col min="9" max="9" width="13" bestFit="1" customWidth="1"/>
    <col min="11" max="11" width="17.25" bestFit="1" customWidth="1"/>
    <col min="12" max="12" width="25.5" bestFit="1" customWidth="1"/>
    <col min="13" max="13" width="13.125" bestFit="1" customWidth="1"/>
    <col min="14" max="14" width="10.125" bestFit="1" customWidth="1"/>
    <col min="15" max="15" width="11.125" bestFit="1" customWidth="1"/>
    <col min="16" max="16" width="18.25" bestFit="1" customWidth="1"/>
    <col min="17" max="17" width="18.25" customWidth="1"/>
  </cols>
  <sheetData>
    <row r="1" spans="1:18" ht="15" x14ac:dyDescent="0.25">
      <c r="A1" s="15" t="s">
        <v>65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69</v>
      </c>
      <c r="H1" s="15" t="s">
        <v>67</v>
      </c>
      <c r="I1" s="15" t="s">
        <v>68</v>
      </c>
      <c r="J1" s="15" t="s">
        <v>70</v>
      </c>
      <c r="K1" s="15" t="s">
        <v>71</v>
      </c>
      <c r="L1" s="15" t="s">
        <v>72</v>
      </c>
      <c r="M1" s="15" t="s">
        <v>73</v>
      </c>
      <c r="N1" s="15" t="s">
        <v>74</v>
      </c>
      <c r="O1" s="15" t="s">
        <v>75</v>
      </c>
      <c r="P1" s="15" t="s">
        <v>76</v>
      </c>
      <c r="Q1" s="16" t="s">
        <v>86</v>
      </c>
      <c r="R1" s="16" t="s">
        <v>57</v>
      </c>
    </row>
    <row r="2" spans="1:18" ht="16.5" x14ac:dyDescent="0.3">
      <c r="A2" s="7" t="s">
        <v>5</v>
      </c>
      <c r="B2" s="7">
        <v>20</v>
      </c>
      <c r="C2" s="7">
        <v>1</v>
      </c>
      <c r="D2" s="7">
        <v>0</v>
      </c>
      <c r="E2" s="7">
        <v>0</v>
      </c>
      <c r="F2" s="7">
        <v>8</v>
      </c>
      <c r="G2" s="7">
        <v>2</v>
      </c>
      <c r="H2" s="12">
        <f t="shared" ref="H2:H27" si="0">B2/NETWORKDAYS(DATE(2019,11,1),DATE(2019,11,30))</f>
        <v>0.95238095238095233</v>
      </c>
      <c r="I2" s="12">
        <f t="shared" ref="I2:I27" si="1">(F2+E2)/(NETWORKDAYS(DATE(2019,11,1),DATE(2019,11,30))*8)</f>
        <v>4.7619047619047616E-2</v>
      </c>
      <c r="J2" s="7">
        <f>VLOOKUP(A2,员工信息!$B$2:$C$27,2,FALSE)/21.75</f>
        <v>229.88505747126436</v>
      </c>
      <c r="K2" s="7">
        <f>NETWORKDAYS(DATE(2019,11,1),DATE(2019,11,30))-D2-IF(G2&lt;=5,0,IF(G2-C2&gt;5,C2,G2-5))</f>
        <v>21</v>
      </c>
      <c r="L2" s="7">
        <f>21.75/NETWORKDAYS(DATE(2019,11,1),DATE(2019,11,30))</f>
        <v>1.0357142857142858</v>
      </c>
      <c r="M2" s="13">
        <f>(VLOOKUP(A2,员工信息!$B$2:$C$27,2,FALSE)/21.75)*IF(G2&lt;=5,B2+C2,B2+C2-(G2-C2))*(21.75/NETWORKDAYS(DATE(2019,11,1),DATE(2019,11,30)))</f>
        <v>5000</v>
      </c>
      <c r="N2" s="13">
        <f>M2/(21.75*8)*1.5*E2</f>
        <v>0</v>
      </c>
      <c r="O2" s="13">
        <f>(M2/(21.75*8))*2*F2</f>
        <v>459.77011494252872</v>
      </c>
      <c r="P2" s="14">
        <f>M2+N2+O2</f>
        <v>5459.7701149425284</v>
      </c>
      <c r="Q2" s="12">
        <f>SUM(N2:O2)/P2</f>
        <v>8.4210526315789472E-2</v>
      </c>
      <c r="R2" s="7" t="str">
        <f>INDEX(员工信息!$A$2:$A$27,MATCH(A2,员工信息!$B$2:$B$27,0))</f>
        <v>生产二部</v>
      </c>
    </row>
    <row r="3" spans="1:18" ht="16.5" x14ac:dyDescent="0.3">
      <c r="A3" s="7" t="s">
        <v>7</v>
      </c>
      <c r="B3" s="7">
        <v>20</v>
      </c>
      <c r="C3" s="7">
        <v>1</v>
      </c>
      <c r="D3" s="7">
        <v>0</v>
      </c>
      <c r="E3" s="7">
        <v>0</v>
      </c>
      <c r="F3" s="7">
        <v>4</v>
      </c>
      <c r="G3" s="7">
        <v>3</v>
      </c>
      <c r="H3" s="12">
        <f t="shared" si="0"/>
        <v>0.95238095238095233</v>
      </c>
      <c r="I3" s="12">
        <f t="shared" si="1"/>
        <v>2.3809523809523808E-2</v>
      </c>
      <c r="J3" s="7">
        <f>VLOOKUP(A3,员工信息!$B$2:$C$27,2,FALSE)/21.75</f>
        <v>183.90804597701148</v>
      </c>
      <c r="K3" s="7">
        <f t="shared" ref="K3:K27" si="2">NETWORKDAYS(DATE(2019,11,1),DATE(2019,11,30))-D3-IF(G3&lt;=5,0,IF(G3-C3&gt;5,C3,G3-5))</f>
        <v>21</v>
      </c>
      <c r="L3" s="7">
        <f t="shared" ref="L3:L27" si="3">21.75/NETWORKDAYS(DATE(2019,11,1),DATE(2019,11,30))</f>
        <v>1.0357142857142858</v>
      </c>
      <c r="M3" s="13">
        <f>(VLOOKUP(A3,员工信息!$B$2:$C$27,2,FALSE)/21.75)*IF(G3&lt;=5,B3+C3,B3+C3-(G3-C3))*(21.75/NETWORKDAYS(DATE(2019,11,1),DATE(2019,11,30)))</f>
        <v>4000</v>
      </c>
      <c r="N3" s="13">
        <f t="shared" ref="N3:N27" si="4">M3/(21.75*8)*1.5*E3</f>
        <v>0</v>
      </c>
      <c r="O3" s="13">
        <f t="shared" ref="O3:O27" si="5">(M3/(21.75*8))*2*F3</f>
        <v>183.90804597701148</v>
      </c>
      <c r="P3" s="14">
        <f t="shared" ref="P3:P28" si="6">M3+N3+O3</f>
        <v>4183.9080459770112</v>
      </c>
      <c r="Q3" s="12">
        <f t="shared" ref="Q3:Q28" si="7">SUM(N3:O3)/P3</f>
        <v>4.3956043956043959E-2</v>
      </c>
      <c r="R3" s="7" t="str">
        <f>INDEX(员工信息!$A$2:$A$27,MATCH(A3,员工信息!$B$2:$B$27,0))</f>
        <v>行政部</v>
      </c>
    </row>
    <row r="4" spans="1:18" ht="16.5" x14ac:dyDescent="0.3">
      <c r="A4" s="7" t="s">
        <v>9</v>
      </c>
      <c r="B4" s="7">
        <v>21</v>
      </c>
      <c r="C4" s="7">
        <v>0</v>
      </c>
      <c r="D4" s="7">
        <v>0</v>
      </c>
      <c r="E4" s="7">
        <v>0</v>
      </c>
      <c r="F4" s="7">
        <v>4</v>
      </c>
      <c r="G4" s="7">
        <v>5</v>
      </c>
      <c r="H4" s="12">
        <f t="shared" si="0"/>
        <v>1</v>
      </c>
      <c r="I4" s="12">
        <f t="shared" si="1"/>
        <v>2.3809523809523808E-2</v>
      </c>
      <c r="J4" s="7">
        <f>VLOOKUP(A4,员工信息!$B$2:$C$27,2,FALSE)/21.75</f>
        <v>367.81609195402297</v>
      </c>
      <c r="K4" s="7">
        <f t="shared" si="2"/>
        <v>21</v>
      </c>
      <c r="L4" s="7">
        <f t="shared" si="3"/>
        <v>1.0357142857142858</v>
      </c>
      <c r="M4" s="13">
        <f>(VLOOKUP(A4,员工信息!$B$2:$C$27,2,FALSE)/21.75)*IF(G4&lt;=5,B4+C4,B4+C4-(G4-C4))*(21.75/NETWORKDAYS(DATE(2019,11,1),DATE(2019,11,30)))</f>
        <v>8000</v>
      </c>
      <c r="N4" s="13">
        <f t="shared" si="4"/>
        <v>0</v>
      </c>
      <c r="O4" s="13">
        <f t="shared" si="5"/>
        <v>367.81609195402297</v>
      </c>
      <c r="P4" s="14">
        <f t="shared" si="6"/>
        <v>8367.8160919540223</v>
      </c>
      <c r="Q4" s="12">
        <f t="shared" si="7"/>
        <v>4.3956043956043959E-2</v>
      </c>
      <c r="R4" s="7" t="str">
        <f>INDEX(员工信息!$A$2:$A$27,MATCH(A4,员工信息!$B$2:$B$27,0))</f>
        <v>财务部</v>
      </c>
    </row>
    <row r="5" spans="1:18" ht="16.5" x14ac:dyDescent="0.3">
      <c r="A5" s="7" t="s">
        <v>11</v>
      </c>
      <c r="B5" s="7">
        <v>20</v>
      </c>
      <c r="C5" s="7">
        <v>1</v>
      </c>
      <c r="D5" s="7">
        <v>0</v>
      </c>
      <c r="E5" s="7">
        <v>2</v>
      </c>
      <c r="F5" s="7">
        <v>4</v>
      </c>
      <c r="G5" s="7">
        <v>1</v>
      </c>
      <c r="H5" s="12">
        <f t="shared" si="0"/>
        <v>0.95238095238095233</v>
      </c>
      <c r="I5" s="12">
        <f t="shared" si="1"/>
        <v>3.5714285714285712E-2</v>
      </c>
      <c r="J5" s="7">
        <f>VLOOKUP(A5,员工信息!$B$2:$C$27,2,FALSE)/21.75</f>
        <v>137.93103448275863</v>
      </c>
      <c r="K5" s="7">
        <f t="shared" si="2"/>
        <v>21</v>
      </c>
      <c r="L5" s="7">
        <f t="shared" si="3"/>
        <v>1.0357142857142858</v>
      </c>
      <c r="M5" s="13">
        <f>(VLOOKUP(A5,员工信息!$B$2:$C$27,2,FALSE)/21.75)*IF(G5&lt;=5,B5+C5,B5+C5-(G5-C5))*(21.75/NETWORKDAYS(DATE(2019,11,1),DATE(2019,11,30)))</f>
        <v>3000.0000000000005</v>
      </c>
      <c r="N5" s="13">
        <f t="shared" si="4"/>
        <v>51.724137931034491</v>
      </c>
      <c r="O5" s="13">
        <f t="shared" si="5"/>
        <v>137.93103448275863</v>
      </c>
      <c r="P5" s="14">
        <f t="shared" si="6"/>
        <v>3189.6551724137935</v>
      </c>
      <c r="Q5" s="12">
        <f t="shared" si="7"/>
        <v>5.9459459459459463E-2</v>
      </c>
      <c r="R5" s="7" t="str">
        <f>INDEX(员工信息!$A$2:$A$27,MATCH(A5,员工信息!$B$2:$B$27,0))</f>
        <v>行政部</v>
      </c>
    </row>
    <row r="6" spans="1:18" ht="16.5" x14ac:dyDescent="0.3">
      <c r="A6" s="7" t="s">
        <v>13</v>
      </c>
      <c r="B6" s="7">
        <v>21</v>
      </c>
      <c r="C6" s="7">
        <v>0</v>
      </c>
      <c r="D6" s="7">
        <v>0</v>
      </c>
      <c r="E6" s="7">
        <v>11</v>
      </c>
      <c r="F6" s="7">
        <v>4</v>
      </c>
      <c r="G6" s="7">
        <v>3</v>
      </c>
      <c r="H6" s="12">
        <f t="shared" si="0"/>
        <v>1</v>
      </c>
      <c r="I6" s="12">
        <f t="shared" si="1"/>
        <v>8.9285714285714288E-2</v>
      </c>
      <c r="J6" s="7">
        <f>VLOOKUP(A6,员工信息!$B$2:$C$27,2,FALSE)/21.75</f>
        <v>275.86206896551727</v>
      </c>
      <c r="K6" s="7">
        <f t="shared" si="2"/>
        <v>21</v>
      </c>
      <c r="L6" s="7">
        <f t="shared" si="3"/>
        <v>1.0357142857142858</v>
      </c>
      <c r="M6" s="13">
        <f>(VLOOKUP(A6,员工信息!$B$2:$C$27,2,FALSE)/21.75)*IF(G6&lt;=5,B6+C6,B6+C6-(G6-C6))*(21.75/NETWORKDAYS(DATE(2019,11,1),DATE(2019,11,30)))</f>
        <v>6000.0000000000009</v>
      </c>
      <c r="N6" s="13">
        <f t="shared" si="4"/>
        <v>568.96551724137942</v>
      </c>
      <c r="O6" s="13">
        <f t="shared" si="5"/>
        <v>275.86206896551727</v>
      </c>
      <c r="P6" s="14">
        <f t="shared" si="6"/>
        <v>6844.8275862068976</v>
      </c>
      <c r="Q6" s="12">
        <f t="shared" si="7"/>
        <v>0.12342569269521411</v>
      </c>
      <c r="R6" s="7" t="str">
        <f>INDEX(员工信息!$A$2:$A$27,MATCH(A6,员工信息!$B$2:$B$27,0))</f>
        <v>生产一部</v>
      </c>
    </row>
    <row r="7" spans="1:18" ht="16.5" x14ac:dyDescent="0.3">
      <c r="A7" s="7" t="s">
        <v>15</v>
      </c>
      <c r="B7" s="7">
        <v>21</v>
      </c>
      <c r="C7" s="7">
        <v>0</v>
      </c>
      <c r="D7" s="7">
        <v>0</v>
      </c>
      <c r="E7" s="7">
        <v>15</v>
      </c>
      <c r="F7" s="7">
        <v>4</v>
      </c>
      <c r="G7" s="7">
        <v>3</v>
      </c>
      <c r="H7" s="12">
        <f t="shared" si="0"/>
        <v>1</v>
      </c>
      <c r="I7" s="12">
        <f t="shared" si="1"/>
        <v>0.1130952380952381</v>
      </c>
      <c r="J7" s="7">
        <f>VLOOKUP(A7,员工信息!$B$2:$C$27,2,FALSE)/21.75</f>
        <v>275.86206896551727</v>
      </c>
      <c r="K7" s="7">
        <f t="shared" si="2"/>
        <v>21</v>
      </c>
      <c r="L7" s="7">
        <f t="shared" si="3"/>
        <v>1.0357142857142858</v>
      </c>
      <c r="M7" s="13">
        <f>(VLOOKUP(A7,员工信息!$B$2:$C$27,2,FALSE)/21.75)*IF(G7&lt;=5,B7+C7,B7+C7-(G7-C7))*(21.75/NETWORKDAYS(DATE(2019,11,1),DATE(2019,11,30)))</f>
        <v>6000.0000000000009</v>
      </c>
      <c r="N7" s="13">
        <f t="shared" si="4"/>
        <v>775.86206896551732</v>
      </c>
      <c r="O7" s="13">
        <f t="shared" si="5"/>
        <v>275.86206896551727</v>
      </c>
      <c r="P7" s="14">
        <f t="shared" si="6"/>
        <v>7051.7241379310353</v>
      </c>
      <c r="Q7" s="12">
        <f t="shared" si="7"/>
        <v>0.1491442542787286</v>
      </c>
      <c r="R7" s="7" t="str">
        <f>INDEX(员工信息!$A$2:$A$27,MATCH(A7,员工信息!$B$2:$B$27,0))</f>
        <v>生产二部</v>
      </c>
    </row>
    <row r="8" spans="1:18" ht="16.5" x14ac:dyDescent="0.3">
      <c r="A8" s="7" t="s">
        <v>17</v>
      </c>
      <c r="B8" s="7">
        <v>21</v>
      </c>
      <c r="C8" s="7">
        <v>0</v>
      </c>
      <c r="D8" s="7">
        <v>0</v>
      </c>
      <c r="E8" s="7">
        <v>9</v>
      </c>
      <c r="F8" s="7">
        <v>4</v>
      </c>
      <c r="G8" s="7">
        <v>2</v>
      </c>
      <c r="H8" s="12">
        <f t="shared" si="0"/>
        <v>1</v>
      </c>
      <c r="I8" s="12">
        <f t="shared" si="1"/>
        <v>7.7380952380952384E-2</v>
      </c>
      <c r="J8" s="7">
        <f>VLOOKUP(A8,员工信息!$B$2:$C$27,2,FALSE)/21.75</f>
        <v>137.93103448275863</v>
      </c>
      <c r="K8" s="7">
        <f t="shared" si="2"/>
        <v>21</v>
      </c>
      <c r="L8" s="7">
        <f t="shared" si="3"/>
        <v>1.0357142857142858</v>
      </c>
      <c r="M8" s="13">
        <f>(VLOOKUP(A8,员工信息!$B$2:$C$27,2,FALSE)/21.75)*IF(G8&lt;=5,B8+C8,B8+C8-(G8-C8))*(21.75/NETWORKDAYS(DATE(2019,11,1),DATE(2019,11,30)))</f>
        <v>3000.0000000000005</v>
      </c>
      <c r="N8" s="13">
        <f t="shared" si="4"/>
        <v>232.7586206896552</v>
      </c>
      <c r="O8" s="13">
        <f t="shared" si="5"/>
        <v>137.93103448275863</v>
      </c>
      <c r="P8" s="14">
        <f t="shared" si="6"/>
        <v>3370.6896551724144</v>
      </c>
      <c r="Q8" s="12">
        <f t="shared" si="7"/>
        <v>0.10997442455242966</v>
      </c>
      <c r="R8" s="7" t="str">
        <f>INDEX(员工信息!$A$2:$A$27,MATCH(A8,员工信息!$B$2:$B$27,0))</f>
        <v>行政部</v>
      </c>
    </row>
    <row r="9" spans="1:18" ht="16.5" x14ac:dyDescent="0.3">
      <c r="A9" s="7" t="s">
        <v>19</v>
      </c>
      <c r="B9" s="7">
        <v>21</v>
      </c>
      <c r="C9" s="7">
        <v>0</v>
      </c>
      <c r="D9" s="7">
        <v>0</v>
      </c>
      <c r="E9" s="7">
        <v>5</v>
      </c>
      <c r="F9" s="7">
        <v>4</v>
      </c>
      <c r="G9" s="7">
        <v>3</v>
      </c>
      <c r="H9" s="12">
        <f t="shared" si="0"/>
        <v>1</v>
      </c>
      <c r="I9" s="12">
        <f t="shared" si="1"/>
        <v>5.3571428571428568E-2</v>
      </c>
      <c r="J9" s="7">
        <f>VLOOKUP(A9,员工信息!$B$2:$C$27,2,FALSE)/21.75</f>
        <v>367.81609195402297</v>
      </c>
      <c r="K9" s="7">
        <f t="shared" si="2"/>
        <v>21</v>
      </c>
      <c r="L9" s="7">
        <f t="shared" si="3"/>
        <v>1.0357142857142858</v>
      </c>
      <c r="M9" s="13">
        <f>(VLOOKUP(A9,员工信息!$B$2:$C$27,2,FALSE)/21.75)*IF(G9&lt;=5,B9+C9,B9+C9-(G9-C9))*(21.75/NETWORKDAYS(DATE(2019,11,1),DATE(2019,11,30)))</f>
        <v>8000</v>
      </c>
      <c r="N9" s="13">
        <f t="shared" si="4"/>
        <v>344.82758620689651</v>
      </c>
      <c r="O9" s="13">
        <f t="shared" si="5"/>
        <v>367.81609195402297</v>
      </c>
      <c r="P9" s="14">
        <f t="shared" si="6"/>
        <v>8712.6436781609191</v>
      </c>
      <c r="Q9" s="12">
        <f t="shared" si="7"/>
        <v>8.1794195250659632E-2</v>
      </c>
      <c r="R9" s="7" t="str">
        <f>INDEX(员工信息!$A$2:$A$27,MATCH(A9,员工信息!$B$2:$B$27,0))</f>
        <v>生产二部</v>
      </c>
    </row>
    <row r="10" spans="1:18" ht="16.5" x14ac:dyDescent="0.3">
      <c r="A10" s="7" t="s">
        <v>21</v>
      </c>
      <c r="B10" s="7">
        <v>21</v>
      </c>
      <c r="C10" s="7">
        <v>0</v>
      </c>
      <c r="D10" s="7">
        <v>0</v>
      </c>
      <c r="E10" s="7">
        <v>11</v>
      </c>
      <c r="F10" s="7">
        <v>4</v>
      </c>
      <c r="G10" s="7">
        <v>3</v>
      </c>
      <c r="H10" s="12">
        <f t="shared" si="0"/>
        <v>1</v>
      </c>
      <c r="I10" s="12">
        <f t="shared" si="1"/>
        <v>8.9285714285714288E-2</v>
      </c>
      <c r="J10" s="7">
        <f>VLOOKUP(A10,员工信息!$B$2:$C$27,2,FALSE)/21.75</f>
        <v>229.88505747126436</v>
      </c>
      <c r="K10" s="7">
        <f t="shared" si="2"/>
        <v>21</v>
      </c>
      <c r="L10" s="7">
        <f t="shared" si="3"/>
        <v>1.0357142857142858</v>
      </c>
      <c r="M10" s="13">
        <f>(VLOOKUP(A10,员工信息!$B$2:$C$27,2,FALSE)/21.75)*IF(G10&lt;=5,B10+C10,B10+C10-(G10-C10))*(21.75/NETWORKDAYS(DATE(2019,11,1),DATE(2019,11,30)))</f>
        <v>5000</v>
      </c>
      <c r="N10" s="13">
        <f t="shared" si="4"/>
        <v>474.13793103448268</v>
      </c>
      <c r="O10" s="13">
        <f t="shared" si="5"/>
        <v>229.88505747126436</v>
      </c>
      <c r="P10" s="14">
        <f t="shared" si="6"/>
        <v>5704.022988505747</v>
      </c>
      <c r="Q10" s="12">
        <f t="shared" si="7"/>
        <v>0.12342569269521408</v>
      </c>
      <c r="R10" s="7" t="str">
        <f>INDEX(员工信息!$A$2:$A$27,MATCH(A10,员工信息!$B$2:$B$27,0))</f>
        <v>生产一部</v>
      </c>
    </row>
    <row r="11" spans="1:18" ht="16.5" x14ac:dyDescent="0.3">
      <c r="A11" s="7" t="s">
        <v>23</v>
      </c>
      <c r="B11" s="7">
        <v>20</v>
      </c>
      <c r="C11" s="7">
        <v>0</v>
      </c>
      <c r="D11" s="7">
        <v>1</v>
      </c>
      <c r="E11" s="7">
        <v>8</v>
      </c>
      <c r="F11" s="7">
        <v>4</v>
      </c>
      <c r="G11" s="7">
        <v>1</v>
      </c>
      <c r="H11" s="12">
        <f t="shared" si="0"/>
        <v>0.95238095238095233</v>
      </c>
      <c r="I11" s="12">
        <f t="shared" si="1"/>
        <v>7.1428571428571425E-2</v>
      </c>
      <c r="J11" s="7">
        <f>VLOOKUP(A11,员工信息!$B$2:$C$27,2,FALSE)/21.75</f>
        <v>459.77011494252872</v>
      </c>
      <c r="K11" s="7">
        <f t="shared" si="2"/>
        <v>20</v>
      </c>
      <c r="L11" s="7">
        <f t="shared" si="3"/>
        <v>1.0357142857142858</v>
      </c>
      <c r="M11" s="13">
        <f>(VLOOKUP(A11,员工信息!$B$2:$C$27,2,FALSE)/21.75)*IF(G11&lt;=5,B11+C11,B11+C11-(G11-C11))*(21.75/NETWORKDAYS(DATE(2019,11,1),DATE(2019,11,30)))</f>
        <v>9523.8095238095248</v>
      </c>
      <c r="N11" s="13">
        <f t="shared" si="4"/>
        <v>656.81444991789817</v>
      </c>
      <c r="O11" s="13">
        <f t="shared" si="5"/>
        <v>437.87629994526549</v>
      </c>
      <c r="P11" s="14">
        <f t="shared" si="6"/>
        <v>10618.500273672687</v>
      </c>
      <c r="Q11" s="12">
        <f t="shared" si="7"/>
        <v>0.10309278350515463</v>
      </c>
      <c r="R11" s="7" t="str">
        <f>INDEX(员工信息!$A$2:$A$27,MATCH(A11,员工信息!$B$2:$B$27,0))</f>
        <v>行政部</v>
      </c>
    </row>
    <row r="12" spans="1:18" ht="16.5" x14ac:dyDescent="0.3">
      <c r="A12" s="7" t="s">
        <v>25</v>
      </c>
      <c r="B12" s="7">
        <v>21</v>
      </c>
      <c r="C12" s="7">
        <v>0</v>
      </c>
      <c r="D12" s="7">
        <v>0</v>
      </c>
      <c r="E12" s="7">
        <v>11</v>
      </c>
      <c r="F12" s="7">
        <v>4</v>
      </c>
      <c r="G12" s="7">
        <v>3</v>
      </c>
      <c r="H12" s="12">
        <f t="shared" si="0"/>
        <v>1</v>
      </c>
      <c r="I12" s="12">
        <f t="shared" si="1"/>
        <v>8.9285714285714288E-2</v>
      </c>
      <c r="J12" s="7">
        <f>VLOOKUP(A12,员工信息!$B$2:$C$27,2,FALSE)/21.75</f>
        <v>367.81609195402297</v>
      </c>
      <c r="K12" s="7">
        <f t="shared" si="2"/>
        <v>21</v>
      </c>
      <c r="L12" s="7">
        <f t="shared" si="3"/>
        <v>1.0357142857142858</v>
      </c>
      <c r="M12" s="13">
        <f>(VLOOKUP(A12,员工信息!$B$2:$C$27,2,FALSE)/21.75)*IF(G12&lt;=5,B12+C12,B12+C12-(G12-C12))*(21.75/NETWORKDAYS(DATE(2019,11,1),DATE(2019,11,30)))</f>
        <v>8000</v>
      </c>
      <c r="N12" s="13">
        <f t="shared" si="4"/>
        <v>758.62068965517233</v>
      </c>
      <c r="O12" s="13">
        <f t="shared" si="5"/>
        <v>367.81609195402297</v>
      </c>
      <c r="P12" s="14">
        <f t="shared" si="6"/>
        <v>9126.4367816091944</v>
      </c>
      <c r="Q12" s="12">
        <f t="shared" si="7"/>
        <v>0.12342569269521411</v>
      </c>
      <c r="R12" s="7" t="str">
        <f>INDEX(员工信息!$A$2:$A$27,MATCH(A12,员工信息!$B$2:$B$27,0))</f>
        <v>财务部</v>
      </c>
    </row>
    <row r="13" spans="1:18" ht="16.5" x14ac:dyDescent="0.3">
      <c r="A13" s="7" t="s">
        <v>27</v>
      </c>
      <c r="B13" s="7">
        <v>21</v>
      </c>
      <c r="C13" s="7">
        <v>0</v>
      </c>
      <c r="D13" s="7">
        <v>0</v>
      </c>
      <c r="E13" s="7">
        <v>6</v>
      </c>
      <c r="F13" s="7">
        <v>4</v>
      </c>
      <c r="G13" s="7">
        <v>4</v>
      </c>
      <c r="H13" s="12">
        <f t="shared" si="0"/>
        <v>1</v>
      </c>
      <c r="I13" s="12">
        <f t="shared" si="1"/>
        <v>5.9523809523809521E-2</v>
      </c>
      <c r="J13" s="7">
        <f>VLOOKUP(A13,员工信息!$B$2:$C$27,2,FALSE)/21.75</f>
        <v>183.90804597701148</v>
      </c>
      <c r="K13" s="7">
        <f t="shared" si="2"/>
        <v>21</v>
      </c>
      <c r="L13" s="7">
        <f t="shared" si="3"/>
        <v>1.0357142857142858</v>
      </c>
      <c r="M13" s="13">
        <f>(VLOOKUP(A13,员工信息!$B$2:$C$27,2,FALSE)/21.75)*IF(G13&lt;=5,B13+C13,B13+C13-(G13-C13))*(21.75/NETWORKDAYS(DATE(2019,11,1),DATE(2019,11,30)))</f>
        <v>4000</v>
      </c>
      <c r="N13" s="13">
        <f t="shared" si="4"/>
        <v>206.89655172413791</v>
      </c>
      <c r="O13" s="13">
        <f t="shared" si="5"/>
        <v>183.90804597701148</v>
      </c>
      <c r="P13" s="14">
        <f t="shared" si="6"/>
        <v>4390.8045977011489</v>
      </c>
      <c r="Q13" s="12">
        <f t="shared" si="7"/>
        <v>8.9005235602094251E-2</v>
      </c>
      <c r="R13" s="7" t="str">
        <f>INDEX(员工信息!$A$2:$A$27,MATCH(A13,员工信息!$B$2:$B$27,0))</f>
        <v>行政部</v>
      </c>
    </row>
    <row r="14" spans="1:18" ht="16.5" x14ac:dyDescent="0.3">
      <c r="A14" s="7" t="s">
        <v>29</v>
      </c>
      <c r="B14" s="7">
        <v>21</v>
      </c>
      <c r="C14" s="7">
        <v>0</v>
      </c>
      <c r="D14" s="7">
        <v>0</v>
      </c>
      <c r="E14" s="7">
        <v>9</v>
      </c>
      <c r="F14" s="7">
        <v>6</v>
      </c>
      <c r="G14" s="7">
        <v>3</v>
      </c>
      <c r="H14" s="12">
        <f t="shared" si="0"/>
        <v>1</v>
      </c>
      <c r="I14" s="12">
        <f t="shared" si="1"/>
        <v>8.9285714285714288E-2</v>
      </c>
      <c r="J14" s="7">
        <f>VLOOKUP(A14,员工信息!$B$2:$C$27,2,FALSE)/21.75</f>
        <v>275.86206896551727</v>
      </c>
      <c r="K14" s="7">
        <f t="shared" si="2"/>
        <v>21</v>
      </c>
      <c r="L14" s="7">
        <f t="shared" si="3"/>
        <v>1.0357142857142858</v>
      </c>
      <c r="M14" s="13">
        <f>(VLOOKUP(A14,员工信息!$B$2:$C$27,2,FALSE)/21.75)*IF(G14&lt;=5,B14+C14,B14+C14-(G14-C14))*(21.75/NETWORKDAYS(DATE(2019,11,1),DATE(2019,11,30)))</f>
        <v>6000.0000000000009</v>
      </c>
      <c r="N14" s="13">
        <f t="shared" si="4"/>
        <v>465.51724137931041</v>
      </c>
      <c r="O14" s="13">
        <f t="shared" si="5"/>
        <v>413.79310344827593</v>
      </c>
      <c r="P14" s="14">
        <f t="shared" si="6"/>
        <v>6879.3103448275879</v>
      </c>
      <c r="Q14" s="12">
        <f t="shared" si="7"/>
        <v>0.12781954887218044</v>
      </c>
      <c r="R14" s="7" t="str">
        <f>INDEX(员工信息!$A$2:$A$27,MATCH(A14,员工信息!$B$2:$B$27,0))</f>
        <v>生产二部</v>
      </c>
    </row>
    <row r="15" spans="1:18" ht="16.5" x14ac:dyDescent="0.3">
      <c r="A15" s="7" t="s">
        <v>31</v>
      </c>
      <c r="B15" s="7">
        <v>21</v>
      </c>
      <c r="C15" s="7">
        <v>0</v>
      </c>
      <c r="D15" s="7">
        <v>0</v>
      </c>
      <c r="E15" s="7">
        <v>10</v>
      </c>
      <c r="F15" s="7">
        <v>4</v>
      </c>
      <c r="G15" s="7">
        <v>5</v>
      </c>
      <c r="H15" s="12">
        <f t="shared" si="0"/>
        <v>1</v>
      </c>
      <c r="I15" s="12">
        <f t="shared" si="1"/>
        <v>8.3333333333333329E-2</v>
      </c>
      <c r="J15" s="7">
        <f>VLOOKUP(A15,员工信息!$B$2:$C$27,2,FALSE)/21.75</f>
        <v>367.81609195402297</v>
      </c>
      <c r="K15" s="7">
        <f t="shared" si="2"/>
        <v>21</v>
      </c>
      <c r="L15" s="7">
        <f t="shared" si="3"/>
        <v>1.0357142857142858</v>
      </c>
      <c r="M15" s="13">
        <f>(VLOOKUP(A15,员工信息!$B$2:$C$27,2,FALSE)/21.75)*IF(G15&lt;=5,B15+C15,B15+C15-(G15-C15))*(21.75/NETWORKDAYS(DATE(2019,11,1),DATE(2019,11,30)))</f>
        <v>8000</v>
      </c>
      <c r="N15" s="13">
        <f t="shared" si="4"/>
        <v>689.65517241379303</v>
      </c>
      <c r="O15" s="13">
        <f t="shared" si="5"/>
        <v>367.81609195402297</v>
      </c>
      <c r="P15" s="14">
        <f t="shared" si="6"/>
        <v>9057.4712643678158</v>
      </c>
      <c r="Q15" s="12">
        <f t="shared" si="7"/>
        <v>0.116751269035533</v>
      </c>
      <c r="R15" s="7" t="str">
        <f>INDEX(员工信息!$A$2:$A$27,MATCH(A15,员工信息!$B$2:$B$27,0))</f>
        <v>财务部</v>
      </c>
    </row>
    <row r="16" spans="1:18" ht="16.5" x14ac:dyDescent="0.3">
      <c r="A16" s="7" t="s">
        <v>33</v>
      </c>
      <c r="B16" s="7">
        <v>21</v>
      </c>
      <c r="C16" s="7">
        <v>0</v>
      </c>
      <c r="D16" s="7">
        <v>0</v>
      </c>
      <c r="E16" s="7">
        <v>10</v>
      </c>
      <c r="F16" s="7">
        <v>4</v>
      </c>
      <c r="G16" s="7">
        <v>4</v>
      </c>
      <c r="H16" s="12">
        <f t="shared" si="0"/>
        <v>1</v>
      </c>
      <c r="I16" s="12">
        <f t="shared" si="1"/>
        <v>8.3333333333333329E-2</v>
      </c>
      <c r="J16" s="7">
        <f>VLOOKUP(A16,员工信息!$B$2:$C$27,2,FALSE)/21.75</f>
        <v>367.81609195402297</v>
      </c>
      <c r="K16" s="7">
        <f t="shared" si="2"/>
        <v>21</v>
      </c>
      <c r="L16" s="7">
        <f t="shared" si="3"/>
        <v>1.0357142857142858</v>
      </c>
      <c r="M16" s="13">
        <f>(VLOOKUP(A16,员工信息!$B$2:$C$27,2,FALSE)/21.75)*IF(G16&lt;=5,B16+C16,B16+C16-(G16-C16))*(21.75/NETWORKDAYS(DATE(2019,11,1),DATE(2019,11,30)))</f>
        <v>8000</v>
      </c>
      <c r="N16" s="13">
        <f t="shared" si="4"/>
        <v>689.65517241379303</v>
      </c>
      <c r="O16" s="13">
        <f t="shared" si="5"/>
        <v>367.81609195402297</v>
      </c>
      <c r="P16" s="14">
        <f t="shared" si="6"/>
        <v>9057.4712643678158</v>
      </c>
      <c r="Q16" s="12">
        <f t="shared" si="7"/>
        <v>0.116751269035533</v>
      </c>
      <c r="R16" s="7" t="str">
        <f>INDEX(员工信息!$A$2:$A$27,MATCH(A16,员工信息!$B$2:$B$27,0))</f>
        <v>生产一部</v>
      </c>
    </row>
    <row r="17" spans="1:18" ht="16.5" x14ac:dyDescent="0.3">
      <c r="A17" s="7" t="s">
        <v>35</v>
      </c>
      <c r="B17" s="7">
        <v>21</v>
      </c>
      <c r="C17" s="7">
        <v>0</v>
      </c>
      <c r="D17" s="7">
        <v>0</v>
      </c>
      <c r="E17" s="7">
        <v>10</v>
      </c>
      <c r="F17" s="7">
        <v>4</v>
      </c>
      <c r="G17" s="7">
        <v>3</v>
      </c>
      <c r="H17" s="12">
        <f t="shared" si="0"/>
        <v>1</v>
      </c>
      <c r="I17" s="12">
        <f t="shared" si="1"/>
        <v>8.3333333333333329E-2</v>
      </c>
      <c r="J17" s="7">
        <f>VLOOKUP(A17,员工信息!$B$2:$C$27,2,FALSE)/21.75</f>
        <v>275.86206896551727</v>
      </c>
      <c r="K17" s="7">
        <f t="shared" si="2"/>
        <v>21</v>
      </c>
      <c r="L17" s="7">
        <f t="shared" si="3"/>
        <v>1.0357142857142858</v>
      </c>
      <c r="M17" s="13">
        <f>(VLOOKUP(A17,员工信息!$B$2:$C$27,2,FALSE)/21.75)*IF(G17&lt;=5,B17+C17,B17+C17-(G17-C17))*(21.75/NETWORKDAYS(DATE(2019,11,1),DATE(2019,11,30)))</f>
        <v>6000.0000000000009</v>
      </c>
      <c r="N17" s="13">
        <f t="shared" si="4"/>
        <v>517.24137931034488</v>
      </c>
      <c r="O17" s="13">
        <f t="shared" si="5"/>
        <v>275.86206896551727</v>
      </c>
      <c r="P17" s="14">
        <f t="shared" si="6"/>
        <v>6793.1034482758632</v>
      </c>
      <c r="Q17" s="12">
        <f t="shared" si="7"/>
        <v>0.11675126903553298</v>
      </c>
      <c r="R17" s="7" t="str">
        <f>INDEX(员工信息!$A$2:$A$27,MATCH(A17,员工信息!$B$2:$B$27,0))</f>
        <v>行政部</v>
      </c>
    </row>
    <row r="18" spans="1:18" ht="16.5" x14ac:dyDescent="0.3">
      <c r="A18" s="7" t="s">
        <v>37</v>
      </c>
      <c r="B18" s="7">
        <v>21</v>
      </c>
      <c r="C18" s="7">
        <v>0</v>
      </c>
      <c r="D18" s="7">
        <v>0</v>
      </c>
      <c r="E18" s="7">
        <v>15</v>
      </c>
      <c r="F18" s="7">
        <v>4</v>
      </c>
      <c r="G18" s="7">
        <v>1</v>
      </c>
      <c r="H18" s="12">
        <f t="shared" si="0"/>
        <v>1</v>
      </c>
      <c r="I18" s="12">
        <f t="shared" si="1"/>
        <v>0.1130952380952381</v>
      </c>
      <c r="J18" s="7">
        <f>VLOOKUP(A18,员工信息!$B$2:$C$27,2,FALSE)/21.75</f>
        <v>229.88505747126436</v>
      </c>
      <c r="K18" s="7">
        <f t="shared" si="2"/>
        <v>21</v>
      </c>
      <c r="L18" s="7">
        <f t="shared" si="3"/>
        <v>1.0357142857142858</v>
      </c>
      <c r="M18" s="13">
        <f>(VLOOKUP(A18,员工信息!$B$2:$C$27,2,FALSE)/21.75)*IF(G18&lt;=5,B18+C18,B18+C18-(G18-C18))*(21.75/NETWORKDAYS(DATE(2019,11,1),DATE(2019,11,30)))</f>
        <v>5000</v>
      </c>
      <c r="N18" s="13">
        <f t="shared" si="4"/>
        <v>646.55172413793093</v>
      </c>
      <c r="O18" s="13">
        <f t="shared" si="5"/>
        <v>229.88505747126436</v>
      </c>
      <c r="P18" s="14">
        <f t="shared" si="6"/>
        <v>5876.4367816091954</v>
      </c>
      <c r="Q18" s="12">
        <f t="shared" si="7"/>
        <v>0.1491442542787286</v>
      </c>
      <c r="R18" s="7" t="str">
        <f>INDEX(员工信息!$A$2:$A$27,MATCH(A18,员工信息!$B$2:$B$27,0))</f>
        <v>生产二部</v>
      </c>
    </row>
    <row r="19" spans="1:18" ht="16.5" x14ac:dyDescent="0.3">
      <c r="A19" s="7" t="s">
        <v>39</v>
      </c>
      <c r="B19" s="7">
        <v>20</v>
      </c>
      <c r="C19" s="7">
        <v>1</v>
      </c>
      <c r="D19" s="7">
        <v>0</v>
      </c>
      <c r="E19" s="7">
        <v>10</v>
      </c>
      <c r="F19" s="7">
        <v>4</v>
      </c>
      <c r="G19" s="7">
        <v>5</v>
      </c>
      <c r="H19" s="12">
        <f t="shared" si="0"/>
        <v>0.95238095238095233</v>
      </c>
      <c r="I19" s="12">
        <f t="shared" si="1"/>
        <v>8.3333333333333329E-2</v>
      </c>
      <c r="J19" s="7">
        <f>VLOOKUP(A19,员工信息!$B$2:$C$27,2,FALSE)/21.75</f>
        <v>275.86206896551727</v>
      </c>
      <c r="K19" s="7">
        <f t="shared" si="2"/>
        <v>21</v>
      </c>
      <c r="L19" s="7">
        <f t="shared" si="3"/>
        <v>1.0357142857142858</v>
      </c>
      <c r="M19" s="13">
        <f>(VLOOKUP(A19,员工信息!$B$2:$C$27,2,FALSE)/21.75)*IF(G19&lt;=5,B19+C19,B19+C19-(G19-C19))*(21.75/NETWORKDAYS(DATE(2019,11,1),DATE(2019,11,30)))</f>
        <v>6000.0000000000009</v>
      </c>
      <c r="N19" s="13">
        <f t="shared" si="4"/>
        <v>517.24137931034488</v>
      </c>
      <c r="O19" s="13">
        <f t="shared" si="5"/>
        <v>275.86206896551727</v>
      </c>
      <c r="P19" s="14">
        <f t="shared" si="6"/>
        <v>6793.1034482758632</v>
      </c>
      <c r="Q19" s="12">
        <f t="shared" si="7"/>
        <v>0.11675126903553298</v>
      </c>
      <c r="R19" s="7" t="str">
        <f>INDEX(员工信息!$A$2:$A$27,MATCH(A19,员工信息!$B$2:$B$27,0))</f>
        <v>行政部</v>
      </c>
    </row>
    <row r="20" spans="1:18" ht="16.5" x14ac:dyDescent="0.3">
      <c r="A20" s="7" t="s">
        <v>41</v>
      </c>
      <c r="B20" s="7">
        <v>21</v>
      </c>
      <c r="C20" s="7">
        <v>0</v>
      </c>
      <c r="D20" s="7">
        <v>0</v>
      </c>
      <c r="E20" s="7">
        <v>14</v>
      </c>
      <c r="F20" s="7">
        <v>4</v>
      </c>
      <c r="G20" s="7">
        <v>4</v>
      </c>
      <c r="H20" s="12">
        <f t="shared" si="0"/>
        <v>1</v>
      </c>
      <c r="I20" s="12">
        <f t="shared" si="1"/>
        <v>0.10714285714285714</v>
      </c>
      <c r="J20" s="7">
        <f>VLOOKUP(A20,员工信息!$B$2:$C$27,2,FALSE)/21.75</f>
        <v>275.86206896551727</v>
      </c>
      <c r="K20" s="7">
        <f t="shared" si="2"/>
        <v>21</v>
      </c>
      <c r="L20" s="7">
        <f t="shared" si="3"/>
        <v>1.0357142857142858</v>
      </c>
      <c r="M20" s="13">
        <f>(VLOOKUP(A20,员工信息!$B$2:$C$27,2,FALSE)/21.75)*IF(G20&lt;=5,B20+C20,B20+C20-(G20-C20))*(21.75/NETWORKDAYS(DATE(2019,11,1),DATE(2019,11,30)))</f>
        <v>6000.0000000000009</v>
      </c>
      <c r="N20" s="13">
        <f t="shared" si="4"/>
        <v>724.1379310344829</v>
      </c>
      <c r="O20" s="13">
        <f t="shared" si="5"/>
        <v>275.86206896551727</v>
      </c>
      <c r="P20" s="14">
        <f t="shared" si="6"/>
        <v>7000.0000000000009</v>
      </c>
      <c r="Q20" s="12">
        <f t="shared" si="7"/>
        <v>0.14285714285714288</v>
      </c>
      <c r="R20" s="7" t="str">
        <f>INDEX(员工信息!$A$2:$A$27,MATCH(A20,员工信息!$B$2:$B$27,0))</f>
        <v>生产二部</v>
      </c>
    </row>
    <row r="21" spans="1:18" ht="16.5" x14ac:dyDescent="0.3">
      <c r="A21" s="7" t="s">
        <v>43</v>
      </c>
      <c r="B21" s="7">
        <v>21</v>
      </c>
      <c r="C21" s="7">
        <v>0</v>
      </c>
      <c r="D21" s="7">
        <v>0</v>
      </c>
      <c r="E21" s="7">
        <v>10</v>
      </c>
      <c r="F21" s="7">
        <v>4</v>
      </c>
      <c r="G21" s="7">
        <v>3</v>
      </c>
      <c r="H21" s="12">
        <f t="shared" si="0"/>
        <v>1</v>
      </c>
      <c r="I21" s="12">
        <f t="shared" si="1"/>
        <v>8.3333333333333329E-2</v>
      </c>
      <c r="J21" s="7">
        <f>VLOOKUP(A21,员工信息!$B$2:$C$27,2,FALSE)/21.75</f>
        <v>183.90804597701148</v>
      </c>
      <c r="K21" s="7">
        <f t="shared" si="2"/>
        <v>21</v>
      </c>
      <c r="L21" s="7">
        <f t="shared" si="3"/>
        <v>1.0357142857142858</v>
      </c>
      <c r="M21" s="13">
        <f>(VLOOKUP(A21,员工信息!$B$2:$C$27,2,FALSE)/21.75)*IF(G21&lt;=5,B21+C21,B21+C21-(G21-C21))*(21.75/NETWORKDAYS(DATE(2019,11,1),DATE(2019,11,30)))</f>
        <v>4000</v>
      </c>
      <c r="N21" s="13">
        <f t="shared" si="4"/>
        <v>344.82758620689651</v>
      </c>
      <c r="O21" s="13">
        <f t="shared" si="5"/>
        <v>183.90804597701148</v>
      </c>
      <c r="P21" s="14">
        <f t="shared" si="6"/>
        <v>4528.7356321839079</v>
      </c>
      <c r="Q21" s="12">
        <f t="shared" si="7"/>
        <v>0.116751269035533</v>
      </c>
      <c r="R21" s="7" t="str">
        <f>INDEX(员工信息!$A$2:$A$27,MATCH(A21,员工信息!$B$2:$B$27,0))</f>
        <v>行政部</v>
      </c>
    </row>
    <row r="22" spans="1:18" ht="16.5" x14ac:dyDescent="0.3">
      <c r="A22" s="7" t="s">
        <v>45</v>
      </c>
      <c r="B22" s="7">
        <v>21</v>
      </c>
      <c r="C22" s="7">
        <v>0</v>
      </c>
      <c r="D22" s="7">
        <v>0</v>
      </c>
      <c r="E22" s="7">
        <v>19</v>
      </c>
      <c r="F22" s="7">
        <v>4</v>
      </c>
      <c r="G22" s="7">
        <v>4</v>
      </c>
      <c r="H22" s="12">
        <f t="shared" si="0"/>
        <v>1</v>
      </c>
      <c r="I22" s="12">
        <f t="shared" si="1"/>
        <v>0.13690476190476192</v>
      </c>
      <c r="J22" s="7">
        <f>VLOOKUP(A22,员工信息!$B$2:$C$27,2,FALSE)/21.75</f>
        <v>551.72413793103453</v>
      </c>
      <c r="K22" s="7">
        <f t="shared" si="2"/>
        <v>21</v>
      </c>
      <c r="L22" s="7">
        <f t="shared" si="3"/>
        <v>1.0357142857142858</v>
      </c>
      <c r="M22" s="13">
        <f>(VLOOKUP(A22,员工信息!$B$2:$C$27,2,FALSE)/21.75)*IF(G22&lt;=5,B22+C22,B22+C22-(G22-C22))*(21.75/NETWORKDAYS(DATE(2019,11,1),DATE(2019,11,30)))</f>
        <v>12000.000000000002</v>
      </c>
      <c r="N22" s="13">
        <f t="shared" si="4"/>
        <v>1965.5172413793107</v>
      </c>
      <c r="O22" s="13">
        <f t="shared" si="5"/>
        <v>551.72413793103453</v>
      </c>
      <c r="P22" s="14">
        <f t="shared" si="6"/>
        <v>14517.241379310346</v>
      </c>
      <c r="Q22" s="12">
        <f t="shared" si="7"/>
        <v>0.17339667458432304</v>
      </c>
      <c r="R22" s="7" t="str">
        <f>INDEX(员工信息!$A$2:$A$27,MATCH(A22,员工信息!$B$2:$B$27,0))</f>
        <v>财务部</v>
      </c>
    </row>
    <row r="23" spans="1:18" ht="16.5" x14ac:dyDescent="0.3">
      <c r="A23" s="7" t="s">
        <v>47</v>
      </c>
      <c r="B23" s="7">
        <v>21</v>
      </c>
      <c r="C23" s="7">
        <v>0</v>
      </c>
      <c r="D23" s="7">
        <v>0</v>
      </c>
      <c r="E23" s="7">
        <v>11</v>
      </c>
      <c r="F23" s="7">
        <v>4</v>
      </c>
      <c r="G23" s="7">
        <v>3</v>
      </c>
      <c r="H23" s="12">
        <f t="shared" si="0"/>
        <v>1</v>
      </c>
      <c r="I23" s="12">
        <f t="shared" si="1"/>
        <v>8.9285714285714288E-2</v>
      </c>
      <c r="J23" s="7">
        <f>VLOOKUP(A23,员工信息!$B$2:$C$27,2,FALSE)/21.75</f>
        <v>275.86206896551727</v>
      </c>
      <c r="K23" s="7">
        <f t="shared" si="2"/>
        <v>21</v>
      </c>
      <c r="L23" s="7">
        <f t="shared" si="3"/>
        <v>1.0357142857142858</v>
      </c>
      <c r="M23" s="13">
        <f>(VLOOKUP(A23,员工信息!$B$2:$C$27,2,FALSE)/21.75)*IF(G23&lt;=5,B23+C23,B23+C23-(G23-C23))*(21.75/NETWORKDAYS(DATE(2019,11,1),DATE(2019,11,30)))</f>
        <v>6000.0000000000009</v>
      </c>
      <c r="N23" s="13">
        <f t="shared" si="4"/>
        <v>568.96551724137942</v>
      </c>
      <c r="O23" s="13">
        <f t="shared" si="5"/>
        <v>275.86206896551727</v>
      </c>
      <c r="P23" s="14">
        <f t="shared" si="6"/>
        <v>6844.8275862068976</v>
      </c>
      <c r="Q23" s="12">
        <f t="shared" si="7"/>
        <v>0.12342569269521411</v>
      </c>
      <c r="R23" s="7" t="str">
        <f>INDEX(员工信息!$A$2:$A$27,MATCH(A23,员工信息!$B$2:$B$27,0))</f>
        <v>生产一部</v>
      </c>
    </row>
    <row r="24" spans="1:18" ht="16.5" x14ac:dyDescent="0.3">
      <c r="A24" s="7" t="s">
        <v>49</v>
      </c>
      <c r="B24" s="7">
        <v>21</v>
      </c>
      <c r="C24" s="7">
        <v>0</v>
      </c>
      <c r="D24" s="7">
        <v>0</v>
      </c>
      <c r="E24" s="7">
        <v>17</v>
      </c>
      <c r="F24" s="7">
        <v>5</v>
      </c>
      <c r="G24" s="7">
        <v>5</v>
      </c>
      <c r="H24" s="12">
        <f t="shared" si="0"/>
        <v>1</v>
      </c>
      <c r="I24" s="12">
        <f t="shared" si="1"/>
        <v>0.13095238095238096</v>
      </c>
      <c r="J24" s="7">
        <f>VLOOKUP(A24,员工信息!$B$2:$C$27,2,FALSE)/21.75</f>
        <v>275.86206896551727</v>
      </c>
      <c r="K24" s="7">
        <f t="shared" si="2"/>
        <v>21</v>
      </c>
      <c r="L24" s="7">
        <f t="shared" si="3"/>
        <v>1.0357142857142858</v>
      </c>
      <c r="M24" s="13">
        <f>(VLOOKUP(A24,员工信息!$B$2:$C$27,2,FALSE)/21.75)*IF(G24&lt;=5,B24+C24,B24+C24-(G24-C24))*(21.75/NETWORKDAYS(DATE(2019,11,1),DATE(2019,11,30)))</f>
        <v>6000.0000000000009</v>
      </c>
      <c r="N24" s="13">
        <f t="shared" si="4"/>
        <v>879.31034482758639</v>
      </c>
      <c r="O24" s="13">
        <f t="shared" si="5"/>
        <v>344.82758620689657</v>
      </c>
      <c r="P24" s="14">
        <f t="shared" si="6"/>
        <v>7224.1379310344837</v>
      </c>
      <c r="Q24" s="12">
        <f t="shared" si="7"/>
        <v>0.16945107398568021</v>
      </c>
      <c r="R24" s="7" t="str">
        <f>INDEX(员工信息!$A$2:$A$27,MATCH(A24,员工信息!$B$2:$B$27,0))</f>
        <v>生产二部</v>
      </c>
    </row>
    <row r="25" spans="1:18" ht="16.5" x14ac:dyDescent="0.3">
      <c r="A25" s="7" t="s">
        <v>51</v>
      </c>
      <c r="B25" s="7">
        <v>21</v>
      </c>
      <c r="C25" s="7">
        <v>0</v>
      </c>
      <c r="D25" s="7">
        <v>0</v>
      </c>
      <c r="E25" s="7">
        <v>18</v>
      </c>
      <c r="F25" s="7">
        <v>4</v>
      </c>
      <c r="G25" s="7">
        <v>1</v>
      </c>
      <c r="H25" s="12">
        <f t="shared" si="0"/>
        <v>1</v>
      </c>
      <c r="I25" s="12">
        <f t="shared" si="1"/>
        <v>0.13095238095238096</v>
      </c>
      <c r="J25" s="7">
        <f>VLOOKUP(A25,员工信息!$B$2:$C$27,2,FALSE)/21.75</f>
        <v>183.90804597701148</v>
      </c>
      <c r="K25" s="7">
        <f t="shared" si="2"/>
        <v>21</v>
      </c>
      <c r="L25" s="7">
        <f t="shared" si="3"/>
        <v>1.0357142857142858</v>
      </c>
      <c r="M25" s="13">
        <f>(VLOOKUP(A25,员工信息!$B$2:$C$27,2,FALSE)/21.75)*IF(G25&lt;=5,B25+C25,B25+C25-(G25-C25))*(21.75/NETWORKDAYS(DATE(2019,11,1),DATE(2019,11,30)))</f>
        <v>4000</v>
      </c>
      <c r="N25" s="13">
        <f t="shared" si="4"/>
        <v>620.68965517241372</v>
      </c>
      <c r="O25" s="13">
        <f t="shared" si="5"/>
        <v>183.90804597701148</v>
      </c>
      <c r="P25" s="14">
        <f t="shared" si="6"/>
        <v>4804.5977011494251</v>
      </c>
      <c r="Q25" s="12">
        <f t="shared" si="7"/>
        <v>0.16746411483253587</v>
      </c>
      <c r="R25" s="7" t="str">
        <f>INDEX(员工信息!$A$2:$A$27,MATCH(A25,员工信息!$B$2:$B$27,0))</f>
        <v>行政部</v>
      </c>
    </row>
    <row r="26" spans="1:18" ht="16.5" x14ac:dyDescent="0.3">
      <c r="A26" s="7" t="s">
        <v>53</v>
      </c>
      <c r="B26" s="7">
        <v>21</v>
      </c>
      <c r="C26" s="7">
        <v>0</v>
      </c>
      <c r="D26" s="7">
        <v>0</v>
      </c>
      <c r="E26" s="7">
        <v>16</v>
      </c>
      <c r="F26" s="7">
        <v>4</v>
      </c>
      <c r="G26" s="7">
        <v>4</v>
      </c>
      <c r="H26" s="12">
        <f t="shared" si="0"/>
        <v>1</v>
      </c>
      <c r="I26" s="12">
        <f t="shared" si="1"/>
        <v>0.11904761904761904</v>
      </c>
      <c r="J26" s="7">
        <f>VLOOKUP(A26,员工信息!$B$2:$C$27,2,FALSE)/21.75</f>
        <v>229.88505747126436</v>
      </c>
      <c r="K26" s="7">
        <f t="shared" si="2"/>
        <v>21</v>
      </c>
      <c r="L26" s="7">
        <f t="shared" si="3"/>
        <v>1.0357142857142858</v>
      </c>
      <c r="M26" s="13">
        <f>(VLOOKUP(A26,员工信息!$B$2:$C$27,2,FALSE)/21.75)*IF(G26&lt;=5,B26+C26,B26+C26-(G26-C26))*(21.75/NETWORKDAYS(DATE(2019,11,1),DATE(2019,11,30)))</f>
        <v>5000</v>
      </c>
      <c r="N26" s="13">
        <f t="shared" si="4"/>
        <v>689.65517241379303</v>
      </c>
      <c r="O26" s="13">
        <f t="shared" si="5"/>
        <v>229.88505747126436</v>
      </c>
      <c r="P26" s="14">
        <f t="shared" si="6"/>
        <v>5919.5402298850577</v>
      </c>
      <c r="Q26" s="12">
        <f t="shared" si="7"/>
        <v>0.1553398058252427</v>
      </c>
      <c r="R26" s="7" t="str">
        <f>INDEX(员工信息!$A$2:$A$27,MATCH(A26,员工信息!$B$2:$B$27,0))</f>
        <v>生产二部</v>
      </c>
    </row>
    <row r="27" spans="1:18" ht="16.5" x14ac:dyDescent="0.3">
      <c r="A27" s="7" t="s">
        <v>55</v>
      </c>
      <c r="B27" s="7">
        <v>21</v>
      </c>
      <c r="C27" s="7">
        <v>0</v>
      </c>
      <c r="D27" s="7">
        <v>0</v>
      </c>
      <c r="E27" s="7">
        <v>16</v>
      </c>
      <c r="F27" s="7">
        <v>4</v>
      </c>
      <c r="G27" s="7">
        <v>3</v>
      </c>
      <c r="H27" s="22">
        <f t="shared" si="0"/>
        <v>1</v>
      </c>
      <c r="I27" s="22">
        <f t="shared" si="1"/>
        <v>0.11904761904761904</v>
      </c>
      <c r="J27" s="7">
        <f>VLOOKUP(A27,员工信息!$B$2:$C$27,2,FALSE)/21.75</f>
        <v>183.90804597701148</v>
      </c>
      <c r="K27" s="7">
        <f t="shared" si="2"/>
        <v>21</v>
      </c>
      <c r="L27" s="7">
        <f t="shared" si="3"/>
        <v>1.0357142857142858</v>
      </c>
      <c r="M27" s="13">
        <f>(VLOOKUP(A27,员工信息!$B$2:$C$27,2,FALSE)/21.75)*IF(G27&lt;=5,B27+C27,B27+C27-(G27-C27))*(21.75/NETWORKDAYS(DATE(2019,11,1),DATE(2019,11,30)))</f>
        <v>4000</v>
      </c>
      <c r="N27" s="13">
        <f t="shared" si="4"/>
        <v>551.72413793103442</v>
      </c>
      <c r="O27" s="13">
        <f t="shared" si="5"/>
        <v>183.90804597701148</v>
      </c>
      <c r="P27" s="26">
        <f t="shared" si="6"/>
        <v>4735.6321839080456</v>
      </c>
      <c r="Q27" s="22">
        <f t="shared" si="7"/>
        <v>0.15533980582524273</v>
      </c>
      <c r="R27" s="7" t="str">
        <f>INDEX(员工信息!$A$2:$A$27,MATCH(A27,员工信息!$B$2:$B$27,0))</f>
        <v>行政部</v>
      </c>
    </row>
    <row r="28" spans="1:18" ht="16.5" x14ac:dyDescent="0.3">
      <c r="G28" s="21" t="s">
        <v>78</v>
      </c>
      <c r="H28" s="23">
        <f>AVERAGE(H2:H27)</f>
        <v>0.99084249084249088</v>
      </c>
      <c r="I28" s="23">
        <f>AVERAGE(I2:I27)</f>
        <v>8.562271062271061E-2</v>
      </c>
      <c r="L28" s="18" t="s">
        <v>79</v>
      </c>
      <c r="M28" s="19">
        <f>SUM(M2:M27)</f>
        <v>155523.80952380953</v>
      </c>
      <c r="N28" s="19">
        <f>SUM(N2:N27)</f>
        <v>13941.297208538588</v>
      </c>
      <c r="O28" s="25">
        <f>SUM(O2:O27)</f>
        <v>7587.3015873015856</v>
      </c>
      <c r="P28" s="28">
        <f t="shared" si="6"/>
        <v>177052.40831964972</v>
      </c>
      <c r="Q28" s="24">
        <f t="shared" si="7"/>
        <v>0.12159449848867646</v>
      </c>
    </row>
    <row r="29" spans="1:18" ht="16.5" x14ac:dyDescent="0.3">
      <c r="L29" s="7" t="s">
        <v>81</v>
      </c>
      <c r="M29" s="11"/>
      <c r="N29" s="11"/>
      <c r="O29" s="11"/>
      <c r="P29" s="27">
        <f>SUMIF(R2:R27,"生产一部",P2:P27)+SUMIF(R2:R27,"生产二部",P2:P27)</f>
        <v>82574.712643678169</v>
      </c>
      <c r="Q29" s="24"/>
    </row>
    <row r="30" spans="1:18" ht="16.5" x14ac:dyDescent="0.3">
      <c r="L30" s="7" t="s">
        <v>83</v>
      </c>
      <c r="M30" s="11"/>
      <c r="N30" s="11"/>
      <c r="O30" s="11"/>
      <c r="P30" s="24">
        <f>P29/P28</f>
        <v>0.46638570707605459</v>
      </c>
      <c r="Q30" s="24"/>
    </row>
    <row r="31" spans="1:18" ht="16.5" x14ac:dyDescent="0.3">
      <c r="L31" s="20"/>
      <c r="M31" s="11"/>
      <c r="N31" s="11"/>
      <c r="O31" s="11"/>
      <c r="P31" s="24"/>
      <c r="Q31" s="24"/>
    </row>
    <row r="32" spans="1:18" ht="16.5" x14ac:dyDescent="0.3">
      <c r="L32" s="11"/>
      <c r="M32" s="11"/>
      <c r="N32" s="11"/>
      <c r="O32" s="11"/>
      <c r="P32" s="11"/>
      <c r="Q32" s="11"/>
    </row>
    <row r="33" spans="12:17" ht="16.5" x14ac:dyDescent="0.3">
      <c r="L33" s="11"/>
      <c r="M33" s="11"/>
      <c r="N33" s="11"/>
      <c r="O33" s="11"/>
      <c r="P33" s="11"/>
      <c r="Q33" s="11"/>
    </row>
    <row r="34" spans="12:17" ht="16.5" x14ac:dyDescent="0.3">
      <c r="L34" s="11"/>
      <c r="M34" s="11"/>
      <c r="N34" s="11"/>
      <c r="O34" s="11"/>
      <c r="P34" s="11"/>
      <c r="Q34" s="11"/>
    </row>
  </sheetData>
  <autoFilter ref="A1:R31" xr:uid="{4BCCD415-D569-42D7-9B11-5CB47E5FCFA9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2825-428B-4441-A479-A95B563DF88A}">
  <dimension ref="B2:M26"/>
  <sheetViews>
    <sheetView topLeftCell="F16" workbookViewId="0">
      <selection activeCell="M7" sqref="M7:M8"/>
    </sheetView>
  </sheetViews>
  <sheetFormatPr defaultRowHeight="14.25" x14ac:dyDescent="0.2"/>
  <cols>
    <col min="2" max="2" width="9.125" bestFit="1" customWidth="1"/>
    <col min="3" max="3" width="15.625" bestFit="1" customWidth="1"/>
    <col min="12" max="12" width="9.125" bestFit="1" customWidth="1"/>
    <col min="13" max="15" width="13.625" bestFit="1" customWidth="1"/>
    <col min="16" max="16" width="17.75" bestFit="1" customWidth="1"/>
  </cols>
  <sheetData>
    <row r="2" spans="2:13" x14ac:dyDescent="0.2">
      <c r="B2" s="2" t="s">
        <v>63</v>
      </c>
      <c r="C2" t="s">
        <v>88</v>
      </c>
      <c r="L2" s="2" t="s">
        <v>63</v>
      </c>
      <c r="M2" t="s">
        <v>91</v>
      </c>
    </row>
    <row r="3" spans="2:13" x14ac:dyDescent="0.2">
      <c r="B3" s="3" t="s">
        <v>60</v>
      </c>
      <c r="C3" s="5">
        <v>1</v>
      </c>
      <c r="L3" s="3" t="s">
        <v>61</v>
      </c>
      <c r="M3" s="5">
        <v>0.13247010020801905</v>
      </c>
    </row>
    <row r="4" spans="2:13" x14ac:dyDescent="0.2">
      <c r="B4" s="3" t="s">
        <v>59</v>
      </c>
      <c r="C4" s="5">
        <v>1</v>
      </c>
      <c r="L4" s="3" t="s">
        <v>60</v>
      </c>
      <c r="M4" s="5">
        <v>0.12175708678029382</v>
      </c>
    </row>
    <row r="5" spans="2:13" x14ac:dyDescent="0.2">
      <c r="B5" s="3" t="s">
        <v>61</v>
      </c>
      <c r="C5" s="5">
        <v>0.99404761904761907</v>
      </c>
      <c r="L5" s="3" t="s">
        <v>59</v>
      </c>
      <c r="M5" s="5">
        <v>0.11438242006777852</v>
      </c>
    </row>
    <row r="6" spans="2:13" x14ac:dyDescent="0.2">
      <c r="B6" s="3" t="s">
        <v>58</v>
      </c>
      <c r="C6" s="5">
        <v>0.98095238095238102</v>
      </c>
      <c r="L6" s="3" t="s">
        <v>58</v>
      </c>
      <c r="M6" s="5">
        <v>0.10785456748395597</v>
      </c>
    </row>
    <row r="7" spans="2:13" x14ac:dyDescent="0.2">
      <c r="B7" s="3" t="s">
        <v>64</v>
      </c>
      <c r="C7" s="4">
        <v>0.99084249084249088</v>
      </c>
      <c r="L7" s="3" t="s">
        <v>64</v>
      </c>
      <c r="M7" s="5">
        <v>0.11857171168830775</v>
      </c>
    </row>
    <row r="20" spans="2:13" x14ac:dyDescent="0.2">
      <c r="B20" s="2" t="s">
        <v>63</v>
      </c>
      <c r="C20" t="s">
        <v>89</v>
      </c>
    </row>
    <row r="21" spans="2:13" x14ac:dyDescent="0.2">
      <c r="B21" s="3" t="s">
        <v>61</v>
      </c>
      <c r="C21" s="17">
        <v>9.6726190476190466E-2</v>
      </c>
      <c r="L21" s="2" t="s">
        <v>63</v>
      </c>
      <c r="M21" t="s">
        <v>90</v>
      </c>
    </row>
    <row r="22" spans="2:13" x14ac:dyDescent="0.2">
      <c r="B22" s="3" t="s">
        <v>60</v>
      </c>
      <c r="C22" s="17">
        <v>8.7797619047619055E-2</v>
      </c>
      <c r="L22" s="3" t="s">
        <v>61</v>
      </c>
      <c r="M22" s="4">
        <v>54123.563218390809</v>
      </c>
    </row>
    <row r="23" spans="2:13" x14ac:dyDescent="0.2">
      <c r="B23" s="3" t="s">
        <v>59</v>
      </c>
      <c r="C23" s="17">
        <v>8.3333333333333343E-2</v>
      </c>
      <c r="L23" s="3" t="s">
        <v>58</v>
      </c>
      <c r="M23" s="4">
        <v>53408.730158730163</v>
      </c>
    </row>
    <row r="24" spans="2:13" x14ac:dyDescent="0.2">
      <c r="B24" s="3" t="s">
        <v>58</v>
      </c>
      <c r="C24" s="17">
        <v>7.6785714285714277E-2</v>
      </c>
      <c r="L24" s="3" t="s">
        <v>59</v>
      </c>
      <c r="M24" s="4">
        <v>41068.965517241377</v>
      </c>
    </row>
    <row r="25" spans="2:13" x14ac:dyDescent="0.2">
      <c r="B25" s="3" t="s">
        <v>64</v>
      </c>
      <c r="C25" s="4">
        <v>8.5622710622710638E-2</v>
      </c>
      <c r="L25" s="3" t="s">
        <v>60</v>
      </c>
      <c r="M25" s="4">
        <v>28451.14942528736</v>
      </c>
    </row>
    <row r="26" spans="2:13" x14ac:dyDescent="0.2">
      <c r="L26" s="3" t="s">
        <v>64</v>
      </c>
      <c r="M26" s="4">
        <v>177052.40831964969</v>
      </c>
    </row>
  </sheetData>
  <phoneticPr fontId="1" type="noConversion"/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B326-8C3E-4ECC-9FB9-744F8A5DAB8F}">
  <dimension ref="A2:K6"/>
  <sheetViews>
    <sheetView showGridLines="0" tabSelected="1" workbookViewId="0">
      <selection activeCell="M10" sqref="M10"/>
    </sheetView>
  </sheetViews>
  <sheetFormatPr defaultRowHeight="14.25" x14ac:dyDescent="0.2"/>
  <cols>
    <col min="2" max="2" width="9.125" bestFit="1" customWidth="1"/>
    <col min="3" max="3" width="11.25" bestFit="1" customWidth="1"/>
    <col min="4" max="4" width="4.125" customWidth="1"/>
    <col min="5" max="5" width="13.25" bestFit="1" customWidth="1"/>
    <col min="6" max="6" width="3.75" customWidth="1"/>
    <col min="7" max="7" width="13.25" bestFit="1" customWidth="1"/>
    <col min="8" max="8" width="3.25" customWidth="1"/>
    <col min="9" max="9" width="13.375" customWidth="1"/>
    <col min="10" max="10" width="5" customWidth="1"/>
    <col min="11" max="11" width="18.25" customWidth="1"/>
  </cols>
  <sheetData>
    <row r="2" spans="1:11" ht="16.5" x14ac:dyDescent="0.3">
      <c r="A2" t="s">
        <v>77</v>
      </c>
      <c r="C2" s="20" t="s">
        <v>84</v>
      </c>
      <c r="D2" s="11"/>
      <c r="E2" s="11" t="s">
        <v>85</v>
      </c>
      <c r="F2" s="11"/>
      <c r="G2" s="11" t="s">
        <v>87</v>
      </c>
      <c r="H2" s="11"/>
      <c r="I2" s="11" t="s">
        <v>92</v>
      </c>
      <c r="K2" s="11" t="s">
        <v>82</v>
      </c>
    </row>
    <row r="6" spans="1:11" x14ac:dyDescent="0.2">
      <c r="A6" t="s">
        <v>80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员工信息</vt:lpstr>
      <vt:lpstr>2019年11月</vt:lpstr>
      <vt:lpstr>图表准备区</vt:lpstr>
      <vt:lpstr>结果呈现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2020-02-25T01:17:01Z</cp:lastPrinted>
  <dcterms:created xsi:type="dcterms:W3CDTF">2015-06-05T18:19:34Z</dcterms:created>
  <dcterms:modified xsi:type="dcterms:W3CDTF">2020-03-31T07:46:38Z</dcterms:modified>
</cp:coreProperties>
</file>